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Lucas\TA_results_final_6\"/>
    </mc:Choice>
  </mc:AlternateContent>
  <xr:revisionPtr revIDLastSave="0" documentId="8_{EBC8111A-ECED-4F6B-B16F-563F65F71D67}" xr6:coauthVersionLast="47" xr6:coauthVersionMax="47" xr10:uidLastSave="{00000000-0000-0000-0000-000000000000}"/>
  <bookViews>
    <workbookView xWindow="1788" yWindow="-17388" windowWidth="30936" windowHeight="16776" activeTab="1" xr2:uid="{FF64AF30-3015-1142-92FA-2A2ED079457A}"/>
  </bookViews>
  <sheets>
    <sheet name="Variable_List" sheetId="2" r:id="rId1"/>
    <sheet name="SPS1" sheetId="1" r:id="rId2"/>
    <sheet name="check" sheetId="4" r:id="rId3"/>
  </sheets>
  <externalReferences>
    <externalReference r:id="rId4"/>
  </externalReferences>
  <definedNames>
    <definedName name="_xlnm._FilterDatabase" localSheetId="1" hidden="1">'SPS1'!$B$1:$L$1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113" i="1" l="1"/>
  <c r="P2113" i="1"/>
  <c r="O2113" i="1"/>
  <c r="N2113" i="1"/>
  <c r="M2113" i="1"/>
  <c r="L2113" i="1"/>
  <c r="K2113" i="1"/>
  <c r="J2113" i="1"/>
  <c r="I2113" i="1"/>
  <c r="H2113" i="1"/>
  <c r="G2113" i="1"/>
  <c r="F2113" i="1"/>
  <c r="Q2112" i="1"/>
  <c r="P2112" i="1"/>
  <c r="O2112" i="1"/>
  <c r="N2112" i="1"/>
  <c r="M2112" i="1"/>
  <c r="L2112" i="1"/>
  <c r="K2112" i="1"/>
  <c r="J2112" i="1"/>
  <c r="I2112" i="1"/>
  <c r="H2112" i="1"/>
  <c r="G2112" i="1"/>
  <c r="F2112" i="1"/>
  <c r="Q2111" i="1"/>
  <c r="P2111" i="1"/>
  <c r="O2111" i="1"/>
  <c r="N2111" i="1"/>
  <c r="M2111" i="1"/>
  <c r="L2111" i="1"/>
  <c r="K2111" i="1"/>
  <c r="J2111" i="1"/>
  <c r="I2111" i="1"/>
  <c r="H2111" i="1"/>
  <c r="G2111" i="1"/>
  <c r="F2111" i="1"/>
  <c r="Q2110" i="1"/>
  <c r="P2110" i="1"/>
  <c r="O2110" i="1"/>
  <c r="N2110" i="1"/>
  <c r="M2110" i="1"/>
  <c r="L2110" i="1"/>
  <c r="K2110" i="1"/>
  <c r="J2110" i="1"/>
  <c r="I2110" i="1"/>
  <c r="H2110" i="1"/>
  <c r="G2110" i="1"/>
  <c r="F2110" i="1"/>
  <c r="Q2109" i="1"/>
  <c r="P2109" i="1"/>
  <c r="O2109" i="1"/>
  <c r="N2109" i="1"/>
  <c r="M2109" i="1"/>
  <c r="L2109" i="1"/>
  <c r="K2109" i="1"/>
  <c r="J2109" i="1"/>
  <c r="I2109" i="1"/>
  <c r="H2109" i="1"/>
  <c r="G2109" i="1"/>
  <c r="F2109" i="1"/>
  <c r="Q2108" i="1"/>
  <c r="P2108" i="1"/>
  <c r="O2108" i="1"/>
  <c r="N2108" i="1"/>
  <c r="M2108" i="1"/>
  <c r="L2108" i="1"/>
  <c r="K2108" i="1"/>
  <c r="J2108" i="1"/>
  <c r="I2108" i="1"/>
  <c r="H2108" i="1"/>
  <c r="G2108" i="1"/>
  <c r="F2108" i="1"/>
  <c r="Q2107" i="1"/>
  <c r="P2107" i="1"/>
  <c r="O2107" i="1"/>
  <c r="N2107" i="1"/>
  <c r="M2107" i="1"/>
  <c r="L2107" i="1"/>
  <c r="K2107" i="1"/>
  <c r="J2107" i="1"/>
  <c r="I2107" i="1"/>
  <c r="H2107" i="1"/>
  <c r="G2107" i="1"/>
  <c r="F2107" i="1"/>
  <c r="Q2105" i="1"/>
  <c r="P2105" i="1"/>
  <c r="O2105" i="1"/>
  <c r="N2105" i="1"/>
  <c r="M2105" i="1"/>
  <c r="L2105" i="1"/>
  <c r="K2105" i="1"/>
  <c r="J2105" i="1"/>
  <c r="I2105" i="1"/>
  <c r="H2105" i="1"/>
  <c r="G2105" i="1"/>
  <c r="F2105" i="1"/>
  <c r="Q2104" i="1"/>
  <c r="P2104" i="1"/>
  <c r="O2104" i="1"/>
  <c r="N2104" i="1"/>
  <c r="M2104" i="1"/>
  <c r="L2104" i="1"/>
  <c r="K2104" i="1"/>
  <c r="J2104" i="1"/>
  <c r="I2104" i="1"/>
  <c r="H2104" i="1"/>
  <c r="G2104" i="1"/>
  <c r="F2104" i="1"/>
  <c r="Q2103" i="1"/>
  <c r="P2103" i="1"/>
  <c r="O2103" i="1"/>
  <c r="N2103" i="1"/>
  <c r="M2103" i="1"/>
  <c r="L2103" i="1"/>
  <c r="K2103" i="1"/>
  <c r="J2103" i="1"/>
  <c r="I2103" i="1"/>
  <c r="H2103" i="1"/>
  <c r="G2103" i="1"/>
  <c r="F2103" i="1"/>
  <c r="Q2100" i="1"/>
  <c r="P2100" i="1"/>
  <c r="O2100" i="1"/>
  <c r="N2100" i="1"/>
  <c r="M2100" i="1"/>
  <c r="L2100" i="1"/>
  <c r="K2100" i="1"/>
  <c r="J2100" i="1"/>
  <c r="I2100" i="1"/>
  <c r="H2100" i="1"/>
  <c r="G2100" i="1"/>
  <c r="F2100" i="1"/>
  <c r="Q2099" i="1"/>
  <c r="P2099" i="1"/>
  <c r="O2099" i="1"/>
  <c r="N2099" i="1"/>
  <c r="M2099" i="1"/>
  <c r="L2099" i="1"/>
  <c r="K2099" i="1"/>
  <c r="J2099" i="1"/>
  <c r="I2099" i="1"/>
  <c r="H2099" i="1"/>
  <c r="G2099" i="1"/>
  <c r="F2099" i="1"/>
  <c r="Q2098" i="1"/>
  <c r="P2098" i="1"/>
  <c r="O2098" i="1"/>
  <c r="N2098" i="1"/>
  <c r="M2098" i="1"/>
  <c r="L2098" i="1"/>
  <c r="K2098" i="1"/>
  <c r="J2098" i="1"/>
  <c r="I2098" i="1"/>
  <c r="H2098" i="1"/>
  <c r="G2098" i="1"/>
  <c r="F2098" i="1"/>
  <c r="Q2097" i="1"/>
  <c r="P2097" i="1"/>
  <c r="O2097" i="1"/>
  <c r="N2097" i="1"/>
  <c r="M2097" i="1"/>
  <c r="L2097" i="1"/>
  <c r="K2097" i="1"/>
  <c r="J2097" i="1"/>
  <c r="I2097" i="1"/>
  <c r="H2097" i="1"/>
  <c r="G2097" i="1"/>
  <c r="F2097" i="1"/>
  <c r="Q2096" i="1"/>
  <c r="P2096" i="1"/>
  <c r="O2096" i="1"/>
  <c r="N2096" i="1"/>
  <c r="M2096" i="1"/>
  <c r="L2096" i="1"/>
  <c r="K2096" i="1"/>
  <c r="J2096" i="1"/>
  <c r="I2096" i="1"/>
  <c r="H2096" i="1"/>
  <c r="G2096" i="1"/>
  <c r="F2096" i="1"/>
  <c r="Q2095" i="1"/>
  <c r="P2095" i="1"/>
  <c r="O2095" i="1"/>
  <c r="N2095" i="1"/>
  <c r="M2095" i="1"/>
  <c r="L2095" i="1"/>
  <c r="K2095" i="1"/>
  <c r="J2095" i="1"/>
  <c r="I2095" i="1"/>
  <c r="H2095" i="1"/>
  <c r="G2095" i="1"/>
  <c r="F2095" i="1"/>
  <c r="Q2093" i="1"/>
  <c r="P2093" i="1"/>
  <c r="O2093" i="1"/>
  <c r="N2093" i="1"/>
  <c r="M2093" i="1"/>
  <c r="L2093" i="1"/>
  <c r="K2093" i="1"/>
  <c r="J2093" i="1"/>
  <c r="I2093" i="1"/>
  <c r="H2093" i="1"/>
  <c r="G2093" i="1"/>
  <c r="F2093" i="1"/>
  <c r="Q2091" i="1"/>
  <c r="P2091" i="1"/>
  <c r="O2091" i="1"/>
  <c r="N2091" i="1"/>
  <c r="M2091" i="1"/>
  <c r="L2091" i="1"/>
  <c r="K2091" i="1"/>
  <c r="J2091" i="1"/>
  <c r="I2091" i="1"/>
  <c r="H2091" i="1"/>
  <c r="G2091" i="1"/>
  <c r="F2091" i="1"/>
  <c r="Q2090" i="1"/>
  <c r="P2090" i="1"/>
  <c r="O2090" i="1"/>
  <c r="N2090" i="1"/>
  <c r="M2090" i="1"/>
  <c r="L2090" i="1"/>
  <c r="K2090" i="1"/>
  <c r="J2090" i="1"/>
  <c r="I2090" i="1"/>
  <c r="H2090" i="1"/>
  <c r="G2090" i="1"/>
  <c r="F2090" i="1"/>
  <c r="Q2089" i="1"/>
  <c r="P2089" i="1"/>
  <c r="O2089" i="1"/>
  <c r="N2089" i="1"/>
  <c r="M2089" i="1"/>
  <c r="L2089" i="1"/>
  <c r="K2089" i="1"/>
  <c r="J2089" i="1"/>
  <c r="I2089" i="1"/>
  <c r="H2089" i="1"/>
  <c r="G2089" i="1"/>
  <c r="F2089" i="1"/>
  <c r="Q2088" i="1"/>
  <c r="P2088" i="1"/>
  <c r="O2088" i="1"/>
  <c r="N2088" i="1"/>
  <c r="M2088" i="1"/>
  <c r="L2088" i="1"/>
  <c r="K2088" i="1"/>
  <c r="J2088" i="1"/>
  <c r="I2088" i="1"/>
  <c r="H2088" i="1"/>
  <c r="G2088" i="1"/>
  <c r="F2088" i="1"/>
  <c r="Q2087" i="1"/>
  <c r="P2087" i="1"/>
  <c r="O2087" i="1"/>
  <c r="N2087" i="1"/>
  <c r="M2087" i="1"/>
  <c r="L2087" i="1"/>
  <c r="K2087" i="1"/>
  <c r="J2087" i="1"/>
  <c r="I2087" i="1"/>
  <c r="H2087" i="1"/>
  <c r="G2087" i="1"/>
  <c r="F2087" i="1"/>
  <c r="Q2086" i="1"/>
  <c r="P2086" i="1"/>
  <c r="O2086" i="1"/>
  <c r="N2086" i="1"/>
  <c r="M2086" i="1"/>
  <c r="L2086" i="1"/>
  <c r="K2086" i="1"/>
  <c r="J2086" i="1"/>
  <c r="I2086" i="1"/>
  <c r="H2086" i="1"/>
  <c r="G2086" i="1"/>
  <c r="F2086" i="1"/>
  <c r="Q2085" i="1"/>
  <c r="P2085" i="1"/>
  <c r="O2085" i="1"/>
  <c r="N2085" i="1"/>
  <c r="M2085" i="1"/>
  <c r="L2085" i="1"/>
  <c r="K2085" i="1"/>
  <c r="J2085" i="1"/>
  <c r="I2085" i="1"/>
  <c r="H2085" i="1"/>
  <c r="G2085" i="1"/>
  <c r="F2085" i="1"/>
  <c r="Q2083" i="1"/>
  <c r="P2083" i="1"/>
  <c r="O2083" i="1"/>
  <c r="N2083" i="1"/>
  <c r="M2083" i="1"/>
  <c r="L2083" i="1"/>
  <c r="K2083" i="1"/>
  <c r="J2083" i="1"/>
  <c r="I2083" i="1"/>
  <c r="H2083" i="1"/>
  <c r="G2083" i="1"/>
  <c r="F2083" i="1"/>
  <c r="Q2082" i="1"/>
  <c r="P2082" i="1"/>
  <c r="O2082" i="1"/>
  <c r="N2082" i="1"/>
  <c r="M2082" i="1"/>
  <c r="L2082" i="1"/>
  <c r="K2082" i="1"/>
  <c r="J2082" i="1"/>
  <c r="I2082" i="1"/>
  <c r="H2082" i="1"/>
  <c r="G2082" i="1"/>
  <c r="F2082" i="1"/>
  <c r="Q2081" i="1"/>
  <c r="P2081" i="1"/>
  <c r="O2081" i="1"/>
  <c r="N2081" i="1"/>
  <c r="M2081" i="1"/>
  <c r="L2081" i="1"/>
  <c r="K2081" i="1"/>
  <c r="J2081" i="1"/>
  <c r="I2081" i="1"/>
  <c r="H2081" i="1"/>
  <c r="G2081" i="1"/>
  <c r="F2081" i="1"/>
  <c r="Q2080" i="1"/>
  <c r="P2080" i="1"/>
  <c r="O2080" i="1"/>
  <c r="N2080" i="1"/>
  <c r="M2080" i="1"/>
  <c r="L2080" i="1"/>
  <c r="K2080" i="1"/>
  <c r="J2080" i="1"/>
  <c r="I2080" i="1"/>
  <c r="H2080" i="1"/>
  <c r="G2080" i="1"/>
  <c r="F2080" i="1"/>
  <c r="Q2079" i="1"/>
  <c r="P2079" i="1"/>
  <c r="O2079" i="1"/>
  <c r="N2079" i="1"/>
  <c r="M2079" i="1"/>
  <c r="L2079" i="1"/>
  <c r="K2079" i="1"/>
  <c r="J2079" i="1"/>
  <c r="I2079" i="1"/>
  <c r="H2079" i="1"/>
  <c r="G2079" i="1"/>
  <c r="F2079" i="1"/>
  <c r="Q2078" i="1"/>
  <c r="P2078" i="1"/>
  <c r="O2078" i="1"/>
  <c r="N2078" i="1"/>
  <c r="M2078" i="1"/>
  <c r="L2078" i="1"/>
  <c r="K2078" i="1"/>
  <c r="J2078" i="1"/>
  <c r="I2078" i="1"/>
  <c r="H2078" i="1"/>
  <c r="G2078" i="1"/>
  <c r="F2078" i="1"/>
  <c r="Q2076" i="1"/>
  <c r="P2076" i="1"/>
  <c r="O2076" i="1"/>
  <c r="N2076" i="1"/>
  <c r="M2076" i="1"/>
  <c r="L2076" i="1"/>
  <c r="K2076" i="1"/>
  <c r="J2076" i="1"/>
  <c r="I2076" i="1"/>
  <c r="H2076" i="1"/>
  <c r="G2076" i="1"/>
  <c r="F2076" i="1"/>
  <c r="Q2075" i="1"/>
  <c r="P2075" i="1"/>
  <c r="O2075" i="1"/>
  <c r="N2075" i="1"/>
  <c r="M2075" i="1"/>
  <c r="L2075" i="1"/>
  <c r="K2075" i="1"/>
  <c r="J2075" i="1"/>
  <c r="I2075" i="1"/>
  <c r="H2075" i="1"/>
  <c r="G2075" i="1"/>
  <c r="F2075" i="1"/>
  <c r="Q2074" i="1"/>
  <c r="P2074" i="1"/>
  <c r="O2074" i="1"/>
  <c r="N2074" i="1"/>
  <c r="M2074" i="1"/>
  <c r="L2074" i="1"/>
  <c r="K2074" i="1"/>
  <c r="J2074" i="1"/>
  <c r="I2074" i="1"/>
  <c r="H2074" i="1"/>
  <c r="G2074" i="1"/>
  <c r="F2074" i="1"/>
  <c r="Q2073" i="1"/>
  <c r="P2073" i="1"/>
  <c r="O2073" i="1"/>
  <c r="N2073" i="1"/>
  <c r="M2073" i="1"/>
  <c r="L2073" i="1"/>
  <c r="K2073" i="1"/>
  <c r="J2073" i="1"/>
  <c r="I2073" i="1"/>
  <c r="H2073" i="1"/>
  <c r="G2073" i="1"/>
  <c r="F2073" i="1"/>
  <c r="Q2072" i="1"/>
  <c r="P2072" i="1"/>
  <c r="O2072" i="1"/>
  <c r="N2072" i="1"/>
  <c r="M2072" i="1"/>
  <c r="L2072" i="1"/>
  <c r="K2072" i="1"/>
  <c r="J2072" i="1"/>
  <c r="I2072" i="1"/>
  <c r="H2072" i="1"/>
  <c r="G2072" i="1"/>
  <c r="F2072" i="1"/>
  <c r="Q2071" i="1"/>
  <c r="P2071" i="1"/>
  <c r="O2071" i="1"/>
  <c r="N2071" i="1"/>
  <c r="M2071" i="1"/>
  <c r="L2071" i="1"/>
  <c r="K2071" i="1"/>
  <c r="J2071" i="1"/>
  <c r="I2071" i="1"/>
  <c r="H2071" i="1"/>
  <c r="G2071" i="1"/>
  <c r="F2071" i="1"/>
  <c r="Q2070" i="1"/>
  <c r="P2070" i="1"/>
  <c r="O2070" i="1"/>
  <c r="N2070" i="1"/>
  <c r="M2070" i="1"/>
  <c r="L2070" i="1"/>
  <c r="K2070" i="1"/>
  <c r="J2070" i="1"/>
  <c r="I2070" i="1"/>
  <c r="H2070" i="1"/>
  <c r="G2070" i="1"/>
  <c r="F2070" i="1"/>
  <c r="Q2069" i="1"/>
  <c r="P2069" i="1"/>
  <c r="O2069" i="1"/>
  <c r="N2069" i="1"/>
  <c r="M2069" i="1"/>
  <c r="L2069" i="1"/>
  <c r="K2069" i="1"/>
  <c r="J2069" i="1"/>
  <c r="I2069" i="1"/>
  <c r="H2069" i="1"/>
  <c r="G2069" i="1"/>
  <c r="F2069" i="1"/>
  <c r="Q2068" i="1"/>
  <c r="P2068" i="1"/>
  <c r="O2068" i="1"/>
  <c r="N2068" i="1"/>
  <c r="M2068" i="1"/>
  <c r="L2068" i="1"/>
  <c r="K2068" i="1"/>
  <c r="J2068" i="1"/>
  <c r="I2068" i="1"/>
  <c r="H2068" i="1"/>
  <c r="G2068" i="1"/>
  <c r="F2068" i="1"/>
  <c r="Q2067" i="1"/>
  <c r="P2067" i="1"/>
  <c r="O2067" i="1"/>
  <c r="N2067" i="1"/>
  <c r="M2067" i="1"/>
  <c r="L2067" i="1"/>
  <c r="K2067" i="1"/>
  <c r="J2067" i="1"/>
  <c r="I2067" i="1"/>
  <c r="H2067" i="1"/>
  <c r="G2067" i="1"/>
  <c r="F2067" i="1"/>
  <c r="Q2066" i="1"/>
  <c r="P2066" i="1"/>
  <c r="O2066" i="1"/>
  <c r="N2066" i="1"/>
  <c r="M2066" i="1"/>
  <c r="L2066" i="1"/>
  <c r="K2066" i="1"/>
  <c r="J2066" i="1"/>
  <c r="I2066" i="1"/>
  <c r="H2066" i="1"/>
  <c r="G2066" i="1"/>
  <c r="F2066" i="1"/>
  <c r="Q2065" i="1"/>
  <c r="P2065" i="1"/>
  <c r="O2065" i="1"/>
  <c r="N2065" i="1"/>
  <c r="M2065" i="1"/>
  <c r="L2065" i="1"/>
  <c r="K2065" i="1"/>
  <c r="J2065" i="1"/>
  <c r="I2065" i="1"/>
  <c r="H2065" i="1"/>
  <c r="G2065" i="1"/>
  <c r="F2065" i="1"/>
  <c r="Q2064" i="1"/>
  <c r="P2064" i="1"/>
  <c r="O2064" i="1"/>
  <c r="N2064" i="1"/>
  <c r="M2064" i="1"/>
  <c r="L2064" i="1"/>
  <c r="K2064" i="1"/>
  <c r="J2064" i="1"/>
  <c r="I2064" i="1"/>
  <c r="H2064" i="1"/>
  <c r="G2064" i="1"/>
  <c r="F2064" i="1"/>
  <c r="Q2063" i="1"/>
  <c r="P2063" i="1"/>
  <c r="O2063" i="1"/>
  <c r="N2063" i="1"/>
  <c r="M2063" i="1"/>
  <c r="L2063" i="1"/>
  <c r="K2063" i="1"/>
  <c r="J2063" i="1"/>
  <c r="I2063" i="1"/>
  <c r="H2063" i="1"/>
  <c r="G2063" i="1"/>
  <c r="F2063" i="1"/>
  <c r="Q2062" i="1"/>
  <c r="P2062" i="1"/>
  <c r="O2062" i="1"/>
  <c r="N2062" i="1"/>
  <c r="M2062" i="1"/>
  <c r="L2062" i="1"/>
  <c r="K2062" i="1"/>
  <c r="J2062" i="1"/>
  <c r="I2062" i="1"/>
  <c r="H2062" i="1"/>
  <c r="G2062" i="1"/>
  <c r="F2062" i="1"/>
  <c r="Q2060" i="1"/>
  <c r="P2060" i="1"/>
  <c r="O2060" i="1"/>
  <c r="N2060" i="1"/>
  <c r="M2060" i="1"/>
  <c r="L2060" i="1"/>
  <c r="K2060" i="1"/>
  <c r="J2060" i="1"/>
  <c r="I2060" i="1"/>
  <c r="H2060" i="1"/>
  <c r="G2060" i="1"/>
  <c r="F2060" i="1"/>
  <c r="Q2059" i="1"/>
  <c r="P2059" i="1"/>
  <c r="O2059" i="1"/>
  <c r="N2059" i="1"/>
  <c r="M2059" i="1"/>
  <c r="L2059" i="1"/>
  <c r="K2059" i="1"/>
  <c r="J2059" i="1"/>
  <c r="I2059" i="1"/>
  <c r="H2059" i="1"/>
  <c r="G2059" i="1"/>
  <c r="F2059" i="1"/>
  <c r="Q2058" i="1"/>
  <c r="P2058" i="1"/>
  <c r="O2058" i="1"/>
  <c r="N2058" i="1"/>
  <c r="M2058" i="1"/>
  <c r="L2058" i="1"/>
  <c r="K2058" i="1"/>
  <c r="J2058" i="1"/>
  <c r="I2058" i="1"/>
  <c r="H2058" i="1"/>
  <c r="G2058" i="1"/>
  <c r="F2058" i="1"/>
  <c r="Q2056" i="1"/>
  <c r="P2056" i="1"/>
  <c r="O2056" i="1"/>
  <c r="N2056" i="1"/>
  <c r="M2056" i="1"/>
  <c r="L2056" i="1"/>
  <c r="K2056" i="1"/>
  <c r="J2056" i="1"/>
  <c r="I2056" i="1"/>
  <c r="H2056" i="1"/>
  <c r="G2056" i="1"/>
  <c r="F2056" i="1"/>
  <c r="Q2055" i="1"/>
  <c r="P2055" i="1"/>
  <c r="O2055" i="1"/>
  <c r="N2055" i="1"/>
  <c r="M2055" i="1"/>
  <c r="L2055" i="1"/>
  <c r="K2055" i="1"/>
  <c r="J2055" i="1"/>
  <c r="I2055" i="1"/>
  <c r="H2055" i="1"/>
  <c r="G2055" i="1"/>
  <c r="F2055" i="1"/>
  <c r="Q2054" i="1"/>
  <c r="P2054" i="1"/>
  <c r="O2054" i="1"/>
  <c r="N2054" i="1"/>
  <c r="M2054" i="1"/>
  <c r="L2054" i="1"/>
  <c r="K2054" i="1"/>
  <c r="J2054" i="1"/>
  <c r="I2054" i="1"/>
  <c r="H2054" i="1"/>
  <c r="G2054" i="1"/>
  <c r="F2054" i="1"/>
  <c r="Q2052" i="1"/>
  <c r="P2052" i="1"/>
  <c r="O2052" i="1"/>
  <c r="N2052" i="1"/>
  <c r="M2052" i="1"/>
  <c r="L2052" i="1"/>
  <c r="K2052" i="1"/>
  <c r="J2052" i="1"/>
  <c r="I2052" i="1"/>
  <c r="H2052" i="1"/>
  <c r="G2052" i="1"/>
  <c r="F2052" i="1"/>
  <c r="Q1822" i="1"/>
  <c r="P1822" i="1"/>
  <c r="O1822" i="1"/>
  <c r="N1822" i="1"/>
  <c r="M1822" i="1"/>
  <c r="L1822" i="1"/>
  <c r="K1822" i="1"/>
  <c r="J1822" i="1"/>
  <c r="I1822" i="1"/>
  <c r="H1822" i="1"/>
  <c r="G1822" i="1"/>
  <c r="F1822" i="1"/>
  <c r="Q1821" i="1"/>
  <c r="P1821" i="1"/>
  <c r="O1821" i="1"/>
  <c r="N1821" i="1"/>
  <c r="M1821" i="1"/>
  <c r="L1821" i="1"/>
  <c r="K1821" i="1"/>
  <c r="J1821" i="1"/>
  <c r="I1821" i="1"/>
  <c r="H1821" i="1"/>
  <c r="G1821" i="1"/>
  <c r="F1821" i="1"/>
  <c r="Q1820" i="1"/>
  <c r="P1820" i="1"/>
  <c r="O1820" i="1"/>
  <c r="N1820" i="1"/>
  <c r="M1820" i="1"/>
  <c r="L1820" i="1"/>
  <c r="K1820" i="1"/>
  <c r="J1820" i="1"/>
  <c r="I1820" i="1"/>
  <c r="H1820" i="1"/>
  <c r="G1820" i="1"/>
  <c r="F1820" i="1"/>
  <c r="Q1819" i="1"/>
  <c r="P1819" i="1"/>
  <c r="O1819" i="1"/>
  <c r="N1819" i="1"/>
  <c r="M1819" i="1"/>
  <c r="L1819" i="1"/>
  <c r="K1819" i="1"/>
  <c r="J1819" i="1"/>
  <c r="I1819" i="1"/>
  <c r="H1819" i="1"/>
  <c r="G1819" i="1"/>
  <c r="F1819" i="1"/>
  <c r="Q1818" i="1"/>
  <c r="P1818" i="1"/>
  <c r="O1818" i="1"/>
  <c r="N1818" i="1"/>
  <c r="M1818" i="1"/>
  <c r="L1818" i="1"/>
  <c r="K1818" i="1"/>
  <c r="J1818" i="1"/>
  <c r="I1818" i="1"/>
  <c r="H1818" i="1"/>
  <c r="G1818" i="1"/>
  <c r="F1818" i="1"/>
  <c r="Q1817" i="1"/>
  <c r="P1817" i="1"/>
  <c r="O1817" i="1"/>
  <c r="N1817" i="1"/>
  <c r="M1817" i="1"/>
  <c r="L1817" i="1"/>
  <c r="K1817" i="1"/>
  <c r="J1817" i="1"/>
  <c r="I1817" i="1"/>
  <c r="H1817" i="1"/>
  <c r="G1817" i="1"/>
  <c r="F1817" i="1"/>
  <c r="Q1816" i="1"/>
  <c r="P1816" i="1"/>
  <c r="O1816" i="1"/>
  <c r="N1816" i="1"/>
  <c r="M1816" i="1"/>
  <c r="L1816" i="1"/>
  <c r="K1816" i="1"/>
  <c r="J1816" i="1"/>
  <c r="I1816" i="1"/>
  <c r="H1816" i="1"/>
  <c r="G1816" i="1"/>
  <c r="F1816" i="1"/>
  <c r="Q1814" i="1"/>
  <c r="P1814" i="1"/>
  <c r="O1814" i="1"/>
  <c r="N1814" i="1"/>
  <c r="M1814" i="1"/>
  <c r="L1814" i="1"/>
  <c r="K1814" i="1"/>
  <c r="J1814" i="1"/>
  <c r="I1814" i="1"/>
  <c r="H1814" i="1"/>
  <c r="G1814" i="1"/>
  <c r="F1814" i="1"/>
  <c r="Q1813" i="1"/>
  <c r="P1813" i="1"/>
  <c r="O1813" i="1"/>
  <c r="N1813" i="1"/>
  <c r="M1813" i="1"/>
  <c r="L1813" i="1"/>
  <c r="K1813" i="1"/>
  <c r="J1813" i="1"/>
  <c r="I1813" i="1"/>
  <c r="H1813" i="1"/>
  <c r="G1813" i="1"/>
  <c r="F1813" i="1"/>
  <c r="Q1812" i="1"/>
  <c r="P1812" i="1"/>
  <c r="O1812" i="1"/>
  <c r="N1812" i="1"/>
  <c r="M1812" i="1"/>
  <c r="L1812" i="1"/>
  <c r="K1812" i="1"/>
  <c r="J1812" i="1"/>
  <c r="I1812" i="1"/>
  <c r="H1812" i="1"/>
  <c r="G1812" i="1"/>
  <c r="F1812" i="1"/>
  <c r="Q1809" i="1"/>
  <c r="P1809" i="1"/>
  <c r="O1809" i="1"/>
  <c r="N1809" i="1"/>
  <c r="M1809" i="1"/>
  <c r="L1809" i="1"/>
  <c r="K1809" i="1"/>
  <c r="J1809" i="1"/>
  <c r="I1809" i="1"/>
  <c r="H1809" i="1"/>
  <c r="G1809" i="1"/>
  <c r="F1809" i="1"/>
  <c r="Q1808" i="1"/>
  <c r="P1808" i="1"/>
  <c r="O1808" i="1"/>
  <c r="N1808" i="1"/>
  <c r="M1808" i="1"/>
  <c r="L1808" i="1"/>
  <c r="K1808" i="1"/>
  <c r="J1808" i="1"/>
  <c r="I1808" i="1"/>
  <c r="H1808" i="1"/>
  <c r="G1808" i="1"/>
  <c r="F1808" i="1"/>
  <c r="Q1807" i="1"/>
  <c r="P1807" i="1"/>
  <c r="O1807" i="1"/>
  <c r="N1807" i="1"/>
  <c r="M1807" i="1"/>
  <c r="L1807" i="1"/>
  <c r="K1807" i="1"/>
  <c r="J1807" i="1"/>
  <c r="I1807" i="1"/>
  <c r="H1807" i="1"/>
  <c r="G1807" i="1"/>
  <c r="F1807" i="1"/>
  <c r="Q1806" i="1"/>
  <c r="P1806" i="1"/>
  <c r="O1806" i="1"/>
  <c r="N1806" i="1"/>
  <c r="M1806" i="1"/>
  <c r="L1806" i="1"/>
  <c r="K1806" i="1"/>
  <c r="J1806" i="1"/>
  <c r="I1806" i="1"/>
  <c r="H1806" i="1"/>
  <c r="G1806" i="1"/>
  <c r="F1806" i="1"/>
  <c r="Q1805" i="1"/>
  <c r="P1805" i="1"/>
  <c r="O1805" i="1"/>
  <c r="N1805" i="1"/>
  <c r="M1805" i="1"/>
  <c r="L1805" i="1"/>
  <c r="K1805" i="1"/>
  <c r="J1805" i="1"/>
  <c r="I1805" i="1"/>
  <c r="H1805" i="1"/>
  <c r="G1805" i="1"/>
  <c r="F1805" i="1"/>
  <c r="Q1804" i="1"/>
  <c r="P1804" i="1"/>
  <c r="O1804" i="1"/>
  <c r="N1804" i="1"/>
  <c r="M1804" i="1"/>
  <c r="L1804" i="1"/>
  <c r="K1804" i="1"/>
  <c r="J1804" i="1"/>
  <c r="I1804" i="1"/>
  <c r="H1804" i="1"/>
  <c r="G1804" i="1"/>
  <c r="F1804" i="1"/>
  <c r="Q1802" i="1"/>
  <c r="P1802" i="1"/>
  <c r="O1802" i="1"/>
  <c r="N1802" i="1"/>
  <c r="M1802" i="1"/>
  <c r="L1802" i="1"/>
  <c r="K1802" i="1"/>
  <c r="J1802" i="1"/>
  <c r="I1802" i="1"/>
  <c r="H1802" i="1"/>
  <c r="G1802" i="1"/>
  <c r="F1802" i="1"/>
  <c r="Q1800" i="1"/>
  <c r="P1800" i="1"/>
  <c r="O1800" i="1"/>
  <c r="N1800" i="1"/>
  <c r="M1800" i="1"/>
  <c r="L1800" i="1"/>
  <c r="K1800" i="1"/>
  <c r="J1800" i="1"/>
  <c r="I1800" i="1"/>
  <c r="H1800" i="1"/>
  <c r="G1800" i="1"/>
  <c r="F1800" i="1"/>
  <c r="Q1799" i="1"/>
  <c r="P1799" i="1"/>
  <c r="O1799" i="1"/>
  <c r="N1799" i="1"/>
  <c r="M1799" i="1"/>
  <c r="L1799" i="1"/>
  <c r="K1799" i="1"/>
  <c r="J1799" i="1"/>
  <c r="I1799" i="1"/>
  <c r="H1799" i="1"/>
  <c r="G1799" i="1"/>
  <c r="F1799" i="1"/>
  <c r="Q1798" i="1"/>
  <c r="P1798" i="1"/>
  <c r="O1798" i="1"/>
  <c r="N1798" i="1"/>
  <c r="M1798" i="1"/>
  <c r="L1798" i="1"/>
  <c r="K1798" i="1"/>
  <c r="J1798" i="1"/>
  <c r="I1798" i="1"/>
  <c r="H1798" i="1"/>
  <c r="G1798" i="1"/>
  <c r="F1798" i="1"/>
  <c r="Q1797" i="1"/>
  <c r="P1797" i="1"/>
  <c r="O1797" i="1"/>
  <c r="N1797" i="1"/>
  <c r="M1797" i="1"/>
  <c r="L1797" i="1"/>
  <c r="K1797" i="1"/>
  <c r="J1797" i="1"/>
  <c r="I1797" i="1"/>
  <c r="H1797" i="1"/>
  <c r="G1797" i="1"/>
  <c r="F1797" i="1"/>
  <c r="Q1796" i="1"/>
  <c r="P1796" i="1"/>
  <c r="O1796" i="1"/>
  <c r="N1796" i="1"/>
  <c r="M1796" i="1"/>
  <c r="L1796" i="1"/>
  <c r="K1796" i="1"/>
  <c r="J1796" i="1"/>
  <c r="I1796" i="1"/>
  <c r="H1796" i="1"/>
  <c r="G1796" i="1"/>
  <c r="F1796" i="1"/>
  <c r="Q1795" i="1"/>
  <c r="P1795" i="1"/>
  <c r="O1795" i="1"/>
  <c r="N1795" i="1"/>
  <c r="M1795" i="1"/>
  <c r="L1795" i="1"/>
  <c r="K1795" i="1"/>
  <c r="J1795" i="1"/>
  <c r="I1795" i="1"/>
  <c r="H1795" i="1"/>
  <c r="G1795" i="1"/>
  <c r="F1795" i="1"/>
  <c r="Q1794" i="1"/>
  <c r="P1794" i="1"/>
  <c r="O1794" i="1"/>
  <c r="N1794" i="1"/>
  <c r="M1794" i="1"/>
  <c r="L1794" i="1"/>
  <c r="K1794" i="1"/>
  <c r="J1794" i="1"/>
  <c r="I1794" i="1"/>
  <c r="H1794" i="1"/>
  <c r="G1794" i="1"/>
  <c r="F1794" i="1"/>
  <c r="Q1792" i="1"/>
  <c r="P1792" i="1"/>
  <c r="O1792" i="1"/>
  <c r="N1792" i="1"/>
  <c r="M1792" i="1"/>
  <c r="L1792" i="1"/>
  <c r="K1792" i="1"/>
  <c r="J1792" i="1"/>
  <c r="I1792" i="1"/>
  <c r="H1792" i="1"/>
  <c r="G1792" i="1"/>
  <c r="F1792" i="1"/>
  <c r="Q1791" i="1"/>
  <c r="P1791" i="1"/>
  <c r="O1791" i="1"/>
  <c r="N1791" i="1"/>
  <c r="M1791" i="1"/>
  <c r="L1791" i="1"/>
  <c r="K1791" i="1"/>
  <c r="J1791" i="1"/>
  <c r="I1791" i="1"/>
  <c r="H1791" i="1"/>
  <c r="G1791" i="1"/>
  <c r="F1791" i="1"/>
  <c r="Q1790" i="1"/>
  <c r="P1790" i="1"/>
  <c r="O1790" i="1"/>
  <c r="N1790" i="1"/>
  <c r="M1790" i="1"/>
  <c r="L1790" i="1"/>
  <c r="K1790" i="1"/>
  <c r="J1790" i="1"/>
  <c r="I1790" i="1"/>
  <c r="H1790" i="1"/>
  <c r="G1790" i="1"/>
  <c r="F1790" i="1"/>
  <c r="Q1789" i="1"/>
  <c r="P1789" i="1"/>
  <c r="O1789" i="1"/>
  <c r="N1789" i="1"/>
  <c r="M1789" i="1"/>
  <c r="L1789" i="1"/>
  <c r="K1789" i="1"/>
  <c r="J1789" i="1"/>
  <c r="I1789" i="1"/>
  <c r="H1789" i="1"/>
  <c r="G1789" i="1"/>
  <c r="F1789" i="1"/>
  <c r="Q1788" i="1"/>
  <c r="P1788" i="1"/>
  <c r="O1788" i="1"/>
  <c r="N1788" i="1"/>
  <c r="M1788" i="1"/>
  <c r="L1788" i="1"/>
  <c r="K1788" i="1"/>
  <c r="J1788" i="1"/>
  <c r="I1788" i="1"/>
  <c r="H1788" i="1"/>
  <c r="G1788" i="1"/>
  <c r="F1788" i="1"/>
  <c r="Q1787" i="1"/>
  <c r="P1787" i="1"/>
  <c r="O1787" i="1"/>
  <c r="N1787" i="1"/>
  <c r="M1787" i="1"/>
  <c r="L1787" i="1"/>
  <c r="K1787" i="1"/>
  <c r="J1787" i="1"/>
  <c r="I1787" i="1"/>
  <c r="H1787" i="1"/>
  <c r="G1787" i="1"/>
  <c r="F1787" i="1"/>
  <c r="Q1785" i="1"/>
  <c r="P1785" i="1"/>
  <c r="O1785" i="1"/>
  <c r="N1785" i="1"/>
  <c r="M1785" i="1"/>
  <c r="L1785" i="1"/>
  <c r="K1785" i="1"/>
  <c r="J1785" i="1"/>
  <c r="I1785" i="1"/>
  <c r="H1785" i="1"/>
  <c r="G1785" i="1"/>
  <c r="F1785" i="1"/>
  <c r="Q1784" i="1"/>
  <c r="P1784" i="1"/>
  <c r="O1784" i="1"/>
  <c r="N1784" i="1"/>
  <c r="M1784" i="1"/>
  <c r="L1784" i="1"/>
  <c r="K1784" i="1"/>
  <c r="J1784" i="1"/>
  <c r="I1784" i="1"/>
  <c r="H1784" i="1"/>
  <c r="G1784" i="1"/>
  <c r="F1784" i="1"/>
  <c r="Q1783" i="1"/>
  <c r="P1783" i="1"/>
  <c r="O1783" i="1"/>
  <c r="N1783" i="1"/>
  <c r="M1783" i="1"/>
  <c r="L1783" i="1"/>
  <c r="K1783" i="1"/>
  <c r="J1783" i="1"/>
  <c r="I1783" i="1"/>
  <c r="H1783" i="1"/>
  <c r="G1783" i="1"/>
  <c r="F1783" i="1"/>
  <c r="Q1782" i="1"/>
  <c r="P1782" i="1"/>
  <c r="O1782" i="1"/>
  <c r="N1782" i="1"/>
  <c r="M1782" i="1"/>
  <c r="L1782" i="1"/>
  <c r="K1782" i="1"/>
  <c r="J1782" i="1"/>
  <c r="I1782" i="1"/>
  <c r="H1782" i="1"/>
  <c r="G1782" i="1"/>
  <c r="F1782" i="1"/>
  <c r="Q1781" i="1"/>
  <c r="P1781" i="1"/>
  <c r="O1781" i="1"/>
  <c r="N1781" i="1"/>
  <c r="M1781" i="1"/>
  <c r="L1781" i="1"/>
  <c r="K1781" i="1"/>
  <c r="J1781" i="1"/>
  <c r="I1781" i="1"/>
  <c r="H1781" i="1"/>
  <c r="G1781" i="1"/>
  <c r="F1781" i="1"/>
  <c r="Q1780" i="1"/>
  <c r="P1780" i="1"/>
  <c r="O1780" i="1"/>
  <c r="N1780" i="1"/>
  <c r="M1780" i="1"/>
  <c r="L1780" i="1"/>
  <c r="K1780" i="1"/>
  <c r="J1780" i="1"/>
  <c r="I1780" i="1"/>
  <c r="H1780" i="1"/>
  <c r="G1780" i="1"/>
  <c r="F1780" i="1"/>
  <c r="Q1779" i="1"/>
  <c r="P1779" i="1"/>
  <c r="O1779" i="1"/>
  <c r="N1779" i="1"/>
  <c r="M1779" i="1"/>
  <c r="L1779" i="1"/>
  <c r="K1779" i="1"/>
  <c r="J1779" i="1"/>
  <c r="I1779" i="1"/>
  <c r="H1779" i="1"/>
  <c r="G1779" i="1"/>
  <c r="F1779" i="1"/>
  <c r="Q1778" i="1"/>
  <c r="P1778" i="1"/>
  <c r="O1778" i="1"/>
  <c r="N1778" i="1"/>
  <c r="M1778" i="1"/>
  <c r="L1778" i="1"/>
  <c r="K1778" i="1"/>
  <c r="J1778" i="1"/>
  <c r="I1778" i="1"/>
  <c r="H1778" i="1"/>
  <c r="G1778" i="1"/>
  <c r="F1778" i="1"/>
  <c r="Q1777" i="1"/>
  <c r="P1777" i="1"/>
  <c r="O1777" i="1"/>
  <c r="N1777" i="1"/>
  <c r="M1777" i="1"/>
  <c r="L1777" i="1"/>
  <c r="K1777" i="1"/>
  <c r="J1777" i="1"/>
  <c r="I1777" i="1"/>
  <c r="H1777" i="1"/>
  <c r="G1777" i="1"/>
  <c r="F1777" i="1"/>
  <c r="Q1776" i="1"/>
  <c r="P1776" i="1"/>
  <c r="O1776" i="1"/>
  <c r="N1776" i="1"/>
  <c r="M1776" i="1"/>
  <c r="L1776" i="1"/>
  <c r="K1776" i="1"/>
  <c r="J1776" i="1"/>
  <c r="I1776" i="1"/>
  <c r="H1776" i="1"/>
  <c r="G1776" i="1"/>
  <c r="F1776" i="1"/>
  <c r="Q1775" i="1"/>
  <c r="P1775" i="1"/>
  <c r="O1775" i="1"/>
  <c r="N1775" i="1"/>
  <c r="M1775" i="1"/>
  <c r="L1775" i="1"/>
  <c r="K1775" i="1"/>
  <c r="J1775" i="1"/>
  <c r="I1775" i="1"/>
  <c r="H1775" i="1"/>
  <c r="G1775" i="1"/>
  <c r="F1775" i="1"/>
  <c r="Q1774" i="1"/>
  <c r="P1774" i="1"/>
  <c r="O1774" i="1"/>
  <c r="N1774" i="1"/>
  <c r="M1774" i="1"/>
  <c r="L1774" i="1"/>
  <c r="K1774" i="1"/>
  <c r="J1774" i="1"/>
  <c r="I1774" i="1"/>
  <c r="H1774" i="1"/>
  <c r="G1774" i="1"/>
  <c r="F1774" i="1"/>
  <c r="Q1773" i="1"/>
  <c r="P1773" i="1"/>
  <c r="O1773" i="1"/>
  <c r="N1773" i="1"/>
  <c r="M1773" i="1"/>
  <c r="L1773" i="1"/>
  <c r="K1773" i="1"/>
  <c r="J1773" i="1"/>
  <c r="I1773" i="1"/>
  <c r="H1773" i="1"/>
  <c r="G1773" i="1"/>
  <c r="F1773" i="1"/>
  <c r="Q1772" i="1"/>
  <c r="P1772" i="1"/>
  <c r="O1772" i="1"/>
  <c r="N1772" i="1"/>
  <c r="M1772" i="1"/>
  <c r="L1772" i="1"/>
  <c r="K1772" i="1"/>
  <c r="J1772" i="1"/>
  <c r="I1772" i="1"/>
  <c r="H1772" i="1"/>
  <c r="G1772" i="1"/>
  <c r="F1772" i="1"/>
  <c r="Q1771" i="1"/>
  <c r="P1771" i="1"/>
  <c r="O1771" i="1"/>
  <c r="N1771" i="1"/>
  <c r="M1771" i="1"/>
  <c r="L1771" i="1"/>
  <c r="K1771" i="1"/>
  <c r="J1771" i="1"/>
  <c r="I1771" i="1"/>
  <c r="H1771" i="1"/>
  <c r="G1771" i="1"/>
  <c r="F1771" i="1"/>
  <c r="Q1769" i="1"/>
  <c r="P1769" i="1"/>
  <c r="O1769" i="1"/>
  <c r="N1769" i="1"/>
  <c r="M1769" i="1"/>
  <c r="L1769" i="1"/>
  <c r="K1769" i="1"/>
  <c r="J1769" i="1"/>
  <c r="I1769" i="1"/>
  <c r="H1769" i="1"/>
  <c r="G1769" i="1"/>
  <c r="F1769" i="1"/>
  <c r="Q1768" i="1"/>
  <c r="P1768" i="1"/>
  <c r="O1768" i="1"/>
  <c r="N1768" i="1"/>
  <c r="M1768" i="1"/>
  <c r="L1768" i="1"/>
  <c r="K1768" i="1"/>
  <c r="J1768" i="1"/>
  <c r="I1768" i="1"/>
  <c r="H1768" i="1"/>
  <c r="G1768" i="1"/>
  <c r="F1768" i="1"/>
  <c r="Q1767" i="1"/>
  <c r="P1767" i="1"/>
  <c r="O1767" i="1"/>
  <c r="N1767" i="1"/>
  <c r="M1767" i="1"/>
  <c r="L1767" i="1"/>
  <c r="K1767" i="1"/>
  <c r="J1767" i="1"/>
  <c r="I1767" i="1"/>
  <c r="H1767" i="1"/>
  <c r="G1767" i="1"/>
  <c r="F1767" i="1"/>
  <c r="Q1765" i="1"/>
  <c r="P1765" i="1"/>
  <c r="O1765" i="1"/>
  <c r="N1765" i="1"/>
  <c r="M1765" i="1"/>
  <c r="L1765" i="1"/>
  <c r="K1765" i="1"/>
  <c r="J1765" i="1"/>
  <c r="I1765" i="1"/>
  <c r="H1765" i="1"/>
  <c r="G1765" i="1"/>
  <c r="F1765" i="1"/>
  <c r="Q1764" i="1"/>
  <c r="P1764" i="1"/>
  <c r="O1764" i="1"/>
  <c r="N1764" i="1"/>
  <c r="M1764" i="1"/>
  <c r="L1764" i="1"/>
  <c r="K1764" i="1"/>
  <c r="J1764" i="1"/>
  <c r="I1764" i="1"/>
  <c r="H1764" i="1"/>
  <c r="G1764" i="1"/>
  <c r="F1764" i="1"/>
  <c r="Q1763" i="1"/>
  <c r="P1763" i="1"/>
  <c r="O1763" i="1"/>
  <c r="N1763" i="1"/>
  <c r="M1763" i="1"/>
  <c r="L1763" i="1"/>
  <c r="K1763" i="1"/>
  <c r="J1763" i="1"/>
  <c r="I1763" i="1"/>
  <c r="H1763" i="1"/>
  <c r="G1763" i="1"/>
  <c r="F1763" i="1"/>
  <c r="Q1761" i="1"/>
  <c r="P1761" i="1"/>
  <c r="O1761" i="1"/>
  <c r="N1761" i="1"/>
  <c r="M1761" i="1"/>
  <c r="L1761" i="1"/>
  <c r="K1761" i="1"/>
  <c r="J1761" i="1"/>
  <c r="I1761" i="1"/>
  <c r="H1761" i="1"/>
  <c r="G1761" i="1"/>
  <c r="F1761" i="1"/>
  <c r="Q1693" i="1" a="1"/>
  <c r="Q1693" i="1"/>
  <c r="P1693" i="1" a="1"/>
  <c r="P1693" i="1"/>
  <c r="N1693" i="1" a="1"/>
  <c r="N1693" i="1" s="1"/>
  <c r="M1693" i="1" a="1"/>
  <c r="M1693" i="1" s="1"/>
  <c r="O1693" i="1" a="1"/>
  <c r="O1693" i="1" s="1"/>
  <c r="L1693" i="1" a="1"/>
  <c r="L1693" i="1" s="1"/>
  <c r="K1693" i="1" a="1"/>
  <c r="K1693" i="1" s="1"/>
  <c r="F1693" i="1" a="1"/>
  <c r="F1693" i="1" s="1"/>
  <c r="J1693" i="1" a="1"/>
  <c r="J1693" i="1"/>
  <c r="I1693" i="1" a="1"/>
  <c r="I1693" i="1" s="1"/>
  <c r="H1693" i="1" a="1"/>
  <c r="H1693" i="1" s="1"/>
  <c r="G1693" i="1" a="1"/>
  <c r="G1693" i="1" s="1"/>
  <c r="Q1705" i="1"/>
  <c r="P1705" i="1"/>
  <c r="O1705" i="1"/>
  <c r="N1705" i="1"/>
  <c r="M1705" i="1"/>
  <c r="L1705" i="1"/>
  <c r="K1705" i="1"/>
  <c r="J1705" i="1"/>
  <c r="Q1704" i="1"/>
  <c r="P1704" i="1"/>
  <c r="O1704" i="1"/>
  <c r="N1704" i="1"/>
  <c r="M1704" i="1"/>
  <c r="L1704" i="1"/>
  <c r="K1704" i="1"/>
  <c r="J1704" i="1"/>
  <c r="Q1703" i="1"/>
  <c r="P1703" i="1"/>
  <c r="O1703" i="1"/>
  <c r="N1703" i="1"/>
  <c r="M1703" i="1"/>
  <c r="L1703" i="1"/>
  <c r="K1703" i="1"/>
  <c r="J1703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Q1695" i="1"/>
  <c r="P1695" i="1"/>
  <c r="O1695" i="1"/>
  <c r="N1695" i="1"/>
  <c r="M1695" i="1"/>
  <c r="L1695" i="1"/>
  <c r="K1695" i="1"/>
  <c r="J1695" i="1"/>
  <c r="I1695" i="1"/>
  <c r="H1695" i="1"/>
  <c r="G1695" i="1"/>
  <c r="F1695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Q1655" i="1"/>
  <c r="P1655" i="1"/>
  <c r="O1655" i="1"/>
  <c r="N1655" i="1"/>
  <c r="M1655" i="1"/>
  <c r="L1655" i="1"/>
  <c r="K1655" i="1"/>
  <c r="J1655" i="1"/>
  <c r="I1655" i="1"/>
  <c r="H1655" i="1"/>
  <c r="G1655" i="1"/>
  <c r="F1655" i="1"/>
  <c r="G2021" i="1" a="1"/>
  <c r="G2021" i="1" s="1"/>
  <c r="Q2020" i="1" a="1"/>
  <c r="Q2020" i="1" s="1"/>
  <c r="O2020" i="1" a="1"/>
  <c r="O2020" i="1" s="1"/>
  <c r="F2021" i="1" a="1"/>
  <c r="F2021" i="1"/>
  <c r="H2020" i="1" a="1"/>
  <c r="H2020" i="1"/>
  <c r="K2021" i="1" a="1"/>
  <c r="K2021" i="1" s="1"/>
  <c r="H2021" i="1" a="1"/>
  <c r="H2021" i="1" s="1"/>
  <c r="P2020" i="1" a="1"/>
  <c r="P2020" i="1"/>
  <c r="J2020" i="1" a="1"/>
  <c r="J2020" i="1" s="1"/>
  <c r="Q2019" i="1" a="1"/>
  <c r="Q2019" i="1" s="1"/>
  <c r="M2020" i="1" a="1"/>
  <c r="M2020" i="1" s="1"/>
  <c r="F2020" i="1" a="1"/>
  <c r="F2020" i="1" s="1"/>
  <c r="N2021" i="1" a="1"/>
  <c r="N2021" i="1" s="1"/>
  <c r="O2021" i="1" a="1"/>
  <c r="O2021" i="1" s="1"/>
  <c r="L2020" i="1" a="1"/>
  <c r="L2020" i="1" s="1"/>
  <c r="J2021" i="1" a="1"/>
  <c r="J2021" i="1" s="1"/>
  <c r="L2021" i="1" a="1"/>
  <c r="L2021" i="1" s="1"/>
  <c r="I2020" i="1" a="1"/>
  <c r="I2020" i="1"/>
  <c r="N2020" i="1" a="1"/>
  <c r="N2020" i="1"/>
  <c r="K2020" i="1" a="1"/>
  <c r="K2020" i="1" s="1"/>
  <c r="N2019" i="1" a="1"/>
  <c r="N2019" i="1" s="1"/>
  <c r="P2021" i="1" a="1"/>
  <c r="P2021" i="1" s="1"/>
  <c r="Q2021" i="1" a="1"/>
  <c r="Q2021" i="1"/>
  <c r="M2021" i="1" a="1"/>
  <c r="M2021" i="1" s="1"/>
  <c r="I2021" i="1" a="1"/>
  <c r="I2021" i="1" s="1"/>
  <c r="G2020" i="1" a="1"/>
  <c r="G2020" i="1" s="1"/>
  <c r="M2019" i="1" a="1"/>
  <c r="M2019" i="1" s="1"/>
  <c r="L2019" i="1"/>
  <c r="Q2016" i="1" a="1"/>
  <c r="Q2016" i="1" s="1"/>
  <c r="G2018" i="1" a="1"/>
  <c r="G2018" i="1"/>
  <c r="G2019" i="1" s="1" a="1"/>
  <c r="G2019" i="1" s="1"/>
  <c r="P2018" i="1" a="1"/>
  <c r="P2018" i="1" s="1"/>
  <c r="P2019" i="1" s="1" a="1"/>
  <c r="P2019" i="1" s="1"/>
  <c r="Q2017" i="1" a="1"/>
  <c r="Q2017" i="1" s="1"/>
  <c r="P2016" i="1" a="1"/>
  <c r="P2016" i="1" s="1"/>
  <c r="P2017" i="1" s="1" a="1"/>
  <c r="P2017" i="1" s="1"/>
  <c r="I2018" i="1" a="1"/>
  <c r="I2018" i="1" s="1"/>
  <c r="I2019" i="1" s="1" a="1"/>
  <c r="I2019" i="1" s="1"/>
  <c r="M2018" i="1" a="1"/>
  <c r="M2018" i="1" s="1"/>
  <c r="L2018" i="1" a="1"/>
  <c r="L2018" i="1"/>
  <c r="L2019" i="1" s="1" a="1"/>
  <c r="J2018" i="1" a="1"/>
  <c r="J2018" i="1" s="1"/>
  <c r="J2019" i="1" s="1" a="1"/>
  <c r="J2019" i="1" s="1"/>
  <c r="Q2018" i="1" a="1"/>
  <c r="Q2018" i="1" s="1"/>
  <c r="N2018" i="1" a="1"/>
  <c r="N2018" i="1" s="1"/>
  <c r="O2016" i="1" a="1"/>
  <c r="O2016" i="1"/>
  <c r="N2017" i="1" a="1"/>
  <c r="N2017" i="1" s="1"/>
  <c r="H2017" i="1" a="1"/>
  <c r="H2017" i="1" s="1"/>
  <c r="O2018" i="1" a="1"/>
  <c r="O2018" i="1" s="1"/>
  <c r="O2019" i="1" s="1" a="1"/>
  <c r="O2019" i="1" s="1"/>
  <c r="H2018" i="1" a="1"/>
  <c r="H2018" i="1" s="1"/>
  <c r="H2019" i="1" s="1" a="1"/>
  <c r="H2019" i="1" s="1"/>
  <c r="F2018" i="1" a="1"/>
  <c r="F2018" i="1"/>
  <c r="F2019" i="1" s="1" a="1"/>
  <c r="F2019" i="1" s="1"/>
  <c r="O2017" i="1" a="1"/>
  <c r="O2017" i="1" s="1"/>
  <c r="J2017" i="1"/>
  <c r="K2018" i="1" a="1"/>
  <c r="K2018" i="1" s="1"/>
  <c r="K2019" i="1" s="1" a="1"/>
  <c r="K2019" i="1" s="1"/>
  <c r="Q2015" i="1" a="1"/>
  <c r="Q2015" i="1" s="1"/>
  <c r="J2016" i="1" a="1"/>
  <c r="J2016" i="1" s="1"/>
  <c r="J2017" i="1" s="1" a="1"/>
  <c r="N2016" i="1" a="1"/>
  <c r="N2016" i="1" s="1"/>
  <c r="M2016" i="1" a="1"/>
  <c r="M2016" i="1" s="1"/>
  <c r="M2017" i="1" s="1" a="1"/>
  <c r="M2017" i="1" s="1"/>
  <c r="L2016" i="1" a="1"/>
  <c r="L2016" i="1" s="1"/>
  <c r="L2017" i="1" s="1" a="1"/>
  <c r="L2017" i="1" s="1"/>
  <c r="K2016" i="1" a="1"/>
  <c r="K2016" i="1" s="1"/>
  <c r="K2017" i="1" s="1" a="1"/>
  <c r="K2017" i="1" s="1"/>
  <c r="H2016" i="1" a="1"/>
  <c r="H2016" i="1" s="1"/>
  <c r="G2016" i="1" a="1"/>
  <c r="G2016" i="1" s="1"/>
  <c r="G2017" i="1" s="1" a="1"/>
  <c r="G2017" i="1" s="1"/>
  <c r="I2016" i="1" a="1"/>
  <c r="I2016" i="1"/>
  <c r="I2017" i="1" s="1" a="1"/>
  <c r="I2017" i="1" s="1"/>
  <c r="F2016" i="1" a="1"/>
  <c r="F2016" i="1" s="1"/>
  <c r="F2017" i="1" s="1" a="1"/>
  <c r="F2017" i="1" s="1"/>
  <c r="P2011" i="1" a="1"/>
  <c r="P2011" i="1"/>
  <c r="L2015" i="1" a="1"/>
  <c r="L2015" i="1" s="1"/>
  <c r="F2013" i="1" a="1"/>
  <c r="F2013" i="1" s="1"/>
  <c r="F2014" i="1" s="1" a="1"/>
  <c r="F2014" i="1" s="1"/>
  <c r="J2015" i="1" a="1"/>
  <c r="J2015" i="1"/>
  <c r="O2013" i="1" a="1"/>
  <c r="O2013" i="1" s="1"/>
  <c r="I2015" i="1" a="1"/>
  <c r="I2015" i="1" s="1"/>
  <c r="G2015" i="1" a="1"/>
  <c r="G2015" i="1" s="1"/>
  <c r="G2013" i="1" a="1"/>
  <c r="G2013" i="1" s="1"/>
  <c r="G2014" i="1" s="1" a="1"/>
  <c r="G2014" i="1" s="1"/>
  <c r="Q2013" i="1" a="1"/>
  <c r="Q2013" i="1" s="1"/>
  <c r="I2013" i="1" a="1"/>
  <c r="I2013" i="1" s="1"/>
  <c r="I2014" i="1" s="1" a="1"/>
  <c r="I2014" i="1" s="1"/>
  <c r="J2013" i="1" a="1"/>
  <c r="J2013" i="1" s="1"/>
  <c r="J2014" i="1" s="1" a="1"/>
  <c r="J2014" i="1" s="1"/>
  <c r="H2015" i="1" a="1"/>
  <c r="H2015" i="1" s="1"/>
  <c r="Q2014" i="1" a="1"/>
  <c r="Q2014" i="1"/>
  <c r="F2015" i="1" a="1"/>
  <c r="F2015" i="1"/>
  <c r="N2013" i="1" a="1"/>
  <c r="N2013" i="1" s="1"/>
  <c r="N2014" i="1" s="1" a="1"/>
  <c r="N2014" i="1" s="1"/>
  <c r="K2013" i="1" a="1"/>
  <c r="K2013" i="1" s="1"/>
  <c r="K2014" i="1" s="1" a="1"/>
  <c r="K2014" i="1" s="1"/>
  <c r="H2013" i="1" a="1"/>
  <c r="H2013" i="1" s="1"/>
  <c r="H2014" i="1" s="1" a="1"/>
  <c r="H2014" i="1" s="1"/>
  <c r="N2011" i="1" a="1"/>
  <c r="N2011" i="1" s="1"/>
  <c r="L2013" i="1" a="1"/>
  <c r="L2013" i="1" s="1"/>
  <c r="L2014" i="1" s="1" a="1"/>
  <c r="L2014" i="1" s="1"/>
  <c r="M2011" i="1" a="1"/>
  <c r="M2011" i="1" s="1"/>
  <c r="Q2011" i="1" a="1"/>
  <c r="Q2011" i="1"/>
  <c r="O2011" i="1" a="1"/>
  <c r="O2011" i="1" s="1"/>
  <c r="M2013" i="1" a="1"/>
  <c r="M2013" i="1"/>
  <c r="M2014" i="1" s="1" a="1"/>
  <c r="M2014" i="1" s="1"/>
  <c r="L2011" i="1" a="1"/>
  <c r="L2011" i="1" s="1"/>
  <c r="P2015" i="1" a="1"/>
  <c r="P2015" i="1" s="1"/>
  <c r="O2015" i="1" a="1"/>
  <c r="O2015" i="1" s="1"/>
  <c r="P2013" i="1" a="1"/>
  <c r="P2013" i="1" s="1"/>
  <c r="P2014" i="1" s="1" a="1"/>
  <c r="P2014" i="1" s="1"/>
  <c r="K2011" i="1" a="1"/>
  <c r="K2011" i="1" s="1"/>
  <c r="N2015" i="1" a="1"/>
  <c r="N2015" i="1" s="1"/>
  <c r="O2014" i="1" a="1"/>
  <c r="O2014" i="1" s="1"/>
  <c r="M2015" i="1" a="1"/>
  <c r="M2015" i="1" s="1"/>
  <c r="K2015" i="1" a="1"/>
  <c r="K2015" i="1" s="1"/>
  <c r="H2008" i="1" a="1"/>
  <c r="H2008" i="1" s="1"/>
  <c r="H2009" i="1" s="1" a="1"/>
  <c r="H2009" i="1" s="1"/>
  <c r="J2011" i="1" a="1"/>
  <c r="J2011" i="1" s="1"/>
  <c r="H2011" i="1" a="1"/>
  <c r="H2011" i="1" s="1"/>
  <c r="G2011" i="1" a="1"/>
  <c r="G2011" i="1" s="1"/>
  <c r="F2011" i="1" a="1"/>
  <c r="F2011" i="1" s="1"/>
  <c r="Q2010" i="1" a="1"/>
  <c r="Q2010" i="1" s="1"/>
  <c r="P2010" i="1" a="1"/>
  <c r="P2010" i="1" s="1"/>
  <c r="I2008" i="1" a="1"/>
  <c r="I2008" i="1" s="1"/>
  <c r="I2009" i="1" s="1" a="1"/>
  <c r="I2009" i="1" s="1"/>
  <c r="Q2006" i="1" a="1"/>
  <c r="Q2006" i="1" s="1"/>
  <c r="Q2007" i="1" s="1" a="1"/>
  <c r="Q2007" i="1" s="1"/>
  <c r="O2008" i="1" a="1"/>
  <c r="O2008" i="1"/>
  <c r="O2009" i="1" s="1" a="1"/>
  <c r="O2009" i="1" s="1"/>
  <c r="G2010" i="1" a="1"/>
  <c r="G2010" i="1"/>
  <c r="P2006" i="1" a="1"/>
  <c r="P2006" i="1"/>
  <c r="P2007" i="1" s="1" a="1"/>
  <c r="P2007" i="1" s="1"/>
  <c r="N2010" i="1" a="1"/>
  <c r="N2010" i="1" s="1"/>
  <c r="L2010" i="1" a="1"/>
  <c r="L2010" i="1" s="1"/>
  <c r="J2010" i="1" a="1"/>
  <c r="J2010" i="1" s="1"/>
  <c r="I2010" i="1" a="1"/>
  <c r="I2010" i="1" s="1"/>
  <c r="F2010" i="1" a="1"/>
  <c r="F2010" i="1" s="1"/>
  <c r="N2009" i="1" a="1"/>
  <c r="N2009" i="1" s="1"/>
  <c r="F2009" i="1" a="1"/>
  <c r="F2009" i="1" s="1"/>
  <c r="O2006" i="1" a="1"/>
  <c r="O2006" i="1" s="1"/>
  <c r="O2007" i="1" s="1" a="1"/>
  <c r="O2007" i="1" s="1"/>
  <c r="O2010" i="1" a="1"/>
  <c r="O2010" i="1" s="1"/>
  <c r="G2008" i="1" a="1"/>
  <c r="G2008" i="1" s="1"/>
  <c r="G2009" i="1" s="1" a="1"/>
  <c r="G2009" i="1" s="1"/>
  <c r="J2009" i="1" a="1"/>
  <c r="J2009" i="1" s="1"/>
  <c r="L2008" i="1" a="1"/>
  <c r="L2008" i="1" s="1"/>
  <c r="L2009" i="1" s="1" a="1"/>
  <c r="L2009" i="1" s="1"/>
  <c r="P2008" i="1" a="1"/>
  <c r="P2008" i="1"/>
  <c r="P2009" i="1" s="1" a="1"/>
  <c r="P2009" i="1" s="1"/>
  <c r="I2007" i="1" a="1"/>
  <c r="I2007" i="1" s="1"/>
  <c r="I2011" i="1" a="1"/>
  <c r="I2011" i="1" s="1"/>
  <c r="M2010" i="1" a="1"/>
  <c r="M2010" i="1" s="1"/>
  <c r="K2010" i="1" a="1"/>
  <c r="K2010" i="1" s="1"/>
  <c r="F2008" i="1" a="1"/>
  <c r="F2008" i="1" s="1"/>
  <c r="H2010" i="1" a="1"/>
  <c r="H2010" i="1" s="1"/>
  <c r="N2008" i="1" a="1"/>
  <c r="N2008" i="1" s="1"/>
  <c r="J2008" i="1" a="1"/>
  <c r="J2008" i="1" s="1"/>
  <c r="N2006" i="1" a="1"/>
  <c r="N2006" i="1" s="1"/>
  <c r="N2007" i="1" s="1" a="1"/>
  <c r="N2007" i="1" s="1"/>
  <c r="M2008" i="1" a="1"/>
  <c r="M2008" i="1"/>
  <c r="M2009" i="1" s="1" a="1"/>
  <c r="M2009" i="1" s="1"/>
  <c r="Q2008" i="1" a="1"/>
  <c r="Q2008" i="1" s="1"/>
  <c r="Q2009" i="1" s="1" a="1"/>
  <c r="Q2009" i="1" s="1"/>
  <c r="K2008" i="1" a="1"/>
  <c r="K2008" i="1" s="1"/>
  <c r="K2009" i="1" s="1" a="1"/>
  <c r="K2009" i="1" s="1"/>
  <c r="H2005" i="1" a="1"/>
  <c r="H2005" i="1" s="1"/>
  <c r="G2003" i="1" a="1"/>
  <c r="G2003" i="1" s="1"/>
  <c r="G2004" i="1" s="1" a="1"/>
  <c r="G2004" i="1" s="1"/>
  <c r="Q2005" i="1" a="1"/>
  <c r="Q2005" i="1" s="1"/>
  <c r="P2005" i="1" a="1"/>
  <c r="P2005" i="1" s="1"/>
  <c r="L2005" i="1" a="1"/>
  <c r="L2005" i="1" s="1"/>
  <c r="H2003" i="1" a="1"/>
  <c r="H2003" i="1" s="1"/>
  <c r="H2004" i="1" s="1" a="1"/>
  <c r="H2004" i="1" s="1"/>
  <c r="N2003" i="1" a="1"/>
  <c r="N2003" i="1" s="1"/>
  <c r="I2005" i="1" a="1"/>
  <c r="I2005" i="1" s="1"/>
  <c r="J2003" i="1" a="1"/>
  <c r="J2003" i="1" s="1"/>
  <c r="J2004" i="1" s="1" a="1"/>
  <c r="J2004" i="1" s="1"/>
  <c r="G2005" i="1" a="1"/>
  <c r="G2005" i="1" s="1"/>
  <c r="P2003" i="1" a="1"/>
  <c r="P2003" i="1" s="1"/>
  <c r="P2004" i="1" s="1" a="1"/>
  <c r="P2004" i="1" s="1"/>
  <c r="M2006" i="1" a="1"/>
  <c r="M2006" i="1"/>
  <c r="M2007" i="1" s="1" a="1"/>
  <c r="M2007" i="1" s="1"/>
  <c r="H2006" i="1" a="1"/>
  <c r="H2006" i="1"/>
  <c r="H2007" i="1" s="1" a="1"/>
  <c r="H2007" i="1" s="1"/>
  <c r="J2006" i="1" a="1"/>
  <c r="J2006" i="1" s="1"/>
  <c r="J2007" i="1" s="1" a="1"/>
  <c r="J2007" i="1" s="1"/>
  <c r="G2006" i="1" a="1"/>
  <c r="G2006" i="1"/>
  <c r="G2007" i="1" s="1" a="1"/>
  <c r="G2007" i="1" s="1"/>
  <c r="L2003" i="1" a="1"/>
  <c r="L2003" i="1" s="1"/>
  <c r="L2004" i="1" s="1" a="1"/>
  <c r="L2004" i="1" s="1"/>
  <c r="K2003" i="1" a="1"/>
  <c r="K2003" i="1" s="1"/>
  <c r="K2004" i="1" s="1" a="1"/>
  <c r="K2004" i="1" s="1"/>
  <c r="O2005" i="1" a="1"/>
  <c r="O2005" i="1" s="1"/>
  <c r="L2006" i="1" a="1"/>
  <c r="L2006" i="1" s="1"/>
  <c r="L2007" i="1" s="1" a="1"/>
  <c r="L2007" i="1" s="1"/>
  <c r="N2005" i="1" a="1"/>
  <c r="N2005" i="1" s="1"/>
  <c r="K2006" i="1" a="1"/>
  <c r="K2006" i="1" s="1"/>
  <c r="K2007" i="1" s="1" a="1"/>
  <c r="K2007" i="1" s="1"/>
  <c r="I2006" i="1" a="1"/>
  <c r="I2006" i="1" s="1"/>
  <c r="F2006" i="1" a="1"/>
  <c r="F2006" i="1" s="1"/>
  <c r="F2007" i="1" s="1" a="1"/>
  <c r="F2007" i="1" s="1"/>
  <c r="K2005" i="1" a="1"/>
  <c r="K2005" i="1" s="1"/>
  <c r="F2003" i="1" a="1"/>
  <c r="F2003" i="1"/>
  <c r="F2004" i="1" s="1" a="1"/>
  <c r="F2004" i="1" s="1"/>
  <c r="O2003" i="1" a="1"/>
  <c r="O2003" i="1" s="1"/>
  <c r="O2004" i="1" s="1" a="1"/>
  <c r="O2004" i="1" s="1"/>
  <c r="M2005" i="1" a="1"/>
  <c r="M2005" i="1" s="1"/>
  <c r="Q2003" i="1" a="1"/>
  <c r="Q2003" i="1" s="1"/>
  <c r="Q2004" i="1" s="1" a="1"/>
  <c r="Q2004" i="1" s="1"/>
  <c r="Q2001" i="1" a="1"/>
  <c r="Q2001" i="1"/>
  <c r="J2005" i="1" a="1"/>
  <c r="J2005" i="1" s="1"/>
  <c r="I2004" i="1" a="1"/>
  <c r="I2004" i="1" s="1"/>
  <c r="F2005" i="1" a="1"/>
  <c r="F2005" i="1" s="1"/>
  <c r="N2004" i="1" a="1"/>
  <c r="N2004" i="1" s="1"/>
  <c r="I2003" i="1" a="1"/>
  <c r="I2003" i="1" s="1"/>
  <c r="M2003" i="1" a="1"/>
  <c r="M2003" i="1" s="1"/>
  <c r="M2004" i="1" s="1" a="1"/>
  <c r="M2004" i="1" s="1"/>
  <c r="M2001" i="1" a="1"/>
  <c r="M2001" i="1" s="1"/>
  <c r="H2000" i="1" a="1"/>
  <c r="H2000" i="1" s="1"/>
  <c r="H2001" i="1" a="1"/>
  <c r="H2001" i="1" s="1"/>
  <c r="L2001" i="1" a="1"/>
  <c r="L2001" i="1"/>
  <c r="J2001" i="1" a="1"/>
  <c r="J2001" i="1" s="1"/>
  <c r="I2001" i="1" a="1"/>
  <c r="I2001" i="1" s="1"/>
  <c r="F2001" i="1" a="1"/>
  <c r="F2001" i="1" s="1"/>
  <c r="O2000" i="1" a="1"/>
  <c r="O2000" i="1" s="1"/>
  <c r="N2000" i="1" a="1"/>
  <c r="N2000" i="1"/>
  <c r="L2000" i="1" a="1"/>
  <c r="L2000" i="1" s="1"/>
  <c r="J2000" i="1" a="1"/>
  <c r="J2000" i="1" s="1"/>
  <c r="I2000" i="1" a="1"/>
  <c r="I2000" i="1" s="1"/>
  <c r="F2000" i="1" a="1"/>
  <c r="F2000" i="1" s="1"/>
  <c r="Q2000" i="1" a="1"/>
  <c r="Q2000" i="1" s="1"/>
  <c r="K2000" i="1" a="1"/>
  <c r="K2000" i="1" s="1"/>
  <c r="P2001" i="1" a="1"/>
  <c r="P2001" i="1" s="1"/>
  <c r="O2001" i="1" a="1"/>
  <c r="O2001" i="1" s="1"/>
  <c r="G2001" i="1" a="1"/>
  <c r="G2001" i="1" s="1"/>
  <c r="P2000" i="1" a="1"/>
  <c r="P2000" i="1" s="1"/>
  <c r="M2000" i="1" a="1"/>
  <c r="M2000" i="1" s="1"/>
  <c r="K2001" i="1" a="1"/>
  <c r="K2001" i="1" s="1"/>
  <c r="G2000" i="1" a="1"/>
  <c r="G2000" i="1" s="1"/>
  <c r="N2001" i="1" a="1"/>
  <c r="N2001" i="1" s="1"/>
  <c r="Q1995" i="1" a="1"/>
  <c r="Q1995" i="1" s="1"/>
  <c r="P1995" i="1" a="1"/>
  <c r="P1995" i="1" s="1"/>
  <c r="Q1997" i="1" a="1"/>
  <c r="Q1997" i="1" s="1"/>
  <c r="P1997" i="1" a="1"/>
  <c r="P1997" i="1" s="1"/>
  <c r="M1997" i="1" a="1"/>
  <c r="M1997" i="1" s="1"/>
  <c r="L1997" i="1" a="1"/>
  <c r="L1997" i="1" s="1"/>
  <c r="J1997" i="1" a="1"/>
  <c r="J1997" i="1" s="1"/>
  <c r="G1997" i="1" a="1"/>
  <c r="G1997" i="1" s="1"/>
  <c r="J1996" i="1" a="1"/>
  <c r="J1996" i="1" s="1"/>
  <c r="F1997" i="1" a="1"/>
  <c r="F1997" i="1" s="1"/>
  <c r="Q1996" i="1" a="1"/>
  <c r="Q1996" i="1" s="1"/>
  <c r="L1995" i="1" a="1"/>
  <c r="L1995" i="1" s="1"/>
  <c r="M1996" i="1" a="1"/>
  <c r="M1996" i="1" s="1"/>
  <c r="N1995" i="1" a="1"/>
  <c r="N1995" i="1"/>
  <c r="O1996" i="1" a="1"/>
  <c r="O1996" i="1" s="1"/>
  <c r="L1996" i="1" a="1"/>
  <c r="L1996" i="1"/>
  <c r="G1996" i="1" a="1"/>
  <c r="G1996" i="1" s="1"/>
  <c r="F1999" i="1" a="1"/>
  <c r="F1999" i="1"/>
  <c r="O1999" i="1" a="1"/>
  <c r="O1999" i="1" s="1"/>
  <c r="O1997" i="1" a="1"/>
  <c r="O1997" i="1" s="1"/>
  <c r="N1999" i="1" a="1"/>
  <c r="N1999" i="1" s="1"/>
  <c r="Q1999" i="1" a="1"/>
  <c r="Q1999" i="1" s="1"/>
  <c r="J1999" i="1" a="1"/>
  <c r="J1999" i="1" s="1"/>
  <c r="M1995" i="1" a="1"/>
  <c r="M1995" i="1" s="1"/>
  <c r="K1997" i="1" a="1"/>
  <c r="K1997" i="1" s="1"/>
  <c r="O1995" i="1" a="1"/>
  <c r="O1995" i="1" s="1"/>
  <c r="F1996" i="1" a="1"/>
  <c r="F1996" i="1"/>
  <c r="K1996" i="1" a="1"/>
  <c r="K1996" i="1" s="1"/>
  <c r="H1997" i="1" a="1"/>
  <c r="H1997" i="1" s="1"/>
  <c r="H1996" i="1" a="1"/>
  <c r="H1996" i="1"/>
  <c r="P1999" i="1" a="1"/>
  <c r="P1999" i="1" s="1"/>
  <c r="M1999" i="1" a="1"/>
  <c r="M1999" i="1"/>
  <c r="I1997" i="1" a="1"/>
  <c r="I1997" i="1" s="1"/>
  <c r="I1996" i="1" a="1"/>
  <c r="I1996" i="1"/>
  <c r="L1999" i="1" a="1"/>
  <c r="L1999" i="1" s="1"/>
  <c r="Q1998" i="1" a="1"/>
  <c r="Q1998" i="1" s="1"/>
  <c r="G1998" i="1" a="1"/>
  <c r="G1998" i="1" s="1"/>
  <c r="K1999" i="1" a="1"/>
  <c r="K1999" i="1" s="1"/>
  <c r="I1999" i="1" a="1"/>
  <c r="I1999" i="1" s="1"/>
  <c r="H1999" i="1" a="1"/>
  <c r="H1999" i="1" s="1"/>
  <c r="L1998" i="1" a="1"/>
  <c r="L1998" i="1" s="1"/>
  <c r="G1999" i="1" a="1"/>
  <c r="G1999" i="1" s="1"/>
  <c r="P1998" i="1" a="1"/>
  <c r="P1998" i="1" s="1"/>
  <c r="N1996" i="1" a="1"/>
  <c r="N1996" i="1" s="1"/>
  <c r="O1998" i="1" a="1"/>
  <c r="O1998" i="1"/>
  <c r="N1997" i="1" a="1"/>
  <c r="N1997" i="1"/>
  <c r="N1998" i="1" a="1"/>
  <c r="N1998" i="1" s="1"/>
  <c r="M1998" i="1" a="1"/>
  <c r="M1998" i="1"/>
  <c r="P1996" i="1" a="1"/>
  <c r="P1996" i="1" s="1"/>
  <c r="K1998" i="1" a="1"/>
  <c r="K1998" i="1" s="1"/>
  <c r="H1998" i="1" a="1"/>
  <c r="H1998" i="1" s="1"/>
  <c r="J1998" i="1" a="1"/>
  <c r="J1998" i="1" s="1"/>
  <c r="I1998" i="1" a="1"/>
  <c r="I1998" i="1" s="1"/>
  <c r="F1998" i="1" a="1"/>
  <c r="F1998" i="1" s="1"/>
  <c r="P1992" i="1" a="1"/>
  <c r="P1992" i="1" s="1"/>
  <c r="I1995" i="1" a="1"/>
  <c r="I1995" i="1" s="1"/>
  <c r="H1995" i="1" a="1"/>
  <c r="H1995" i="1" s="1"/>
  <c r="G1995" i="1" a="1"/>
  <c r="G1995" i="1" s="1"/>
  <c r="F1995" i="1" a="1"/>
  <c r="F1995" i="1" s="1"/>
  <c r="Q1994" i="1" a="1"/>
  <c r="Q1994" i="1" s="1"/>
  <c r="O1994" i="1" a="1"/>
  <c r="O1994" i="1" s="1"/>
  <c r="K1994" i="1" a="1"/>
  <c r="K1994" i="1" s="1"/>
  <c r="J1994" i="1" a="1"/>
  <c r="J1994" i="1" s="1"/>
  <c r="I1994" i="1" a="1"/>
  <c r="I1994" i="1" s="1"/>
  <c r="K1993" i="1" a="1"/>
  <c r="K1993" i="1" s="1"/>
  <c r="Q1992" i="1" a="1"/>
  <c r="Q1992" i="1" s="1"/>
  <c r="N1994" i="1" a="1"/>
  <c r="N1994" i="1" s="1"/>
  <c r="H1994" i="1" a="1"/>
  <c r="H1994" i="1" s="1"/>
  <c r="F1994" i="1" a="1"/>
  <c r="F1994" i="1" s="1"/>
  <c r="O1993" i="1" a="1"/>
  <c r="O1993" i="1" s="1"/>
  <c r="G1991" i="1" a="1"/>
  <c r="G1991" i="1" s="1"/>
  <c r="M1992" i="1" a="1"/>
  <c r="M1992" i="1" s="1"/>
  <c r="M1993" i="1" a="1"/>
  <c r="M1993" i="1" s="1"/>
  <c r="L1993" i="1" a="1"/>
  <c r="L1993" i="1"/>
  <c r="F1993" i="1" a="1"/>
  <c r="F1993" i="1" s="1"/>
  <c r="J1992" i="1" a="1"/>
  <c r="J1992" i="1"/>
  <c r="O1990" i="1" a="1"/>
  <c r="O1990" i="1" s="1"/>
  <c r="N1992" i="1" a="1"/>
  <c r="N1992" i="1" s="1"/>
  <c r="L1992" i="1" a="1"/>
  <c r="L1992" i="1"/>
  <c r="H1992" i="1" a="1"/>
  <c r="H1992" i="1"/>
  <c r="P1991" i="1" a="1"/>
  <c r="P1991" i="1" s="1"/>
  <c r="K1991" i="1" a="1"/>
  <c r="K1991" i="1" s="1"/>
  <c r="P1990" i="1" a="1"/>
  <c r="P1990" i="1"/>
  <c r="H1991" i="1" a="1"/>
  <c r="H1991" i="1" s="1"/>
  <c r="L1994" i="1" a="1"/>
  <c r="L1994" i="1" s="1"/>
  <c r="M1994" i="1" a="1"/>
  <c r="M1994" i="1" s="1"/>
  <c r="I1993" i="1" a="1"/>
  <c r="I1993" i="1" s="1"/>
  <c r="N1990" i="1" a="1"/>
  <c r="N1990" i="1" s="1"/>
  <c r="G1994" i="1" a="1"/>
  <c r="G1994" i="1" s="1"/>
  <c r="N1993" i="1" a="1"/>
  <c r="N1993" i="1"/>
  <c r="H1993" i="1" a="1"/>
  <c r="H1993" i="1" s="1"/>
  <c r="O1991" i="1" a="1"/>
  <c r="O1991" i="1" s="1"/>
  <c r="M1991" i="1" a="1"/>
  <c r="M1991" i="1" s="1"/>
  <c r="J1991" i="1" a="1"/>
  <c r="J1991" i="1"/>
  <c r="F1992" i="1" a="1"/>
  <c r="F1992" i="1" s="1"/>
  <c r="J1993" i="1" a="1"/>
  <c r="J1993" i="1" s="1"/>
  <c r="O1992" i="1" a="1"/>
  <c r="O1992" i="1" s="1"/>
  <c r="K1992" i="1" a="1"/>
  <c r="K1992" i="1" s="1"/>
  <c r="G1993" i="1" a="1"/>
  <c r="G1993" i="1" s="1"/>
  <c r="P1994" i="1" a="1"/>
  <c r="P1994" i="1" s="1"/>
  <c r="Q1993" i="1" a="1"/>
  <c r="Q1993" i="1" s="1"/>
  <c r="P1993" i="1" a="1"/>
  <c r="P1993" i="1" s="1"/>
  <c r="I1992" i="1" a="1"/>
  <c r="I1992" i="1" s="1"/>
  <c r="Q1990" i="1" a="1"/>
  <c r="Q1990" i="1" s="1"/>
  <c r="M1990" i="1" a="1"/>
  <c r="M1990" i="1" s="1"/>
  <c r="G1992" i="1" a="1"/>
  <c r="G1992" i="1" s="1"/>
  <c r="F1991" i="1" a="1"/>
  <c r="F1991" i="1" s="1"/>
  <c r="N1991" i="1" a="1"/>
  <c r="N1991" i="1" s="1"/>
  <c r="I1991" i="1" a="1"/>
  <c r="I1991" i="1" s="1"/>
  <c r="Q1991" i="1" a="1"/>
  <c r="Q1991" i="1" s="1"/>
  <c r="L1991" i="1" a="1"/>
  <c r="L1991" i="1"/>
  <c r="K1995" i="1" a="1"/>
  <c r="K1995" i="1" s="1"/>
  <c r="J1995" i="1" a="1"/>
  <c r="J1995" i="1"/>
  <c r="I1990" i="1" a="1"/>
  <c r="I1990" i="1" s="1"/>
  <c r="H1990" i="1" a="1"/>
  <c r="H1990" i="1" s="1"/>
  <c r="Q1989" i="1" a="1"/>
  <c r="Q1989" i="1" s="1"/>
  <c r="J1986" i="1" a="1"/>
  <c r="J1986" i="1" s="1"/>
  <c r="H1986" i="1" a="1"/>
  <c r="H1986" i="1" s="1"/>
  <c r="Q1985" i="1" a="1"/>
  <c r="Q1985" i="1" s="1"/>
  <c r="P1989" i="1" a="1"/>
  <c r="P1989" i="1" s="1"/>
  <c r="O1989" i="1" a="1"/>
  <c r="O1989" i="1" s="1"/>
  <c r="N1989" i="1" a="1"/>
  <c r="N1989" i="1" s="1"/>
  <c r="I1989" i="1" a="1"/>
  <c r="I1989" i="1" s="1"/>
  <c r="L1988" i="1" a="1"/>
  <c r="L1988" i="1" s="1"/>
  <c r="K1988" i="1" a="1"/>
  <c r="K1988" i="1" s="1"/>
  <c r="J1988" i="1" a="1"/>
  <c r="J1988" i="1" s="1"/>
  <c r="O1987" i="1" a="1"/>
  <c r="O1987" i="1" s="1"/>
  <c r="M1989" i="1" a="1"/>
  <c r="M1989" i="1" s="1"/>
  <c r="L1986" i="1" a="1"/>
  <c r="L1986" i="1"/>
  <c r="H1989" i="1" a="1"/>
  <c r="H1989" i="1" s="1"/>
  <c r="H1987" i="1" a="1"/>
  <c r="H1987" i="1"/>
  <c r="O1986" i="1" a="1"/>
  <c r="O1986" i="1" s="1"/>
  <c r="N1985" i="1" a="1"/>
  <c r="N1985" i="1" s="1"/>
  <c r="I1985" i="1" a="1"/>
  <c r="I1985" i="1" s="1"/>
  <c r="Q1987" i="1" a="1"/>
  <c r="Q1987" i="1" s="1"/>
  <c r="L1989" i="1" a="1"/>
  <c r="L1989" i="1" s="1"/>
  <c r="J1985" i="1" a="1"/>
  <c r="J1985" i="1" s="1"/>
  <c r="K1989" i="1" a="1"/>
  <c r="K1989" i="1" s="1"/>
  <c r="G1989" i="1" a="1"/>
  <c r="G1989" i="1" s="1"/>
  <c r="M1987" i="1" a="1"/>
  <c r="M1987" i="1"/>
  <c r="G1986" i="1" a="1"/>
  <c r="G1986" i="1"/>
  <c r="K1987" i="1" a="1"/>
  <c r="K1987" i="1" s="1"/>
  <c r="K1985" i="1" a="1"/>
  <c r="K1985" i="1"/>
  <c r="F1989" i="1" a="1"/>
  <c r="F1989" i="1"/>
  <c r="P1988" i="1" a="1"/>
  <c r="P1988" i="1"/>
  <c r="N1988" i="1" a="1"/>
  <c r="N1988" i="1" s="1"/>
  <c r="M1988" i="1" a="1"/>
  <c r="M1988" i="1" s="1"/>
  <c r="I1988" i="1" a="1"/>
  <c r="I1988" i="1" s="1"/>
  <c r="H1988" i="1" a="1"/>
  <c r="H1988" i="1"/>
  <c r="G1988" i="1" a="1"/>
  <c r="G1988" i="1" s="1"/>
  <c r="F1988" i="1" a="1"/>
  <c r="F1988" i="1" s="1"/>
  <c r="F1987" i="1" a="1"/>
  <c r="F1987" i="1" s="1"/>
  <c r="I1986" i="1" a="1"/>
  <c r="I1986" i="1" s="1"/>
  <c r="P1987" i="1" a="1"/>
  <c r="P1987" i="1" s="1"/>
  <c r="L1987" i="1" a="1"/>
  <c r="L1987" i="1" s="1"/>
  <c r="I1987" i="1" a="1"/>
  <c r="I1987" i="1"/>
  <c r="J1987" i="1" a="1"/>
  <c r="J1987" i="1"/>
  <c r="Q1986" i="1" a="1"/>
  <c r="Q1986" i="1" s="1"/>
  <c r="O1985" i="1" a="1"/>
  <c r="O1985" i="1"/>
  <c r="K1986" i="1" a="1"/>
  <c r="K1986" i="1" s="1"/>
  <c r="L1985" i="1" a="1"/>
  <c r="L1985" i="1" s="1"/>
  <c r="N1986" i="1" a="1"/>
  <c r="N1986" i="1" s="1"/>
  <c r="P1985" i="1" a="1"/>
  <c r="P1985" i="1"/>
  <c r="M1985" i="1" a="1"/>
  <c r="M1985" i="1"/>
  <c r="G1990" i="1" a="1"/>
  <c r="G1990" i="1" s="1"/>
  <c r="F1990" i="1" a="1"/>
  <c r="F1990" i="1" s="1"/>
  <c r="L1990" i="1" a="1"/>
  <c r="L1990" i="1" s="1"/>
  <c r="K1990" i="1" a="1"/>
  <c r="K1990" i="1" s="1"/>
  <c r="J1989" i="1" a="1"/>
  <c r="J1989" i="1" s="1"/>
  <c r="O1988" i="1" a="1"/>
  <c r="O1988" i="1" s="1"/>
  <c r="N1987" i="1" a="1"/>
  <c r="N1987" i="1" s="1"/>
  <c r="G1987" i="1" a="1"/>
  <c r="G1987" i="1" s="1"/>
  <c r="F1986" i="1" a="1"/>
  <c r="F1986" i="1" s="1"/>
  <c r="Q1988" i="1" a="1"/>
  <c r="Q1988" i="1"/>
  <c r="P1986" i="1" a="1"/>
  <c r="P1986" i="1" s="1"/>
  <c r="J1990" i="1" a="1"/>
  <c r="J1990" i="1" s="1"/>
  <c r="M1986" i="1" a="1"/>
  <c r="M1986" i="1" s="1"/>
  <c r="I1982" i="1" a="1"/>
  <c r="I1982" i="1" s="1"/>
  <c r="G1985" i="1" a="1"/>
  <c r="G1985" i="1" s="1"/>
  <c r="F1981" i="1" a="1"/>
  <c r="F1981" i="1" s="1"/>
  <c r="F1985" i="1" a="1"/>
  <c r="F1985" i="1"/>
  <c r="G1983" i="1" a="1"/>
  <c r="G1983" i="1" s="1"/>
  <c r="Q1984" i="1" a="1"/>
  <c r="Q1984" i="1" s="1"/>
  <c r="O1984" i="1" a="1"/>
  <c r="O1984" i="1" s="1"/>
  <c r="K1984" i="1" a="1"/>
  <c r="K1984" i="1" s="1"/>
  <c r="G1984" i="1" a="1"/>
  <c r="G1984" i="1" s="1"/>
  <c r="M1983" i="1" a="1"/>
  <c r="M1983" i="1" s="1"/>
  <c r="F1983" i="1" a="1"/>
  <c r="F1983" i="1" s="1"/>
  <c r="I1980" i="1" a="1"/>
  <c r="I1980" i="1" s="1"/>
  <c r="O1982" i="1" a="1"/>
  <c r="O1982" i="1" s="1"/>
  <c r="J1982" i="1" a="1"/>
  <c r="J1982" i="1"/>
  <c r="H1980" i="1" a="1"/>
  <c r="H1980" i="1"/>
  <c r="J1980" i="1" a="1"/>
  <c r="J1980" i="1" s="1"/>
  <c r="O1981" i="1" a="1"/>
  <c r="O1981" i="1" s="1"/>
  <c r="M1981" i="1" a="1"/>
  <c r="M1981" i="1"/>
  <c r="Q1979" i="1" a="1"/>
  <c r="Q1979" i="1"/>
  <c r="M1980" i="1" a="1"/>
  <c r="M1980" i="1" s="1"/>
  <c r="G1980" i="1" a="1"/>
  <c r="G1980" i="1"/>
  <c r="P1982" i="1" a="1"/>
  <c r="P1982" i="1" s="1"/>
  <c r="I1984" i="1" a="1"/>
  <c r="I1984" i="1" s="1"/>
  <c r="N1981" i="1" a="1"/>
  <c r="N1981" i="1" s="1"/>
  <c r="L1981" i="1" a="1"/>
  <c r="L1981" i="1" s="1"/>
  <c r="L1983" i="1" a="1"/>
  <c r="L1983" i="1" s="1"/>
  <c r="P1981" i="1" a="1"/>
  <c r="P1981" i="1" s="1"/>
  <c r="F1980" i="1" a="1"/>
  <c r="F1980" i="1" s="1"/>
  <c r="G1982" i="1" a="1"/>
  <c r="G1982" i="1" s="1"/>
  <c r="P1984" i="1" a="1"/>
  <c r="P1984" i="1" s="1"/>
  <c r="J1981" i="1" a="1"/>
  <c r="J1981" i="1" s="1"/>
  <c r="H1981" i="1" a="1"/>
  <c r="H1981" i="1"/>
  <c r="N1984" i="1" a="1"/>
  <c r="N1984" i="1"/>
  <c r="M1984" i="1" a="1"/>
  <c r="M1984" i="1" s="1"/>
  <c r="L1984" i="1" a="1"/>
  <c r="L1984" i="1"/>
  <c r="J1984" i="1" a="1"/>
  <c r="J1984" i="1" s="1"/>
  <c r="H1984" i="1" a="1"/>
  <c r="H1984" i="1"/>
  <c r="J1983" i="1" a="1"/>
  <c r="J1983" i="1" s="1"/>
  <c r="K1982" i="1" a="1"/>
  <c r="K1982" i="1" s="1"/>
  <c r="N1980" i="1" a="1"/>
  <c r="N1980" i="1" s="1"/>
  <c r="F1984" i="1" a="1"/>
  <c r="F1984" i="1" s="1"/>
  <c r="Q1983" i="1" a="1"/>
  <c r="Q1983" i="1" s="1"/>
  <c r="P1983" i="1" a="1"/>
  <c r="P1983" i="1" s="1"/>
  <c r="N1983" i="1" a="1"/>
  <c r="N1983" i="1" s="1"/>
  <c r="K1983" i="1" a="1"/>
  <c r="K1983" i="1" s="1"/>
  <c r="M1982" i="1" a="1"/>
  <c r="M1982" i="1"/>
  <c r="H1982" i="1" a="1"/>
  <c r="H1982" i="1" s="1"/>
  <c r="F1982" i="1" a="1"/>
  <c r="F1982" i="1" s="1"/>
  <c r="I1981" i="1" a="1"/>
  <c r="I1981" i="1" s="1"/>
  <c r="G1981" i="1" a="1"/>
  <c r="G1981" i="1"/>
  <c r="P1980" i="1" a="1"/>
  <c r="P1980" i="1" s="1"/>
  <c r="O1983" i="1" a="1"/>
  <c r="O1983" i="1" s="1"/>
  <c r="I1983" i="1" a="1"/>
  <c r="I1983" i="1"/>
  <c r="Q1982" i="1" a="1"/>
  <c r="Q1982" i="1" s="1"/>
  <c r="N1982" i="1" a="1"/>
  <c r="N1982" i="1" s="1"/>
  <c r="L1982" i="1" a="1"/>
  <c r="L1982" i="1" s="1"/>
  <c r="Q1981" i="1" a="1"/>
  <c r="Q1981" i="1" s="1"/>
  <c r="L1980" i="1" a="1"/>
  <c r="L1980" i="1" s="1"/>
  <c r="K1981" i="1" a="1"/>
  <c r="K1981" i="1" s="1"/>
  <c r="O1980" i="1" a="1"/>
  <c r="O1980" i="1" s="1"/>
  <c r="Q1980" i="1" a="1"/>
  <c r="Q1980" i="1"/>
  <c r="H1983" i="1" a="1"/>
  <c r="H1983" i="1" s="1"/>
  <c r="H1985" i="1" a="1"/>
  <c r="H1985" i="1" s="1"/>
  <c r="K1980" i="1" a="1"/>
  <c r="K1980" i="1" s="1"/>
  <c r="J1977" i="1" a="1"/>
  <c r="J1977" i="1"/>
  <c r="K1975" i="1" a="1"/>
  <c r="K1975" i="1"/>
  <c r="N1974" i="1" a="1"/>
  <c r="N1974" i="1" s="1"/>
  <c r="O1979" i="1" a="1"/>
  <c r="O1979" i="1" s="1"/>
  <c r="N1979" i="1" a="1"/>
  <c r="N1979" i="1" s="1"/>
  <c r="M1979" i="1" a="1"/>
  <c r="M1979" i="1"/>
  <c r="L1979" i="1" a="1"/>
  <c r="L1979" i="1" s="1"/>
  <c r="H1976" i="1" a="1"/>
  <c r="H1976" i="1" s="1"/>
  <c r="K1979" i="1" a="1"/>
  <c r="K1979" i="1" s="1"/>
  <c r="L1975" i="1" a="1"/>
  <c r="L1975" i="1" s="1"/>
  <c r="H1977" i="1" a="1"/>
  <c r="H1977" i="1" s="1"/>
  <c r="O1976" i="1" a="1"/>
  <c r="O1976" i="1" s="1"/>
  <c r="P1977" i="1" a="1"/>
  <c r="P1977" i="1"/>
  <c r="I1979" i="1" a="1"/>
  <c r="I1979" i="1" s="1"/>
  <c r="H1979" i="1" a="1"/>
  <c r="H1979" i="1"/>
  <c r="L1974" i="1" a="1"/>
  <c r="L1974" i="1" s="1"/>
  <c r="G1979" i="1" a="1"/>
  <c r="G1979" i="1" s="1"/>
  <c r="I1976" i="1" a="1"/>
  <c r="I1976" i="1" s="1"/>
  <c r="F1979" i="1" a="1"/>
  <c r="F1979" i="1" s="1"/>
  <c r="P1976" i="1" a="1"/>
  <c r="P1976" i="1"/>
  <c r="I1977" i="1" a="1"/>
  <c r="I1977" i="1"/>
  <c r="N1977" i="1" a="1"/>
  <c r="N1977" i="1" s="1"/>
  <c r="J1975" i="1" a="1"/>
  <c r="J1975" i="1" s="1"/>
  <c r="H1975" i="1" a="1"/>
  <c r="H1975" i="1" s="1"/>
  <c r="J1974" i="1" a="1"/>
  <c r="J1974" i="1" s="1"/>
  <c r="G1975" i="1" a="1"/>
  <c r="G1975" i="1" s="1"/>
  <c r="M1974" i="1" a="1"/>
  <c r="M1974" i="1" s="1"/>
  <c r="M1976" i="1" a="1"/>
  <c r="M1976" i="1" s="1"/>
  <c r="M1977" i="1" a="1"/>
  <c r="M1977" i="1"/>
  <c r="I1975" i="1" a="1"/>
  <c r="I1975" i="1"/>
  <c r="N1976" i="1" a="1"/>
  <c r="N1976" i="1"/>
  <c r="J1976" i="1" a="1"/>
  <c r="J1976" i="1" s="1"/>
  <c r="N1975" i="1" a="1"/>
  <c r="N1975" i="1" s="1"/>
  <c r="M1975" i="1" a="1"/>
  <c r="M1975" i="1"/>
  <c r="Q1977" i="1" a="1"/>
  <c r="Q1977" i="1" s="1"/>
  <c r="K1976" i="1" a="1"/>
  <c r="K1976" i="1" s="1"/>
  <c r="Q1976" i="1" a="1"/>
  <c r="Q1976" i="1" s="1"/>
  <c r="Q1975" i="1" a="1"/>
  <c r="Q1975" i="1"/>
  <c r="L1976" i="1" a="1"/>
  <c r="L1976" i="1" s="1"/>
  <c r="G1976" i="1" a="1"/>
  <c r="G1976" i="1" s="1"/>
  <c r="P1975" i="1" a="1"/>
  <c r="P1975" i="1" s="1"/>
  <c r="O1974" i="1" a="1"/>
  <c r="O1974" i="1" s="1"/>
  <c r="I1974" i="1" a="1"/>
  <c r="I1974" i="1" s="1"/>
  <c r="P1974" i="1" a="1"/>
  <c r="P1974" i="1" s="1"/>
  <c r="O1977" i="1" a="1"/>
  <c r="O1977" i="1"/>
  <c r="L1977" i="1" a="1"/>
  <c r="L1977" i="1" s="1"/>
  <c r="K1977" i="1" a="1"/>
  <c r="K1977" i="1" s="1"/>
  <c r="F1975" i="1" a="1"/>
  <c r="F1975" i="1" s="1"/>
  <c r="O1975" i="1" a="1"/>
  <c r="O1975" i="1"/>
  <c r="G1977" i="1" a="1"/>
  <c r="G1977" i="1" s="1"/>
  <c r="F1976" i="1" a="1"/>
  <c r="F1976" i="1" s="1"/>
  <c r="K1974" i="1" a="1"/>
  <c r="K1974" i="1"/>
  <c r="J1979" i="1" a="1"/>
  <c r="J1979" i="1" s="1"/>
  <c r="P1979" i="1" a="1"/>
  <c r="P1979" i="1"/>
  <c r="Q1974" i="1" a="1"/>
  <c r="Q1974" i="1" s="1"/>
  <c r="F1977" i="1" a="1"/>
  <c r="F1977" i="1" s="1"/>
  <c r="J1972" i="1" a="1"/>
  <c r="J1972" i="1" s="1"/>
  <c r="N1970" i="1" a="1"/>
  <c r="N1970" i="1" s="1"/>
  <c r="L1973" i="1" a="1"/>
  <c r="L1973" i="1" s="1"/>
  <c r="M1969" i="1" a="1"/>
  <c r="M1969" i="1" s="1"/>
  <c r="H1974" i="1" a="1"/>
  <c r="H1974" i="1" s="1"/>
  <c r="G1974" i="1" a="1"/>
  <c r="G1974" i="1"/>
  <c r="K1972" i="1" a="1"/>
  <c r="K1972" i="1" s="1"/>
  <c r="J1971" i="1" a="1"/>
  <c r="J1971" i="1" s="1"/>
  <c r="M1970" i="1" a="1"/>
  <c r="M1970" i="1" s="1"/>
  <c r="G1969" i="1" a="1"/>
  <c r="G1969" i="1" s="1"/>
  <c r="N1971" i="1" a="1"/>
  <c r="N1971" i="1" s="1"/>
  <c r="F1974" i="1" a="1"/>
  <c r="F1974" i="1" s="1"/>
  <c r="O1971" i="1" a="1"/>
  <c r="O1971" i="1"/>
  <c r="Q1973" i="1" a="1"/>
  <c r="Q1973" i="1"/>
  <c r="G1970" i="1" a="1"/>
  <c r="G1970" i="1" s="1"/>
  <c r="P1969" i="1" a="1"/>
  <c r="P1969" i="1" s="1"/>
  <c r="P1973" i="1" a="1"/>
  <c r="P1973" i="1" s="1"/>
  <c r="F1971" i="1" a="1"/>
  <c r="F1971" i="1" s="1"/>
  <c r="K1971" i="1" a="1"/>
  <c r="K1971" i="1" s="1"/>
  <c r="O1973" i="1" a="1"/>
  <c r="O1973" i="1" s="1"/>
  <c r="F1972" i="1" a="1"/>
  <c r="F1972" i="1" s="1"/>
  <c r="M1973" i="1" a="1"/>
  <c r="M1973" i="1" s="1"/>
  <c r="J1973" i="1" a="1"/>
  <c r="J1973" i="1" s="1"/>
  <c r="G1973" i="1" a="1"/>
  <c r="G1973" i="1"/>
  <c r="F1973" i="1" a="1"/>
  <c r="F1973" i="1" s="1"/>
  <c r="J1969" i="1" a="1"/>
  <c r="J1969" i="1"/>
  <c r="P1972" i="1" a="1"/>
  <c r="P1972" i="1"/>
  <c r="H1971" i="1" a="1"/>
  <c r="H1971" i="1" s="1"/>
  <c r="L1970" i="1" a="1"/>
  <c r="L1970" i="1"/>
  <c r="O1970" i="1" a="1"/>
  <c r="O1970" i="1" s="1"/>
  <c r="J1970" i="1" a="1"/>
  <c r="J1970" i="1"/>
  <c r="K1969" i="1" a="1"/>
  <c r="K1969" i="1" s="1"/>
  <c r="N1972" i="1" a="1"/>
  <c r="N1972" i="1" s="1"/>
  <c r="N1969" i="1" a="1"/>
  <c r="N1969" i="1" s="1"/>
  <c r="L1972" i="1" a="1"/>
  <c r="L1972" i="1" s="1"/>
  <c r="O1969" i="1" a="1"/>
  <c r="O1969" i="1" s="1"/>
  <c r="I1972" i="1" a="1"/>
  <c r="I1972" i="1" s="1"/>
  <c r="P1971" i="1" a="1"/>
  <c r="P1971" i="1" s="1"/>
  <c r="L1971" i="1" a="1"/>
  <c r="L1971" i="1"/>
  <c r="H1972" i="1" a="1"/>
  <c r="H1972" i="1"/>
  <c r="P1970" i="1" a="1"/>
  <c r="P1970" i="1" s="1"/>
  <c r="I1970" i="1" a="1"/>
  <c r="I1970" i="1" s="1"/>
  <c r="M1971" i="1" a="1"/>
  <c r="M1971" i="1"/>
  <c r="I1969" i="1" a="1"/>
  <c r="I1969" i="1" s="1"/>
  <c r="Q1969" i="1" a="1"/>
  <c r="Q1969" i="1"/>
  <c r="Q1968" i="1" a="1"/>
  <c r="Q1968" i="1" s="1"/>
  <c r="G1972" i="1" a="1"/>
  <c r="G1972" i="1" s="1"/>
  <c r="H1969" i="1" a="1"/>
  <c r="H1969" i="1" s="1"/>
  <c r="F1969" i="1" a="1"/>
  <c r="F1969" i="1" s="1"/>
  <c r="G1971" i="1" a="1"/>
  <c r="G1971" i="1" s="1"/>
  <c r="N1973" i="1" a="1"/>
  <c r="N1973" i="1" s="1"/>
  <c r="K1973" i="1" a="1"/>
  <c r="K1973" i="1" s="1"/>
  <c r="I1971" i="1" a="1"/>
  <c r="I1971" i="1" s="1"/>
  <c r="Q1970" i="1" a="1"/>
  <c r="Q1970" i="1" s="1"/>
  <c r="L1969" i="1" a="1"/>
  <c r="L1969" i="1"/>
  <c r="F1970" i="1" a="1"/>
  <c r="F1970" i="1" s="1"/>
  <c r="O1972" i="1" a="1"/>
  <c r="O1972" i="1"/>
  <c r="Q1971" i="1" a="1"/>
  <c r="Q1971" i="1"/>
  <c r="H1973" i="1" a="1"/>
  <c r="H1973" i="1"/>
  <c r="Q1972" i="1" a="1"/>
  <c r="Q1972" i="1" s="1"/>
  <c r="K1970" i="1" a="1"/>
  <c r="K1970" i="1" s="1"/>
  <c r="M1972" i="1" a="1"/>
  <c r="M1972" i="1" s="1"/>
  <c r="H1970" i="1" a="1"/>
  <c r="H1970" i="1"/>
  <c r="I1973" i="1" a="1"/>
  <c r="I1973" i="1" s="1"/>
  <c r="N1965" i="1" a="1"/>
  <c r="N1965" i="1" s="1"/>
  <c r="P1966" i="1" a="1"/>
  <c r="P1966" i="1" s="1"/>
  <c r="M1967" i="1" a="1"/>
  <c r="M1967" i="1" s="1"/>
  <c r="L1968" i="1" a="1"/>
  <c r="L1968" i="1" s="1"/>
  <c r="P1967" i="1" a="1"/>
  <c r="P1967" i="1" s="1"/>
  <c r="J1966" i="1" a="1"/>
  <c r="J1966" i="1" s="1"/>
  <c r="F1968" i="1" a="1"/>
  <c r="F1968" i="1" s="1"/>
  <c r="K1965" i="1" a="1"/>
  <c r="K1965" i="1"/>
  <c r="Q1964" i="1" a="1"/>
  <c r="Q1964" i="1" s="1"/>
  <c r="L1966" i="1" a="1"/>
  <c r="L1966" i="1" s="1"/>
  <c r="K1966" i="1" a="1"/>
  <c r="K1966" i="1" s="1"/>
  <c r="G1964" i="1" a="1"/>
  <c r="G1964" i="1" s="1"/>
  <c r="F1965" i="1" a="1"/>
  <c r="F1965" i="1" s="1"/>
  <c r="N1964" i="1" a="1"/>
  <c r="N1964" i="1" s="1"/>
  <c r="K1968" i="1" a="1"/>
  <c r="K1968" i="1" s="1"/>
  <c r="J1968" i="1" a="1"/>
  <c r="J1968" i="1" s="1"/>
  <c r="G1968" i="1" a="1"/>
  <c r="G1968" i="1"/>
  <c r="N1966" i="1" a="1"/>
  <c r="N1966" i="1" s="1"/>
  <c r="K1967" i="1" a="1"/>
  <c r="K1967" i="1" s="1"/>
  <c r="Q1966" i="1" a="1"/>
  <c r="Q1966" i="1" s="1"/>
  <c r="G1966" i="1" a="1"/>
  <c r="G1966" i="1" s="1"/>
  <c r="M1966" i="1" a="1"/>
  <c r="M1966" i="1" s="1"/>
  <c r="F1967" i="1" a="1"/>
  <c r="F1967" i="1" s="1"/>
  <c r="H1968" i="1" a="1"/>
  <c r="H1968" i="1" s="1"/>
  <c r="H1966" i="1" a="1"/>
  <c r="H1966" i="1" s="1"/>
  <c r="M1965" i="1" a="1"/>
  <c r="M1965" i="1" s="1"/>
  <c r="Q1963" i="1" a="1"/>
  <c r="Q1963" i="1" s="1"/>
  <c r="L1965" i="1" a="1"/>
  <c r="L1965" i="1" s="1"/>
  <c r="H1964" i="1" a="1"/>
  <c r="H1964" i="1" s="1"/>
  <c r="J1965" i="1" a="1"/>
  <c r="J1965" i="1"/>
  <c r="P1968" i="1" a="1"/>
  <c r="P1968" i="1" s="1"/>
  <c r="Q1967" i="1" a="1"/>
  <c r="Q1967" i="1"/>
  <c r="N1967" i="1" a="1"/>
  <c r="N1967" i="1"/>
  <c r="H1965" i="1" a="1"/>
  <c r="H1965" i="1" s="1"/>
  <c r="L1967" i="1" a="1"/>
  <c r="L1967" i="1" s="1"/>
  <c r="O1965" i="1" a="1"/>
  <c r="O1965" i="1" s="1"/>
  <c r="Q1965" i="1" a="1"/>
  <c r="Q1965" i="1" s="1"/>
  <c r="I1964" i="1" a="1"/>
  <c r="I1964" i="1" s="1"/>
  <c r="M1963" i="1" a="1"/>
  <c r="M1963" i="1" s="1"/>
  <c r="O1966" i="1" a="1"/>
  <c r="O1966" i="1"/>
  <c r="K1964" i="1" a="1"/>
  <c r="K1964" i="1" s="1"/>
  <c r="F1966" i="1" a="1"/>
  <c r="F1966" i="1" s="1"/>
  <c r="L1964" i="1" a="1"/>
  <c r="L1964" i="1" s="1"/>
  <c r="P1963" i="1" a="1"/>
  <c r="P1963" i="1" s="1"/>
  <c r="N1963" i="1" a="1"/>
  <c r="N1963" i="1"/>
  <c r="G1965" i="1" a="1"/>
  <c r="G1965" i="1"/>
  <c r="F1964" i="1" a="1"/>
  <c r="F1964" i="1" s="1"/>
  <c r="I1968" i="1" a="1"/>
  <c r="I1968" i="1"/>
  <c r="M1964" i="1" a="1"/>
  <c r="M1964" i="1" s="1"/>
  <c r="O1968" i="1" a="1"/>
  <c r="O1968" i="1" s="1"/>
  <c r="I1966" i="1" a="1"/>
  <c r="I1966" i="1" s="1"/>
  <c r="N1968" i="1" a="1"/>
  <c r="N1968" i="1" s="1"/>
  <c r="I1965" i="1" a="1"/>
  <c r="I1965" i="1" s="1"/>
  <c r="O1964" i="1" a="1"/>
  <c r="O1964" i="1" s="1"/>
  <c r="O1963" i="1" a="1"/>
  <c r="O1963" i="1" s="1"/>
  <c r="O1967" i="1" a="1"/>
  <c r="O1967" i="1" s="1"/>
  <c r="M1968" i="1" a="1"/>
  <c r="M1968" i="1" s="1"/>
  <c r="J1967" i="1" a="1"/>
  <c r="J1967" i="1"/>
  <c r="J1964" i="1" a="1"/>
  <c r="J1964" i="1"/>
  <c r="I1967" i="1" a="1"/>
  <c r="I1967" i="1" s="1"/>
  <c r="H1967" i="1" a="1"/>
  <c r="H1967" i="1"/>
  <c r="G1967" i="1" a="1"/>
  <c r="G1967" i="1" s="1"/>
  <c r="P1964" i="1" a="1"/>
  <c r="P1964" i="1"/>
  <c r="P1965" i="1" a="1"/>
  <c r="P1965" i="1" s="1"/>
  <c r="P1958" i="1" a="1"/>
  <c r="P1958" i="1"/>
  <c r="Q1961" i="1" a="1"/>
  <c r="Q1961" i="1" s="1"/>
  <c r="I1959" i="1" a="1"/>
  <c r="I1959" i="1" s="1"/>
  <c r="J1963" i="1" a="1"/>
  <c r="J1963" i="1" s="1"/>
  <c r="L1960" i="1" a="1"/>
  <c r="L1960" i="1" s="1"/>
  <c r="L1963" i="1" a="1"/>
  <c r="L1963" i="1" s="1"/>
  <c r="K1962" i="1" a="1"/>
  <c r="K1962" i="1" s="1"/>
  <c r="F1963" i="1" a="1"/>
  <c r="F1963" i="1" s="1"/>
  <c r="L1958" i="1" a="1"/>
  <c r="L1958" i="1"/>
  <c r="I1962" i="1" a="1"/>
  <c r="I1962" i="1" s="1"/>
  <c r="F1960" i="1" a="1"/>
  <c r="F1960" i="1" s="1"/>
  <c r="H1962" i="1" a="1"/>
  <c r="H1962" i="1"/>
  <c r="I1961" i="1" a="1"/>
  <c r="I1961" i="1"/>
  <c r="Q1958" i="1" a="1"/>
  <c r="Q1958" i="1" s="1"/>
  <c r="K1959" i="1" a="1"/>
  <c r="K1959" i="1" s="1"/>
  <c r="N1961" i="1" a="1"/>
  <c r="N1961" i="1" s="1"/>
  <c r="H1961" i="1" a="1"/>
  <c r="H1961" i="1" s="1"/>
  <c r="Q1959" i="1" a="1"/>
  <c r="Q1959" i="1" s="1"/>
  <c r="O1958" i="1" a="1"/>
  <c r="O1958" i="1" s="1"/>
  <c r="N1958" i="1" a="1"/>
  <c r="N1958" i="1" s="1"/>
  <c r="G1961" i="1" a="1"/>
  <c r="G1961" i="1" s="1"/>
  <c r="Q1960" i="1" a="1"/>
  <c r="Q1960" i="1" s="1"/>
  <c r="F1959" i="1" a="1"/>
  <c r="F1959" i="1" s="1"/>
  <c r="J1958" i="1" a="1"/>
  <c r="J1958" i="1" s="1"/>
  <c r="I1958" i="1" a="1"/>
  <c r="I1958" i="1"/>
  <c r="H1960" i="1" a="1"/>
  <c r="H1960" i="1" s="1"/>
  <c r="P1960" i="1" a="1"/>
  <c r="P1960" i="1"/>
  <c r="M1959" i="1" a="1"/>
  <c r="M1959" i="1"/>
  <c r="O1961" i="1" a="1"/>
  <c r="O1961" i="1"/>
  <c r="J1961" i="1" a="1"/>
  <c r="J1961" i="1" s="1"/>
  <c r="Q1962" i="1" a="1"/>
  <c r="Q1962" i="1" s="1"/>
  <c r="H1959" i="1" a="1"/>
  <c r="H1959" i="1"/>
  <c r="I1963" i="1" a="1"/>
  <c r="I1963" i="1"/>
  <c r="O1960" i="1" a="1"/>
  <c r="O1960" i="1" s="1"/>
  <c r="L1959" i="1" a="1"/>
  <c r="L1959" i="1" s="1"/>
  <c r="N1959" i="1" a="1"/>
  <c r="N1959" i="1" s="1"/>
  <c r="M1958" i="1" a="1"/>
  <c r="M1958" i="1" s="1"/>
  <c r="H1963" i="1" a="1"/>
  <c r="H1963" i="1" s="1"/>
  <c r="K1958" i="1" a="1"/>
  <c r="K1958" i="1" s="1"/>
  <c r="K1963" i="1" a="1"/>
  <c r="K1963" i="1" s="1"/>
  <c r="J1962" i="1" a="1"/>
  <c r="J1962" i="1" s="1"/>
  <c r="P1959" i="1" a="1"/>
  <c r="P1959" i="1" s="1"/>
  <c r="K1961" i="1" a="1"/>
  <c r="K1961" i="1" s="1"/>
  <c r="G1962" i="1" a="1"/>
  <c r="G1962" i="1" s="1"/>
  <c r="J1959" i="1" a="1"/>
  <c r="J1959" i="1" s="1"/>
  <c r="K1960" i="1" a="1"/>
  <c r="K1960" i="1"/>
  <c r="G1963" i="1" a="1"/>
  <c r="G1963" i="1" s="1"/>
  <c r="P1962" i="1" a="1"/>
  <c r="P1962" i="1" s="1"/>
  <c r="O1962" i="1" a="1"/>
  <c r="O1962" i="1" s="1"/>
  <c r="N1962" i="1" a="1"/>
  <c r="N1962" i="1" s="1"/>
  <c r="G1959" i="1" a="1"/>
  <c r="G1959" i="1" s="1"/>
  <c r="M1960" i="1" a="1"/>
  <c r="M1960" i="1" s="1"/>
  <c r="L1961" i="1" a="1"/>
  <c r="L1961" i="1" s="1"/>
  <c r="G1960" i="1" a="1"/>
  <c r="G1960" i="1" s="1"/>
  <c r="M1962" i="1" a="1"/>
  <c r="M1962" i="1" s="1"/>
  <c r="L1962" i="1" a="1"/>
  <c r="L1962" i="1" s="1"/>
  <c r="P1961" i="1" a="1"/>
  <c r="P1961" i="1"/>
  <c r="F1961" i="1" a="1"/>
  <c r="F1961" i="1" s="1"/>
  <c r="M1961" i="1" a="1"/>
  <c r="M1961" i="1" s="1"/>
  <c r="O1959" i="1" a="1"/>
  <c r="O1959" i="1" s="1"/>
  <c r="N1960" i="1" a="1"/>
  <c r="N1960" i="1" s="1"/>
  <c r="J1960" i="1" a="1"/>
  <c r="J1960" i="1" s="1"/>
  <c r="I1960" i="1" a="1"/>
  <c r="I1960" i="1" s="1"/>
  <c r="F1962" i="1" a="1"/>
  <c r="F1962" i="1"/>
  <c r="K1952" i="1" a="1"/>
  <c r="K1952" i="1" s="1"/>
  <c r="I1955" i="1" a="1"/>
  <c r="I1955" i="1"/>
  <c r="Q1957" i="1" a="1"/>
  <c r="Q1957" i="1"/>
  <c r="J1957" i="1" a="1"/>
  <c r="J1957" i="1" s="1"/>
  <c r="O1956" i="1" a="1"/>
  <c r="O1956" i="1" s="1"/>
  <c r="L1956" i="1" a="1"/>
  <c r="L1956" i="1" s="1"/>
  <c r="L1957" i="1" a="1"/>
  <c r="L1957" i="1" s="1"/>
  <c r="H1955" i="1" a="1"/>
  <c r="H1955" i="1" s="1"/>
  <c r="H1953" i="1" a="1"/>
  <c r="H1953" i="1" s="1"/>
  <c r="H1957" i="1" a="1"/>
  <c r="H1957" i="1"/>
  <c r="G1955" i="1" a="1"/>
  <c r="G1955" i="1"/>
  <c r="H1956" i="1" a="1"/>
  <c r="H1956" i="1" s="1"/>
  <c r="J1953" i="1" a="1"/>
  <c r="J1953" i="1" s="1"/>
  <c r="F1956" i="1" a="1"/>
  <c r="F1956" i="1"/>
  <c r="F1955" i="1" a="1"/>
  <c r="F1955" i="1" s="1"/>
  <c r="L1953" i="1" a="1"/>
  <c r="L1953" i="1" s="1"/>
  <c r="I1953" i="1" a="1"/>
  <c r="I1953" i="1"/>
  <c r="N1955" i="1" a="1"/>
  <c r="N1955" i="1"/>
  <c r="J1955" i="1" a="1"/>
  <c r="J1955" i="1" s="1"/>
  <c r="O1957" i="1" a="1"/>
  <c r="O1957" i="1" s="1"/>
  <c r="N1957" i="1" a="1"/>
  <c r="N1957" i="1" s="1"/>
  <c r="Q1953" i="1" a="1"/>
  <c r="Q1953" i="1" s="1"/>
  <c r="H1958" i="1" a="1"/>
  <c r="H1958" i="1" s="1"/>
  <c r="G1958" i="1" a="1"/>
  <c r="G1958" i="1" s="1"/>
  <c r="I1956" i="1" a="1"/>
  <c r="I1956" i="1" s="1"/>
  <c r="L1955" i="1" a="1"/>
  <c r="L1955" i="1" s="1"/>
  <c r="F1958" i="1" a="1"/>
  <c r="F1958" i="1" s="1"/>
  <c r="P1957" i="1" a="1"/>
  <c r="P1957" i="1"/>
  <c r="P1956" i="1" a="1"/>
  <c r="P1956" i="1" s="1"/>
  <c r="M1955" i="1" a="1"/>
  <c r="M1955" i="1"/>
  <c r="K1956" i="1" a="1"/>
  <c r="K1956" i="1"/>
  <c r="N1953" i="1" a="1"/>
  <c r="N1953" i="1"/>
  <c r="N1952" i="1" a="1"/>
  <c r="N1952" i="1" s="1"/>
  <c r="P1952" i="1" a="1"/>
  <c r="P1952" i="1" s="1"/>
  <c r="M1957" i="1" a="1"/>
  <c r="M1957" i="1"/>
  <c r="F1953" i="1" a="1"/>
  <c r="F1953" i="1" s="1"/>
  <c r="K1957" i="1" a="1"/>
  <c r="K1957" i="1" s="1"/>
  <c r="I1957" i="1" a="1"/>
  <c r="I1957" i="1" s="1"/>
  <c r="O1952" i="1" a="1"/>
  <c r="O1952" i="1" s="1"/>
  <c r="G1957" i="1" a="1"/>
  <c r="G1957" i="1" s="1"/>
  <c r="N1956" i="1" a="1"/>
  <c r="N1956" i="1" s="1"/>
  <c r="F1957" i="1" a="1"/>
  <c r="F1957" i="1" s="1"/>
  <c r="Q1956" i="1" a="1"/>
  <c r="Q1956" i="1" s="1"/>
  <c r="M1956" i="1" a="1"/>
  <c r="M1956" i="1"/>
  <c r="P1953" i="1" a="1"/>
  <c r="P1953" i="1"/>
  <c r="M1953" i="1" a="1"/>
  <c r="M1953" i="1"/>
  <c r="G1953" i="1" a="1"/>
  <c r="G1953" i="1" s="1"/>
  <c r="Q1952" i="1" a="1"/>
  <c r="Q1952" i="1"/>
  <c r="J1956" i="1" a="1"/>
  <c r="J1956" i="1"/>
  <c r="K1955" i="1" a="1"/>
  <c r="K1955" i="1" s="1"/>
  <c r="O1955" i="1" a="1"/>
  <c r="O1955" i="1" s="1"/>
  <c r="O1953" i="1" a="1"/>
  <c r="O1953" i="1"/>
  <c r="K1953" i="1" a="1"/>
  <c r="K1953" i="1" s="1"/>
  <c r="G1956" i="1" a="1"/>
  <c r="G1956" i="1" s="1"/>
  <c r="Q1955" i="1" a="1"/>
  <c r="Q1955" i="1" s="1"/>
  <c r="I1952" i="1" a="1"/>
  <c r="I1952" i="1" s="1"/>
  <c r="J1952" i="1" a="1"/>
  <c r="J1952" i="1" s="1"/>
  <c r="P1955" i="1" a="1"/>
  <c r="P1955" i="1" s="1"/>
  <c r="M1952" i="1" a="1"/>
  <c r="M1952" i="1"/>
  <c r="L1952" i="1" a="1"/>
  <c r="L1952" i="1" s="1"/>
  <c r="F1952" i="1" a="1"/>
  <c r="F1952" i="1" s="1"/>
  <c r="O1951" i="1" a="1"/>
  <c r="O1951" i="1"/>
  <c r="I1948" i="1" a="1"/>
  <c r="I1948" i="1"/>
  <c r="O1949" i="1" a="1"/>
  <c r="O1949" i="1" s="1"/>
  <c r="I1949" i="1" a="1"/>
  <c r="I1949" i="1" s="1"/>
  <c r="N1951" i="1" a="1"/>
  <c r="N1951" i="1" s="1"/>
  <c r="N1948" i="1" a="1"/>
  <c r="N1948" i="1"/>
  <c r="J1950" i="1" a="1"/>
  <c r="J1950" i="1" s="1"/>
  <c r="M1951" i="1" a="1"/>
  <c r="M1951" i="1" s="1"/>
  <c r="F1949" i="1" a="1"/>
  <c r="F1949" i="1" s="1"/>
  <c r="K1948" i="1" a="1"/>
  <c r="K1948" i="1" s="1"/>
  <c r="J1951" i="1" a="1"/>
  <c r="J1951" i="1" s="1"/>
  <c r="I1951" i="1" a="1"/>
  <c r="I1951" i="1" s="1"/>
  <c r="H1951" i="1" a="1"/>
  <c r="H1951" i="1" s="1"/>
  <c r="Q1950" i="1" a="1"/>
  <c r="Q1950" i="1"/>
  <c r="P1950" i="1" a="1"/>
  <c r="P1950" i="1" s="1"/>
  <c r="L1949" i="1" a="1"/>
  <c r="L1949" i="1" s="1"/>
  <c r="I1950" i="1" a="1"/>
  <c r="I1950" i="1" s="1"/>
  <c r="L1948" i="1" a="1"/>
  <c r="L1948" i="1" s="1"/>
  <c r="O1948" i="1" a="1"/>
  <c r="O1948" i="1" s="1"/>
  <c r="M1949" i="1" a="1"/>
  <c r="M1949" i="1"/>
  <c r="P1947" i="1" a="1"/>
  <c r="P1947" i="1" s="1"/>
  <c r="H1949" i="1" a="1"/>
  <c r="H1949" i="1" s="1"/>
  <c r="G1950" i="1" a="1"/>
  <c r="G1950" i="1" s="1"/>
  <c r="G1949" i="1" a="1"/>
  <c r="G1949" i="1"/>
  <c r="F1950" i="1" a="1"/>
  <c r="F1950" i="1" s="1"/>
  <c r="P1948" i="1" a="1"/>
  <c r="P1948" i="1" s="1"/>
  <c r="G1948" i="1" a="1"/>
  <c r="G1948" i="1" s="1"/>
  <c r="H1950" i="1" a="1"/>
  <c r="H1950" i="1" s="1"/>
  <c r="Q1949" i="1" a="1"/>
  <c r="Q1949" i="1" s="1"/>
  <c r="J1948" i="1" a="1"/>
  <c r="J1948" i="1"/>
  <c r="O1950" i="1" a="1"/>
  <c r="O1950" i="1" s="1"/>
  <c r="L1950" i="1" a="1"/>
  <c r="L1950" i="1" s="1"/>
  <c r="Q1947" i="1" a="1"/>
  <c r="Q1947" i="1"/>
  <c r="Q1948" i="1" a="1"/>
  <c r="Q1948" i="1" s="1"/>
  <c r="F1948" i="1" a="1"/>
  <c r="F1948" i="1" s="1"/>
  <c r="K1950" i="1" a="1"/>
  <c r="K1950" i="1" s="1"/>
  <c r="H1948" i="1" a="1"/>
  <c r="H1948" i="1"/>
  <c r="H1952" i="1" a="1"/>
  <c r="H1952" i="1" s="1"/>
  <c r="G1952" i="1" a="1"/>
  <c r="G1952" i="1" s="1"/>
  <c r="N1950" i="1" a="1"/>
  <c r="N1950" i="1" s="1"/>
  <c r="Q1951" i="1" a="1"/>
  <c r="Q1951" i="1" s="1"/>
  <c r="M1948" i="1" a="1"/>
  <c r="M1948" i="1" s="1"/>
  <c r="P1951" i="1" a="1"/>
  <c r="P1951" i="1" s="1"/>
  <c r="K1951" i="1" a="1"/>
  <c r="K1951" i="1" s="1"/>
  <c r="G1951" i="1" a="1"/>
  <c r="G1951" i="1" s="1"/>
  <c r="J1949" i="1" a="1"/>
  <c r="J1949" i="1" s="1"/>
  <c r="N1949" i="1" a="1"/>
  <c r="N1949" i="1" s="1"/>
  <c r="O1947" i="1" a="1"/>
  <c r="O1947" i="1" s="1"/>
  <c r="P1949" i="1" a="1"/>
  <c r="P1949" i="1" s="1"/>
  <c r="L1951" i="1" a="1"/>
  <c r="L1951" i="1" s="1"/>
  <c r="K1949" i="1" a="1"/>
  <c r="K1949" i="1"/>
  <c r="F1951" i="1" a="1"/>
  <c r="F1951" i="1" s="1"/>
  <c r="M1950" i="1" a="1"/>
  <c r="M1950" i="1" s="1"/>
  <c r="G1945" i="1" a="1"/>
  <c r="G1945" i="1"/>
  <c r="P1946" i="1" a="1"/>
  <c r="P1946" i="1"/>
  <c r="O1946" i="1" a="1"/>
  <c r="O1946" i="1" s="1"/>
  <c r="K1946" i="1" a="1"/>
  <c r="K1946" i="1" s="1"/>
  <c r="H1944" i="1" a="1"/>
  <c r="H1944" i="1" s="1"/>
  <c r="M1946" i="1" a="1"/>
  <c r="M1946" i="1" s="1"/>
  <c r="Q1945" i="1" a="1"/>
  <c r="Q1945" i="1" s="1"/>
  <c r="H1945" i="1" a="1"/>
  <c r="H1945" i="1" s="1"/>
  <c r="K1944" i="1" a="1"/>
  <c r="K1944" i="1" s="1"/>
  <c r="O1943" i="1" a="1"/>
  <c r="O1943" i="1" s="1"/>
  <c r="L1944" i="1" a="1"/>
  <c r="L1944" i="1" s="1"/>
  <c r="L1946" i="1" a="1"/>
  <c r="L1946" i="1" s="1"/>
  <c r="P1943" i="1" a="1"/>
  <c r="P1943" i="1"/>
  <c r="Q1943" i="1" a="1"/>
  <c r="Q1943" i="1" s="1"/>
  <c r="O1945" i="1" a="1"/>
  <c r="O1945" i="1" s="1"/>
  <c r="N1945" i="1" a="1"/>
  <c r="N1945" i="1"/>
  <c r="J1945" i="1" a="1"/>
  <c r="J1945" i="1" s="1"/>
  <c r="P1944" i="1" a="1"/>
  <c r="P1944" i="1" s="1"/>
  <c r="J1946" i="1" a="1"/>
  <c r="J1946" i="1"/>
  <c r="H1946" i="1" a="1"/>
  <c r="H1946" i="1" s="1"/>
  <c r="K1945" i="1" a="1"/>
  <c r="K1945" i="1" s="1"/>
  <c r="G1946" i="1" a="1"/>
  <c r="G1946" i="1" s="1"/>
  <c r="I1944" i="1" a="1"/>
  <c r="I1944" i="1" s="1"/>
  <c r="F1944" i="1" a="1"/>
  <c r="F1944" i="1" s="1"/>
  <c r="N1947" i="1" a="1"/>
  <c r="N1947" i="1" s="1"/>
  <c r="M1947" i="1" a="1"/>
  <c r="M1947" i="1" s="1"/>
  <c r="L1947" i="1" a="1"/>
  <c r="L1947" i="1"/>
  <c r="K1947" i="1" a="1"/>
  <c r="K1947" i="1" s="1"/>
  <c r="I1946" i="1" a="1"/>
  <c r="I1946" i="1" s="1"/>
  <c r="J1947" i="1" a="1"/>
  <c r="J1947" i="1" s="1"/>
  <c r="M1944" i="1" a="1"/>
  <c r="M1944" i="1" s="1"/>
  <c r="P1945" i="1" a="1"/>
  <c r="P1945" i="1"/>
  <c r="L1945" i="1" a="1"/>
  <c r="L1945" i="1" s="1"/>
  <c r="I1947" i="1" a="1"/>
  <c r="I1947" i="1" s="1"/>
  <c r="H1947" i="1" a="1"/>
  <c r="H1947" i="1" s="1"/>
  <c r="O1944" i="1" a="1"/>
  <c r="O1944" i="1"/>
  <c r="G1947" i="1" a="1"/>
  <c r="G1947" i="1" s="1"/>
  <c r="F1947" i="1" a="1"/>
  <c r="F1947" i="1" s="1"/>
  <c r="Q1946" i="1" a="1"/>
  <c r="Q1946" i="1" s="1"/>
  <c r="N1946" i="1" a="1"/>
  <c r="N1946" i="1" s="1"/>
  <c r="G1944" i="1" a="1"/>
  <c r="G1944" i="1" s="1"/>
  <c r="F1945" i="1" a="1"/>
  <c r="F1945" i="1" s="1"/>
  <c r="F1946" i="1" a="1"/>
  <c r="F1946" i="1"/>
  <c r="M1945" i="1" a="1"/>
  <c r="M1945" i="1"/>
  <c r="Q1944" i="1" a="1"/>
  <c r="Q1944" i="1"/>
  <c r="N1944" i="1" a="1"/>
  <c r="N1944" i="1" s="1"/>
  <c r="I1945" i="1" a="1"/>
  <c r="I1945" i="1" s="1"/>
  <c r="J1944" i="1" a="1"/>
  <c r="J1944" i="1" s="1"/>
  <c r="K1940" i="1" a="1"/>
  <c r="K1940" i="1" s="1"/>
  <c r="I1940" i="1" a="1"/>
  <c r="I1940" i="1" s="1"/>
  <c r="L1941" i="1" a="1"/>
  <c r="L1941" i="1"/>
  <c r="F1942" i="1" a="1"/>
  <c r="F1942" i="1" s="1"/>
  <c r="M1941" i="1" a="1"/>
  <c r="M1941" i="1" s="1"/>
  <c r="K1939" i="1" a="1"/>
  <c r="K1939" i="1" s="1"/>
  <c r="J1940" i="1" a="1"/>
  <c r="J1940" i="1" s="1"/>
  <c r="H1941" i="1" a="1"/>
  <c r="H1941" i="1" s="1"/>
  <c r="F1941" i="1" a="1"/>
  <c r="F1941" i="1" s="1"/>
  <c r="I1942" i="1" a="1"/>
  <c r="I1942" i="1" s="1"/>
  <c r="N1941" i="1" a="1"/>
  <c r="N1941" i="1"/>
  <c r="K1941" i="1" a="1"/>
  <c r="K1941" i="1"/>
  <c r="P1939" i="1" a="1"/>
  <c r="P1939" i="1" s="1"/>
  <c r="N1939" i="1" a="1"/>
  <c r="N1939" i="1" s="1"/>
  <c r="N1943" i="1" a="1"/>
  <c r="N1943" i="1" s="1"/>
  <c r="L1943" i="1" a="1"/>
  <c r="L1943" i="1"/>
  <c r="N1942" i="1" a="1"/>
  <c r="N1942" i="1"/>
  <c r="G1943" i="1" a="1"/>
  <c r="G1943" i="1" s="1"/>
  <c r="M1943" i="1" a="1"/>
  <c r="M1943" i="1" s="1"/>
  <c r="K1943" i="1" a="1"/>
  <c r="K1943" i="1"/>
  <c r="L1940" i="1" a="1"/>
  <c r="L1940" i="1"/>
  <c r="P1942" i="1" a="1"/>
  <c r="P1942" i="1" s="1"/>
  <c r="P1940" i="1" a="1"/>
  <c r="P1940" i="1" s="1"/>
  <c r="G1940" i="1" a="1"/>
  <c r="G1940" i="1" s="1"/>
  <c r="H1940" i="1" a="1"/>
  <c r="H1940" i="1" s="1"/>
  <c r="O1941" i="1" a="1"/>
  <c r="O1941" i="1" s="1"/>
  <c r="J1943" i="1" a="1"/>
  <c r="J1943" i="1" s="1"/>
  <c r="I1943" i="1" a="1"/>
  <c r="I1943" i="1" s="1"/>
  <c r="H1943" i="1" a="1"/>
  <c r="H1943" i="1" s="1"/>
  <c r="M1942" i="1" a="1"/>
  <c r="M1942" i="1"/>
  <c r="Q1942" i="1" a="1"/>
  <c r="Q1942" i="1" s="1"/>
  <c r="F1943" i="1" a="1"/>
  <c r="F1943" i="1" s="1"/>
  <c r="O1939" i="1" a="1"/>
  <c r="O1939" i="1" s="1"/>
  <c r="O1942" i="1" a="1"/>
  <c r="O1942" i="1"/>
  <c r="Q1941" i="1" a="1"/>
  <c r="Q1941" i="1"/>
  <c r="I1941" i="1" a="1"/>
  <c r="I1941" i="1"/>
  <c r="P1941" i="1" a="1"/>
  <c r="P1941" i="1" s="1"/>
  <c r="L1942" i="1" a="1"/>
  <c r="L1942" i="1" s="1"/>
  <c r="K1942" i="1" a="1"/>
  <c r="K1942" i="1" s="1"/>
  <c r="Q1939" i="1" a="1"/>
  <c r="Q1939" i="1" s="1"/>
  <c r="J1941" i="1" a="1"/>
  <c r="J1941" i="1" s="1"/>
  <c r="F1940" i="1" a="1"/>
  <c r="F1940" i="1" s="1"/>
  <c r="L1939" i="1" a="1"/>
  <c r="L1939" i="1" s="1"/>
  <c r="G1941" i="1" a="1"/>
  <c r="G1941" i="1" s="1"/>
  <c r="H1942" i="1" a="1"/>
  <c r="H1942" i="1"/>
  <c r="M1939" i="1" a="1"/>
  <c r="M1939" i="1" s="1"/>
  <c r="O1940" i="1" a="1"/>
  <c r="O1940" i="1" s="1"/>
  <c r="G1942" i="1" a="1"/>
  <c r="G1942" i="1"/>
  <c r="N1940" i="1" a="1"/>
  <c r="N1940" i="1" s="1"/>
  <c r="M1940" i="1" a="1"/>
  <c r="M1940" i="1" s="1"/>
  <c r="J1942" i="1" a="1"/>
  <c r="J1942" i="1"/>
  <c r="Q1940" i="1" a="1"/>
  <c r="Q1940" i="1" s="1"/>
  <c r="J1936" i="1" a="1"/>
  <c r="J1936" i="1" s="1"/>
  <c r="Q1937" i="1" a="1"/>
  <c r="Q1937" i="1" s="1"/>
  <c r="Q1938" i="1" a="1"/>
  <c r="Q1938" i="1" s="1"/>
  <c r="K1935" i="1" a="1"/>
  <c r="K1935" i="1" s="1"/>
  <c r="K1937" i="1" a="1"/>
  <c r="K1937" i="1" s="1"/>
  <c r="O1936" i="1" a="1"/>
  <c r="O1936" i="1" s="1"/>
  <c r="L1935" i="1" a="1"/>
  <c r="L1935" i="1" s="1"/>
  <c r="H1939" i="1" a="1"/>
  <c r="H1939" i="1" s="1"/>
  <c r="G1939" i="1" a="1"/>
  <c r="G1939" i="1" s="1"/>
  <c r="F1939" i="1" a="1"/>
  <c r="F1939" i="1" s="1"/>
  <c r="I1938" i="1" a="1"/>
  <c r="I1938" i="1" s="1"/>
  <c r="L1937" i="1" a="1"/>
  <c r="L1937" i="1" s="1"/>
  <c r="N1935" i="1" a="1"/>
  <c r="N1935" i="1" s="1"/>
  <c r="M1936" i="1" a="1"/>
  <c r="M1936" i="1"/>
  <c r="J1939" i="1" a="1"/>
  <c r="J1939" i="1" s="1"/>
  <c r="M1935" i="1" a="1"/>
  <c r="M1935" i="1" s="1"/>
  <c r="I1939" i="1" a="1"/>
  <c r="I1939" i="1"/>
  <c r="Q1935" i="1" a="1"/>
  <c r="Q1935" i="1" s="1"/>
  <c r="Q1936" i="1" a="1"/>
  <c r="Q1936" i="1" s="1"/>
  <c r="G1938" i="1" a="1"/>
  <c r="G1938" i="1" s="1"/>
  <c r="O1935" i="1" a="1"/>
  <c r="O1935" i="1" s="1"/>
  <c r="P1938" i="1" a="1"/>
  <c r="P1938" i="1" s="1"/>
  <c r="K1936" i="1" a="1"/>
  <c r="K1936" i="1" s="1"/>
  <c r="O1938" i="1" a="1"/>
  <c r="O1938" i="1" s="1"/>
  <c r="N1938" i="1" a="1"/>
  <c r="N1938" i="1"/>
  <c r="M1938" i="1" a="1"/>
  <c r="M1938" i="1" s="1"/>
  <c r="F1938" i="1" a="1"/>
  <c r="F1938" i="1"/>
  <c r="M1937" i="1" a="1"/>
  <c r="M1937" i="1" s="1"/>
  <c r="H1936" i="1" a="1"/>
  <c r="H1936" i="1"/>
  <c r="G1936" i="1" a="1"/>
  <c r="G1936" i="1" s="1"/>
  <c r="N1936" i="1" a="1"/>
  <c r="N1936" i="1"/>
  <c r="P1935" i="1" a="1"/>
  <c r="P1935" i="1" s="1"/>
  <c r="L1938" i="1" a="1"/>
  <c r="L1938" i="1" s="1"/>
  <c r="P1936" i="1" a="1"/>
  <c r="P1936" i="1" s="1"/>
  <c r="K1938" i="1" a="1"/>
  <c r="K1938" i="1" s="1"/>
  <c r="J1938" i="1" a="1"/>
  <c r="J1938" i="1" s="1"/>
  <c r="H1937" i="1" a="1"/>
  <c r="H1937" i="1" s="1"/>
  <c r="H1938" i="1" a="1"/>
  <c r="H1938" i="1"/>
  <c r="F1937" i="1" a="1"/>
  <c r="F1937" i="1"/>
  <c r="P1937" i="1" a="1"/>
  <c r="P1937" i="1" s="1"/>
  <c r="I1937" i="1" a="1"/>
  <c r="I1937" i="1"/>
  <c r="N1937" i="1" a="1"/>
  <c r="N1937" i="1"/>
  <c r="I1936" i="1" a="1"/>
  <c r="I1936" i="1" s="1"/>
  <c r="O1937" i="1" a="1"/>
  <c r="O1937" i="1" s="1"/>
  <c r="F1936" i="1" a="1"/>
  <c r="F1936" i="1" s="1"/>
  <c r="J1937" i="1" a="1"/>
  <c r="J1937" i="1" s="1"/>
  <c r="L1936" i="1" a="1"/>
  <c r="L1936" i="1" s="1"/>
  <c r="G1937" i="1" a="1"/>
  <c r="G1937" i="1" s="1"/>
  <c r="F1932" i="1" a="1"/>
  <c r="F1932" i="1"/>
  <c r="Q1932" i="1" a="1"/>
  <c r="Q1932" i="1" s="1"/>
  <c r="L1932" i="1" a="1"/>
  <c r="L1932" i="1" s="1"/>
  <c r="N1930" i="1" a="1"/>
  <c r="N1930" i="1" s="1"/>
  <c r="G1932" i="1" a="1"/>
  <c r="G1932" i="1" s="1"/>
  <c r="G1934" i="1" a="1"/>
  <c r="G1934" i="1" s="1"/>
  <c r="F1931" i="1" a="1"/>
  <c r="F1931" i="1"/>
  <c r="F1935" i="1" a="1"/>
  <c r="F1935" i="1" s="1"/>
  <c r="M1933" i="1" a="1"/>
  <c r="M1933" i="1"/>
  <c r="J1932" i="1" a="1"/>
  <c r="J1932" i="1" s="1"/>
  <c r="K1931" i="1" a="1"/>
  <c r="K1931" i="1" s="1"/>
  <c r="P1934" i="1" a="1"/>
  <c r="P1934" i="1" s="1"/>
  <c r="P1930" i="1" a="1"/>
  <c r="P1930" i="1" s="1"/>
  <c r="J1935" i="1" a="1"/>
  <c r="J1935" i="1" s="1"/>
  <c r="I1935" i="1" a="1"/>
  <c r="I1935" i="1" s="1"/>
  <c r="P1931" i="1" a="1"/>
  <c r="P1931" i="1" s="1"/>
  <c r="Q1934" i="1" a="1"/>
  <c r="Q1934" i="1" s="1"/>
  <c r="N1934" i="1" a="1"/>
  <c r="N1934" i="1"/>
  <c r="L1931" i="1" a="1"/>
  <c r="L1931" i="1"/>
  <c r="Q1933" i="1" a="1"/>
  <c r="Q1933" i="1" s="1"/>
  <c r="J1933" i="1" a="1"/>
  <c r="J1933" i="1" s="1"/>
  <c r="H1931" i="1" a="1"/>
  <c r="H1931" i="1"/>
  <c r="J1931" i="1" a="1"/>
  <c r="J1931" i="1"/>
  <c r="N1931" i="1" a="1"/>
  <c r="N1931" i="1" s="1"/>
  <c r="O1932" i="1" a="1"/>
  <c r="O1932" i="1" s="1"/>
  <c r="H1932" i="1" a="1"/>
  <c r="H1932" i="1" s="1"/>
  <c r="F1934" i="1" a="1"/>
  <c r="F1934" i="1" s="1"/>
  <c r="L1933" i="1" a="1"/>
  <c r="L1933" i="1"/>
  <c r="I1933" i="1" a="1"/>
  <c r="I1933" i="1" s="1"/>
  <c r="M1934" i="1" a="1"/>
  <c r="M1934" i="1" s="1"/>
  <c r="L1934" i="1" a="1"/>
  <c r="L1934" i="1" s="1"/>
  <c r="N1933" i="1" a="1"/>
  <c r="N1933" i="1" s="1"/>
  <c r="I1934" i="1" a="1"/>
  <c r="I1934" i="1" s="1"/>
  <c r="M1931" i="1" a="1"/>
  <c r="M1931" i="1" s="1"/>
  <c r="P1933" i="1" a="1"/>
  <c r="P1933" i="1"/>
  <c r="N1932" i="1" a="1"/>
  <c r="N1932" i="1" s="1"/>
  <c r="F1933" i="1" a="1"/>
  <c r="F1933" i="1" s="1"/>
  <c r="Q1931" i="1" a="1"/>
  <c r="Q1931" i="1"/>
  <c r="H1934" i="1" a="1"/>
  <c r="H1934" i="1" s="1"/>
  <c r="G1931" i="1" a="1"/>
  <c r="G1931" i="1" s="1"/>
  <c r="O1933" i="1" a="1"/>
  <c r="O1933" i="1" s="1"/>
  <c r="Q1930" i="1" a="1"/>
  <c r="Q1930" i="1" s="1"/>
  <c r="K1933" i="1" a="1"/>
  <c r="K1933" i="1" s="1"/>
  <c r="M1932" i="1" a="1"/>
  <c r="M1932" i="1" s="1"/>
  <c r="I1931" i="1" a="1"/>
  <c r="I1931" i="1" s="1"/>
  <c r="I1932" i="1" a="1"/>
  <c r="I1932" i="1"/>
  <c r="H1933" i="1" a="1"/>
  <c r="H1933" i="1" s="1"/>
  <c r="P1932" i="1" a="1"/>
  <c r="P1932" i="1"/>
  <c r="M1930" i="1" a="1"/>
  <c r="M1930" i="1"/>
  <c r="O1931" i="1" a="1"/>
  <c r="O1931" i="1"/>
  <c r="G1933" i="1" a="1"/>
  <c r="G1933" i="1"/>
  <c r="O1930" i="1" a="1"/>
  <c r="O1930" i="1" s="1"/>
  <c r="H1935" i="1" a="1"/>
  <c r="H1935" i="1" s="1"/>
  <c r="O1934" i="1" a="1"/>
  <c r="O1934" i="1" s="1"/>
  <c r="K1934" i="1" a="1"/>
  <c r="K1934" i="1" s="1"/>
  <c r="G1935" i="1" a="1"/>
  <c r="G1935" i="1"/>
  <c r="J1934" i="1" a="1"/>
  <c r="J1934" i="1" s="1"/>
  <c r="K1932" i="1" a="1"/>
  <c r="K1932" i="1" s="1"/>
  <c r="I1929" i="1" a="1"/>
  <c r="I1929" i="1" s="1"/>
  <c r="L1929" i="1" a="1"/>
  <c r="L1929" i="1"/>
  <c r="F1929" i="1" a="1"/>
  <c r="F1929" i="1" s="1"/>
  <c r="P1928" i="1" a="1"/>
  <c r="P1928" i="1" s="1"/>
  <c r="I1930" i="1" a="1"/>
  <c r="I1930" i="1"/>
  <c r="Q1928" i="1" a="1"/>
  <c r="Q1928" i="1"/>
  <c r="L1930" i="1" a="1"/>
  <c r="L1930" i="1" s="1"/>
  <c r="K1930" i="1" a="1"/>
  <c r="K1930" i="1"/>
  <c r="J1930" i="1" a="1"/>
  <c r="J1930" i="1" s="1"/>
  <c r="H1930" i="1" a="1"/>
  <c r="H1930" i="1" s="1"/>
  <c r="G1930" i="1" a="1"/>
  <c r="G1930" i="1" s="1"/>
  <c r="F1930" i="1" a="1"/>
  <c r="F1930" i="1" s="1"/>
  <c r="M1929" i="1" a="1"/>
  <c r="M1929" i="1"/>
  <c r="O1928" i="1" a="1"/>
  <c r="O1928" i="1" s="1"/>
  <c r="Q1929" i="1" a="1"/>
  <c r="Q1929" i="1" s="1"/>
  <c r="P1929" i="1" a="1"/>
  <c r="P1929" i="1" s="1"/>
  <c r="J1929" i="1" a="1"/>
  <c r="J1929" i="1" s="1"/>
  <c r="G1929" i="1" a="1"/>
  <c r="G1929" i="1"/>
  <c r="O1929" i="1" a="1"/>
  <c r="O1929" i="1"/>
  <c r="N1929" i="1" a="1"/>
  <c r="N1929" i="1" s="1"/>
  <c r="K1929" i="1" a="1"/>
  <c r="K1929" i="1" s="1"/>
  <c r="H1929" i="1" a="1"/>
  <c r="H1929" i="1"/>
  <c r="G1927" i="1" a="1"/>
  <c r="G1927" i="1"/>
  <c r="Q1926" i="1" a="1"/>
  <c r="Q1926" i="1" s="1"/>
  <c r="O1925" i="1" a="1"/>
  <c r="O1925" i="1" s="1"/>
  <c r="G1926" i="1" a="1"/>
  <c r="G1926" i="1"/>
  <c r="F1926" i="1" a="1"/>
  <c r="F1926" i="1" s="1"/>
  <c r="J1928" i="1" a="1"/>
  <c r="J1928" i="1" s="1"/>
  <c r="F1928" i="1" a="1"/>
  <c r="F1928" i="1" s="1"/>
  <c r="P1925" i="1" a="1"/>
  <c r="P1925" i="1"/>
  <c r="H1928" i="1" a="1"/>
  <c r="H1928" i="1"/>
  <c r="G1928" i="1" a="1"/>
  <c r="G1928" i="1" s="1"/>
  <c r="Q1927" i="1" a="1"/>
  <c r="Q1927" i="1"/>
  <c r="O1927" i="1" a="1"/>
  <c r="O1927" i="1" s="1"/>
  <c r="K1926" i="1" a="1"/>
  <c r="K1926" i="1" s="1"/>
  <c r="L1927" i="1" a="1"/>
  <c r="L1927" i="1" s="1"/>
  <c r="I1927" i="1" a="1"/>
  <c r="I1927" i="1" s="1"/>
  <c r="J1926" i="1" a="1"/>
  <c r="J1926" i="1" s="1"/>
  <c r="N1927" i="1" a="1"/>
  <c r="N1927" i="1" s="1"/>
  <c r="H1926" i="1" a="1"/>
  <c r="H1926" i="1" s="1"/>
  <c r="N1928" i="1" a="1"/>
  <c r="N1928" i="1"/>
  <c r="M1928" i="1" a="1"/>
  <c r="M1928" i="1" s="1"/>
  <c r="F1927" i="1" a="1"/>
  <c r="F1927" i="1" s="1"/>
  <c r="I1928" i="1" a="1"/>
  <c r="I1928" i="1" s="1"/>
  <c r="I1926" i="1" a="1"/>
  <c r="I1926" i="1" s="1"/>
  <c r="H1927" i="1" a="1"/>
  <c r="H1927" i="1" s="1"/>
  <c r="N1926" i="1" a="1"/>
  <c r="N1926" i="1" s="1"/>
  <c r="Q1925" i="1" a="1"/>
  <c r="Q1925" i="1" s="1"/>
  <c r="M1927" i="1" a="1"/>
  <c r="M1927" i="1" s="1"/>
  <c r="L1928" i="1" a="1"/>
  <c r="L1928" i="1"/>
  <c r="P1927" i="1" a="1"/>
  <c r="P1927" i="1" s="1"/>
  <c r="P1926" i="1" a="1"/>
  <c r="P1926" i="1" s="1"/>
  <c r="O1926" i="1" a="1"/>
  <c r="O1926" i="1" s="1"/>
  <c r="K1928" i="1" a="1"/>
  <c r="K1928" i="1" s="1"/>
  <c r="M1926" i="1" a="1"/>
  <c r="M1926" i="1" s="1"/>
  <c r="L1926" i="1" a="1"/>
  <c r="L1926" i="1" s="1"/>
  <c r="K1927" i="1" a="1"/>
  <c r="K1927" i="1" s="1"/>
  <c r="J1927" i="1" a="1"/>
  <c r="J1927" i="1" s="1"/>
  <c r="N1923" i="1" a="1"/>
  <c r="N1923" i="1" s="1"/>
  <c r="J1925" i="1" a="1"/>
  <c r="J1925" i="1" s="1"/>
  <c r="G1924" i="1" a="1"/>
  <c r="G1924" i="1" s="1"/>
  <c r="O1923" i="1" a="1"/>
  <c r="O1923" i="1"/>
  <c r="P1921" i="1" a="1"/>
  <c r="P1921" i="1" s="1"/>
  <c r="M1922" i="1" a="1"/>
  <c r="M1922" i="1" s="1"/>
  <c r="F1922" i="1" a="1"/>
  <c r="F1922" i="1" s="1"/>
  <c r="I1923" i="1" a="1"/>
  <c r="I1923" i="1" s="1"/>
  <c r="I1925" i="1" a="1"/>
  <c r="I1925" i="1" s="1"/>
  <c r="L1923" i="1" a="1"/>
  <c r="L1923" i="1"/>
  <c r="G1925" i="1" a="1"/>
  <c r="G1925" i="1" s="1"/>
  <c r="Q1923" i="1" a="1"/>
  <c r="Q1923" i="1" s="1"/>
  <c r="F1925" i="1" a="1"/>
  <c r="F1925" i="1" s="1"/>
  <c r="P1924" i="1" a="1"/>
  <c r="P1924" i="1"/>
  <c r="K1922" i="1" a="1"/>
  <c r="K1922" i="1"/>
  <c r="O1924" i="1" a="1"/>
  <c r="O1924" i="1"/>
  <c r="Q1921" i="1" a="1"/>
  <c r="Q1921" i="1" s="1"/>
  <c r="N1924" i="1" a="1"/>
  <c r="N1924" i="1" s="1"/>
  <c r="J1924" i="1" a="1"/>
  <c r="J1924" i="1" s="1"/>
  <c r="I1924" i="1" a="1"/>
  <c r="I1924" i="1" s="1"/>
  <c r="P1923" i="1" a="1"/>
  <c r="P1923" i="1"/>
  <c r="F1924" i="1" a="1"/>
  <c r="F1924" i="1" s="1"/>
  <c r="K1923" i="1" a="1"/>
  <c r="K1923" i="1" s="1"/>
  <c r="G1923" i="1" a="1"/>
  <c r="G1923" i="1"/>
  <c r="F1923" i="1" a="1"/>
  <c r="F1923" i="1" s="1"/>
  <c r="N1922" i="1" a="1"/>
  <c r="N1922" i="1" s="1"/>
  <c r="L1922" i="1" a="1"/>
  <c r="L1922" i="1" s="1"/>
  <c r="I1922" i="1" a="1"/>
  <c r="I1922" i="1" s="1"/>
  <c r="M1921" i="1" a="1"/>
  <c r="M1921" i="1"/>
  <c r="O1921" i="1" a="1"/>
  <c r="O1921" i="1"/>
  <c r="M1924" i="1" a="1"/>
  <c r="M1924" i="1"/>
  <c r="J1922" i="1" a="1"/>
  <c r="J1922" i="1" s="1"/>
  <c r="N1925" i="1" a="1"/>
  <c r="N1925" i="1"/>
  <c r="H1922" i="1" a="1"/>
  <c r="H1922" i="1" s="1"/>
  <c r="J1923" i="1" a="1"/>
  <c r="J1923" i="1" s="1"/>
  <c r="O1922" i="1" a="1"/>
  <c r="O1922" i="1" s="1"/>
  <c r="M1925" i="1" a="1"/>
  <c r="M1925" i="1" s="1"/>
  <c r="M1923" i="1" a="1"/>
  <c r="M1923" i="1" s="1"/>
  <c r="L1925" i="1" a="1"/>
  <c r="L1925" i="1" s="1"/>
  <c r="K1925" i="1" a="1"/>
  <c r="K1925" i="1" s="1"/>
  <c r="Q1924" i="1" a="1"/>
  <c r="Q1924" i="1" s="1"/>
  <c r="L1924" i="1" a="1"/>
  <c r="L1924" i="1"/>
  <c r="Q1922" i="1" a="1"/>
  <c r="Q1922" i="1"/>
  <c r="P1922" i="1" a="1"/>
  <c r="P1922" i="1"/>
  <c r="L1921" i="1" a="1"/>
  <c r="L1921" i="1" s="1"/>
  <c r="K1924" i="1" a="1"/>
  <c r="K1924" i="1"/>
  <c r="H1924" i="1" a="1"/>
  <c r="H1924" i="1"/>
  <c r="N1921" i="1" a="1"/>
  <c r="N1921" i="1" s="1"/>
  <c r="G1922" i="1" a="1"/>
  <c r="G1922" i="1" s="1"/>
  <c r="H1923" i="1" a="1"/>
  <c r="H1923" i="1" s="1"/>
  <c r="H1925" i="1" a="1"/>
  <c r="H1925" i="1" s="1"/>
  <c r="J2124" i="1" a="1"/>
  <c r="J2124" i="1" s="1"/>
  <c r="I2124" i="1" a="1"/>
  <c r="I2124" i="1" s="1"/>
  <c r="I2125" i="1" a="1"/>
  <c r="I2125" i="1" s="1"/>
  <c r="H2125" i="1" a="1"/>
  <c r="H2125" i="1" s="1"/>
  <c r="Q2124" i="1" a="1"/>
  <c r="Q2124" i="1" s="1"/>
  <c r="P2124" i="1" a="1"/>
  <c r="P2124" i="1" s="1"/>
  <c r="O2124" i="1" a="1"/>
  <c r="O2124" i="1"/>
  <c r="H2123" i="1" a="1"/>
  <c r="H2123" i="1" s="1"/>
  <c r="K2122" i="1" a="1"/>
  <c r="K2122" i="1" s="1"/>
  <c r="F2124" i="1" a="1"/>
  <c r="F2124" i="1"/>
  <c r="Q2123" i="1" a="1"/>
  <c r="Q2123" i="1" s="1"/>
  <c r="L2123" i="1" a="1"/>
  <c r="L2123" i="1"/>
  <c r="M2124" i="1" a="1"/>
  <c r="M2124" i="1" s="1"/>
  <c r="K2124" i="1" a="1"/>
  <c r="K2124" i="1" s="1"/>
  <c r="M2122" i="1" a="1"/>
  <c r="M2122" i="1" s="1"/>
  <c r="P2123" i="1" a="1"/>
  <c r="P2123" i="1"/>
  <c r="P2122" i="1" a="1"/>
  <c r="P2122" i="1" s="1"/>
  <c r="G2123" i="1" a="1"/>
  <c r="G2123" i="1" s="1"/>
  <c r="N2122" i="1" a="1"/>
  <c r="N2122" i="1"/>
  <c r="L2124" i="1" a="1"/>
  <c r="L2124" i="1" s="1"/>
  <c r="H2124" i="1" a="1"/>
  <c r="H2124" i="1" s="1"/>
  <c r="G2124" i="1" a="1"/>
  <c r="G2124" i="1" s="1"/>
  <c r="N2123" i="1" a="1"/>
  <c r="N2123" i="1" s="1"/>
  <c r="F2123" i="1" a="1"/>
  <c r="F2123" i="1"/>
  <c r="M2123" i="1" a="1"/>
  <c r="M2123" i="1"/>
  <c r="J2123" i="1" a="1"/>
  <c r="J2123" i="1" s="1"/>
  <c r="Q2122" i="1" a="1"/>
  <c r="Q2122" i="1"/>
  <c r="K2123" i="1" a="1"/>
  <c r="K2123" i="1" s="1"/>
  <c r="G2125" i="1" a="1"/>
  <c r="G2125" i="1" s="1"/>
  <c r="F2125" i="1" a="1"/>
  <c r="F2125" i="1"/>
  <c r="L2122" i="1" a="1"/>
  <c r="L2122" i="1"/>
  <c r="N2124" i="1" a="1"/>
  <c r="N2124" i="1"/>
  <c r="O2123" i="1" a="1"/>
  <c r="O2123" i="1"/>
  <c r="I2123" i="1" a="1"/>
  <c r="I2123" i="1"/>
  <c r="O2122" i="1" a="1"/>
  <c r="O2122" i="1" s="1"/>
  <c r="L2121" i="1" a="1"/>
  <c r="L2121" i="1"/>
  <c r="O2121" i="1" a="1"/>
  <c r="O2121" i="1"/>
  <c r="Q2120" i="1" a="1"/>
  <c r="Q2120" i="1" s="1"/>
  <c r="H2122" i="1" a="1"/>
  <c r="H2122" i="1" s="1"/>
  <c r="P2121" i="1" a="1"/>
  <c r="P2121" i="1" s="1"/>
  <c r="G2122" i="1" a="1"/>
  <c r="G2122" i="1"/>
  <c r="F2122" i="1" a="1"/>
  <c r="F2122" i="1" s="1"/>
  <c r="J2121" i="1" a="1"/>
  <c r="J2121" i="1"/>
  <c r="Q2121" i="1" a="1"/>
  <c r="Q2121" i="1"/>
  <c r="M2121" i="1" a="1"/>
  <c r="M2121" i="1" s="1"/>
  <c r="F2121" i="1" a="1"/>
  <c r="F2121" i="1"/>
  <c r="K2121" i="1" a="1"/>
  <c r="K2121" i="1"/>
  <c r="N2121" i="1" a="1"/>
  <c r="N2121" i="1"/>
  <c r="G2121" i="1" a="1"/>
  <c r="G2121" i="1" s="1"/>
  <c r="I2121" i="1" a="1"/>
  <c r="I2121" i="1" s="1"/>
  <c r="J2122" i="1" a="1"/>
  <c r="J2122" i="1"/>
  <c r="H2121" i="1" a="1"/>
  <c r="H2121" i="1"/>
  <c r="I2122" i="1" a="1"/>
  <c r="I2122" i="1" s="1"/>
  <c r="J2120" i="1" a="1"/>
  <c r="J2120" i="1" s="1"/>
  <c r="O2120" i="1" a="1"/>
  <c r="O2120" i="1" s="1"/>
  <c r="N2120" i="1" a="1"/>
  <c r="N2120" i="1"/>
  <c r="M2120" i="1" a="1"/>
  <c r="M2120" i="1" s="1"/>
  <c r="L2120" i="1" a="1"/>
  <c r="L2120" i="1" s="1"/>
  <c r="K2120" i="1" a="1"/>
  <c r="K2120" i="1"/>
  <c r="I2120" i="1" a="1"/>
  <c r="I2120" i="1" s="1"/>
  <c r="O2117" i="1" a="1"/>
  <c r="O2117" i="1" s="1"/>
  <c r="H2120" i="1" a="1"/>
  <c r="H2120" i="1"/>
  <c r="G2120" i="1" a="1"/>
  <c r="G2120" i="1" s="1"/>
  <c r="F2120" i="1" a="1"/>
  <c r="F2120" i="1"/>
  <c r="Q2119" i="1" a="1"/>
  <c r="Q2119" i="1"/>
  <c r="P2119" i="1" a="1"/>
  <c r="P2119" i="1" s="1"/>
  <c r="O2119" i="1" a="1"/>
  <c r="O2119" i="1" s="1"/>
  <c r="N2119" i="1" a="1"/>
  <c r="N2119" i="1" s="1"/>
  <c r="J2119" i="1" a="1"/>
  <c r="J2119" i="1" s="1"/>
  <c r="N2117" i="1" a="1"/>
  <c r="N2117" i="1"/>
  <c r="I2119" i="1" a="1"/>
  <c r="I2119" i="1" s="1"/>
  <c r="P2118" i="1" a="1"/>
  <c r="P2118" i="1"/>
  <c r="O2118" i="1" a="1"/>
  <c r="O2118" i="1"/>
  <c r="I2118" i="1" a="1"/>
  <c r="I2118" i="1"/>
  <c r="G2118" i="1" a="1"/>
  <c r="G2118" i="1" s="1"/>
  <c r="M2117" i="1" a="1"/>
  <c r="M2117" i="1" s="1"/>
  <c r="Q2117" i="1" a="1"/>
  <c r="Q2117" i="1" s="1"/>
  <c r="K2117" i="1" a="1"/>
  <c r="K2117" i="1" s="1"/>
  <c r="J2117" i="1" a="1"/>
  <c r="J2117" i="1"/>
  <c r="G2117" i="1" a="1"/>
  <c r="G2117" i="1"/>
  <c r="M2119" i="1" a="1"/>
  <c r="M2119" i="1" s="1"/>
  <c r="L2119" i="1" a="1"/>
  <c r="L2119" i="1"/>
  <c r="F2119" i="1" a="1"/>
  <c r="F2119" i="1" s="1"/>
  <c r="Q2118" i="1" a="1"/>
  <c r="Q2118" i="1" s="1"/>
  <c r="L2117" i="1" a="1"/>
  <c r="L2117" i="1"/>
  <c r="L2118" i="1" a="1"/>
  <c r="L2118" i="1" s="1"/>
  <c r="N2118" i="1" a="1"/>
  <c r="N2118" i="1" s="1"/>
  <c r="I2117" i="1" a="1"/>
  <c r="I2117" i="1" s="1"/>
  <c r="K2119" i="1" a="1"/>
  <c r="K2119" i="1" s="1"/>
  <c r="H2119" i="1" a="1"/>
  <c r="H2119" i="1"/>
  <c r="G2119" i="1" a="1"/>
  <c r="G2119" i="1" s="1"/>
  <c r="M2118" i="1" a="1"/>
  <c r="M2118" i="1"/>
  <c r="K2118" i="1" a="1"/>
  <c r="K2118" i="1"/>
  <c r="H2118" i="1" a="1"/>
  <c r="H2118" i="1" s="1"/>
  <c r="F2118" i="1" a="1"/>
  <c r="F2118" i="1" s="1"/>
  <c r="J2118" i="1" a="1"/>
  <c r="J2118" i="1"/>
  <c r="P2117" i="1" a="1"/>
  <c r="P2117" i="1" s="1"/>
  <c r="H2117" i="1" a="1"/>
  <c r="H2117" i="1" s="1"/>
  <c r="P2120" i="1" a="1"/>
  <c r="P2120" i="1"/>
  <c r="F2117" i="1" a="1"/>
  <c r="F2117" i="1" s="1"/>
  <c r="F2116" i="1" a="1"/>
  <c r="F2116" i="1"/>
  <c r="Q2116" i="1" a="1"/>
  <c r="Q2116" i="1"/>
  <c r="I2116" i="1" a="1"/>
  <c r="I2116" i="1"/>
  <c r="O2116" i="1" a="1"/>
  <c r="O2116" i="1" s="1"/>
  <c r="M2116" i="1" a="1"/>
  <c r="M2116" i="1" s="1"/>
  <c r="L2116" i="1" a="1"/>
  <c r="L2116" i="1"/>
  <c r="Q2115" i="1" a="1"/>
  <c r="Q2115" i="1" s="1"/>
  <c r="J2116" i="1" a="1"/>
  <c r="J2116" i="1" s="1"/>
  <c r="G2116" i="1" a="1"/>
  <c r="G2116" i="1" s="1"/>
  <c r="H2116" i="1" a="1"/>
  <c r="H2116" i="1" s="1"/>
  <c r="P2116" i="1" a="1"/>
  <c r="P2116" i="1" s="1"/>
  <c r="N2116" i="1" a="1"/>
  <c r="N2116" i="1" s="1"/>
  <c r="K2116" i="1" a="1"/>
  <c r="K2116" i="1" s="1"/>
  <c r="P2115" i="1" a="1"/>
  <c r="P2115" i="1"/>
  <c r="N2115" i="1" a="1"/>
  <c r="N2115" i="1" s="1"/>
  <c r="L2115" i="1" a="1"/>
  <c r="L2115" i="1" s="1"/>
  <c r="M2115" i="1" a="1"/>
  <c r="M2115" i="1"/>
  <c r="O2115" i="1" a="1"/>
  <c r="O2115" i="1"/>
  <c r="K2115" i="1" a="1"/>
  <c r="K2115" i="1" s="1"/>
  <c r="H2115" i="1" a="1"/>
  <c r="H2115" i="1" s="1"/>
  <c r="F2115" i="1" a="1"/>
  <c r="F2115" i="1" s="1"/>
  <c r="J2115" i="1" a="1"/>
  <c r="J2115" i="1" s="1"/>
  <c r="I2115" i="1" a="1"/>
  <c r="I2115" i="1" s="1"/>
  <c r="G2115" i="1" a="1"/>
  <c r="G2115" i="1" s="1"/>
  <c r="N1613" i="1" a="1"/>
  <c r="N1613" i="1"/>
  <c r="K1613" i="1" a="1"/>
  <c r="K1613" i="1" s="1"/>
  <c r="H1613" i="1" a="1"/>
  <c r="H1613" i="1" s="1"/>
  <c r="G1613" i="1" a="1"/>
  <c r="G1613" i="1"/>
  <c r="P1613" i="1" a="1"/>
  <c r="P1613" i="1" s="1"/>
  <c r="I1613" i="1" a="1"/>
  <c r="I1613" i="1"/>
  <c r="Q1612" i="1" a="1"/>
  <c r="Q1612" i="1"/>
  <c r="O1612" i="1" a="1"/>
  <c r="O1612" i="1"/>
  <c r="J1613" i="1" a="1"/>
  <c r="J1613" i="1" s="1"/>
  <c r="F1613" i="1" a="1"/>
  <c r="F1613" i="1"/>
  <c r="L1613" i="1" a="1"/>
  <c r="L1613" i="1" s="1"/>
  <c r="Q1613" i="1" a="1"/>
  <c r="Q1613" i="1" s="1"/>
  <c r="P1612" i="1" a="1"/>
  <c r="P1612" i="1" s="1"/>
  <c r="M1613" i="1" a="1"/>
  <c r="M1613" i="1"/>
  <c r="O1613" i="1" a="1"/>
  <c r="O1613" i="1" s="1"/>
  <c r="N1612" i="1" a="1"/>
  <c r="N1612" i="1"/>
  <c r="O1611" i="1" a="1"/>
  <c r="O1611" i="1" s="1"/>
  <c r="N1611" i="1" a="1"/>
  <c r="N1611" i="1" s="1"/>
  <c r="G1611" i="1" a="1"/>
  <c r="G1611" i="1"/>
  <c r="F1611" i="1" a="1"/>
  <c r="F1611" i="1" s="1"/>
  <c r="J1612" i="1" a="1"/>
  <c r="J1612" i="1" s="1"/>
  <c r="L1611" i="1" a="1"/>
  <c r="L1611" i="1" s="1"/>
  <c r="M1612" i="1" a="1"/>
  <c r="M1612" i="1" s="1"/>
  <c r="L1612" i="1" a="1"/>
  <c r="L1612" i="1" s="1"/>
  <c r="M1611" i="1" a="1"/>
  <c r="M1611" i="1" s="1"/>
  <c r="K1612" i="1" a="1"/>
  <c r="K1612" i="1"/>
  <c r="I1612" i="1" a="1"/>
  <c r="I1612" i="1"/>
  <c r="H1612" i="1" a="1"/>
  <c r="H1612" i="1"/>
  <c r="F1612" i="1" a="1"/>
  <c r="F1612" i="1" s="1"/>
  <c r="J1611" i="1" a="1"/>
  <c r="J1611" i="1" s="1"/>
  <c r="K1611" i="1" a="1"/>
  <c r="K1611" i="1"/>
  <c r="I1611" i="1" a="1"/>
  <c r="I1611" i="1"/>
  <c r="H1611" i="1" a="1"/>
  <c r="H1611" i="1"/>
  <c r="G1612" i="1" a="1"/>
  <c r="G1612" i="1" s="1"/>
  <c r="Q1611" i="1" a="1"/>
  <c r="Q1611" i="1"/>
  <c r="P1611" i="1" a="1"/>
  <c r="P1611" i="1"/>
  <c r="Q1605" i="1" a="1"/>
  <c r="Q1605" i="1" s="1"/>
  <c r="O1605" i="1" a="1"/>
  <c r="O1605" i="1" s="1"/>
  <c r="P1605" i="1" a="1"/>
  <c r="P1605" i="1" s="1"/>
  <c r="G1605" i="1" a="1"/>
  <c r="G1605" i="1" s="1"/>
  <c r="P1604" i="1" a="1"/>
  <c r="P1604" i="1" s="1"/>
  <c r="I1604" i="1" a="1"/>
  <c r="I1604" i="1"/>
  <c r="F1605" i="1" a="1"/>
  <c r="F1605" i="1" s="1"/>
  <c r="M1605" i="1" a="1"/>
  <c r="M1605" i="1"/>
  <c r="N1604" i="1" a="1"/>
  <c r="N1604" i="1"/>
  <c r="K1605" i="1" a="1"/>
  <c r="K1605" i="1"/>
  <c r="L1604" i="1" a="1"/>
  <c r="L1604" i="1" s="1"/>
  <c r="I1605" i="1" a="1"/>
  <c r="I1605" i="1"/>
  <c r="Q1604" i="1" a="1"/>
  <c r="Q1604" i="1" s="1"/>
  <c r="M1604" i="1" a="1"/>
  <c r="M1604" i="1" s="1"/>
  <c r="J1604" i="1" a="1"/>
  <c r="J1604" i="1" s="1"/>
  <c r="L1605" i="1" a="1"/>
  <c r="L1605" i="1" s="1"/>
  <c r="O1604" i="1" a="1"/>
  <c r="O1604" i="1"/>
  <c r="H1605" i="1" a="1"/>
  <c r="H1605" i="1" s="1"/>
  <c r="H1604" i="1" a="1"/>
  <c r="H1604" i="1" s="1"/>
  <c r="G1604" i="1" a="1"/>
  <c r="G1604" i="1" s="1"/>
  <c r="F1604" i="1" a="1"/>
  <c r="F1604" i="1"/>
  <c r="K1604" i="1" a="1"/>
  <c r="K1604" i="1" s="1"/>
  <c r="N1605" i="1" a="1"/>
  <c r="N1605" i="1" s="1"/>
  <c r="J1605" i="1" a="1"/>
  <c r="J1605" i="1"/>
  <c r="N1596" i="1" a="1"/>
  <c r="N1596" i="1" s="1"/>
  <c r="M1598" i="1" a="1"/>
  <c r="M1598" i="1"/>
  <c r="K1598" i="1" a="1"/>
  <c r="K1598" i="1" s="1"/>
  <c r="H1598" i="1" a="1"/>
  <c r="H1598" i="1"/>
  <c r="J1598" i="1" a="1"/>
  <c r="J1598" i="1" s="1"/>
  <c r="I1598" i="1" a="1"/>
  <c r="I1598" i="1" s="1"/>
  <c r="P1596" i="1" a="1"/>
  <c r="P1596" i="1" s="1"/>
  <c r="O1596" i="1" a="1"/>
  <c r="O1596" i="1" s="1"/>
  <c r="L1596" i="1" a="1"/>
  <c r="L1596" i="1" s="1"/>
  <c r="K1596" i="1" a="1"/>
  <c r="K1596" i="1" s="1"/>
  <c r="N1598" i="1" a="1"/>
  <c r="N1598" i="1" s="1"/>
  <c r="O1598" i="1" a="1"/>
  <c r="O1598" i="1"/>
  <c r="Q1598" i="1" a="1"/>
  <c r="Q1598" i="1" s="1"/>
  <c r="Q1596" i="1" a="1"/>
  <c r="Q1596" i="1"/>
  <c r="M1596" i="1" a="1"/>
  <c r="M1596" i="1" s="1"/>
  <c r="L1598" i="1" a="1"/>
  <c r="L1598" i="1" s="1"/>
  <c r="G1598" i="1" a="1"/>
  <c r="G1598" i="1"/>
  <c r="F1598" i="1" a="1"/>
  <c r="F1598" i="1" s="1"/>
  <c r="P1598" i="1" a="1"/>
  <c r="P1598" i="1" s="1"/>
  <c r="M1595" i="1" a="1"/>
  <c r="M1595" i="1"/>
  <c r="L1595" i="1" a="1"/>
  <c r="L1595" i="1" s="1"/>
  <c r="O1595" i="1" a="1"/>
  <c r="O1595" i="1" s="1"/>
  <c r="Q1595" i="1" a="1"/>
  <c r="Q1595" i="1"/>
  <c r="K1595" i="1" a="1"/>
  <c r="K1595" i="1" s="1"/>
  <c r="J1595" i="1" a="1"/>
  <c r="J1595" i="1"/>
  <c r="H1595" i="1" a="1"/>
  <c r="H1595" i="1"/>
  <c r="J1596" i="1" a="1"/>
  <c r="J1596" i="1"/>
  <c r="G1595" i="1" a="1"/>
  <c r="G1595" i="1"/>
  <c r="I1596" i="1" a="1"/>
  <c r="I1596" i="1" s="1"/>
  <c r="H1596" i="1" a="1"/>
  <c r="H1596" i="1"/>
  <c r="G1596" i="1" a="1"/>
  <c r="G1596" i="1"/>
  <c r="F1596" i="1" a="1"/>
  <c r="F1596" i="1" s="1"/>
  <c r="N1595" i="1" a="1"/>
  <c r="N1595" i="1" s="1"/>
  <c r="P1595" i="1" a="1"/>
  <c r="P1595" i="1" s="1"/>
  <c r="I1595" i="1" a="1"/>
  <c r="I1595" i="1" s="1"/>
  <c r="F1595" i="1" a="1"/>
  <c r="F1595" i="1"/>
  <c r="Q1580" i="1" a="1"/>
  <c r="Q1580" i="1"/>
  <c r="G1579" i="1" a="1"/>
  <c r="G1579" i="1" s="1"/>
  <c r="L1580" i="1" a="1"/>
  <c r="L1580" i="1" s="1"/>
  <c r="I1580" i="1" a="1"/>
  <c r="I1580" i="1" s="1"/>
  <c r="J1579" i="1" a="1"/>
  <c r="J1579" i="1" s="1"/>
  <c r="H1579" i="1" a="1"/>
  <c r="H1579" i="1" s="1"/>
  <c r="K1581" i="1" a="1"/>
  <c r="K1581" i="1"/>
  <c r="N1579" i="1" a="1"/>
  <c r="N1579" i="1" s="1"/>
  <c r="I1578" i="1" a="1"/>
  <c r="I1578" i="1" s="1"/>
  <c r="J1578" i="1" a="1"/>
  <c r="J1578" i="1"/>
  <c r="P1581" i="1" a="1"/>
  <c r="P1581" i="1" s="1"/>
  <c r="G1580" i="1" a="1"/>
  <c r="G1580" i="1"/>
  <c r="Q1581" i="1" a="1"/>
  <c r="Q1581" i="1"/>
  <c r="F1581" i="1" a="1"/>
  <c r="F1581" i="1"/>
  <c r="P1582" i="1" a="1"/>
  <c r="P1582" i="1" s="1"/>
  <c r="M1580" i="1" a="1"/>
  <c r="M1580" i="1" s="1"/>
  <c r="M1582" i="1" a="1"/>
  <c r="M1582" i="1" s="1"/>
  <c r="J1582" i="1" a="1"/>
  <c r="J1582" i="1"/>
  <c r="N1578" i="1" a="1"/>
  <c r="N1578" i="1" s="1"/>
  <c r="H1582" i="1" a="1"/>
  <c r="H1582" i="1" s="1"/>
  <c r="N1581" i="1" a="1"/>
  <c r="N1581" i="1" s="1"/>
  <c r="F1580" i="1" a="1"/>
  <c r="F1580" i="1"/>
  <c r="O1582" i="1" a="1"/>
  <c r="O1582" i="1"/>
  <c r="K1582" i="1" a="1"/>
  <c r="K1582" i="1"/>
  <c r="F1579" i="1" a="1"/>
  <c r="F1579" i="1" s="1"/>
  <c r="Q1578" i="1" a="1"/>
  <c r="Q1578" i="1" s="1"/>
  <c r="G1582" i="1" a="1"/>
  <c r="G1582" i="1" s="1"/>
  <c r="L1581" i="1" a="1"/>
  <c r="L1581" i="1" s="1"/>
  <c r="J1581" i="1" a="1"/>
  <c r="J1581" i="1" s="1"/>
  <c r="P1578" i="1" a="1"/>
  <c r="P1578" i="1"/>
  <c r="J1580" i="1" a="1"/>
  <c r="J1580" i="1" s="1"/>
  <c r="G1581" i="1" a="1"/>
  <c r="G1581" i="1"/>
  <c r="N1580" i="1" a="1"/>
  <c r="N1580" i="1"/>
  <c r="P1579" i="1" a="1"/>
  <c r="P1579" i="1" s="1"/>
  <c r="M1578" i="1" a="1"/>
  <c r="M1578" i="1"/>
  <c r="H1578" i="1" a="1"/>
  <c r="H1578" i="1"/>
  <c r="P1580" i="1" a="1"/>
  <c r="P1580" i="1"/>
  <c r="O1580" i="1" a="1"/>
  <c r="O1580" i="1" s="1"/>
  <c r="K1580" i="1" a="1"/>
  <c r="K1580" i="1" s="1"/>
  <c r="M1579" i="1" a="1"/>
  <c r="M1579" i="1" s="1"/>
  <c r="L1579" i="1" a="1"/>
  <c r="L1579" i="1"/>
  <c r="L1578" i="1" a="1"/>
  <c r="L1578" i="1"/>
  <c r="K1578" i="1" a="1"/>
  <c r="K1578" i="1"/>
  <c r="L1582" i="1" a="1"/>
  <c r="L1582" i="1"/>
  <c r="O1581" i="1" a="1"/>
  <c r="O1581" i="1" s="1"/>
  <c r="M1581" i="1" a="1"/>
  <c r="M1581" i="1"/>
  <c r="I1581" i="1" a="1"/>
  <c r="I1581" i="1" s="1"/>
  <c r="H1581" i="1" a="1"/>
  <c r="H1581" i="1" s="1"/>
  <c r="I1579" i="1" a="1"/>
  <c r="I1579" i="1" s="1"/>
  <c r="H1580" i="1" a="1"/>
  <c r="H1580" i="1" s="1"/>
  <c r="O1579" i="1" a="1"/>
  <c r="O1579" i="1" s="1"/>
  <c r="O1578" i="1" a="1"/>
  <c r="O1578" i="1" s="1"/>
  <c r="Q1582" i="1" a="1"/>
  <c r="Q1582" i="1" s="1"/>
  <c r="N1582" i="1" a="1"/>
  <c r="N1582" i="1"/>
  <c r="F1582" i="1" a="1"/>
  <c r="F1582" i="1" s="1"/>
  <c r="Q1579" i="1" a="1"/>
  <c r="Q1579" i="1" s="1"/>
  <c r="K1579" i="1" a="1"/>
  <c r="K1579" i="1"/>
  <c r="I1582" i="1" a="1"/>
  <c r="I1582" i="1"/>
  <c r="J1916" i="1" a="1"/>
  <c r="J1916" i="1" s="1"/>
  <c r="I1916" i="1" a="1"/>
  <c r="I1916" i="1" s="1"/>
  <c r="G1917" i="1" a="1"/>
  <c r="G1917" i="1" s="1"/>
  <c r="F1921" i="1" a="1"/>
  <c r="F1921" i="1" s="1"/>
  <c r="P1917" i="1" a="1"/>
  <c r="P1917" i="1" s="1"/>
  <c r="P1920" i="1" a="1"/>
  <c r="P1920" i="1"/>
  <c r="K1920" i="1" a="1"/>
  <c r="K1920" i="1" s="1"/>
  <c r="F1919" i="1" a="1"/>
  <c r="F1919" i="1"/>
  <c r="M1916" i="1" a="1"/>
  <c r="M1916" i="1" s="1"/>
  <c r="F1918" i="1" a="1"/>
  <c r="F1918" i="1"/>
  <c r="P1919" i="1" a="1"/>
  <c r="P1919" i="1" s="1"/>
  <c r="L1919" i="1" a="1"/>
  <c r="L1919" i="1"/>
  <c r="N1916" i="1" a="1"/>
  <c r="N1916" i="1"/>
  <c r="M1919" i="1" a="1"/>
  <c r="M1919" i="1"/>
  <c r="H1919" i="1" a="1"/>
  <c r="H1919" i="1" s="1"/>
  <c r="O1917" i="1" a="1"/>
  <c r="O1917" i="1"/>
  <c r="K1917" i="1" a="1"/>
  <c r="K1917" i="1"/>
  <c r="L1916" i="1" a="1"/>
  <c r="L1916" i="1"/>
  <c r="N1919" i="1" a="1"/>
  <c r="N1919" i="1" s="1"/>
  <c r="O1918" i="1" a="1"/>
  <c r="O1918" i="1" s="1"/>
  <c r="I1919" i="1" a="1"/>
  <c r="I1919" i="1"/>
  <c r="G1919" i="1" a="1"/>
  <c r="G1919" i="1" s="1"/>
  <c r="Q1916" i="1" a="1"/>
  <c r="Q1916" i="1" s="1"/>
  <c r="O1920" i="1" a="1"/>
  <c r="O1920" i="1" s="1"/>
  <c r="N1920" i="1" a="1"/>
  <c r="N1920" i="1"/>
  <c r="K1918" i="1" a="1"/>
  <c r="K1918" i="1" s="1"/>
  <c r="M1920" i="1" a="1"/>
  <c r="M1920" i="1" s="1"/>
  <c r="J1920" i="1" a="1"/>
  <c r="J1920" i="1" s="1"/>
  <c r="I1920" i="1" a="1"/>
  <c r="I1920" i="1"/>
  <c r="N1918" i="1" a="1"/>
  <c r="N1918" i="1"/>
  <c r="Q1918" i="1" a="1"/>
  <c r="Q1918" i="1"/>
  <c r="L1918" i="1" a="1"/>
  <c r="L1918" i="1" s="1"/>
  <c r="I1917" i="1" a="1"/>
  <c r="I1917" i="1"/>
  <c r="L1917" i="1" a="1"/>
  <c r="L1917" i="1" s="1"/>
  <c r="N1917" i="1" a="1"/>
  <c r="N1917" i="1"/>
  <c r="H1916" i="1" a="1"/>
  <c r="H1916" i="1" s="1"/>
  <c r="G1920" i="1" a="1"/>
  <c r="G1920" i="1" s="1"/>
  <c r="J1919" i="1" a="1"/>
  <c r="J1919" i="1" s="1"/>
  <c r="F1920" i="1" a="1"/>
  <c r="F1920" i="1"/>
  <c r="J1917" i="1" a="1"/>
  <c r="J1917" i="1" s="1"/>
  <c r="O1916" i="1" a="1"/>
  <c r="O1916" i="1"/>
  <c r="M1917" i="1" a="1"/>
  <c r="M1917" i="1"/>
  <c r="G1918" i="1" a="1"/>
  <c r="G1918" i="1" s="1"/>
  <c r="H1920" i="1" a="1"/>
  <c r="H1920" i="1"/>
  <c r="K1916" i="1" a="1"/>
  <c r="K1916" i="1"/>
  <c r="Q1919" i="1" a="1"/>
  <c r="Q1919" i="1" s="1"/>
  <c r="K1919" i="1" a="1"/>
  <c r="K1919" i="1" s="1"/>
  <c r="M1918" i="1" a="1"/>
  <c r="M1918" i="1"/>
  <c r="P1916" i="1" a="1"/>
  <c r="P1916" i="1" s="1"/>
  <c r="K1921" i="1" a="1"/>
  <c r="K1921" i="1" s="1"/>
  <c r="J1918" i="1" a="1"/>
  <c r="J1918" i="1" s="1"/>
  <c r="H1921" i="1" a="1"/>
  <c r="H1921" i="1" s="1"/>
  <c r="L1920" i="1" a="1"/>
  <c r="L1920" i="1" s="1"/>
  <c r="J1921" i="1" a="1"/>
  <c r="J1921" i="1" s="1"/>
  <c r="H1918" i="1" a="1"/>
  <c r="H1918" i="1" s="1"/>
  <c r="I1921" i="1" a="1"/>
  <c r="I1921" i="1" s="1"/>
  <c r="G1921" i="1" a="1"/>
  <c r="G1921" i="1" s="1"/>
  <c r="Q1917" i="1" a="1"/>
  <c r="Q1917" i="1" s="1"/>
  <c r="Q1920" i="1" a="1"/>
  <c r="Q1920" i="1" s="1"/>
  <c r="O1919" i="1" a="1"/>
  <c r="O1919" i="1" s="1"/>
  <c r="I1918" i="1" a="1"/>
  <c r="I1918" i="1" s="1"/>
  <c r="H1917" i="1" a="1"/>
  <c r="H1917" i="1" s="1"/>
  <c r="P1918" i="1" a="1"/>
  <c r="P1918" i="1" s="1"/>
  <c r="F1917" i="1" a="1"/>
  <c r="F1917" i="1"/>
  <c r="G1911" i="1" a="1"/>
  <c r="G1911" i="1" s="1"/>
  <c r="Q1912" i="1" a="1"/>
  <c r="Q1912" i="1" s="1"/>
  <c r="Q1910" i="1" a="1"/>
  <c r="Q1910" i="1"/>
  <c r="O1912" i="1" a="1"/>
  <c r="O1912" i="1"/>
  <c r="I1913" i="1" a="1"/>
  <c r="I1913" i="1" s="1"/>
  <c r="L1912" i="1" a="1"/>
  <c r="L1912" i="1"/>
  <c r="F1913" i="1" a="1"/>
  <c r="F1913" i="1"/>
  <c r="I1911" i="1" a="1"/>
  <c r="I1911" i="1"/>
  <c r="N1913" i="1" a="1"/>
  <c r="N1913" i="1" s="1"/>
  <c r="J1913" i="1" a="1"/>
  <c r="J1913" i="1"/>
  <c r="G1913" i="1" a="1"/>
  <c r="G1913" i="1"/>
  <c r="G1916" i="1" a="1"/>
  <c r="G1916" i="1"/>
  <c r="Q1915" i="1" a="1"/>
  <c r="Q1915" i="1" s="1"/>
  <c r="M1912" i="1" a="1"/>
  <c r="M1912" i="1"/>
  <c r="M1914" i="1" a="1"/>
  <c r="M1914" i="1" s="1"/>
  <c r="H1913" i="1" a="1"/>
  <c r="H1913" i="1"/>
  <c r="I1912" i="1" a="1"/>
  <c r="I1912" i="1"/>
  <c r="F1916" i="1" a="1"/>
  <c r="F1916" i="1"/>
  <c r="K1912" i="1" a="1"/>
  <c r="K1912" i="1" s="1"/>
  <c r="P1915" i="1" a="1"/>
  <c r="P1915" i="1" s="1"/>
  <c r="O1915" i="1" a="1"/>
  <c r="O1915" i="1"/>
  <c r="L1915" i="1" a="1"/>
  <c r="L1915" i="1"/>
  <c r="P1914" i="1" a="1"/>
  <c r="P1914" i="1"/>
  <c r="K1911" i="1" a="1"/>
  <c r="K1911" i="1" s="1"/>
  <c r="J1911" i="1" a="1"/>
  <c r="J1911" i="1"/>
  <c r="P1910" i="1" a="1"/>
  <c r="P1910" i="1" s="1"/>
  <c r="J1912" i="1" a="1"/>
  <c r="J1912" i="1" s="1"/>
  <c r="H1912" i="1" a="1"/>
  <c r="H1912" i="1" s="1"/>
  <c r="L1911" i="1" a="1"/>
  <c r="L1911" i="1" s="1"/>
  <c r="M1915" i="1" a="1"/>
  <c r="M1915" i="1" s="1"/>
  <c r="G1912" i="1" a="1"/>
  <c r="G1912" i="1"/>
  <c r="J1914" i="1" a="1"/>
  <c r="J1914" i="1"/>
  <c r="M1911" i="1" a="1"/>
  <c r="M1911" i="1"/>
  <c r="L1913" i="1" a="1"/>
  <c r="L1913" i="1" s="1"/>
  <c r="N1915" i="1" a="1"/>
  <c r="N1915" i="1" s="1"/>
  <c r="K1915" i="1" a="1"/>
  <c r="K1915" i="1" s="1"/>
  <c r="J1915" i="1" a="1"/>
  <c r="J1915" i="1" s="1"/>
  <c r="F1915" i="1" a="1"/>
  <c r="F1915" i="1"/>
  <c r="Q1914" i="1" a="1"/>
  <c r="Q1914" i="1" s="1"/>
  <c r="O1914" i="1" a="1"/>
  <c r="O1914" i="1" s="1"/>
  <c r="N1914" i="1" a="1"/>
  <c r="N1914" i="1" s="1"/>
  <c r="H1911" i="1" a="1"/>
  <c r="H1911" i="1"/>
  <c r="I1915" i="1" a="1"/>
  <c r="I1915" i="1" s="1"/>
  <c r="F1912" i="1" a="1"/>
  <c r="F1912" i="1" s="1"/>
  <c r="H1915" i="1" a="1"/>
  <c r="H1915" i="1" s="1"/>
  <c r="I1914" i="1" a="1"/>
  <c r="I1914" i="1" s="1"/>
  <c r="O1913" i="1" a="1"/>
  <c r="O1913" i="1" s="1"/>
  <c r="P1912" i="1" a="1"/>
  <c r="P1912" i="1" s="1"/>
  <c r="G1915" i="1" a="1"/>
  <c r="G1915" i="1" s="1"/>
  <c r="H1914" i="1" a="1"/>
  <c r="H1914" i="1"/>
  <c r="N1911" i="1" a="1"/>
  <c r="N1911" i="1"/>
  <c r="F1911" i="1" a="1"/>
  <c r="F1911" i="1"/>
  <c r="P1911" i="1" a="1"/>
  <c r="P1911" i="1"/>
  <c r="K1914" i="1" a="1"/>
  <c r="K1914" i="1" s="1"/>
  <c r="P1913" i="1" a="1"/>
  <c r="P1913" i="1" s="1"/>
  <c r="M1913" i="1" a="1"/>
  <c r="M1913" i="1" s="1"/>
  <c r="G1914" i="1" a="1"/>
  <c r="G1914" i="1" s="1"/>
  <c r="L1914" i="1" a="1"/>
  <c r="L1914" i="1"/>
  <c r="F1914" i="1" a="1"/>
  <c r="F1914" i="1" s="1"/>
  <c r="Q1913" i="1" a="1"/>
  <c r="Q1913" i="1" s="1"/>
  <c r="K1913" i="1" a="1"/>
  <c r="K1913" i="1" s="1"/>
  <c r="N1912" i="1" a="1"/>
  <c r="N1912" i="1" s="1"/>
  <c r="Q1911" i="1" a="1"/>
  <c r="Q1911" i="1"/>
  <c r="O1911" i="1" a="1"/>
  <c r="O1911" i="1" s="1"/>
  <c r="F1907" i="1" a="1"/>
  <c r="F1907" i="1" s="1"/>
  <c r="K1910" i="1" a="1"/>
  <c r="K1910" i="1" s="1"/>
  <c r="J1910" i="1" a="1"/>
  <c r="J1910" i="1" s="1"/>
  <c r="K1909" i="1" a="1"/>
  <c r="K1909" i="1" s="1"/>
  <c r="F1909" i="1" a="1"/>
  <c r="F1909" i="1" s="1"/>
  <c r="P1907" i="1" a="1"/>
  <c r="P1907" i="1" s="1"/>
  <c r="O1905" i="1" a="1"/>
  <c r="O1905" i="1" s="1"/>
  <c r="I1910" i="1" a="1"/>
  <c r="I1910" i="1" s="1"/>
  <c r="H1910" i="1" a="1"/>
  <c r="H1910" i="1" s="1"/>
  <c r="O1909" i="1" a="1"/>
  <c r="O1909" i="1"/>
  <c r="M1906" i="1" a="1"/>
  <c r="M1906" i="1"/>
  <c r="L1906" i="1" a="1"/>
  <c r="L1906" i="1" s="1"/>
  <c r="J1909" i="1" a="1"/>
  <c r="J1909" i="1"/>
  <c r="P1906" i="1" a="1"/>
  <c r="P1906" i="1" s="1"/>
  <c r="G1910" i="1" a="1"/>
  <c r="G1910" i="1"/>
  <c r="O1906" i="1" a="1"/>
  <c r="O1906" i="1"/>
  <c r="Q1909" i="1" a="1"/>
  <c r="Q1909" i="1"/>
  <c r="L1908" i="1" a="1"/>
  <c r="L1908" i="1" s="1"/>
  <c r="N1908" i="1" a="1"/>
  <c r="N1908" i="1" s="1"/>
  <c r="Q1907" i="1" a="1"/>
  <c r="Q1907" i="1" s="1"/>
  <c r="G1906" i="1" a="1"/>
  <c r="G1906" i="1" s="1"/>
  <c r="M1907" i="1" a="1"/>
  <c r="M1907" i="1" s="1"/>
  <c r="G1907" i="1" a="1"/>
  <c r="G1907" i="1"/>
  <c r="I1906" i="1" a="1"/>
  <c r="I1906" i="1"/>
  <c r="F1910" i="1" a="1"/>
  <c r="F1910" i="1" s="1"/>
  <c r="Q1908" i="1" a="1"/>
  <c r="Q1908" i="1" s="1"/>
  <c r="P1909" i="1" a="1"/>
  <c r="P1909" i="1" s="1"/>
  <c r="Q1905" i="1" a="1"/>
  <c r="Q1905" i="1" s="1"/>
  <c r="H1906" i="1" a="1"/>
  <c r="H1906" i="1" s="1"/>
  <c r="N1909" i="1" a="1"/>
  <c r="N1909" i="1" s="1"/>
  <c r="M1909" i="1" a="1"/>
  <c r="M1909" i="1" s="1"/>
  <c r="N1906" i="1" a="1"/>
  <c r="N1906" i="1"/>
  <c r="K1908" i="1" a="1"/>
  <c r="K1908" i="1" s="1"/>
  <c r="L1909" i="1" a="1"/>
  <c r="L1909" i="1" s="1"/>
  <c r="I1909" i="1" a="1"/>
  <c r="I1909" i="1" s="1"/>
  <c r="H1909" i="1" a="1"/>
  <c r="H1909" i="1" s="1"/>
  <c r="F1908" i="1" a="1"/>
  <c r="F1908" i="1" s="1"/>
  <c r="P1905" i="1" a="1"/>
  <c r="P1905" i="1" s="1"/>
  <c r="N1907" i="1" a="1"/>
  <c r="N1907" i="1"/>
  <c r="G1909" i="1" a="1"/>
  <c r="G1909" i="1" s="1"/>
  <c r="J1908" i="1" a="1"/>
  <c r="J1908" i="1"/>
  <c r="P1908" i="1" a="1"/>
  <c r="P1908" i="1" s="1"/>
  <c r="N1905" i="1" a="1"/>
  <c r="N1905" i="1" s="1"/>
  <c r="O1908" i="1" a="1"/>
  <c r="O1908" i="1"/>
  <c r="H1908" i="1" a="1"/>
  <c r="H1908" i="1"/>
  <c r="O1907" i="1" a="1"/>
  <c r="O1907" i="1"/>
  <c r="Q1906" i="1" a="1"/>
  <c r="Q1906" i="1" s="1"/>
  <c r="I1907" i="1" a="1"/>
  <c r="I1907" i="1"/>
  <c r="F1906" i="1" a="1"/>
  <c r="F1906" i="1" s="1"/>
  <c r="G1908" i="1" a="1"/>
  <c r="G1908" i="1" s="1"/>
  <c r="L1907" i="1" a="1"/>
  <c r="L1907" i="1" s="1"/>
  <c r="M1905" i="1" a="1"/>
  <c r="M1905" i="1" s="1"/>
  <c r="K1907" i="1" a="1"/>
  <c r="K1907" i="1" s="1"/>
  <c r="J1907" i="1" a="1"/>
  <c r="J1907" i="1" s="1"/>
  <c r="H1907" i="1" a="1"/>
  <c r="H1907" i="1"/>
  <c r="J1906" i="1" a="1"/>
  <c r="J1906" i="1"/>
  <c r="K1906" i="1" a="1"/>
  <c r="K1906" i="1"/>
  <c r="I1908" i="1" a="1"/>
  <c r="I1908" i="1" s="1"/>
  <c r="O1910" i="1" a="1"/>
  <c r="O1910" i="1" s="1"/>
  <c r="L1905" i="1" a="1"/>
  <c r="L1905" i="1" s="1"/>
  <c r="N1910" i="1" a="1"/>
  <c r="N1910" i="1" s="1"/>
  <c r="M1910" i="1" a="1"/>
  <c r="M1910" i="1" s="1"/>
  <c r="L1910" i="1" a="1"/>
  <c r="L1910" i="1" s="1"/>
  <c r="M1908" i="1" a="1"/>
  <c r="M1908" i="1" s="1"/>
  <c r="K1904" i="1" a="1"/>
  <c r="K1904" i="1" s="1"/>
  <c r="F1904" i="1" a="1"/>
  <c r="F1904" i="1" s="1"/>
  <c r="M1904" i="1" a="1"/>
  <c r="M1904" i="1" s="1"/>
  <c r="J1904" i="1" a="1"/>
  <c r="J1904" i="1" s="1"/>
  <c r="Q1904" i="1" a="1"/>
  <c r="Q1904" i="1"/>
  <c r="O1904" i="1" a="1"/>
  <c r="O1904" i="1"/>
  <c r="I1904" i="1" a="1"/>
  <c r="I1904" i="1" s="1"/>
  <c r="K1905" i="1" a="1"/>
  <c r="K1905" i="1" s="1"/>
  <c r="L1904" i="1" a="1"/>
  <c r="L1904" i="1"/>
  <c r="J1905" i="1" a="1"/>
  <c r="J1905" i="1"/>
  <c r="I1905" i="1" a="1"/>
  <c r="I1905" i="1"/>
  <c r="H1905" i="1" a="1"/>
  <c r="H1905" i="1"/>
  <c r="G1905" i="1" a="1"/>
  <c r="G1905" i="1" s="1"/>
  <c r="P1904" i="1" a="1"/>
  <c r="P1904" i="1" s="1"/>
  <c r="H1904" i="1" a="1"/>
  <c r="H1904" i="1"/>
  <c r="G1904" i="1" a="1"/>
  <c r="G1904" i="1" s="1"/>
  <c r="F1905" i="1" a="1"/>
  <c r="F1905" i="1" s="1"/>
  <c r="N1904" i="1" a="1"/>
  <c r="N1904" i="1" s="1"/>
  <c r="I1676" i="1" a="1"/>
  <c r="I1676" i="1"/>
  <c r="J1676" i="1" a="1"/>
  <c r="J1676" i="1"/>
  <c r="Q1675" i="1" a="1"/>
  <c r="Q1675" i="1"/>
  <c r="J1675" i="1" a="1"/>
  <c r="J1675" i="1"/>
  <c r="P1675" i="1" a="1"/>
  <c r="P1675" i="1" s="1"/>
  <c r="K1676" i="1" a="1"/>
  <c r="K1676" i="1" s="1"/>
  <c r="L1676" i="1" a="1"/>
  <c r="L1676" i="1" s="1"/>
  <c r="F1676" i="1" a="1"/>
  <c r="F1676" i="1"/>
  <c r="H1675" i="1" a="1"/>
  <c r="H1675" i="1"/>
  <c r="M1675" i="1" a="1"/>
  <c r="M1675" i="1"/>
  <c r="G1675" i="1" a="1"/>
  <c r="G1675" i="1"/>
  <c r="K1675" i="1" a="1"/>
  <c r="K1675" i="1" s="1"/>
  <c r="N1675" i="1" a="1"/>
  <c r="N1675" i="1" s="1"/>
  <c r="H1676" i="1" a="1"/>
  <c r="H1676" i="1" s="1"/>
  <c r="F1675" i="1" a="1"/>
  <c r="F1675" i="1"/>
  <c r="Q1676" i="1" a="1"/>
  <c r="Q1676" i="1"/>
  <c r="I1675" i="1" a="1"/>
  <c r="I1675" i="1"/>
  <c r="N1676" i="1" a="1"/>
  <c r="N1676" i="1"/>
  <c r="P1676" i="1" a="1"/>
  <c r="P1676" i="1" s="1"/>
  <c r="G1676" i="1" a="1"/>
  <c r="G1676" i="1"/>
  <c r="O1675" i="1" a="1"/>
  <c r="O1675" i="1"/>
  <c r="Q1674" i="1" a="1"/>
  <c r="Q1674" i="1"/>
  <c r="L1675" i="1" a="1"/>
  <c r="L1675" i="1"/>
  <c r="M1676" i="1" a="1"/>
  <c r="M1676" i="1"/>
  <c r="O1676" i="1" a="1"/>
  <c r="O1676" i="1"/>
  <c r="O1670" i="1" a="1"/>
  <c r="O1670" i="1"/>
  <c r="M1673" i="1" a="1"/>
  <c r="M1673" i="1" s="1"/>
  <c r="F1672" i="1" a="1"/>
  <c r="F1672" i="1" s="1"/>
  <c r="J1672" i="1" a="1"/>
  <c r="J1672" i="1" s="1"/>
  <c r="H1672" i="1" a="1"/>
  <c r="H1672" i="1"/>
  <c r="P1674" i="1" a="1"/>
  <c r="P1674" i="1"/>
  <c r="O1674" i="1" a="1"/>
  <c r="O1674" i="1"/>
  <c r="M1674" i="1" a="1"/>
  <c r="M1674" i="1"/>
  <c r="N1674" i="1" a="1"/>
  <c r="N1674" i="1" s="1"/>
  <c r="M1671" i="1" a="1"/>
  <c r="M1671" i="1" s="1"/>
  <c r="N1671" i="1" a="1"/>
  <c r="N1671" i="1" s="1"/>
  <c r="M1670" i="1" a="1"/>
  <c r="M1670" i="1"/>
  <c r="L1670" i="1" a="1"/>
  <c r="L1670" i="1"/>
  <c r="N1673" i="1" a="1"/>
  <c r="N1673" i="1"/>
  <c r="L1674" i="1" a="1"/>
  <c r="L1674" i="1"/>
  <c r="K1674" i="1" a="1"/>
  <c r="K1674" i="1"/>
  <c r="J1674" i="1" a="1"/>
  <c r="J1674" i="1" s="1"/>
  <c r="M1672" i="1" a="1"/>
  <c r="M1672" i="1"/>
  <c r="Q1671" i="1" a="1"/>
  <c r="Q1671" i="1" s="1"/>
  <c r="K1671" i="1" a="1"/>
  <c r="K1671" i="1" s="1"/>
  <c r="H1670" i="1" a="1"/>
  <c r="H1670" i="1"/>
  <c r="M1669" i="1" a="1"/>
  <c r="M1669" i="1"/>
  <c r="P1670" i="1" a="1"/>
  <c r="P1670" i="1" s="1"/>
  <c r="I1674" i="1" a="1"/>
  <c r="I1674" i="1"/>
  <c r="H1674" i="1" a="1"/>
  <c r="H1674" i="1"/>
  <c r="G1674" i="1" a="1"/>
  <c r="G1674" i="1"/>
  <c r="J1670" i="1" a="1"/>
  <c r="J1670" i="1"/>
  <c r="F1674" i="1" a="1"/>
  <c r="F1674" i="1"/>
  <c r="H1671" i="1" a="1"/>
  <c r="H1671" i="1"/>
  <c r="Q1673" i="1" a="1"/>
  <c r="Q1673" i="1"/>
  <c r="P1673" i="1" a="1"/>
  <c r="P1673" i="1" s="1"/>
  <c r="O1672" i="1" a="1"/>
  <c r="O1672" i="1" s="1"/>
  <c r="O1673" i="1" a="1"/>
  <c r="O1673" i="1"/>
  <c r="P1672" i="1" a="1"/>
  <c r="P1672" i="1" s="1"/>
  <c r="L1673" i="1" a="1"/>
  <c r="L1673" i="1" s="1"/>
  <c r="K1673" i="1" a="1"/>
  <c r="K1673" i="1"/>
  <c r="J1673" i="1" a="1"/>
  <c r="J1673" i="1"/>
  <c r="N1672" i="1" a="1"/>
  <c r="N1672" i="1" s="1"/>
  <c r="O1669" i="1" a="1"/>
  <c r="O1669" i="1" s="1"/>
  <c r="I1673" i="1" a="1"/>
  <c r="I1673" i="1" s="1"/>
  <c r="H1673" i="1" a="1"/>
  <c r="H1673" i="1" s="1"/>
  <c r="F1670" i="1" a="1"/>
  <c r="F1670" i="1" s="1"/>
  <c r="P1669" i="1" a="1"/>
  <c r="P1669" i="1"/>
  <c r="G1673" i="1" a="1"/>
  <c r="G1673" i="1" s="1"/>
  <c r="F1673" i="1" a="1"/>
  <c r="F1673" i="1" s="1"/>
  <c r="Q1672" i="1" a="1"/>
  <c r="Q1672" i="1"/>
  <c r="L1672" i="1" a="1"/>
  <c r="L1672" i="1"/>
  <c r="N1670" i="1" a="1"/>
  <c r="N1670" i="1"/>
  <c r="P1671" i="1" a="1"/>
  <c r="P1671" i="1"/>
  <c r="J1671" i="1" a="1"/>
  <c r="J1671" i="1" s="1"/>
  <c r="G1671" i="1" a="1"/>
  <c r="G1671" i="1" s="1"/>
  <c r="I1670" i="1" a="1"/>
  <c r="I1670" i="1" s="1"/>
  <c r="K1672" i="1" a="1"/>
  <c r="K1672" i="1"/>
  <c r="G1672" i="1" a="1"/>
  <c r="G1672" i="1"/>
  <c r="O1671" i="1" a="1"/>
  <c r="O1671" i="1"/>
  <c r="L1671" i="1" a="1"/>
  <c r="L1671" i="1" s="1"/>
  <c r="F1671" i="1" a="1"/>
  <c r="F1671" i="1"/>
  <c r="I1671" i="1" a="1"/>
  <c r="I1671" i="1" s="1"/>
  <c r="Q1670" i="1" a="1"/>
  <c r="Q1670" i="1" s="1"/>
  <c r="K1670" i="1" a="1"/>
  <c r="K1670" i="1" s="1"/>
  <c r="Q1669" i="1" a="1"/>
  <c r="Q1669" i="1" s="1"/>
  <c r="G1670" i="1" a="1"/>
  <c r="G1670" i="1" s="1"/>
  <c r="N1669" i="1" a="1"/>
  <c r="N1669" i="1"/>
  <c r="I1672" i="1" a="1"/>
  <c r="I1672" i="1" s="1"/>
  <c r="G1661" i="1" a="1"/>
  <c r="G1661" i="1"/>
  <c r="K1669" i="1" a="1"/>
  <c r="K1669" i="1" s="1"/>
  <c r="K1661" i="1" a="1"/>
  <c r="K1661" i="1" s="1"/>
  <c r="P1668" i="1" a="1"/>
  <c r="P1668" i="1" s="1"/>
  <c r="H1667" i="1" a="1"/>
  <c r="H1667" i="1" s="1"/>
  <c r="F1662" i="1" a="1"/>
  <c r="F1662" i="1" s="1"/>
  <c r="M1668" i="1" a="1"/>
  <c r="M1668" i="1" s="1"/>
  <c r="N1667" i="1" a="1"/>
  <c r="N1667" i="1" s="1"/>
  <c r="Q1662" i="1" a="1"/>
  <c r="Q1662" i="1" s="1"/>
  <c r="O1662" i="1" a="1"/>
  <c r="O1662" i="1" s="1"/>
  <c r="J1662" i="1" a="1"/>
  <c r="J1662" i="1"/>
  <c r="J1669" i="1" a="1"/>
  <c r="J1669" i="1" s="1"/>
  <c r="H1669" i="1" a="1"/>
  <c r="H1669" i="1"/>
  <c r="J1667" i="1" a="1"/>
  <c r="J1667" i="1"/>
  <c r="H1668" i="1" a="1"/>
  <c r="H1668" i="1"/>
  <c r="G1669" i="1" a="1"/>
  <c r="G1669" i="1"/>
  <c r="I1668" i="1" a="1"/>
  <c r="I1668" i="1" s="1"/>
  <c r="Q1667" i="1" a="1"/>
  <c r="Q1667" i="1"/>
  <c r="O1661" i="1" a="1"/>
  <c r="O1661" i="1"/>
  <c r="F1669" i="1" a="1"/>
  <c r="F1669" i="1"/>
  <c r="O1668" i="1" a="1"/>
  <c r="O1668" i="1" s="1"/>
  <c r="Q1660" i="1" a="1"/>
  <c r="Q1660" i="1" s="1"/>
  <c r="P1662" i="1" a="1"/>
  <c r="P1662" i="1" s="1"/>
  <c r="L1661" i="1" a="1"/>
  <c r="L1661" i="1"/>
  <c r="H1661" i="1" a="1"/>
  <c r="H1661" i="1" s="1"/>
  <c r="K1668" i="1" a="1"/>
  <c r="K1668" i="1" s="1"/>
  <c r="F1668" i="1" a="1"/>
  <c r="F1668" i="1"/>
  <c r="P1667" i="1" a="1"/>
  <c r="P1667" i="1" s="1"/>
  <c r="N1668" i="1" a="1"/>
  <c r="N1668" i="1"/>
  <c r="L1668" i="1" a="1"/>
  <c r="L1668" i="1"/>
  <c r="M1667" i="1" a="1"/>
  <c r="M1667" i="1"/>
  <c r="H1662" i="1" a="1"/>
  <c r="H1662" i="1" s="1"/>
  <c r="I1661" i="1" a="1"/>
  <c r="I1661" i="1" s="1"/>
  <c r="J1668" i="1" a="1"/>
  <c r="J1668" i="1" s="1"/>
  <c r="I1667" i="1" a="1"/>
  <c r="I1667" i="1" s="1"/>
  <c r="G1667" i="1" a="1"/>
  <c r="G1667" i="1" s="1"/>
  <c r="G1668" i="1" a="1"/>
  <c r="G1668" i="1" s="1"/>
  <c r="M1661" i="1" a="1"/>
  <c r="M1661" i="1"/>
  <c r="Q1661" i="1" a="1"/>
  <c r="Q1661" i="1"/>
  <c r="K1667" i="1" a="1"/>
  <c r="K1667" i="1"/>
  <c r="N1661" i="1" a="1"/>
  <c r="N1661" i="1"/>
  <c r="G1662" i="1" a="1"/>
  <c r="G1662" i="1" s="1"/>
  <c r="I1669" i="1" a="1"/>
  <c r="I1669" i="1" s="1"/>
  <c r="Q1668" i="1" a="1"/>
  <c r="Q1668" i="1"/>
  <c r="F1667" i="1" a="1"/>
  <c r="F1667" i="1" s="1"/>
  <c r="F1661" i="1" a="1"/>
  <c r="F1661" i="1" s="1"/>
  <c r="L1667" i="1" a="1"/>
  <c r="L1667" i="1"/>
  <c r="L1662" i="1" a="1"/>
  <c r="L1662" i="1"/>
  <c r="P1660" i="1" a="1"/>
  <c r="P1660" i="1"/>
  <c r="K1662" i="1" a="1"/>
  <c r="K1662" i="1" s="1"/>
  <c r="M1662" i="1" a="1"/>
  <c r="M1662" i="1" s="1"/>
  <c r="O1667" i="1" a="1"/>
  <c r="O1667" i="1"/>
  <c r="L1669" i="1" a="1"/>
  <c r="L1669" i="1"/>
  <c r="N1662" i="1" a="1"/>
  <c r="N1662" i="1"/>
  <c r="P1661" i="1" a="1"/>
  <c r="P1661" i="1"/>
  <c r="J1661" i="1" a="1"/>
  <c r="J1661" i="1" s="1"/>
  <c r="I1662" i="1" a="1"/>
  <c r="I1662" i="1"/>
  <c r="I1654" i="1" a="1"/>
  <c r="I1654" i="1"/>
  <c r="O1654" i="1" a="1"/>
  <c r="O1654" i="1"/>
  <c r="F1654" i="1" a="1"/>
  <c r="F1654" i="1" s="1"/>
  <c r="M1660" i="1" a="1"/>
  <c r="M1660" i="1" s="1"/>
  <c r="P1654" i="1" a="1"/>
  <c r="P1654" i="1" s="1"/>
  <c r="J1654" i="1" a="1"/>
  <c r="J1654" i="1" s="1"/>
  <c r="O1660" i="1" a="1"/>
  <c r="O1660" i="1"/>
  <c r="J1660" i="1" a="1"/>
  <c r="J1660" i="1" s="1"/>
  <c r="F1660" i="1" a="1"/>
  <c r="F1660" i="1" s="1"/>
  <c r="N1660" i="1" a="1"/>
  <c r="N1660" i="1"/>
  <c r="K1660" i="1" a="1"/>
  <c r="K1660" i="1"/>
  <c r="Q1654" i="1" a="1"/>
  <c r="Q1654" i="1"/>
  <c r="N1654" i="1" a="1"/>
  <c r="N1654" i="1"/>
  <c r="H1654" i="1" a="1"/>
  <c r="H1654" i="1"/>
  <c r="L1654" i="1" a="1"/>
  <c r="L1654" i="1" s="1"/>
  <c r="M1654" i="1" a="1"/>
  <c r="M1654" i="1"/>
  <c r="G1654" i="1" a="1"/>
  <c r="G1654" i="1"/>
  <c r="L1660" i="1" a="1"/>
  <c r="L1660" i="1" s="1"/>
  <c r="I1660" i="1" a="1"/>
  <c r="I1660" i="1"/>
  <c r="H1660" i="1" a="1"/>
  <c r="H1660" i="1"/>
  <c r="G1660" i="1" a="1"/>
  <c r="G1660" i="1"/>
  <c r="K1654" i="1" a="1"/>
  <c r="K1654" i="1" s="1"/>
  <c r="J1643" i="1" a="1"/>
  <c r="J1643" i="1" s="1"/>
  <c r="G1643" i="1" a="1"/>
  <c r="G1643" i="1" s="1"/>
  <c r="L1643" i="1" a="1"/>
  <c r="L1643" i="1"/>
  <c r="L1647" i="1" a="1"/>
  <c r="L1647" i="1"/>
  <c r="K1643" i="1" a="1"/>
  <c r="K1643" i="1"/>
  <c r="L1646" i="1" a="1"/>
  <c r="L1646" i="1"/>
  <c r="Q1642" i="1" a="1"/>
  <c r="Q1642" i="1"/>
  <c r="M1647" i="1" a="1"/>
  <c r="M1647" i="1" s="1"/>
  <c r="N1642" i="1" a="1"/>
  <c r="N1642" i="1" s="1"/>
  <c r="G1647" i="1" a="1"/>
  <c r="G1647" i="1"/>
  <c r="Q1647" i="1" a="1"/>
  <c r="Q1647" i="1" s="1"/>
  <c r="P1647" i="1" a="1"/>
  <c r="P1647" i="1" s="1"/>
  <c r="O1647" i="1" a="1"/>
  <c r="O1647" i="1" s="1"/>
  <c r="N1647" i="1" a="1"/>
  <c r="N1647" i="1" s="1"/>
  <c r="N1646" i="1" a="1"/>
  <c r="N1646" i="1"/>
  <c r="L1642" i="1" a="1"/>
  <c r="L1642" i="1" s="1"/>
  <c r="K1647" i="1" a="1"/>
  <c r="K1647" i="1" s="1"/>
  <c r="J1647" i="1" a="1"/>
  <c r="J1647" i="1" s="1"/>
  <c r="I1647" i="1" a="1"/>
  <c r="I1647" i="1"/>
  <c r="I1646" i="1" a="1"/>
  <c r="I1646" i="1"/>
  <c r="G1646" i="1" a="1"/>
  <c r="G1646" i="1"/>
  <c r="H1643" i="1" a="1"/>
  <c r="H1643" i="1"/>
  <c r="Q1646" i="1" a="1"/>
  <c r="Q1646" i="1"/>
  <c r="O1643" i="1" a="1"/>
  <c r="O1643" i="1" s="1"/>
  <c r="F1646" i="1" a="1"/>
  <c r="F1646" i="1" s="1"/>
  <c r="N1643" i="1" a="1"/>
  <c r="N1643" i="1"/>
  <c r="H1647" i="1" a="1"/>
  <c r="H1647" i="1"/>
  <c r="F1647" i="1" a="1"/>
  <c r="F1647" i="1" s="1"/>
  <c r="P1646" i="1" a="1"/>
  <c r="P1646" i="1" s="1"/>
  <c r="M1646" i="1" a="1"/>
  <c r="M1646" i="1"/>
  <c r="F1643" i="1" a="1"/>
  <c r="F1643" i="1" s="1"/>
  <c r="O1646" i="1" a="1"/>
  <c r="O1646" i="1" s="1"/>
  <c r="Q1643" i="1" a="1"/>
  <c r="Q1643" i="1" s="1"/>
  <c r="K1646" i="1" a="1"/>
  <c r="K1646" i="1"/>
  <c r="P1643" i="1" a="1"/>
  <c r="P1643" i="1"/>
  <c r="I1643" i="1" a="1"/>
  <c r="I1643" i="1"/>
  <c r="J1646" i="1" a="1"/>
  <c r="J1646" i="1"/>
  <c r="O1642" i="1" a="1"/>
  <c r="O1642" i="1"/>
  <c r="P1642" i="1" a="1"/>
  <c r="P1642" i="1" s="1"/>
  <c r="M1642" i="1" a="1"/>
  <c r="M1642" i="1" s="1"/>
  <c r="H1646" i="1" a="1"/>
  <c r="H1646" i="1" s="1"/>
  <c r="J1642" i="1" a="1"/>
  <c r="J1642" i="1" s="1"/>
  <c r="K1642" i="1" a="1"/>
  <c r="K1642" i="1"/>
  <c r="M1643" i="1" a="1"/>
  <c r="M1643" i="1"/>
  <c r="P1627" i="1" a="1"/>
  <c r="P1627" i="1" s="1"/>
  <c r="N1629" i="1" a="1"/>
  <c r="N1629" i="1"/>
  <c r="O1628" i="1" a="1"/>
  <c r="O1628" i="1"/>
  <c r="J1628" i="1" a="1"/>
  <c r="J1628" i="1"/>
  <c r="O1627" i="1" a="1"/>
  <c r="O1627" i="1" s="1"/>
  <c r="I1628" i="1" a="1"/>
  <c r="I1628" i="1" s="1"/>
  <c r="K1627" i="1" a="1"/>
  <c r="K1627" i="1" s="1"/>
  <c r="J1627" i="1" a="1"/>
  <c r="J1627" i="1" s="1"/>
  <c r="Q1629" i="1" a="1"/>
  <c r="Q1629" i="1" s="1"/>
  <c r="M1629" i="1" a="1"/>
  <c r="M1629" i="1" s="1"/>
  <c r="I1642" i="1" a="1"/>
  <c r="I1642" i="1"/>
  <c r="K1628" i="1" a="1"/>
  <c r="K1628" i="1" s="1"/>
  <c r="H1642" i="1" a="1"/>
  <c r="H1642" i="1" s="1"/>
  <c r="G1642" i="1" a="1"/>
  <c r="G1642" i="1"/>
  <c r="F1642" i="1" a="1"/>
  <c r="F1642" i="1"/>
  <c r="G1629" i="1" a="1"/>
  <c r="G1629" i="1" s="1"/>
  <c r="K1629" i="1" a="1"/>
  <c r="K1629" i="1" s="1"/>
  <c r="M1628" i="1" a="1"/>
  <c r="M1628" i="1"/>
  <c r="M1627" i="1" a="1"/>
  <c r="M1627" i="1" s="1"/>
  <c r="H1628" i="1" a="1"/>
  <c r="H1628" i="1"/>
  <c r="F1629" i="1" a="1"/>
  <c r="F1629" i="1"/>
  <c r="Q1628" i="1" a="1"/>
  <c r="Q1628" i="1"/>
  <c r="O1629" i="1" a="1"/>
  <c r="O1629" i="1"/>
  <c r="N1627" i="1" a="1"/>
  <c r="N1627" i="1"/>
  <c r="I1629" i="1" a="1"/>
  <c r="I1629" i="1" s="1"/>
  <c r="P1628" i="1" a="1"/>
  <c r="P1628" i="1" s="1"/>
  <c r="L1627" i="1" a="1"/>
  <c r="L1627" i="1"/>
  <c r="L1629" i="1" a="1"/>
  <c r="L1629" i="1"/>
  <c r="L1628" i="1" a="1"/>
  <c r="L1628" i="1"/>
  <c r="F1628" i="1" a="1"/>
  <c r="F1628" i="1"/>
  <c r="Q1627" i="1" a="1"/>
  <c r="Q1627" i="1" s="1"/>
  <c r="G1628" i="1" a="1"/>
  <c r="G1628" i="1" s="1"/>
  <c r="P1629" i="1" a="1"/>
  <c r="P1629" i="1"/>
  <c r="N1628" i="1" a="1"/>
  <c r="N1628" i="1" s="1"/>
  <c r="J1629" i="1" a="1"/>
  <c r="J1629" i="1"/>
  <c r="H1629" i="1" a="1"/>
  <c r="H1629" i="1"/>
  <c r="N1625" i="1" a="1"/>
  <c r="N1625" i="1"/>
  <c r="K1626" i="1" a="1"/>
  <c r="K1626" i="1"/>
  <c r="M1626" i="1" a="1"/>
  <c r="M1626" i="1" s="1"/>
  <c r="O1626" i="1" a="1"/>
  <c r="O1626" i="1" s="1"/>
  <c r="H1626" i="1" a="1"/>
  <c r="H1626" i="1" s="1"/>
  <c r="N1626" i="1" a="1"/>
  <c r="N1626" i="1" s="1"/>
  <c r="L1626" i="1" a="1"/>
  <c r="L1626" i="1" s="1"/>
  <c r="P1625" i="1" a="1"/>
  <c r="P1625" i="1" s="1"/>
  <c r="G1626" i="1" a="1"/>
  <c r="G1626" i="1"/>
  <c r="Q1625" i="1" a="1"/>
  <c r="Q1625" i="1"/>
  <c r="F1626" i="1" a="1"/>
  <c r="F1626" i="1" s="1"/>
  <c r="L1625" i="1" a="1"/>
  <c r="L1625" i="1" s="1"/>
  <c r="I1626" i="1" a="1"/>
  <c r="I1626" i="1"/>
  <c r="M1625" i="1" a="1"/>
  <c r="M1625" i="1" s="1"/>
  <c r="I1627" i="1" a="1"/>
  <c r="I1627" i="1" s="1"/>
  <c r="H1627" i="1" a="1"/>
  <c r="H1627" i="1"/>
  <c r="G1627" i="1" a="1"/>
  <c r="G1627" i="1"/>
  <c r="F1627" i="1" a="1"/>
  <c r="F1627" i="1" s="1"/>
  <c r="Q1626" i="1" a="1"/>
  <c r="Q1626" i="1"/>
  <c r="P1626" i="1" a="1"/>
  <c r="P1626" i="1"/>
  <c r="J1626" i="1" a="1"/>
  <c r="J1626" i="1"/>
  <c r="O1625" i="1" a="1"/>
  <c r="O1625" i="1" s="1"/>
  <c r="K1625" i="1" a="1"/>
  <c r="K1625" i="1"/>
  <c r="I1624" i="1" a="1"/>
  <c r="I1624" i="1" s="1"/>
  <c r="J1625" i="1" a="1"/>
  <c r="J1625" i="1"/>
  <c r="I1625" i="1" a="1"/>
  <c r="I1625" i="1"/>
  <c r="H1625" i="1" a="1"/>
  <c r="H1625" i="1"/>
  <c r="G1625" i="1" a="1"/>
  <c r="G1625" i="1" s="1"/>
  <c r="F1625" i="1" a="1"/>
  <c r="F1625" i="1"/>
  <c r="Q1624" i="1" a="1"/>
  <c r="Q1624" i="1" s="1"/>
  <c r="P1624" i="1" a="1"/>
  <c r="P1624" i="1" s="1"/>
  <c r="O1624" i="1" a="1"/>
  <c r="O1624" i="1" s="1"/>
  <c r="L1624" i="1" a="1"/>
  <c r="L1624" i="1" s="1"/>
  <c r="N1624" i="1" a="1"/>
  <c r="N1624" i="1" s="1"/>
  <c r="H1624" i="1" a="1"/>
  <c r="H1624" i="1" s="1"/>
  <c r="K1624" i="1" a="1"/>
  <c r="K1624" i="1" s="1"/>
  <c r="F1624" i="1" a="1"/>
  <c r="F1624" i="1"/>
  <c r="M1624" i="1" a="1"/>
  <c r="M1624" i="1"/>
  <c r="G1624" i="1" a="1"/>
  <c r="G1624" i="1" s="1"/>
  <c r="J1624" i="1" a="1"/>
  <c r="J1624" i="1" s="1"/>
  <c r="J1623" i="1" a="1"/>
  <c r="J1623" i="1"/>
  <c r="G1623" i="1" a="1"/>
  <c r="G1623" i="1"/>
  <c r="J1622" i="1" a="1"/>
  <c r="J1622" i="1" s="1"/>
  <c r="F1623" i="1" a="1"/>
  <c r="F1623" i="1" s="1"/>
  <c r="P1622" i="1" a="1"/>
  <c r="P1622" i="1"/>
  <c r="O1622" i="1" a="1"/>
  <c r="O1622" i="1" s="1"/>
  <c r="N1622" i="1" a="1"/>
  <c r="N1622" i="1" s="1"/>
  <c r="K1622" i="1" a="1"/>
  <c r="K1622" i="1"/>
  <c r="Q1622" i="1" a="1"/>
  <c r="Q1622" i="1"/>
  <c r="Q1623" i="1" a="1"/>
  <c r="Q1623" i="1"/>
  <c r="L1623" i="1" a="1"/>
  <c r="L1623" i="1" s="1"/>
  <c r="H1623" i="1" a="1"/>
  <c r="H1623" i="1"/>
  <c r="M1622" i="1" a="1"/>
  <c r="M1622" i="1" s="1"/>
  <c r="I1623" i="1" a="1"/>
  <c r="I1623" i="1"/>
  <c r="P1623" i="1" a="1"/>
  <c r="P1623" i="1" s="1"/>
  <c r="O1623" i="1" a="1"/>
  <c r="O1623" i="1"/>
  <c r="N1623" i="1" a="1"/>
  <c r="N1623" i="1" s="1"/>
  <c r="M1623" i="1" a="1"/>
  <c r="M1623" i="1"/>
  <c r="K1623" i="1" a="1"/>
  <c r="K1623" i="1"/>
  <c r="L1622" i="1" a="1"/>
  <c r="L1622" i="1" s="1"/>
  <c r="L1619" i="1" a="1"/>
  <c r="L1619" i="1"/>
  <c r="K1619" i="1" a="1"/>
  <c r="K1619" i="1" s="1"/>
  <c r="G1619" i="1" a="1"/>
  <c r="G1619" i="1" s="1"/>
  <c r="J1619" i="1" a="1"/>
  <c r="J1619" i="1" s="1"/>
  <c r="H1619" i="1" a="1"/>
  <c r="H1619" i="1" s="1"/>
  <c r="G1622" i="1" a="1"/>
  <c r="G1622" i="1" s="1"/>
  <c r="F1622" i="1" a="1"/>
  <c r="F1622" i="1" s="1"/>
  <c r="Q1621" i="1" a="1"/>
  <c r="Q1621" i="1"/>
  <c r="P1619" i="1" a="1"/>
  <c r="P1619" i="1"/>
  <c r="K1621" i="1" a="1"/>
  <c r="K1621" i="1"/>
  <c r="I1621" i="1" a="1"/>
  <c r="I1621" i="1"/>
  <c r="F1619" i="1" a="1"/>
  <c r="F1619" i="1" s="1"/>
  <c r="I1622" i="1" a="1"/>
  <c r="I1622" i="1" s="1"/>
  <c r="H1622" i="1" a="1"/>
  <c r="H1622" i="1" s="1"/>
  <c r="P1621" i="1" a="1"/>
  <c r="P1621" i="1" s="1"/>
  <c r="L1621" i="1" a="1"/>
  <c r="L1621" i="1" s="1"/>
  <c r="O1621" i="1" a="1"/>
  <c r="O1621" i="1"/>
  <c r="N1621" i="1" a="1"/>
  <c r="N1621" i="1"/>
  <c r="M1621" i="1" a="1"/>
  <c r="M1621" i="1"/>
  <c r="J1621" i="1" a="1"/>
  <c r="J1621" i="1" s="1"/>
  <c r="H1621" i="1" a="1"/>
  <c r="H1621" i="1" s="1"/>
  <c r="F1621" i="1" a="1"/>
  <c r="F1621" i="1" s="1"/>
  <c r="G1621" i="1" a="1"/>
  <c r="G1621" i="1" s="1"/>
  <c r="I1619" i="1" a="1"/>
  <c r="I1619" i="1" s="1"/>
  <c r="Q1619" i="1" a="1"/>
  <c r="Q1619" i="1" s="1"/>
  <c r="O1619" i="1" a="1"/>
  <c r="O1619" i="1"/>
  <c r="N1619" i="1" a="1"/>
  <c r="N1619" i="1" s="1"/>
  <c r="M1619" i="1" a="1"/>
  <c r="M1619" i="1" s="1"/>
  <c r="J1325" i="1" a="1"/>
  <c r="J1325" i="1" s="1"/>
  <c r="O1324" i="1" a="1"/>
  <c r="O1324" i="1" s="1"/>
  <c r="F1323" i="1" a="1"/>
  <c r="F1323" i="1" s="1"/>
  <c r="H1326" i="1" a="1"/>
  <c r="H1326" i="1" s="1"/>
  <c r="Q1324" i="1" a="1"/>
  <c r="Q1324" i="1" s="1"/>
  <c r="F1325" i="1" a="1"/>
  <c r="F1325" i="1" s="1"/>
  <c r="J1324" i="1" a="1"/>
  <c r="J1324" i="1" s="1"/>
  <c r="H1324" i="1" a="1"/>
  <c r="H1324" i="1" s="1"/>
  <c r="K1326" i="1" a="1"/>
  <c r="K1326" i="1" s="1"/>
  <c r="J1326" i="1" a="1"/>
  <c r="J1326" i="1" s="1"/>
  <c r="H1325" i="1" a="1"/>
  <c r="H1325" i="1"/>
  <c r="P1324" i="1" a="1"/>
  <c r="P1324" i="1" s="1"/>
  <c r="K1325" i="1" a="1"/>
  <c r="K1325" i="1" s="1"/>
  <c r="F1324" i="1" a="1"/>
  <c r="F1324" i="1" s="1"/>
  <c r="L1323" i="1" a="1"/>
  <c r="L1323" i="1" s="1"/>
  <c r="I1326" i="1" a="1"/>
  <c r="I1326" i="1" s="1"/>
  <c r="G1326" i="1" a="1"/>
  <c r="G1326" i="1" s="1"/>
  <c r="G1324" i="1" a="1"/>
  <c r="G1324" i="1"/>
  <c r="Q1325" i="1" a="1"/>
  <c r="Q1325" i="1"/>
  <c r="P1325" i="1" a="1"/>
  <c r="P1325" i="1"/>
  <c r="O1325" i="1" a="1"/>
  <c r="O1325" i="1" s="1"/>
  <c r="L1325" i="1" a="1"/>
  <c r="L1325" i="1" s="1"/>
  <c r="N1324" i="1" a="1"/>
  <c r="N1324" i="1" s="1"/>
  <c r="O1323" i="1" a="1"/>
  <c r="O1323" i="1" s="1"/>
  <c r="I1324" i="1" a="1"/>
  <c r="I1324" i="1" s="1"/>
  <c r="L1324" i="1" a="1"/>
  <c r="L1324" i="1" s="1"/>
  <c r="K1324" i="1" a="1"/>
  <c r="K1324" i="1"/>
  <c r="N1325" i="1" a="1"/>
  <c r="N1325" i="1" s="1"/>
  <c r="G1323" i="1" a="1"/>
  <c r="G1323" i="1"/>
  <c r="H1323" i="1" a="1"/>
  <c r="H1323" i="1" s="1"/>
  <c r="M1325" i="1" a="1"/>
  <c r="M1325" i="1" s="1"/>
  <c r="Q1323" i="1" a="1"/>
  <c r="Q1323" i="1" s="1"/>
  <c r="G1325" i="1" a="1"/>
  <c r="G1325" i="1" s="1"/>
  <c r="N1323" i="1" a="1"/>
  <c r="N1323" i="1" s="1"/>
  <c r="P1323" i="1" a="1"/>
  <c r="P1323" i="1" s="1"/>
  <c r="M1323" i="1" a="1"/>
  <c r="M1323" i="1"/>
  <c r="K1323" i="1" a="1"/>
  <c r="K1323" i="1" s="1"/>
  <c r="I1323" i="1" a="1"/>
  <c r="I1323" i="1" s="1"/>
  <c r="M1324" i="1" a="1"/>
  <c r="M1324" i="1" s="1"/>
  <c r="F1326" i="1" a="1"/>
  <c r="F1326" i="1" s="1"/>
  <c r="J1323" i="1" a="1"/>
  <c r="J1323" i="1" s="1"/>
  <c r="I1325" i="1" a="1"/>
  <c r="I1325" i="1" s="1"/>
  <c r="N1523" i="1" a="1"/>
  <c r="N1523" i="1"/>
  <c r="M1523" i="1" a="1"/>
  <c r="M1523" i="1" s="1"/>
  <c r="Q1523" i="1" a="1"/>
  <c r="Q1523" i="1" s="1"/>
  <c r="O1525" i="1" a="1"/>
  <c r="O1525" i="1" s="1"/>
  <c r="H1524" i="1" a="1"/>
  <c r="H1524" i="1"/>
  <c r="Q1526" i="1" a="1"/>
  <c r="Q1526" i="1"/>
  <c r="P1524" i="1" a="1"/>
  <c r="P1524" i="1"/>
  <c r="P1526" i="1" a="1"/>
  <c r="P1526" i="1" s="1"/>
  <c r="M1524" i="1" a="1"/>
  <c r="M1524" i="1"/>
  <c r="I1524" i="1" a="1"/>
  <c r="I1524" i="1" s="1"/>
  <c r="G1527" i="1" a="1"/>
  <c r="G1527" i="1" s="1"/>
  <c r="L1526" i="1" a="1"/>
  <c r="L1526" i="1" s="1"/>
  <c r="F1524" i="1" a="1"/>
  <c r="F1524" i="1" s="1"/>
  <c r="K1526" i="1" a="1"/>
  <c r="K1526" i="1" s="1"/>
  <c r="L1525" i="1" a="1"/>
  <c r="L1525" i="1"/>
  <c r="F1526" i="1" a="1"/>
  <c r="F1526" i="1"/>
  <c r="J1524" i="1" a="1"/>
  <c r="J1524" i="1"/>
  <c r="P1525" i="1" a="1"/>
  <c r="P1525" i="1"/>
  <c r="H1525" i="1" a="1"/>
  <c r="H1525" i="1" s="1"/>
  <c r="J1525" i="1" a="1"/>
  <c r="J1525" i="1" s="1"/>
  <c r="I1525" i="1" a="1"/>
  <c r="I1525" i="1" s="1"/>
  <c r="G1525" i="1" a="1"/>
  <c r="G1525" i="1" s="1"/>
  <c r="F1525" i="1" a="1"/>
  <c r="F1525" i="1" s="1"/>
  <c r="K1524" i="1" a="1"/>
  <c r="K1524" i="1"/>
  <c r="G1523" i="1" a="1"/>
  <c r="G1523" i="1" s="1"/>
  <c r="K1523" i="1" a="1"/>
  <c r="K1523" i="1" s="1"/>
  <c r="Q1524" i="1" a="1"/>
  <c r="Q1524" i="1" s="1"/>
  <c r="O1526" i="1" a="1"/>
  <c r="O1526" i="1" s="1"/>
  <c r="J1523" i="1" a="1"/>
  <c r="J1523" i="1"/>
  <c r="M1526" i="1" a="1"/>
  <c r="M1526" i="1"/>
  <c r="K1525" i="1" a="1"/>
  <c r="K1525" i="1"/>
  <c r="L1523" i="1" a="1"/>
  <c r="L1523" i="1" s="1"/>
  <c r="O1523" i="1" a="1"/>
  <c r="O1523" i="1" s="1"/>
  <c r="I1523" i="1" a="1"/>
  <c r="I1523" i="1"/>
  <c r="J1526" i="1" a="1"/>
  <c r="J1526" i="1"/>
  <c r="I1526" i="1" a="1"/>
  <c r="I1526" i="1"/>
  <c r="O1524" i="1" a="1"/>
  <c r="O1524" i="1"/>
  <c r="L1524" i="1" a="1"/>
  <c r="L1524" i="1" s="1"/>
  <c r="G1526" i="1" a="1"/>
  <c r="G1526" i="1" s="1"/>
  <c r="F1523" i="1" a="1"/>
  <c r="F1523" i="1"/>
  <c r="N1525" i="1" a="1"/>
  <c r="N1525" i="1" s="1"/>
  <c r="F1527" i="1" a="1"/>
  <c r="F1527" i="1" s="1"/>
  <c r="H1523" i="1" a="1"/>
  <c r="H1523" i="1"/>
  <c r="N1524" i="1" a="1"/>
  <c r="N1524" i="1"/>
  <c r="P1523" i="1" a="1"/>
  <c r="P1523" i="1"/>
  <c r="Q1525" i="1" a="1"/>
  <c r="Q1525" i="1"/>
  <c r="J1527" i="1" a="1"/>
  <c r="J1527" i="1"/>
  <c r="I1527" i="1" a="1"/>
  <c r="I1527" i="1" s="1"/>
  <c r="H1527" i="1" a="1"/>
  <c r="H1527" i="1" s="1"/>
  <c r="N1526" i="1" a="1"/>
  <c r="N1526" i="1" s="1"/>
  <c r="H1526" i="1" a="1"/>
  <c r="H1526" i="1" s="1"/>
  <c r="M1525" i="1" a="1"/>
  <c r="M1525" i="1"/>
  <c r="G1524" i="1" a="1"/>
  <c r="G1524" i="1" s="1"/>
  <c r="N1520" i="1" a="1"/>
  <c r="N1520" i="1" s="1"/>
  <c r="K1520" i="1" a="1"/>
  <c r="K1520" i="1"/>
  <c r="I1520" i="1" a="1"/>
  <c r="I1520" i="1" s="1"/>
  <c r="Q1519" i="1" a="1"/>
  <c r="Q1519" i="1"/>
  <c r="Q1522" i="1" a="1"/>
  <c r="Q1522" i="1"/>
  <c r="K1521" i="1" a="1"/>
  <c r="K1521" i="1"/>
  <c r="L1520" i="1" a="1"/>
  <c r="L1520" i="1"/>
  <c r="P1522" i="1" a="1"/>
  <c r="P1522" i="1"/>
  <c r="M1519" i="1" a="1"/>
  <c r="M1519" i="1" s="1"/>
  <c r="O1522" i="1" a="1"/>
  <c r="O1522" i="1"/>
  <c r="J1521" i="1" a="1"/>
  <c r="J1521" i="1"/>
  <c r="N1522" i="1" a="1"/>
  <c r="N1522" i="1"/>
  <c r="K1522" i="1" a="1"/>
  <c r="K1522" i="1" s="1"/>
  <c r="N1521" i="1" a="1"/>
  <c r="N1521" i="1"/>
  <c r="M1522" i="1" a="1"/>
  <c r="M1522" i="1" s="1"/>
  <c r="J1520" i="1" a="1"/>
  <c r="J1520" i="1" s="1"/>
  <c r="F1520" i="1" a="1"/>
  <c r="F1520" i="1" s="1"/>
  <c r="L1522" i="1" a="1"/>
  <c r="L1522" i="1" s="1"/>
  <c r="F1521" i="1" a="1"/>
  <c r="F1521" i="1"/>
  <c r="J1522" i="1" a="1"/>
  <c r="J1522" i="1"/>
  <c r="I1522" i="1" a="1"/>
  <c r="I1522" i="1"/>
  <c r="Q1521" i="1" a="1"/>
  <c r="Q1521" i="1"/>
  <c r="G1520" i="1" a="1"/>
  <c r="G1520" i="1"/>
  <c r="H1522" i="1" a="1"/>
  <c r="H1522" i="1" s="1"/>
  <c r="G1522" i="1" a="1"/>
  <c r="G1522" i="1" s="1"/>
  <c r="F1522" i="1" a="1"/>
  <c r="F1522" i="1" s="1"/>
  <c r="P1521" i="1" a="1"/>
  <c r="P1521" i="1" s="1"/>
  <c r="P1519" i="1" a="1"/>
  <c r="P1519" i="1"/>
  <c r="O1521" i="1" a="1"/>
  <c r="O1521" i="1" s="1"/>
  <c r="M1521" i="1" a="1"/>
  <c r="M1521" i="1"/>
  <c r="L1521" i="1" a="1"/>
  <c r="L1521" i="1" s="1"/>
  <c r="I1521" i="1" a="1"/>
  <c r="I1521" i="1"/>
  <c r="M1520" i="1" a="1"/>
  <c r="M1520" i="1" s="1"/>
  <c r="H1520" i="1" a="1"/>
  <c r="H1520" i="1" s="1"/>
  <c r="H1521" i="1" a="1"/>
  <c r="H1521" i="1"/>
  <c r="G1521" i="1" a="1"/>
  <c r="G1521" i="1"/>
  <c r="Q1520" i="1" a="1"/>
  <c r="Q1520" i="1"/>
  <c r="P1520" i="1" a="1"/>
  <c r="P1520" i="1" s="1"/>
  <c r="O1520" i="1" a="1"/>
  <c r="O1520" i="1"/>
  <c r="O1519" i="1" a="1"/>
  <c r="O1519" i="1"/>
  <c r="N1519" i="1" a="1"/>
  <c r="N1519" i="1"/>
  <c r="L1519" i="1" a="1"/>
  <c r="L1519" i="1" s="1"/>
  <c r="K1519" i="1" a="1"/>
  <c r="K1519" i="1"/>
  <c r="J1519" i="1" a="1"/>
  <c r="J1519" i="1" s="1"/>
  <c r="I1519" i="1" a="1"/>
  <c r="I1519" i="1" s="1"/>
  <c r="H1519" i="1" a="1"/>
  <c r="H1519" i="1"/>
  <c r="G1519" i="1" a="1"/>
  <c r="G1519" i="1"/>
  <c r="F1519" i="1" a="1"/>
  <c r="F1519" i="1" s="1"/>
  <c r="N1516" i="1" a="1"/>
  <c r="N1516" i="1" s="1"/>
  <c r="O1515" i="1" a="1"/>
  <c r="O1515" i="1"/>
  <c r="M1516" i="1" a="1"/>
  <c r="M1516" i="1"/>
  <c r="Q1516" i="1" a="1"/>
  <c r="Q1516" i="1"/>
  <c r="G1516" i="1" a="1"/>
  <c r="G1516" i="1" s="1"/>
  <c r="P1515" i="1" a="1"/>
  <c r="P1515" i="1" s="1"/>
  <c r="Q1517" i="1" a="1"/>
  <c r="Q1517" i="1" s="1"/>
  <c r="L1516" i="1" a="1"/>
  <c r="L1516" i="1" s="1"/>
  <c r="G1515" i="1" a="1"/>
  <c r="G1515" i="1"/>
  <c r="P1517" i="1" a="1"/>
  <c r="P1517" i="1"/>
  <c r="I1515" i="1" a="1"/>
  <c r="I1515" i="1" s="1"/>
  <c r="O1517" i="1" a="1"/>
  <c r="O1517" i="1"/>
  <c r="F1517" i="1" a="1"/>
  <c r="F1517" i="1" s="1"/>
  <c r="L1515" i="1" a="1"/>
  <c r="L1515" i="1"/>
  <c r="N1517" i="1" a="1"/>
  <c r="N1517" i="1" s="1"/>
  <c r="M1517" i="1" a="1"/>
  <c r="M1517" i="1" s="1"/>
  <c r="H1517" i="1" a="1"/>
  <c r="H1517" i="1"/>
  <c r="H1516" i="1" a="1"/>
  <c r="H1516" i="1"/>
  <c r="I1517" i="1" a="1"/>
  <c r="I1517" i="1" s="1"/>
  <c r="Q1515" i="1" a="1"/>
  <c r="Q1515" i="1"/>
  <c r="F1515" i="1" a="1"/>
  <c r="F1515" i="1"/>
  <c r="L1517" i="1" a="1"/>
  <c r="L1517" i="1"/>
  <c r="K1517" i="1" a="1"/>
  <c r="K1517" i="1" s="1"/>
  <c r="N1515" i="1" a="1"/>
  <c r="N1515" i="1" s="1"/>
  <c r="J1517" i="1" a="1"/>
  <c r="J1517" i="1" s="1"/>
  <c r="J1516" i="1" a="1"/>
  <c r="J1516" i="1"/>
  <c r="F1516" i="1" a="1"/>
  <c r="F1516" i="1"/>
  <c r="G1517" i="1" a="1"/>
  <c r="G1517" i="1" s="1"/>
  <c r="P1516" i="1" a="1"/>
  <c r="P1516" i="1" s="1"/>
  <c r="O1516" i="1" a="1"/>
  <c r="O1516" i="1"/>
  <c r="K1516" i="1" a="1"/>
  <c r="K1516" i="1"/>
  <c r="I1516" i="1" a="1"/>
  <c r="I1516" i="1" s="1"/>
  <c r="K1515" i="1" a="1"/>
  <c r="K1515" i="1" s="1"/>
  <c r="H1515" i="1" a="1"/>
  <c r="H1515" i="1" s="1"/>
  <c r="M1515" i="1" a="1"/>
  <c r="M1515" i="1" s="1"/>
  <c r="J1515" i="1" a="1"/>
  <c r="J1515" i="1" s="1"/>
  <c r="O1513" i="1" a="1"/>
  <c r="O1513" i="1" s="1"/>
  <c r="I1513" i="1" a="1"/>
  <c r="I1513" i="1" s="1"/>
  <c r="P1514" i="1" a="1"/>
  <c r="P1514" i="1" s="1"/>
  <c r="N1514" i="1" a="1"/>
  <c r="N1514" i="1"/>
  <c r="G1514" i="1" a="1"/>
  <c r="G1514" i="1"/>
  <c r="F1514" i="1" a="1"/>
  <c r="F1514" i="1"/>
  <c r="Q1513" i="1" a="1"/>
  <c r="Q1513" i="1"/>
  <c r="N1513" i="1" a="1"/>
  <c r="N1513" i="1"/>
  <c r="H1513" i="1" a="1"/>
  <c r="H1513" i="1" s="1"/>
  <c r="G1513" i="1" a="1"/>
  <c r="G1513" i="1" s="1"/>
  <c r="Q1514" i="1" a="1"/>
  <c r="Q1514" i="1"/>
  <c r="L1513" i="1" a="1"/>
  <c r="L1513" i="1" s="1"/>
  <c r="F1513" i="1" a="1"/>
  <c r="F1513" i="1"/>
  <c r="M1513" i="1" a="1"/>
  <c r="M1513" i="1"/>
  <c r="M1514" i="1" a="1"/>
  <c r="M1514" i="1"/>
  <c r="L1514" i="1" a="1"/>
  <c r="L1514" i="1" s="1"/>
  <c r="K1514" i="1" a="1"/>
  <c r="K1514" i="1" s="1"/>
  <c r="J1514" i="1" a="1"/>
  <c r="J1514" i="1"/>
  <c r="I1514" i="1" a="1"/>
  <c r="I1514" i="1"/>
  <c r="H1514" i="1" a="1"/>
  <c r="H1514" i="1" s="1"/>
  <c r="J1513" i="1" a="1"/>
  <c r="J1513" i="1" s="1"/>
  <c r="P1513" i="1" a="1"/>
  <c r="P1513" i="1"/>
  <c r="O1514" i="1" a="1"/>
  <c r="O1514" i="1" s="1"/>
  <c r="K1513" i="1" a="1"/>
  <c r="K1513" i="1"/>
  <c r="J1505" i="1" a="1"/>
  <c r="J1505" i="1" s="1"/>
  <c r="L1506" i="1" a="1"/>
  <c r="L1506" i="1"/>
  <c r="H1505" i="1" a="1"/>
  <c r="H1505" i="1" s="1"/>
  <c r="F1505" i="1" a="1"/>
  <c r="F1505" i="1" s="1"/>
  <c r="O1505" i="1" a="1"/>
  <c r="O1505" i="1" s="1"/>
  <c r="I1505" i="1" a="1"/>
  <c r="I1505" i="1" s="1"/>
  <c r="P1505" i="1" a="1"/>
  <c r="P1505" i="1" s="1"/>
  <c r="M1507" i="1" a="1"/>
  <c r="M1507" i="1"/>
  <c r="L1505" i="1" a="1"/>
  <c r="L1505" i="1"/>
  <c r="H1506" i="1" a="1"/>
  <c r="H1506" i="1"/>
  <c r="N1505" i="1" a="1"/>
  <c r="N1505" i="1"/>
  <c r="K1505" i="1" a="1"/>
  <c r="K1505" i="1"/>
  <c r="N1506" i="1" a="1"/>
  <c r="N1506" i="1"/>
  <c r="Q1506" i="1" a="1"/>
  <c r="Q1506" i="1"/>
  <c r="P1507" i="1" a="1"/>
  <c r="P1507" i="1"/>
  <c r="Q1505" i="1" a="1"/>
  <c r="Q1505" i="1"/>
  <c r="G1505" i="1" a="1"/>
  <c r="G1505" i="1" s="1"/>
  <c r="M1505" i="1" a="1"/>
  <c r="M1505" i="1"/>
  <c r="Q1507" i="1" a="1"/>
  <c r="Q1507" i="1"/>
  <c r="G1506" i="1" a="1"/>
  <c r="G1506" i="1"/>
  <c r="L1507" i="1" a="1"/>
  <c r="L1507" i="1" s="1"/>
  <c r="G1507" i="1" a="1"/>
  <c r="G1507" i="1"/>
  <c r="M1506" i="1" a="1"/>
  <c r="M1506" i="1"/>
  <c r="H1507" i="1" a="1"/>
  <c r="H1507" i="1"/>
  <c r="N1507" i="1" a="1"/>
  <c r="N1507" i="1"/>
  <c r="F1507" i="1" a="1"/>
  <c r="F1507" i="1"/>
  <c r="I1506" i="1" a="1"/>
  <c r="I1506" i="1"/>
  <c r="P1506" i="1" a="1"/>
  <c r="P1506" i="1"/>
  <c r="F1506" i="1" a="1"/>
  <c r="F1506" i="1"/>
  <c r="K1506" i="1" a="1"/>
  <c r="K1506" i="1"/>
  <c r="J1507" i="1" a="1"/>
  <c r="J1507" i="1"/>
  <c r="I1507" i="1" a="1"/>
  <c r="I1507" i="1" s="1"/>
  <c r="K1507" i="1" a="1"/>
  <c r="K1507" i="1" s="1"/>
  <c r="O1507" i="1" a="1"/>
  <c r="O1507" i="1" s="1"/>
  <c r="O1506" i="1" a="1"/>
  <c r="O1506" i="1" s="1"/>
  <c r="J1506" i="1" a="1"/>
  <c r="J1506" i="1"/>
  <c r="O1504" i="1" a="1"/>
  <c r="O1504" i="1"/>
  <c r="N1504" i="1" a="1"/>
  <c r="N1504" i="1"/>
  <c r="M1504" i="1" a="1"/>
  <c r="M1504" i="1"/>
  <c r="L1504" i="1" a="1"/>
  <c r="L1504" i="1"/>
  <c r="N1502" i="1" a="1"/>
  <c r="N1502" i="1"/>
  <c r="G1502" i="1" a="1"/>
  <c r="G1502" i="1"/>
  <c r="K1504" i="1" a="1"/>
  <c r="K1504" i="1"/>
  <c r="P1502" i="1" a="1"/>
  <c r="P1502" i="1"/>
  <c r="P1501" i="1" a="1"/>
  <c r="P1501" i="1"/>
  <c r="K1501" i="1" a="1"/>
  <c r="K1501" i="1" s="1"/>
  <c r="L1500" i="1" a="1"/>
  <c r="L1500" i="1"/>
  <c r="M1502" i="1" a="1"/>
  <c r="M1502" i="1"/>
  <c r="J1502" i="1" a="1"/>
  <c r="J1502" i="1" s="1"/>
  <c r="F1502" i="1" a="1"/>
  <c r="F1502" i="1" s="1"/>
  <c r="I1500" i="1" a="1"/>
  <c r="I1500" i="1"/>
  <c r="J1499" i="1" a="1"/>
  <c r="J1499" i="1"/>
  <c r="J1504" i="1" a="1"/>
  <c r="J1504" i="1"/>
  <c r="O1502" i="1" a="1"/>
  <c r="O1502" i="1"/>
  <c r="K1500" i="1" a="1"/>
  <c r="K1500" i="1"/>
  <c r="N1499" i="1" a="1"/>
  <c r="N1499" i="1"/>
  <c r="I1504" i="1" a="1"/>
  <c r="I1504" i="1"/>
  <c r="H1504" i="1" a="1"/>
  <c r="H1504" i="1"/>
  <c r="G1504" i="1" a="1"/>
  <c r="G1504" i="1"/>
  <c r="F1501" i="1" a="1"/>
  <c r="F1501" i="1"/>
  <c r="F1504" i="1" a="1"/>
  <c r="F1504" i="1" s="1"/>
  <c r="H1501" i="1" a="1"/>
  <c r="H1501" i="1" s="1"/>
  <c r="J1501" i="1" a="1"/>
  <c r="J1501" i="1" s="1"/>
  <c r="H1499" i="1" a="1"/>
  <c r="H1499" i="1"/>
  <c r="G1499" i="1" a="1"/>
  <c r="G1499" i="1" s="1"/>
  <c r="M1501" i="1" a="1"/>
  <c r="M1501" i="1"/>
  <c r="O1500" i="1" a="1"/>
  <c r="O1500" i="1" s="1"/>
  <c r="J1500" i="1" a="1"/>
  <c r="J1500" i="1" s="1"/>
  <c r="O1499" i="1" a="1"/>
  <c r="O1499" i="1" s="1"/>
  <c r="M1500" i="1" a="1"/>
  <c r="M1500" i="1" s="1"/>
  <c r="N1500" i="1" a="1"/>
  <c r="N1500" i="1" s="1"/>
  <c r="H1502" i="1" a="1"/>
  <c r="H1502" i="1" s="1"/>
  <c r="L1502" i="1" a="1"/>
  <c r="L1502" i="1"/>
  <c r="M1499" i="1" a="1"/>
  <c r="M1499" i="1" s="1"/>
  <c r="K1499" i="1" a="1"/>
  <c r="K1499" i="1" s="1"/>
  <c r="N1501" i="1" a="1"/>
  <c r="N1501" i="1"/>
  <c r="F1500" i="1" a="1"/>
  <c r="F1500" i="1" s="1"/>
  <c r="G1501" i="1" a="1"/>
  <c r="G1501" i="1"/>
  <c r="K1502" i="1" a="1"/>
  <c r="K1502" i="1"/>
  <c r="P1500" i="1" a="1"/>
  <c r="P1500" i="1"/>
  <c r="Q1502" i="1" a="1"/>
  <c r="Q1502" i="1"/>
  <c r="G1500" i="1" a="1"/>
  <c r="G1500" i="1" s="1"/>
  <c r="Q1504" i="1" a="1"/>
  <c r="Q1504" i="1" s="1"/>
  <c r="P1499" i="1" a="1"/>
  <c r="P1499" i="1" s="1"/>
  <c r="I1501" i="1" a="1"/>
  <c r="I1501" i="1" s="1"/>
  <c r="Q1499" i="1" a="1"/>
  <c r="Q1499" i="1" s="1"/>
  <c r="I1502" i="1" a="1"/>
  <c r="I1502" i="1" s="1"/>
  <c r="O1501" i="1" a="1"/>
  <c r="O1501" i="1" s="1"/>
  <c r="L1501" i="1" a="1"/>
  <c r="L1501" i="1"/>
  <c r="Q1500" i="1" a="1"/>
  <c r="Q1500" i="1" s="1"/>
  <c r="L1499" i="1" a="1"/>
  <c r="L1499" i="1" s="1"/>
  <c r="I1499" i="1" a="1"/>
  <c r="I1499" i="1"/>
  <c r="H1500" i="1" a="1"/>
  <c r="H1500" i="1"/>
  <c r="Q1501" i="1" a="1"/>
  <c r="Q1501" i="1" s="1"/>
  <c r="P1504" i="1" a="1"/>
  <c r="P1504" i="1" s="1"/>
  <c r="K1492" i="1" a="1"/>
  <c r="K1492" i="1" s="1"/>
  <c r="L1494" i="1" a="1"/>
  <c r="L1494" i="1"/>
  <c r="H1487" i="1" a="1"/>
  <c r="H1487" i="1" s="1"/>
  <c r="Q1494" i="1" a="1"/>
  <c r="Q1494" i="1" s="1"/>
  <c r="P1492" i="1" a="1"/>
  <c r="P1492" i="1" s="1"/>
  <c r="J1487" i="1" a="1"/>
  <c r="J1487" i="1" s="1"/>
  <c r="H1492" i="1" a="1"/>
  <c r="H1492" i="1" s="1"/>
  <c r="G1487" i="1" a="1"/>
  <c r="G1487" i="1" s="1"/>
  <c r="O1494" i="1" a="1"/>
  <c r="O1494" i="1" s="1"/>
  <c r="J1492" i="1" a="1"/>
  <c r="J1492" i="1" s="1"/>
  <c r="N1494" i="1" a="1"/>
  <c r="N1494" i="1" s="1"/>
  <c r="Q1485" i="1" a="1"/>
  <c r="Q1485" i="1" s="1"/>
  <c r="L1492" i="1" a="1"/>
  <c r="L1492" i="1"/>
  <c r="F1494" i="1" a="1"/>
  <c r="F1494" i="1"/>
  <c r="M1492" i="1" a="1"/>
  <c r="M1492" i="1"/>
  <c r="I1492" i="1" a="1"/>
  <c r="I1492" i="1"/>
  <c r="G1492" i="1" a="1"/>
  <c r="G1492" i="1" s="1"/>
  <c r="J1494" i="1" a="1"/>
  <c r="J1494" i="1" s="1"/>
  <c r="N1487" i="1" a="1"/>
  <c r="N1487" i="1"/>
  <c r="F1499" i="1" a="1"/>
  <c r="F1499" i="1"/>
  <c r="Q1487" i="1" a="1"/>
  <c r="Q1487" i="1"/>
  <c r="K1487" i="1" a="1"/>
  <c r="K1487" i="1"/>
  <c r="O1487" i="1" a="1"/>
  <c r="O1487" i="1"/>
  <c r="F1492" i="1" a="1"/>
  <c r="F1492" i="1" s="1"/>
  <c r="G1494" i="1" a="1"/>
  <c r="G1494" i="1"/>
  <c r="P1494" i="1" a="1"/>
  <c r="P1494" i="1"/>
  <c r="Q1492" i="1" a="1"/>
  <c r="Q1492" i="1" s="1"/>
  <c r="N1492" i="1" a="1"/>
  <c r="N1492" i="1" s="1"/>
  <c r="P1487" i="1" a="1"/>
  <c r="P1487" i="1"/>
  <c r="O1492" i="1" a="1"/>
  <c r="O1492" i="1" s="1"/>
  <c r="I1487" i="1" a="1"/>
  <c r="I1487" i="1" s="1"/>
  <c r="M1494" i="1" a="1"/>
  <c r="M1494" i="1"/>
  <c r="K1494" i="1" a="1"/>
  <c r="K1494" i="1" s="1"/>
  <c r="H1494" i="1" a="1"/>
  <c r="H1494" i="1" s="1"/>
  <c r="M1487" i="1" a="1"/>
  <c r="M1487" i="1" s="1"/>
  <c r="I1494" i="1" a="1"/>
  <c r="I1494" i="1" s="1"/>
  <c r="L1487" i="1" a="1"/>
  <c r="L1487" i="1" s="1"/>
  <c r="F1487" i="1" a="1"/>
  <c r="F1487" i="1" s="1"/>
  <c r="K1485" i="1" a="1"/>
  <c r="K1485" i="1" s="1"/>
  <c r="H1485" i="1" a="1"/>
  <c r="H1485" i="1" s="1"/>
  <c r="J1485" i="1" a="1"/>
  <c r="J1485" i="1" s="1"/>
  <c r="P1485" i="1" a="1"/>
  <c r="P1485" i="1" s="1"/>
  <c r="O1485" i="1" a="1"/>
  <c r="O1485" i="1"/>
  <c r="N1485" i="1" a="1"/>
  <c r="N1485" i="1"/>
  <c r="M1485" i="1" a="1"/>
  <c r="M1485" i="1" s="1"/>
  <c r="L1485" i="1" a="1"/>
  <c r="L1485" i="1" s="1"/>
  <c r="I1485" i="1" a="1"/>
  <c r="I1485" i="1"/>
  <c r="G1485" i="1" a="1"/>
  <c r="G1485" i="1" s="1"/>
  <c r="F1485" i="1" a="1"/>
  <c r="F1485" i="1"/>
  <c r="J1455" i="1" a="1"/>
  <c r="J1455" i="1"/>
  <c r="H1456" i="1" a="1"/>
  <c r="H1456" i="1"/>
  <c r="P1455" i="1" a="1"/>
  <c r="P1455" i="1" s="1"/>
  <c r="Q1456" i="1" a="1"/>
  <c r="Q1456" i="1" s="1"/>
  <c r="I1457" i="1" a="1"/>
  <c r="I1457" i="1"/>
  <c r="M1457" i="1" a="1"/>
  <c r="M1457" i="1"/>
  <c r="J1456" i="1" a="1"/>
  <c r="J1456" i="1"/>
  <c r="F1456" i="1" a="1"/>
  <c r="F1456" i="1" s="1"/>
  <c r="Q1458" i="1" a="1"/>
  <c r="Q1458" i="1"/>
  <c r="P1458" i="1" a="1"/>
  <c r="P1458" i="1"/>
  <c r="I1456" i="1" a="1"/>
  <c r="I1456" i="1" s="1"/>
  <c r="O1458" i="1" a="1"/>
  <c r="O1458" i="1" s="1"/>
  <c r="N1458" i="1" a="1"/>
  <c r="N1458" i="1"/>
  <c r="F1455" i="1" a="1"/>
  <c r="F1455" i="1" s="1"/>
  <c r="M1458" i="1" a="1"/>
  <c r="M1458" i="1"/>
  <c r="L1458" i="1" a="1"/>
  <c r="L1458" i="1"/>
  <c r="L1455" i="1" a="1"/>
  <c r="L1455" i="1"/>
  <c r="O1457" i="1" a="1"/>
  <c r="O1457" i="1" s="1"/>
  <c r="K1458" i="1" a="1"/>
  <c r="K1458" i="1"/>
  <c r="O1455" i="1" a="1"/>
  <c r="O1455" i="1"/>
  <c r="G1458" i="1" a="1"/>
  <c r="G1458" i="1"/>
  <c r="Q1455" i="1" a="1"/>
  <c r="Q1455" i="1" s="1"/>
  <c r="K1455" i="1" a="1"/>
  <c r="K1455" i="1"/>
  <c r="L1457" i="1" a="1"/>
  <c r="L1457" i="1" s="1"/>
  <c r="J1458" i="1" a="1"/>
  <c r="J1458" i="1" s="1"/>
  <c r="H1458" i="1" a="1"/>
  <c r="H1458" i="1"/>
  <c r="L1454" i="1" a="1"/>
  <c r="L1454" i="1"/>
  <c r="N1457" i="1" a="1"/>
  <c r="N1457" i="1"/>
  <c r="K1457" i="1" a="1"/>
  <c r="K1457" i="1" s="1"/>
  <c r="O1456" i="1" a="1"/>
  <c r="O1456" i="1" s="1"/>
  <c r="M1456" i="1" a="1"/>
  <c r="M1456" i="1" s="1"/>
  <c r="L1456" i="1" a="1"/>
  <c r="L1456" i="1" s="1"/>
  <c r="G1455" i="1" a="1"/>
  <c r="G1455" i="1"/>
  <c r="Q1453" i="1" a="1"/>
  <c r="Q1453" i="1"/>
  <c r="G1457" i="1" a="1"/>
  <c r="G1457" i="1"/>
  <c r="M1455" i="1" a="1"/>
  <c r="M1455" i="1" s="1"/>
  <c r="Q1454" i="1" a="1"/>
  <c r="Q1454" i="1"/>
  <c r="G1454" i="1" a="1"/>
  <c r="G1454" i="1"/>
  <c r="J1457" i="1" a="1"/>
  <c r="J1457" i="1" s="1"/>
  <c r="F1457" i="1" a="1"/>
  <c r="F1457" i="1" s="1"/>
  <c r="K1456" i="1" a="1"/>
  <c r="K1456" i="1" s="1"/>
  <c r="K1454" i="1" a="1"/>
  <c r="K1454" i="1"/>
  <c r="G1456" i="1" a="1"/>
  <c r="G1456" i="1"/>
  <c r="N1456" i="1" a="1"/>
  <c r="N1456" i="1"/>
  <c r="H1454" i="1" a="1"/>
  <c r="H1454" i="1"/>
  <c r="I1458" i="1" a="1"/>
  <c r="I1458" i="1" s="1"/>
  <c r="H1455" i="1" a="1"/>
  <c r="H1455" i="1"/>
  <c r="F1458" i="1" a="1"/>
  <c r="F1458" i="1"/>
  <c r="Q1457" i="1" a="1"/>
  <c r="Q1457" i="1"/>
  <c r="N1455" i="1" a="1"/>
  <c r="N1455" i="1"/>
  <c r="P1456" i="1" a="1"/>
  <c r="P1456" i="1"/>
  <c r="P1454" i="1" a="1"/>
  <c r="P1454" i="1" s="1"/>
  <c r="O1454" i="1" a="1"/>
  <c r="O1454" i="1" s="1"/>
  <c r="F1454" i="1" a="1"/>
  <c r="F1454" i="1"/>
  <c r="N1454" i="1" a="1"/>
  <c r="N1454" i="1"/>
  <c r="M1454" i="1" a="1"/>
  <c r="M1454" i="1" s="1"/>
  <c r="P1457" i="1" a="1"/>
  <c r="P1457" i="1" s="1"/>
  <c r="I1455" i="1" a="1"/>
  <c r="I1455" i="1" s="1"/>
  <c r="I1454" i="1" a="1"/>
  <c r="I1454" i="1" s="1"/>
  <c r="J1454" i="1" a="1"/>
  <c r="J1454" i="1" s="1"/>
  <c r="H1457" i="1" a="1"/>
  <c r="H1457" i="1"/>
  <c r="L1451" i="1" a="1"/>
  <c r="L1451" i="1"/>
  <c r="H1451" i="1" a="1"/>
  <c r="H1451" i="1"/>
  <c r="N1449" i="1" a="1"/>
  <c r="N1449" i="1" s="1"/>
  <c r="L1449" i="1" a="1"/>
  <c r="L1449" i="1"/>
  <c r="N1453" i="1" a="1"/>
  <c r="N1453" i="1" s="1"/>
  <c r="O1450" i="1" a="1"/>
  <c r="O1450" i="1"/>
  <c r="Q1451" i="1" a="1"/>
  <c r="Q1451" i="1" s="1"/>
  <c r="G1450" i="1" a="1"/>
  <c r="G1450" i="1" s="1"/>
  <c r="F1450" i="1" a="1"/>
  <c r="F1450" i="1" s="1"/>
  <c r="Q1448" i="1" a="1"/>
  <c r="Q1448" i="1" s="1"/>
  <c r="P1449" i="1" a="1"/>
  <c r="P1449" i="1"/>
  <c r="F1449" i="1" a="1"/>
  <c r="F1449" i="1"/>
  <c r="M1453" i="1" a="1"/>
  <c r="M1453" i="1" s="1"/>
  <c r="L1453" i="1" a="1"/>
  <c r="L1453" i="1"/>
  <c r="K1450" i="1" a="1"/>
  <c r="K1450" i="1"/>
  <c r="K1453" i="1" a="1"/>
  <c r="K1453" i="1" s="1"/>
  <c r="K1449" i="1" a="1"/>
  <c r="K1449" i="1" s="1"/>
  <c r="J1453" i="1" a="1"/>
  <c r="J1453" i="1" s="1"/>
  <c r="G1451" i="1" a="1"/>
  <c r="G1451" i="1"/>
  <c r="F1452" i="1" a="1"/>
  <c r="F1452" i="1" s="1"/>
  <c r="K1451" i="1" a="1"/>
  <c r="K1451" i="1"/>
  <c r="M1450" i="1" a="1"/>
  <c r="M1450" i="1"/>
  <c r="H1453" i="1" a="1"/>
  <c r="H1453" i="1" s="1"/>
  <c r="N1452" i="1" a="1"/>
  <c r="N1452" i="1" s="1"/>
  <c r="I1452" i="1" a="1"/>
  <c r="I1452" i="1" s="1"/>
  <c r="I1449" i="1" a="1"/>
  <c r="I1449" i="1" s="1"/>
  <c r="G1453" i="1" a="1"/>
  <c r="G1453" i="1" s="1"/>
  <c r="N1448" i="1" a="1"/>
  <c r="N1448" i="1"/>
  <c r="N1451" i="1" a="1"/>
  <c r="N1451" i="1"/>
  <c r="Q1450" i="1" a="1"/>
  <c r="Q1450" i="1"/>
  <c r="J1452" i="1" a="1"/>
  <c r="J1452" i="1"/>
  <c r="J1451" i="1" a="1"/>
  <c r="J1451" i="1" s="1"/>
  <c r="P1448" i="1" a="1"/>
  <c r="P1448" i="1" s="1"/>
  <c r="O1448" i="1" a="1"/>
  <c r="O1448" i="1" s="1"/>
  <c r="Q1449" i="1" a="1"/>
  <c r="Q1449" i="1" s="1"/>
  <c r="M1449" i="1" a="1"/>
  <c r="M1449" i="1"/>
  <c r="I1453" i="1" a="1"/>
  <c r="I1453" i="1" s="1"/>
  <c r="L1452" i="1" a="1"/>
  <c r="L1452" i="1" s="1"/>
  <c r="P1450" i="1" a="1"/>
  <c r="P1450" i="1" s="1"/>
  <c r="G1452" i="1" a="1"/>
  <c r="G1452" i="1" s="1"/>
  <c r="Q1452" i="1" a="1"/>
  <c r="Q1452" i="1" s="1"/>
  <c r="O1451" i="1" a="1"/>
  <c r="O1451" i="1"/>
  <c r="K1452" i="1" a="1"/>
  <c r="K1452" i="1"/>
  <c r="H1450" i="1" a="1"/>
  <c r="H1450" i="1" s="1"/>
  <c r="H1452" i="1" a="1"/>
  <c r="H1452" i="1" s="1"/>
  <c r="M1451" i="1" a="1"/>
  <c r="M1451" i="1" s="1"/>
  <c r="L1450" i="1" a="1"/>
  <c r="L1450" i="1"/>
  <c r="J1450" i="1" a="1"/>
  <c r="J1450" i="1"/>
  <c r="F1453" i="1" a="1"/>
  <c r="F1453" i="1"/>
  <c r="P1451" i="1" a="1"/>
  <c r="P1451" i="1"/>
  <c r="I1451" i="1" a="1"/>
  <c r="I1451" i="1"/>
  <c r="N1450" i="1" a="1"/>
  <c r="N1450" i="1"/>
  <c r="G1449" i="1" a="1"/>
  <c r="G1449" i="1"/>
  <c r="F1451" i="1" a="1"/>
  <c r="F1451" i="1"/>
  <c r="I1450" i="1" a="1"/>
  <c r="I1450" i="1" s="1"/>
  <c r="O1449" i="1" a="1"/>
  <c r="O1449" i="1" s="1"/>
  <c r="P1453" i="1" a="1"/>
  <c r="P1453" i="1"/>
  <c r="M1448" i="1" a="1"/>
  <c r="M1448" i="1" s="1"/>
  <c r="O1453" i="1" a="1"/>
  <c r="O1453" i="1" s="1"/>
  <c r="P1452" i="1" a="1"/>
  <c r="P1452" i="1" s="1"/>
  <c r="O1452" i="1" a="1"/>
  <c r="O1452" i="1"/>
  <c r="M1452" i="1" a="1"/>
  <c r="M1452" i="1"/>
  <c r="H1449" i="1" a="1"/>
  <c r="H1449" i="1" s="1"/>
  <c r="J1449" i="1" a="1"/>
  <c r="J1449" i="1" s="1"/>
  <c r="L1448" i="1" a="1"/>
  <c r="L1448" i="1" s="1"/>
  <c r="L1447" i="1" a="1"/>
  <c r="L1447" i="1" s="1"/>
  <c r="I1448" i="1" a="1"/>
  <c r="I1448" i="1" s="1"/>
  <c r="M1447" i="1" a="1"/>
  <c r="M1447" i="1"/>
  <c r="O1447" i="1" a="1"/>
  <c r="O1447" i="1" s="1"/>
  <c r="K1448" i="1" a="1"/>
  <c r="K1448" i="1" s="1"/>
  <c r="J1448" i="1" a="1"/>
  <c r="J1448" i="1"/>
  <c r="N1447" i="1" a="1"/>
  <c r="N1447" i="1" s="1"/>
  <c r="J1447" i="1" a="1"/>
  <c r="J1447" i="1" s="1"/>
  <c r="F1448" i="1" a="1"/>
  <c r="F1448" i="1" s="1"/>
  <c r="H1448" i="1" a="1"/>
  <c r="H1448" i="1" s="1"/>
  <c r="G1448" i="1" a="1"/>
  <c r="G1448" i="1"/>
  <c r="I1447" i="1" a="1"/>
  <c r="I1447" i="1"/>
  <c r="Q1447" i="1" a="1"/>
  <c r="Q1447" i="1"/>
  <c r="P1447" i="1" a="1"/>
  <c r="P1447" i="1"/>
  <c r="K1447" i="1" a="1"/>
  <c r="K1447" i="1" s="1"/>
  <c r="H1447" i="1" a="1"/>
  <c r="H1447" i="1" s="1"/>
  <c r="G1447" i="1" a="1"/>
  <c r="G1447" i="1" s="1"/>
  <c r="F1447" i="1" a="1"/>
  <c r="F1447" i="1" s="1"/>
  <c r="J1446" i="1" a="1"/>
  <c r="J1446" i="1" s="1"/>
  <c r="L1446" i="1" a="1"/>
  <c r="L1446" i="1"/>
  <c r="H1446" i="1" a="1"/>
  <c r="H1446" i="1" s="1"/>
  <c r="F1446" i="1" a="1"/>
  <c r="F1446" i="1" s="1"/>
  <c r="M1446" i="1" a="1"/>
  <c r="M1446" i="1" s="1"/>
  <c r="G1446" i="1" a="1"/>
  <c r="G1446" i="1" s="1"/>
  <c r="Q1445" i="1" a="1"/>
  <c r="Q1445" i="1" s="1"/>
  <c r="O1446" i="1" a="1"/>
  <c r="O1446" i="1"/>
  <c r="Q1446" i="1" a="1"/>
  <c r="Q1446" i="1"/>
  <c r="P1446" i="1" a="1"/>
  <c r="P1446" i="1" s="1"/>
  <c r="N1446" i="1" a="1"/>
  <c r="N1446" i="1" s="1"/>
  <c r="K1446" i="1" a="1"/>
  <c r="K1446" i="1"/>
  <c r="I1446" i="1" a="1"/>
  <c r="I1446" i="1" s="1"/>
  <c r="F1445" i="1" a="1"/>
  <c r="F1445" i="1" s="1"/>
  <c r="Q1443" i="1" a="1"/>
  <c r="Q1443" i="1" s="1"/>
  <c r="I1441" i="1" a="1"/>
  <c r="I1441" i="1"/>
  <c r="I1442" i="1" a="1"/>
  <c r="I1442" i="1"/>
  <c r="J1444" i="1" a="1"/>
  <c r="J1444" i="1" s="1"/>
  <c r="H1443" i="1" a="1"/>
  <c r="H1443" i="1" s="1"/>
  <c r="L1443" i="1" a="1"/>
  <c r="L1443" i="1" s="1"/>
  <c r="J1443" i="1" a="1"/>
  <c r="J1443" i="1" s="1"/>
  <c r="M1442" i="1" a="1"/>
  <c r="M1442" i="1" s="1"/>
  <c r="J1441" i="1" a="1"/>
  <c r="J1441" i="1"/>
  <c r="L1442" i="1" a="1"/>
  <c r="L1442" i="1" s="1"/>
  <c r="F1442" i="1" a="1"/>
  <c r="F1442" i="1" s="1"/>
  <c r="G1441" i="1" a="1"/>
  <c r="G1441" i="1" s="1"/>
  <c r="O1442" i="1" a="1"/>
  <c r="O1442" i="1" s="1"/>
  <c r="P1444" i="1" a="1"/>
  <c r="P1444" i="1" s="1"/>
  <c r="O1441" i="1" a="1"/>
  <c r="O1441" i="1" s="1"/>
  <c r="K1441" i="1" a="1"/>
  <c r="K1441" i="1"/>
  <c r="I1445" i="1" a="1"/>
  <c r="I1445" i="1"/>
  <c r="H1445" i="1" a="1"/>
  <c r="H1445" i="1"/>
  <c r="Q1444" i="1" a="1"/>
  <c r="Q1444" i="1" s="1"/>
  <c r="F1444" i="1" a="1"/>
  <c r="F1444" i="1" s="1"/>
  <c r="M1443" i="1" a="1"/>
  <c r="M1443" i="1" s="1"/>
  <c r="O1443" i="1" a="1"/>
  <c r="O1443" i="1" s="1"/>
  <c r="N1442" i="1" a="1"/>
  <c r="N1442" i="1" s="1"/>
  <c r="I1444" i="1" a="1"/>
  <c r="I1444" i="1"/>
  <c r="H1442" i="1" a="1"/>
  <c r="H1442" i="1"/>
  <c r="J1442" i="1" a="1"/>
  <c r="J1442" i="1"/>
  <c r="Q1440" i="1" a="1"/>
  <c r="Q1440" i="1" s="1"/>
  <c r="I1443" i="1" a="1"/>
  <c r="I1443" i="1" s="1"/>
  <c r="F1443" i="1" a="1"/>
  <c r="F1443" i="1" s="1"/>
  <c r="K1442" i="1" a="1"/>
  <c r="K1442" i="1"/>
  <c r="P1440" i="1" a="1"/>
  <c r="P1440" i="1"/>
  <c r="M1445" i="1" a="1"/>
  <c r="M1445" i="1" s="1"/>
  <c r="O1444" i="1" a="1"/>
  <c r="O1444" i="1" s="1"/>
  <c r="H1444" i="1" a="1"/>
  <c r="H1444" i="1" s="1"/>
  <c r="P1443" i="1" a="1"/>
  <c r="P1443" i="1" s="1"/>
  <c r="H1441" i="1" a="1"/>
  <c r="H1441" i="1" s="1"/>
  <c r="F1441" i="1" a="1"/>
  <c r="F1441" i="1" s="1"/>
  <c r="N1444" i="1" a="1"/>
  <c r="N1444" i="1" s="1"/>
  <c r="Q1442" i="1" a="1"/>
  <c r="Q1442" i="1" s="1"/>
  <c r="P1441" i="1" a="1"/>
  <c r="P1441" i="1" s="1"/>
  <c r="L1444" i="1" a="1"/>
  <c r="L1444" i="1" s="1"/>
  <c r="L1445" i="1" a="1"/>
  <c r="L1445" i="1" s="1"/>
  <c r="K1444" i="1" a="1"/>
  <c r="K1444" i="1" s="1"/>
  <c r="Q1441" i="1" a="1"/>
  <c r="Q1441" i="1"/>
  <c r="M1441" i="1" a="1"/>
  <c r="M1441" i="1"/>
  <c r="G1442" i="1" a="1"/>
  <c r="G1442" i="1"/>
  <c r="N1441" i="1" a="1"/>
  <c r="N1441" i="1" s="1"/>
  <c r="G1444" i="1" a="1"/>
  <c r="G1444" i="1" s="1"/>
  <c r="L1441" i="1" a="1"/>
  <c r="L1441" i="1" s="1"/>
  <c r="G1443" i="1" a="1"/>
  <c r="G1443" i="1" s="1"/>
  <c r="P1445" i="1" a="1"/>
  <c r="P1445" i="1" s="1"/>
  <c r="P1442" i="1" a="1"/>
  <c r="P1442" i="1" s="1"/>
  <c r="O1445" i="1" a="1"/>
  <c r="O1445" i="1" s="1"/>
  <c r="N1445" i="1" a="1"/>
  <c r="N1445" i="1"/>
  <c r="K1445" i="1" a="1"/>
  <c r="K1445" i="1" s="1"/>
  <c r="J1445" i="1" a="1"/>
  <c r="J1445" i="1" s="1"/>
  <c r="K1443" i="1" a="1"/>
  <c r="K1443" i="1" s="1"/>
  <c r="G1445" i="1" a="1"/>
  <c r="G1445" i="1"/>
  <c r="M1444" i="1" a="1"/>
  <c r="M1444" i="1"/>
  <c r="N1443" i="1" a="1"/>
  <c r="N1443" i="1"/>
  <c r="J1440" i="1" a="1"/>
  <c r="J1440" i="1" s="1"/>
  <c r="K1439" i="1" a="1"/>
  <c r="K1439" i="1"/>
  <c r="Q1438" i="1" a="1"/>
  <c r="Q1438" i="1"/>
  <c r="P1436" i="1" a="1"/>
  <c r="P1436" i="1" s="1"/>
  <c r="F1438" i="1" a="1"/>
  <c r="F1438" i="1" s="1"/>
  <c r="N1436" i="1" a="1"/>
  <c r="N1436" i="1" s="1"/>
  <c r="O1440" i="1" a="1"/>
  <c r="O1440" i="1" s="1"/>
  <c r="M1440" i="1" a="1"/>
  <c r="M1440" i="1" s="1"/>
  <c r="O1438" i="1" a="1"/>
  <c r="O1438" i="1" s="1"/>
  <c r="K1437" i="1" a="1"/>
  <c r="K1437" i="1" s="1"/>
  <c r="K1436" i="1" a="1"/>
  <c r="K1436" i="1" s="1"/>
  <c r="H1438" i="1" a="1"/>
  <c r="H1438" i="1"/>
  <c r="Q1437" i="1" a="1"/>
  <c r="Q1437" i="1"/>
  <c r="M1437" i="1" a="1"/>
  <c r="M1437" i="1"/>
  <c r="J1437" i="1" a="1"/>
  <c r="J1437" i="1" s="1"/>
  <c r="P1438" i="1" a="1"/>
  <c r="P1438" i="1" s="1"/>
  <c r="O1436" i="1" a="1"/>
  <c r="O1436" i="1" s="1"/>
  <c r="L1438" i="1" a="1"/>
  <c r="L1438" i="1" s="1"/>
  <c r="L1440" i="1" a="1"/>
  <c r="L1440" i="1" s="1"/>
  <c r="G1438" i="1" a="1"/>
  <c r="G1438" i="1" s="1"/>
  <c r="P1437" i="1" a="1"/>
  <c r="P1437" i="1" s="1"/>
  <c r="I1440" i="1" a="1"/>
  <c r="I1440" i="1" s="1"/>
  <c r="G1440" i="1" a="1"/>
  <c r="G1440" i="1" s="1"/>
  <c r="L1439" i="1" a="1"/>
  <c r="L1439" i="1" s="1"/>
  <c r="I1437" i="1" a="1"/>
  <c r="I1437" i="1" s="1"/>
  <c r="G1439" i="1" a="1"/>
  <c r="G1439" i="1"/>
  <c r="F1439" i="1" a="1"/>
  <c r="F1439" i="1"/>
  <c r="I1438" i="1" a="1"/>
  <c r="I1438" i="1" s="1"/>
  <c r="N1438" i="1" a="1"/>
  <c r="N1438" i="1" s="1"/>
  <c r="J1438" i="1" a="1"/>
  <c r="J1438" i="1"/>
  <c r="O1437" i="1" a="1"/>
  <c r="O1437" i="1" s="1"/>
  <c r="J1436" i="1" a="1"/>
  <c r="J1436" i="1" s="1"/>
  <c r="H1437" i="1" a="1"/>
  <c r="H1437" i="1"/>
  <c r="G1437" i="1" a="1"/>
  <c r="G1437" i="1" s="1"/>
  <c r="F1440" i="1" a="1"/>
  <c r="F1440" i="1" s="1"/>
  <c r="L1436" i="1" a="1"/>
  <c r="L1436" i="1" s="1"/>
  <c r="P1439" i="1" a="1"/>
  <c r="P1439" i="1" s="1"/>
  <c r="I1436" i="1" a="1"/>
  <c r="I1436" i="1" s="1"/>
  <c r="H1436" i="1" a="1"/>
  <c r="H1436" i="1" s="1"/>
  <c r="F1437" i="1" a="1"/>
  <c r="F1437" i="1"/>
  <c r="O1439" i="1" a="1"/>
  <c r="O1439" i="1" s="1"/>
  <c r="H1439" i="1" a="1"/>
  <c r="H1439" i="1" s="1"/>
  <c r="Q1436" i="1" a="1"/>
  <c r="Q1436" i="1"/>
  <c r="M1439" i="1" a="1"/>
  <c r="M1439" i="1"/>
  <c r="K1438" i="1" a="1"/>
  <c r="K1438" i="1" s="1"/>
  <c r="I1439" i="1" a="1"/>
  <c r="I1439" i="1" s="1"/>
  <c r="M1438" i="1" a="1"/>
  <c r="M1438" i="1"/>
  <c r="K1440" i="1" a="1"/>
  <c r="K1440" i="1" s="1"/>
  <c r="Q1439" i="1" a="1"/>
  <c r="Q1439" i="1" s="1"/>
  <c r="N1439" i="1" a="1"/>
  <c r="N1439" i="1" s="1"/>
  <c r="M1436" i="1" a="1"/>
  <c r="M1436" i="1" s="1"/>
  <c r="J1439" i="1" a="1"/>
  <c r="J1439" i="1" s="1"/>
  <c r="N1437" i="1" a="1"/>
  <c r="N1437" i="1" s="1"/>
  <c r="H1440" i="1" a="1"/>
  <c r="H1440" i="1"/>
  <c r="N1440" i="1" a="1"/>
  <c r="N1440" i="1" s="1"/>
  <c r="L1437" i="1" a="1"/>
  <c r="L1437" i="1" s="1"/>
  <c r="J1432" i="1" a="1"/>
  <c r="J1432" i="1"/>
  <c r="I1433" i="1" a="1"/>
  <c r="I1433" i="1" s="1"/>
  <c r="P1432" i="1" a="1"/>
  <c r="P1432" i="1" s="1"/>
  <c r="F1432" i="1" a="1"/>
  <c r="F1432" i="1" s="1"/>
  <c r="K1432" i="1" a="1"/>
  <c r="K1432" i="1" s="1"/>
  <c r="L1433" i="1" a="1"/>
  <c r="L1433" i="1"/>
  <c r="G1436" i="1" a="1"/>
  <c r="G1436" i="1"/>
  <c r="F1436" i="1" a="1"/>
  <c r="F1436" i="1" s="1"/>
  <c r="H1433" i="1" a="1"/>
  <c r="H1433" i="1" s="1"/>
  <c r="P1433" i="1" a="1"/>
  <c r="P1433" i="1" s="1"/>
  <c r="N1433" i="1" a="1"/>
  <c r="N1433" i="1" s="1"/>
  <c r="Q1432" i="1" a="1"/>
  <c r="Q1432" i="1"/>
  <c r="F1434" i="1" a="1"/>
  <c r="F1434" i="1" s="1"/>
  <c r="K1433" i="1" a="1"/>
  <c r="K1433" i="1"/>
  <c r="M1433" i="1" a="1"/>
  <c r="M1433" i="1"/>
  <c r="H1432" i="1" a="1"/>
  <c r="H1432" i="1" s="1"/>
  <c r="J1434" i="1" a="1"/>
  <c r="J1434" i="1"/>
  <c r="P1434" i="1" a="1"/>
  <c r="P1434" i="1"/>
  <c r="N1432" i="1" a="1"/>
  <c r="N1432" i="1" s="1"/>
  <c r="F1433" i="1" a="1"/>
  <c r="F1433" i="1"/>
  <c r="Q1434" i="1" a="1"/>
  <c r="Q1434" i="1" s="1"/>
  <c r="G1433" i="1" a="1"/>
  <c r="G1433" i="1" s="1"/>
  <c r="G1434" i="1" a="1"/>
  <c r="G1434" i="1" s="1"/>
  <c r="L1432" i="1" a="1"/>
  <c r="L1432" i="1" s="1"/>
  <c r="O1434" i="1" a="1"/>
  <c r="O1434" i="1" s="1"/>
  <c r="N1434" i="1" a="1"/>
  <c r="N1434" i="1"/>
  <c r="G1432" i="1" a="1"/>
  <c r="G1432" i="1" s="1"/>
  <c r="M1434" i="1" a="1"/>
  <c r="M1434" i="1" s="1"/>
  <c r="O1432" i="1" a="1"/>
  <c r="O1432" i="1" s="1"/>
  <c r="L1434" i="1" a="1"/>
  <c r="L1434" i="1" s="1"/>
  <c r="K1434" i="1" a="1"/>
  <c r="K1434" i="1" s="1"/>
  <c r="I1434" i="1" a="1"/>
  <c r="I1434" i="1" s="1"/>
  <c r="H1434" i="1" a="1"/>
  <c r="H1434" i="1" s="1"/>
  <c r="Q1433" i="1" a="1"/>
  <c r="Q1433" i="1"/>
  <c r="I1432" i="1" a="1"/>
  <c r="I1432" i="1"/>
  <c r="M1432" i="1" a="1"/>
  <c r="M1432" i="1" s="1"/>
  <c r="O1433" i="1" a="1"/>
  <c r="O1433" i="1" s="1"/>
  <c r="J1433" i="1" a="1"/>
  <c r="J1433" i="1" s="1"/>
  <c r="M1431" i="1" a="1"/>
  <c r="M1431" i="1" s="1"/>
  <c r="L1431" i="1" a="1"/>
  <c r="L1431" i="1"/>
  <c r="J1431" i="1" a="1"/>
  <c r="J1431" i="1" s="1"/>
  <c r="N1430" i="1" a="1"/>
  <c r="N1430" i="1" s="1"/>
  <c r="M1430" i="1" a="1"/>
  <c r="M1430" i="1" s="1"/>
  <c r="Q1430" i="1" a="1"/>
  <c r="Q1430" i="1" s="1"/>
  <c r="K1431" i="1" a="1"/>
  <c r="K1431" i="1" s="1"/>
  <c r="I1431" i="1" a="1"/>
  <c r="I1431" i="1"/>
  <c r="Q1431" i="1" a="1"/>
  <c r="Q1431" i="1"/>
  <c r="P1431" i="1" a="1"/>
  <c r="P1431" i="1"/>
  <c r="F1431" i="1" a="1"/>
  <c r="F1431" i="1" s="1"/>
  <c r="P1430" i="1" a="1"/>
  <c r="P1430" i="1"/>
  <c r="K1430" i="1" a="1"/>
  <c r="K1430" i="1"/>
  <c r="G1431" i="1" a="1"/>
  <c r="G1431" i="1" s="1"/>
  <c r="J1430" i="1" a="1"/>
  <c r="J1430" i="1" s="1"/>
  <c r="O1431" i="1" a="1"/>
  <c r="O1431" i="1"/>
  <c r="H1431" i="1" a="1"/>
  <c r="H1431" i="1" s="1"/>
  <c r="L1430" i="1" a="1"/>
  <c r="L1430" i="1" s="1"/>
  <c r="I1430" i="1" a="1"/>
  <c r="I1430" i="1" s="1"/>
  <c r="O1430" i="1" a="1"/>
  <c r="O1430" i="1" s="1"/>
  <c r="N1431" i="1" a="1"/>
  <c r="N1431" i="1" s="1"/>
  <c r="G1423" i="1" a="1"/>
  <c r="G1423" i="1"/>
  <c r="F1422" i="1" a="1"/>
  <c r="F1422" i="1" s="1"/>
  <c r="N1422" i="1" a="1"/>
  <c r="N1422" i="1" s="1"/>
  <c r="J1422" i="1" a="1"/>
  <c r="J1422" i="1"/>
  <c r="O1424" i="1" a="1"/>
  <c r="O1424" i="1"/>
  <c r="P1423" i="1" a="1"/>
  <c r="P1423" i="1"/>
  <c r="H1423" i="1" a="1"/>
  <c r="H1423" i="1" s="1"/>
  <c r="G1422" i="1" a="1"/>
  <c r="G1422" i="1" s="1"/>
  <c r="O1422" i="1" a="1"/>
  <c r="O1422" i="1"/>
  <c r="H1430" i="1" a="1"/>
  <c r="H1430" i="1" s="1"/>
  <c r="L1422" i="1" a="1"/>
  <c r="L1422" i="1" s="1"/>
  <c r="G1430" i="1" a="1"/>
  <c r="G1430" i="1" s="1"/>
  <c r="F1430" i="1" a="1"/>
  <c r="F1430" i="1" s="1"/>
  <c r="P1422" i="1" a="1"/>
  <c r="P1422" i="1" s="1"/>
  <c r="M1422" i="1" a="1"/>
  <c r="M1422" i="1" s="1"/>
  <c r="Q1422" i="1" a="1"/>
  <c r="Q1422" i="1" s="1"/>
  <c r="N1423" i="1" a="1"/>
  <c r="N1423" i="1"/>
  <c r="I1422" i="1" a="1"/>
  <c r="I1422" i="1"/>
  <c r="I1424" i="1" a="1"/>
  <c r="I1424" i="1"/>
  <c r="I1423" i="1" a="1"/>
  <c r="I1423" i="1"/>
  <c r="H1422" i="1" a="1"/>
  <c r="H1422" i="1" s="1"/>
  <c r="N1424" i="1" a="1"/>
  <c r="N1424" i="1" s="1"/>
  <c r="P1424" i="1" a="1"/>
  <c r="P1424" i="1"/>
  <c r="M1424" i="1" a="1"/>
  <c r="M1424" i="1" s="1"/>
  <c r="K1424" i="1" a="1"/>
  <c r="K1424" i="1" s="1"/>
  <c r="Q1423" i="1" a="1"/>
  <c r="Q1423" i="1" s="1"/>
  <c r="J1424" i="1" a="1"/>
  <c r="J1424" i="1" s="1"/>
  <c r="H1424" i="1" a="1"/>
  <c r="H1424" i="1" s="1"/>
  <c r="K1422" i="1" a="1"/>
  <c r="K1422" i="1" s="1"/>
  <c r="L1423" i="1" a="1"/>
  <c r="L1423" i="1"/>
  <c r="M1423" i="1" a="1"/>
  <c r="M1423" i="1"/>
  <c r="F1424" i="1" a="1"/>
  <c r="F1424" i="1"/>
  <c r="O1423" i="1" a="1"/>
  <c r="O1423" i="1" s="1"/>
  <c r="G1424" i="1" a="1"/>
  <c r="G1424" i="1" s="1"/>
  <c r="L1424" i="1" a="1"/>
  <c r="L1424" i="1" s="1"/>
  <c r="Q1424" i="1" a="1"/>
  <c r="Q1424" i="1" s="1"/>
  <c r="K1423" i="1" a="1"/>
  <c r="K1423" i="1"/>
  <c r="J1423" i="1" a="1"/>
  <c r="J1423" i="1" s="1"/>
  <c r="F1423" i="1" a="1"/>
  <c r="F1423" i="1" s="1"/>
  <c r="Q1420" i="1" a="1"/>
  <c r="Q1420" i="1" s="1"/>
  <c r="J1418" i="1" a="1"/>
  <c r="J1418" i="1" s="1"/>
  <c r="L1420" i="1" a="1"/>
  <c r="L1420" i="1" s="1"/>
  <c r="K1420" i="1" a="1"/>
  <c r="K1420" i="1" s="1"/>
  <c r="H1420" i="1" a="1"/>
  <c r="H1420" i="1" s="1"/>
  <c r="L1417" i="1" a="1"/>
  <c r="L1417" i="1" s="1"/>
  <c r="I1417" i="1" a="1"/>
  <c r="I1417" i="1" s="1"/>
  <c r="J1417" i="1" a="1"/>
  <c r="J1417" i="1"/>
  <c r="G1417" i="1" a="1"/>
  <c r="G1417" i="1"/>
  <c r="O1419" i="1" a="1"/>
  <c r="O1419" i="1" s="1"/>
  <c r="P1418" i="1" a="1"/>
  <c r="P1418" i="1" s="1"/>
  <c r="O1418" i="1" a="1"/>
  <c r="O1418" i="1"/>
  <c r="P1417" i="1" a="1"/>
  <c r="P1417" i="1" s="1"/>
  <c r="M1419" i="1" a="1"/>
  <c r="M1419" i="1"/>
  <c r="F1418" i="1" a="1"/>
  <c r="F1418" i="1"/>
  <c r="G1418" i="1" a="1"/>
  <c r="G1418" i="1" s="1"/>
  <c r="F1419" i="1" a="1"/>
  <c r="F1419" i="1" s="1"/>
  <c r="K1419" i="1" a="1"/>
  <c r="K1419" i="1" s="1"/>
  <c r="L1421" i="1" a="1"/>
  <c r="L1421" i="1" s="1"/>
  <c r="O1420" i="1" a="1"/>
  <c r="O1420" i="1" s="1"/>
  <c r="I1420" i="1" a="1"/>
  <c r="I1420" i="1"/>
  <c r="F1420" i="1" a="1"/>
  <c r="F1420" i="1"/>
  <c r="H1418" i="1" a="1"/>
  <c r="H1418" i="1"/>
  <c r="K1421" i="1" a="1"/>
  <c r="K1421" i="1" s="1"/>
  <c r="H1421" i="1" a="1"/>
  <c r="H1421" i="1" s="1"/>
  <c r="G1420" i="1" a="1"/>
  <c r="G1420" i="1"/>
  <c r="N1418" i="1" a="1"/>
  <c r="N1418" i="1" s="1"/>
  <c r="O1417" i="1" a="1"/>
  <c r="O1417" i="1"/>
  <c r="Q1418" i="1" a="1"/>
  <c r="Q1418" i="1"/>
  <c r="J1420" i="1" a="1"/>
  <c r="J1420" i="1" s="1"/>
  <c r="I1421" i="1" a="1"/>
  <c r="I1421" i="1" s="1"/>
  <c r="N1417" i="1" a="1"/>
  <c r="N1417" i="1" s="1"/>
  <c r="G1421" i="1" a="1"/>
  <c r="G1421" i="1" s="1"/>
  <c r="M1418" i="1" a="1"/>
  <c r="M1418" i="1" s="1"/>
  <c r="K1418" i="1" a="1"/>
  <c r="K1418" i="1" s="1"/>
  <c r="K1417" i="1" a="1"/>
  <c r="K1417" i="1"/>
  <c r="P1420" i="1" a="1"/>
  <c r="P1420" i="1"/>
  <c r="F1417" i="1" a="1"/>
  <c r="F1417" i="1" s="1"/>
  <c r="Q1419" i="1" a="1"/>
  <c r="Q1419" i="1" s="1"/>
  <c r="Q1416" i="1" a="1"/>
  <c r="Q1416" i="1"/>
  <c r="M1417" i="1" a="1"/>
  <c r="M1417" i="1" s="1"/>
  <c r="H1417" i="1" a="1"/>
  <c r="H1417" i="1" s="1"/>
  <c r="L1419" i="1" a="1"/>
  <c r="L1419" i="1" s="1"/>
  <c r="P1419" i="1" a="1"/>
  <c r="P1419" i="1"/>
  <c r="H1419" i="1" a="1"/>
  <c r="H1419" i="1" s="1"/>
  <c r="G1419" i="1" a="1"/>
  <c r="G1419" i="1" s="1"/>
  <c r="M1420" i="1" a="1"/>
  <c r="M1420" i="1" s="1"/>
  <c r="N1421" i="1" a="1"/>
  <c r="N1421" i="1" s="1"/>
  <c r="I1419" i="1" a="1"/>
  <c r="I1419" i="1" s="1"/>
  <c r="L1418" i="1" a="1"/>
  <c r="L1418" i="1" s="1"/>
  <c r="F1421" i="1" a="1"/>
  <c r="F1421" i="1" s="1"/>
  <c r="N1419" i="1" a="1"/>
  <c r="N1419" i="1" s="1"/>
  <c r="Q1421" i="1" a="1"/>
  <c r="Q1421" i="1" s="1"/>
  <c r="I1418" i="1" a="1"/>
  <c r="I1418" i="1"/>
  <c r="Q1417" i="1" a="1"/>
  <c r="Q1417" i="1" s="1"/>
  <c r="N1420" i="1" a="1"/>
  <c r="N1420" i="1" s="1"/>
  <c r="P1421" i="1" a="1"/>
  <c r="P1421" i="1"/>
  <c r="J1419" i="1" a="1"/>
  <c r="J1419" i="1"/>
  <c r="O1421" i="1" a="1"/>
  <c r="O1421" i="1"/>
  <c r="M1421" i="1" a="1"/>
  <c r="M1421" i="1" s="1"/>
  <c r="J1421" i="1" a="1"/>
  <c r="J1421" i="1" s="1"/>
  <c r="Q1410" i="1" a="1"/>
  <c r="Q1410" i="1" s="1"/>
  <c r="J1409" i="1" a="1"/>
  <c r="J1409" i="1" s="1"/>
  <c r="P1408" i="1" a="1"/>
  <c r="P1408" i="1" s="1"/>
  <c r="G1409" i="1" a="1"/>
  <c r="G1409" i="1" s="1"/>
  <c r="Q1408" i="1" a="1"/>
  <c r="Q1408" i="1" s="1"/>
  <c r="M1409" i="1" a="1"/>
  <c r="M1409" i="1" s="1"/>
  <c r="O1416" i="1" a="1"/>
  <c r="O1416" i="1"/>
  <c r="I1410" i="1" a="1"/>
  <c r="I1410" i="1" s="1"/>
  <c r="P1416" i="1" a="1"/>
  <c r="P1416" i="1"/>
  <c r="N1410" i="1" a="1"/>
  <c r="N1410" i="1"/>
  <c r="H1410" i="1" a="1"/>
  <c r="H1410" i="1"/>
  <c r="L1409" i="1" a="1"/>
  <c r="L1409" i="1"/>
  <c r="M1410" i="1" a="1"/>
  <c r="M1410" i="1" s="1"/>
  <c r="K1409" i="1" a="1"/>
  <c r="K1409" i="1" s="1"/>
  <c r="G1416" i="1" a="1"/>
  <c r="G1416" i="1" s="1"/>
  <c r="P1409" i="1" a="1"/>
  <c r="P1409" i="1" s="1"/>
  <c r="K1410" i="1" a="1"/>
  <c r="K1410" i="1" s="1"/>
  <c r="N1409" i="1" a="1"/>
  <c r="N1409" i="1" s="1"/>
  <c r="F1409" i="1" a="1"/>
  <c r="F1409" i="1" s="1"/>
  <c r="I1416" i="1" a="1"/>
  <c r="I1416" i="1" s="1"/>
  <c r="L1410" i="1" a="1"/>
  <c r="L1410" i="1"/>
  <c r="G1410" i="1" a="1"/>
  <c r="G1410" i="1"/>
  <c r="N1416" i="1" a="1"/>
  <c r="N1416" i="1" s="1"/>
  <c r="M1416" i="1" a="1"/>
  <c r="M1416" i="1" s="1"/>
  <c r="L1416" i="1" a="1"/>
  <c r="L1416" i="1" s="1"/>
  <c r="J1416" i="1" a="1"/>
  <c r="J1416" i="1"/>
  <c r="I1409" i="1" a="1"/>
  <c r="I1409" i="1"/>
  <c r="H1416" i="1" a="1"/>
  <c r="H1416" i="1"/>
  <c r="K1416" i="1" a="1"/>
  <c r="K1416" i="1"/>
  <c r="F1410" i="1" a="1"/>
  <c r="F1410" i="1" s="1"/>
  <c r="P1410" i="1" a="1"/>
  <c r="P1410" i="1" s="1"/>
  <c r="J1410" i="1" a="1"/>
  <c r="J1410" i="1" s="1"/>
  <c r="O1410" i="1" a="1"/>
  <c r="O1410" i="1" s="1"/>
  <c r="H1409" i="1" a="1"/>
  <c r="H1409" i="1" s="1"/>
  <c r="O1409" i="1" a="1"/>
  <c r="O1409" i="1"/>
  <c r="F1416" i="1" a="1"/>
  <c r="F1416" i="1" s="1"/>
  <c r="Q1409" i="1" a="1"/>
  <c r="Q1409" i="1"/>
  <c r="G1403" i="1" a="1"/>
  <c r="G1403" i="1" s="1"/>
  <c r="H1407" i="1" a="1"/>
  <c r="H1407" i="1"/>
  <c r="G1404" i="1" a="1"/>
  <c r="G1404" i="1"/>
  <c r="L1408" i="1" a="1"/>
  <c r="L1408" i="1" s="1"/>
  <c r="O1408" i="1" a="1"/>
  <c r="O1408" i="1" s="1"/>
  <c r="G1408" i="1" a="1"/>
  <c r="G1408" i="1" s="1"/>
  <c r="I1407" i="1" a="1"/>
  <c r="I1407" i="1"/>
  <c r="O1404" i="1" a="1"/>
  <c r="O1404" i="1" s="1"/>
  <c r="L1403" i="1" a="1"/>
  <c r="L1403" i="1" s="1"/>
  <c r="Q1405" i="1" a="1"/>
  <c r="Q1405" i="1" s="1"/>
  <c r="N1407" i="1" a="1"/>
  <c r="N1407" i="1" s="1"/>
  <c r="N1408" i="1" a="1"/>
  <c r="N1408" i="1"/>
  <c r="M1403" i="1" a="1"/>
  <c r="M1403" i="1" s="1"/>
  <c r="J1405" i="1" a="1"/>
  <c r="J1405" i="1" s="1"/>
  <c r="J1403" i="1" a="1"/>
  <c r="J1403" i="1" s="1"/>
  <c r="M1408" i="1" a="1"/>
  <c r="M1408" i="1" s="1"/>
  <c r="P1407" i="1" a="1"/>
  <c r="P1407" i="1"/>
  <c r="K1408" i="1" a="1"/>
  <c r="K1408" i="1" s="1"/>
  <c r="I1405" i="1" a="1"/>
  <c r="I1405" i="1" s="1"/>
  <c r="G1405" i="1" a="1"/>
  <c r="G1405" i="1" s="1"/>
  <c r="J1408" i="1" a="1"/>
  <c r="J1408" i="1" s="1"/>
  <c r="G1407" i="1" a="1"/>
  <c r="G1407" i="1"/>
  <c r="K1405" i="1" a="1"/>
  <c r="K1405" i="1" s="1"/>
  <c r="H1403" i="1" a="1"/>
  <c r="H1403" i="1" s="1"/>
  <c r="H1405" i="1" a="1"/>
  <c r="H1405" i="1" s="1"/>
  <c r="F1405" i="1" a="1"/>
  <c r="F1405" i="1"/>
  <c r="Q1404" i="1" a="1"/>
  <c r="Q1404" i="1" s="1"/>
  <c r="J1404" i="1" a="1"/>
  <c r="J1404" i="1" s="1"/>
  <c r="N1404" i="1" a="1"/>
  <c r="N1404" i="1"/>
  <c r="M1404" i="1" a="1"/>
  <c r="M1404" i="1"/>
  <c r="Q1403" i="1" a="1"/>
  <c r="Q1403" i="1"/>
  <c r="F1403" i="1" a="1"/>
  <c r="F1403" i="1" s="1"/>
  <c r="N1403" i="1" a="1"/>
  <c r="N1403" i="1"/>
  <c r="F1404" i="1" a="1"/>
  <c r="F1404" i="1"/>
  <c r="I1408" i="1" a="1"/>
  <c r="I1408" i="1"/>
  <c r="H1408" i="1" a="1"/>
  <c r="H1408" i="1"/>
  <c r="F1408" i="1" a="1"/>
  <c r="F1408" i="1" s="1"/>
  <c r="K1407" i="1" a="1"/>
  <c r="K1407" i="1" s="1"/>
  <c r="Q1407" i="1" a="1"/>
  <c r="Q1407" i="1" s="1"/>
  <c r="O1407" i="1" a="1"/>
  <c r="O1407" i="1"/>
  <c r="M1407" i="1" a="1"/>
  <c r="M1407" i="1" s="1"/>
  <c r="J1407" i="1" a="1"/>
  <c r="J1407" i="1" s="1"/>
  <c r="P1405" i="1" a="1"/>
  <c r="P1405" i="1" s="1"/>
  <c r="P1403" i="1" a="1"/>
  <c r="P1403" i="1"/>
  <c r="L1407" i="1" a="1"/>
  <c r="L1407" i="1" s="1"/>
  <c r="L1404" i="1" a="1"/>
  <c r="L1404" i="1" s="1"/>
  <c r="N1405" i="1" a="1"/>
  <c r="N1405" i="1" s="1"/>
  <c r="P1404" i="1" a="1"/>
  <c r="P1404" i="1" s="1"/>
  <c r="O1405" i="1" a="1"/>
  <c r="O1405" i="1" s="1"/>
  <c r="M1405" i="1" a="1"/>
  <c r="M1405" i="1"/>
  <c r="L1405" i="1" a="1"/>
  <c r="L1405" i="1" s="1"/>
  <c r="K1403" i="1" a="1"/>
  <c r="K1403" i="1" s="1"/>
  <c r="I1403" i="1" a="1"/>
  <c r="I1403" i="1" s="1"/>
  <c r="K1404" i="1" a="1"/>
  <c r="K1404" i="1"/>
  <c r="I1404" i="1" a="1"/>
  <c r="I1404" i="1" s="1"/>
  <c r="H1404" i="1" a="1"/>
  <c r="H1404" i="1" s="1"/>
  <c r="O1403" i="1" a="1"/>
  <c r="O1403" i="1" s="1"/>
  <c r="F1407" i="1" a="1"/>
  <c r="F1407" i="1" s="1"/>
  <c r="J1402" i="1" a="1"/>
  <c r="J1402" i="1"/>
  <c r="G1402" i="1" a="1"/>
  <c r="G1402" i="1"/>
  <c r="F1402" i="1" a="1"/>
  <c r="F1402" i="1"/>
  <c r="Q1401" i="1" a="1"/>
  <c r="Q1401" i="1" s="1"/>
  <c r="O1401" i="1" a="1"/>
  <c r="O1401" i="1"/>
  <c r="I1401" i="1" a="1"/>
  <c r="I1401" i="1" s="1"/>
  <c r="G1401" i="1" a="1"/>
  <c r="G1401" i="1" s="1"/>
  <c r="M1401" i="1" a="1"/>
  <c r="M1401" i="1" s="1"/>
  <c r="N1401" i="1" a="1"/>
  <c r="N1401" i="1" s="1"/>
  <c r="K1401" i="1" a="1"/>
  <c r="K1401" i="1"/>
  <c r="I1402" i="1" a="1"/>
  <c r="I1402" i="1" s="1"/>
  <c r="Q1402" i="1" a="1"/>
  <c r="Q1402" i="1" s="1"/>
  <c r="P1402" i="1" a="1"/>
  <c r="P1402" i="1" s="1"/>
  <c r="O1402" i="1" a="1"/>
  <c r="O1402" i="1" s="1"/>
  <c r="N1402" i="1" a="1"/>
  <c r="N1402" i="1" s="1"/>
  <c r="M1402" i="1" a="1"/>
  <c r="M1402" i="1" s="1"/>
  <c r="L1402" i="1" a="1"/>
  <c r="L1402" i="1" s="1"/>
  <c r="K1402" i="1" a="1"/>
  <c r="K1402" i="1" s="1"/>
  <c r="J1401" i="1" a="1"/>
  <c r="J1401" i="1"/>
  <c r="P1401" i="1" a="1"/>
  <c r="P1401" i="1" s="1"/>
  <c r="L1401" i="1" a="1"/>
  <c r="L1401" i="1"/>
  <c r="H1402" i="1" a="1"/>
  <c r="H1402" i="1" s="1"/>
  <c r="H1401" i="1" a="1"/>
  <c r="H1401" i="1" s="1"/>
  <c r="F1401" i="1" a="1"/>
  <c r="F1401" i="1"/>
  <c r="J1374" i="1" a="1"/>
  <c r="J1374" i="1"/>
  <c r="F1372" i="1" a="1"/>
  <c r="F1372" i="1" s="1"/>
  <c r="Q1371" i="1" a="1"/>
  <c r="Q1371" i="1" s="1"/>
  <c r="H1373" i="1" a="1"/>
  <c r="H1373" i="1" s="1"/>
  <c r="G1374" i="1" a="1"/>
  <c r="G1374" i="1" s="1"/>
  <c r="J1373" i="1" a="1"/>
  <c r="J1373" i="1" s="1"/>
  <c r="H1372" i="1" a="1"/>
  <c r="H1372" i="1" s="1"/>
  <c r="F1373" i="1" a="1"/>
  <c r="F1373" i="1" s="1"/>
  <c r="P1373" i="1" a="1"/>
  <c r="P1373" i="1" s="1"/>
  <c r="O1373" i="1" a="1"/>
  <c r="O1373" i="1" s="1"/>
  <c r="P1372" i="1" a="1"/>
  <c r="P1372" i="1"/>
  <c r="N1373" i="1" a="1"/>
  <c r="N1373" i="1" s="1"/>
  <c r="L1374" i="1" a="1"/>
  <c r="L1374" i="1" s="1"/>
  <c r="N1374" i="1" a="1"/>
  <c r="N1374" i="1"/>
  <c r="L1373" i="1" a="1"/>
  <c r="L1373" i="1"/>
  <c r="N1372" i="1" a="1"/>
  <c r="N1372" i="1" s="1"/>
  <c r="J1372" i="1" a="1"/>
  <c r="J1372" i="1" s="1"/>
  <c r="I1372" i="1" a="1"/>
  <c r="I1372" i="1" s="1"/>
  <c r="G1372" i="1" a="1"/>
  <c r="G1372" i="1" s="1"/>
  <c r="I1373" i="1" a="1"/>
  <c r="I1373" i="1" s="1"/>
  <c r="Q1374" i="1" a="1"/>
  <c r="Q1374" i="1" s="1"/>
  <c r="O1374" i="1" a="1"/>
  <c r="O1374" i="1" s="1"/>
  <c r="H1374" i="1" a="1"/>
  <c r="H1374" i="1"/>
  <c r="P1371" i="1" a="1"/>
  <c r="P1371" i="1"/>
  <c r="M1373" i="1" a="1"/>
  <c r="M1373" i="1"/>
  <c r="G1373" i="1" a="1"/>
  <c r="G1373" i="1" s="1"/>
  <c r="K1374" i="1" a="1"/>
  <c r="K1374" i="1" s="1"/>
  <c r="L1372" i="1" a="1"/>
  <c r="L1372" i="1"/>
  <c r="Q1373" i="1" a="1"/>
  <c r="Q1373" i="1" s="1"/>
  <c r="M1374" i="1" a="1"/>
  <c r="M1374" i="1" s="1"/>
  <c r="P1374" i="1" a="1"/>
  <c r="P1374" i="1"/>
  <c r="Q1372" i="1" a="1"/>
  <c r="Q1372" i="1" s="1"/>
  <c r="M1372" i="1" a="1"/>
  <c r="M1372" i="1" s="1"/>
  <c r="F1374" i="1" a="1"/>
  <c r="F1374" i="1" s="1"/>
  <c r="K1373" i="1" a="1"/>
  <c r="K1373" i="1" s="1"/>
  <c r="I1374" i="1" a="1"/>
  <c r="I1374" i="1" s="1"/>
  <c r="K1372" i="1" a="1"/>
  <c r="K1372" i="1"/>
  <c r="O1372" i="1" a="1"/>
  <c r="O1372" i="1" s="1"/>
  <c r="F1368" i="1" a="1"/>
  <c r="F1368" i="1" s="1"/>
  <c r="K1369" i="1" a="1"/>
  <c r="K1369" i="1" s="1"/>
  <c r="Q1369" i="1" a="1"/>
  <c r="Q1369" i="1" s="1"/>
  <c r="J1369" i="1" a="1"/>
  <c r="J1369" i="1"/>
  <c r="I1369" i="1" a="1"/>
  <c r="I1369" i="1" s="1"/>
  <c r="O1368" i="1" a="1"/>
  <c r="O1368" i="1"/>
  <c r="N1368" i="1" a="1"/>
  <c r="N1368" i="1" s="1"/>
  <c r="I1368" i="1" a="1"/>
  <c r="I1368" i="1" s="1"/>
  <c r="Q1367" i="1" a="1"/>
  <c r="Q1367" i="1"/>
  <c r="O1366" i="1" a="1"/>
  <c r="O1366" i="1"/>
  <c r="L1368" i="1" a="1"/>
  <c r="L1368" i="1"/>
  <c r="P1368" i="1" a="1"/>
  <c r="P1368" i="1"/>
  <c r="K1368" i="1" a="1"/>
  <c r="K1368" i="1"/>
  <c r="M1367" i="1" a="1"/>
  <c r="M1367" i="1" s="1"/>
  <c r="M1368" i="1" a="1"/>
  <c r="M1368" i="1"/>
  <c r="O1371" i="1" a="1"/>
  <c r="O1371" i="1" s="1"/>
  <c r="N1371" i="1" a="1"/>
  <c r="N1371" i="1"/>
  <c r="M1371" i="1" a="1"/>
  <c r="M1371" i="1"/>
  <c r="L1371" i="1" a="1"/>
  <c r="L1371" i="1" s="1"/>
  <c r="K1371" i="1" a="1"/>
  <c r="K1371" i="1"/>
  <c r="H1371" i="1" a="1"/>
  <c r="H1371" i="1" s="1"/>
  <c r="P1370" i="1" a="1"/>
  <c r="P1370" i="1" s="1"/>
  <c r="M1370" i="1" a="1"/>
  <c r="M1370" i="1"/>
  <c r="L1370" i="1" a="1"/>
  <c r="L1370" i="1"/>
  <c r="H1370" i="1" a="1"/>
  <c r="H1370" i="1"/>
  <c r="G1369" i="1" a="1"/>
  <c r="G1369" i="1"/>
  <c r="H1367" i="1" a="1"/>
  <c r="H1367" i="1"/>
  <c r="Q1366" i="1" a="1"/>
  <c r="Q1366" i="1" s="1"/>
  <c r="N1369" i="1" a="1"/>
  <c r="N1369" i="1"/>
  <c r="L1369" i="1" a="1"/>
  <c r="L1369" i="1" s="1"/>
  <c r="J1367" i="1" a="1"/>
  <c r="J1367" i="1"/>
  <c r="N1366" i="1" a="1"/>
  <c r="N1366" i="1"/>
  <c r="M1369" i="1" a="1"/>
  <c r="M1369" i="1"/>
  <c r="J1371" i="1" a="1"/>
  <c r="J1371" i="1"/>
  <c r="I1371" i="1" a="1"/>
  <c r="I1371" i="1" s="1"/>
  <c r="P1367" i="1" a="1"/>
  <c r="P1367" i="1" s="1"/>
  <c r="G1367" i="1" a="1"/>
  <c r="G1367" i="1"/>
  <c r="O1367" i="1" a="1"/>
  <c r="O1367" i="1"/>
  <c r="G1371" i="1" a="1"/>
  <c r="G1371" i="1"/>
  <c r="J1368" i="1" a="1"/>
  <c r="J1368" i="1"/>
  <c r="F1371" i="1" a="1"/>
  <c r="F1371" i="1"/>
  <c r="Q1370" i="1" a="1"/>
  <c r="Q1370" i="1" s="1"/>
  <c r="O1370" i="1" a="1"/>
  <c r="O1370" i="1"/>
  <c r="H1369" i="1" a="1"/>
  <c r="H1369" i="1" s="1"/>
  <c r="L1367" i="1" a="1"/>
  <c r="L1367" i="1"/>
  <c r="F1367" i="1" a="1"/>
  <c r="F1367" i="1"/>
  <c r="N1370" i="1" a="1"/>
  <c r="N1370" i="1" s="1"/>
  <c r="K1370" i="1" a="1"/>
  <c r="K1370" i="1"/>
  <c r="G1370" i="1" a="1"/>
  <c r="G1370" i="1" s="1"/>
  <c r="O1369" i="1" a="1"/>
  <c r="O1369" i="1" s="1"/>
  <c r="Q1368" i="1" a="1"/>
  <c r="Q1368" i="1"/>
  <c r="G1368" i="1" a="1"/>
  <c r="G1368" i="1"/>
  <c r="N1367" i="1" a="1"/>
  <c r="N1367" i="1"/>
  <c r="P1366" i="1" a="1"/>
  <c r="P1366" i="1"/>
  <c r="J1370" i="1" a="1"/>
  <c r="J1370" i="1"/>
  <c r="I1370" i="1" a="1"/>
  <c r="I1370" i="1"/>
  <c r="H1368" i="1" a="1"/>
  <c r="H1368" i="1"/>
  <c r="P1369" i="1" a="1"/>
  <c r="P1369" i="1" s="1"/>
  <c r="M1366" i="1" a="1"/>
  <c r="M1366" i="1"/>
  <c r="I1367" i="1" a="1"/>
  <c r="I1367" i="1"/>
  <c r="K1367" i="1" a="1"/>
  <c r="K1367" i="1" s="1"/>
  <c r="L1366" i="1" a="1"/>
  <c r="L1366" i="1"/>
  <c r="F1370" i="1" a="1"/>
  <c r="F1370" i="1" s="1"/>
  <c r="F1369" i="1" a="1"/>
  <c r="F1369" i="1" s="1"/>
  <c r="G1366" i="1" a="1"/>
  <c r="G1366" i="1"/>
  <c r="F1366" i="1" a="1"/>
  <c r="F1366" i="1"/>
  <c r="Q1365" i="1" a="1"/>
  <c r="Q1365" i="1"/>
  <c r="O1365" i="1" a="1"/>
  <c r="O1365" i="1"/>
  <c r="K1365" i="1" a="1"/>
  <c r="K1365" i="1"/>
  <c r="J1365" i="1" a="1"/>
  <c r="J1365" i="1"/>
  <c r="F1364" i="1" a="1"/>
  <c r="F1364" i="1"/>
  <c r="K1362" i="1" a="1"/>
  <c r="K1362" i="1" s="1"/>
  <c r="F1365" i="1" a="1"/>
  <c r="F1365" i="1"/>
  <c r="P1364" i="1" a="1"/>
  <c r="P1364" i="1" s="1"/>
  <c r="K1363" i="1" a="1"/>
  <c r="K1363" i="1" s="1"/>
  <c r="M1362" i="1" a="1"/>
  <c r="M1362" i="1"/>
  <c r="Q1362" i="1" a="1"/>
  <c r="Q1362" i="1" s="1"/>
  <c r="I1361" i="1" a="1"/>
  <c r="I1361" i="1" s="1"/>
  <c r="J1361" i="1" a="1"/>
  <c r="J1361" i="1"/>
  <c r="Q1364" i="1" a="1"/>
  <c r="Q1364" i="1"/>
  <c r="L1363" i="1" a="1"/>
  <c r="L1363" i="1"/>
  <c r="I1363" i="1" a="1"/>
  <c r="I1363" i="1"/>
  <c r="P1365" i="1" a="1"/>
  <c r="P1365" i="1"/>
  <c r="N1365" i="1" a="1"/>
  <c r="N1365" i="1" s="1"/>
  <c r="I1365" i="1" a="1"/>
  <c r="I1365" i="1"/>
  <c r="O1363" i="1" a="1"/>
  <c r="O1363" i="1" s="1"/>
  <c r="H1365" i="1" a="1"/>
  <c r="H1365" i="1"/>
  <c r="G1365" i="1" a="1"/>
  <c r="G1365" i="1" s="1"/>
  <c r="N1364" i="1" a="1"/>
  <c r="N1364" i="1" s="1"/>
  <c r="K1361" i="1" a="1"/>
  <c r="K1361" i="1"/>
  <c r="N1361" i="1" a="1"/>
  <c r="N1361" i="1" s="1"/>
  <c r="L1364" i="1" a="1"/>
  <c r="L1364" i="1" s="1"/>
  <c r="H1363" i="1" a="1"/>
  <c r="H1363" i="1"/>
  <c r="P1363" i="1" a="1"/>
  <c r="P1363" i="1"/>
  <c r="Q1361" i="1" a="1"/>
  <c r="Q1361" i="1"/>
  <c r="P1361" i="1" a="1"/>
  <c r="P1361" i="1"/>
  <c r="K1364" i="1" a="1"/>
  <c r="K1364" i="1"/>
  <c r="J1363" i="1" a="1"/>
  <c r="J1363" i="1"/>
  <c r="I1364" i="1" a="1"/>
  <c r="I1364" i="1" s="1"/>
  <c r="N1363" i="1" a="1"/>
  <c r="N1363" i="1" s="1"/>
  <c r="N1362" i="1" a="1"/>
  <c r="N1362" i="1"/>
  <c r="F1362" i="1" a="1"/>
  <c r="F1362" i="1"/>
  <c r="M1363" i="1" a="1"/>
  <c r="M1363" i="1"/>
  <c r="L1362" i="1" a="1"/>
  <c r="L1362" i="1"/>
  <c r="H1361" i="1" a="1"/>
  <c r="H1361" i="1" s="1"/>
  <c r="F1363" i="1" a="1"/>
  <c r="F1363" i="1" s="1"/>
  <c r="G1362" i="1" a="1"/>
  <c r="G1362" i="1"/>
  <c r="P1362" i="1" a="1"/>
  <c r="P1362" i="1"/>
  <c r="M1364" i="1" a="1"/>
  <c r="M1364" i="1"/>
  <c r="O1362" i="1" a="1"/>
  <c r="O1362" i="1"/>
  <c r="H1362" i="1" a="1"/>
  <c r="H1362" i="1"/>
  <c r="M1365" i="1" a="1"/>
  <c r="M1365" i="1" s="1"/>
  <c r="M1361" i="1" a="1"/>
  <c r="M1361" i="1" s="1"/>
  <c r="L1365" i="1" a="1"/>
  <c r="L1365" i="1" s="1"/>
  <c r="O1364" i="1" a="1"/>
  <c r="O1364" i="1"/>
  <c r="J1362" i="1" a="1"/>
  <c r="J1362" i="1" s="1"/>
  <c r="O1361" i="1" a="1"/>
  <c r="O1361" i="1"/>
  <c r="L1361" i="1" a="1"/>
  <c r="L1361" i="1"/>
  <c r="J1364" i="1" a="1"/>
  <c r="J1364" i="1" s="1"/>
  <c r="H1364" i="1" a="1"/>
  <c r="H1364" i="1" s="1"/>
  <c r="G1364" i="1" a="1"/>
  <c r="G1364" i="1"/>
  <c r="Q1363" i="1" a="1"/>
  <c r="Q1363" i="1"/>
  <c r="K1366" i="1" a="1"/>
  <c r="K1366" i="1"/>
  <c r="J1366" i="1" a="1"/>
  <c r="J1366" i="1"/>
  <c r="I1366" i="1" a="1"/>
  <c r="I1366" i="1"/>
  <c r="H1366" i="1" a="1"/>
  <c r="H1366" i="1"/>
  <c r="G1363" i="1" a="1"/>
  <c r="G1363" i="1"/>
  <c r="I1362" i="1" a="1"/>
  <c r="I1362" i="1" s="1"/>
  <c r="G1357" i="1" a="1"/>
  <c r="G1357" i="1"/>
  <c r="O1356" i="1" a="1"/>
  <c r="O1356" i="1"/>
  <c r="P1356" i="1" a="1"/>
  <c r="P1356" i="1"/>
  <c r="K1360" i="1" a="1"/>
  <c r="K1360" i="1"/>
  <c r="M1359" i="1" a="1"/>
  <c r="M1359" i="1" s="1"/>
  <c r="N1356" i="1" a="1"/>
  <c r="N1356" i="1" s="1"/>
  <c r="K1358" i="1" a="1"/>
  <c r="K1358" i="1"/>
  <c r="L1359" i="1" a="1"/>
  <c r="L1359" i="1"/>
  <c r="G1358" i="1" a="1"/>
  <c r="G1358" i="1"/>
  <c r="Q1355" i="1" a="1"/>
  <c r="Q1355" i="1"/>
  <c r="N1360" i="1" a="1"/>
  <c r="N1360" i="1"/>
  <c r="M1360" i="1" a="1"/>
  <c r="M1360" i="1" s="1"/>
  <c r="J1356" i="1" a="1"/>
  <c r="J1356" i="1" s="1"/>
  <c r="J1359" i="1" a="1"/>
  <c r="J1359" i="1" s="1"/>
  <c r="Q1359" i="1" a="1"/>
  <c r="Q1359" i="1"/>
  <c r="M1356" i="1" a="1"/>
  <c r="M1356" i="1"/>
  <c r="Q1358" i="1" a="1"/>
  <c r="Q1358" i="1"/>
  <c r="Q1357" i="1" a="1"/>
  <c r="Q1357" i="1" s="1"/>
  <c r="Q1356" i="1" a="1"/>
  <c r="Q1356" i="1" s="1"/>
  <c r="P1359" i="1" a="1"/>
  <c r="P1359" i="1" s="1"/>
  <c r="L1358" i="1" a="1"/>
  <c r="L1358" i="1"/>
  <c r="J1358" i="1" a="1"/>
  <c r="J1358" i="1"/>
  <c r="L1356" i="1" a="1"/>
  <c r="L1356" i="1"/>
  <c r="H1356" i="1" a="1"/>
  <c r="H1356" i="1"/>
  <c r="L1360" i="1" a="1"/>
  <c r="L1360" i="1"/>
  <c r="F1361" i="1" a="1"/>
  <c r="F1361" i="1" s="1"/>
  <c r="O1360" i="1" a="1"/>
  <c r="O1360" i="1" s="1"/>
  <c r="J1360" i="1" a="1"/>
  <c r="J1360" i="1" s="1"/>
  <c r="F1360" i="1" a="1"/>
  <c r="F1360" i="1"/>
  <c r="O1359" i="1" a="1"/>
  <c r="O1359" i="1" s="1"/>
  <c r="I1356" i="1" a="1"/>
  <c r="I1356" i="1" s="1"/>
  <c r="I1359" i="1" a="1"/>
  <c r="I1359" i="1" s="1"/>
  <c r="P1358" i="1" a="1"/>
  <c r="P1358" i="1" s="1"/>
  <c r="N1358" i="1" a="1"/>
  <c r="N1358" i="1" s="1"/>
  <c r="K1357" i="1" a="1"/>
  <c r="K1357" i="1"/>
  <c r="P1355" i="1" a="1"/>
  <c r="P1355" i="1"/>
  <c r="F1358" i="1" a="1"/>
  <c r="F1358" i="1"/>
  <c r="K1356" i="1" a="1"/>
  <c r="K1356" i="1"/>
  <c r="G1356" i="1" a="1"/>
  <c r="G1356" i="1"/>
  <c r="M1357" i="1" a="1"/>
  <c r="M1357" i="1" s="1"/>
  <c r="O1358" i="1" a="1"/>
  <c r="O1358" i="1" s="1"/>
  <c r="I1358" i="1" a="1"/>
  <c r="I1358" i="1" s="1"/>
  <c r="N1357" i="1" a="1"/>
  <c r="N1357" i="1"/>
  <c r="J1357" i="1" a="1"/>
  <c r="J1357" i="1" s="1"/>
  <c r="P1357" i="1" a="1"/>
  <c r="P1357" i="1"/>
  <c r="G1361" i="1" a="1"/>
  <c r="G1361" i="1"/>
  <c r="I1360" i="1" a="1"/>
  <c r="I1360" i="1" s="1"/>
  <c r="L1357" i="1" a="1"/>
  <c r="L1357" i="1" s="1"/>
  <c r="Q1360" i="1" a="1"/>
  <c r="Q1360" i="1"/>
  <c r="P1360" i="1" a="1"/>
  <c r="P1360" i="1"/>
  <c r="H1360" i="1" a="1"/>
  <c r="H1360" i="1"/>
  <c r="G1360" i="1" a="1"/>
  <c r="G1360" i="1"/>
  <c r="N1359" i="1" a="1"/>
  <c r="N1359" i="1"/>
  <c r="K1359" i="1" a="1"/>
  <c r="K1359" i="1" s="1"/>
  <c r="F1359" i="1" a="1"/>
  <c r="F1359" i="1" s="1"/>
  <c r="H1359" i="1" a="1"/>
  <c r="H1359" i="1" s="1"/>
  <c r="G1359" i="1" a="1"/>
  <c r="G1359" i="1"/>
  <c r="M1358" i="1" a="1"/>
  <c r="M1358" i="1" s="1"/>
  <c r="H1358" i="1" a="1"/>
  <c r="H1358" i="1" s="1"/>
  <c r="O1357" i="1" a="1"/>
  <c r="O1357" i="1" s="1"/>
  <c r="F1357" i="1" a="1"/>
  <c r="F1357" i="1" s="1"/>
  <c r="I1357" i="1" a="1"/>
  <c r="I1357" i="1" s="1"/>
  <c r="H1357" i="1" a="1"/>
  <c r="H1357" i="1"/>
  <c r="F1356" i="1" a="1"/>
  <c r="F1356" i="1"/>
  <c r="L1355" i="1" a="1"/>
  <c r="L1355" i="1"/>
  <c r="O1352" i="1" a="1"/>
  <c r="O1352" i="1"/>
  <c r="J1355" i="1" a="1"/>
  <c r="J1355" i="1"/>
  <c r="M1354" i="1" a="1"/>
  <c r="M1354" i="1"/>
  <c r="M1352" i="1" a="1"/>
  <c r="M1352" i="1"/>
  <c r="G1352" i="1" a="1"/>
  <c r="G1352" i="1" s="1"/>
  <c r="K1355" i="1" a="1"/>
  <c r="K1355" i="1"/>
  <c r="H1355" i="1" a="1"/>
  <c r="H1355" i="1" s="1"/>
  <c r="G1355" i="1" a="1"/>
  <c r="G1355" i="1" s="1"/>
  <c r="L1353" i="1" a="1"/>
  <c r="L1353" i="1" s="1"/>
  <c r="F1353" i="1" a="1"/>
  <c r="F1353" i="1" s="1"/>
  <c r="I1352" i="1" a="1"/>
  <c r="I1352" i="1" s="1"/>
  <c r="O1354" i="1" a="1"/>
  <c r="O1354" i="1"/>
  <c r="K1354" i="1" a="1"/>
  <c r="K1354" i="1"/>
  <c r="H1354" i="1" a="1"/>
  <c r="H1354" i="1"/>
  <c r="P1353" i="1" a="1"/>
  <c r="P1353" i="1"/>
  <c r="N1353" i="1" a="1"/>
  <c r="N1353" i="1"/>
  <c r="J1354" i="1" a="1"/>
  <c r="J1354" i="1" s="1"/>
  <c r="F1354" i="1" a="1"/>
  <c r="F1354" i="1"/>
  <c r="J1352" i="1" a="1"/>
  <c r="J1352" i="1" s="1"/>
  <c r="P1352" i="1" a="1"/>
  <c r="P1352" i="1"/>
  <c r="L1352" i="1" a="1"/>
  <c r="L1352" i="1" s="1"/>
  <c r="N1354" i="1" a="1"/>
  <c r="N1354" i="1" s="1"/>
  <c r="L1354" i="1" a="1"/>
  <c r="L1354" i="1" s="1"/>
  <c r="J1353" i="1" a="1"/>
  <c r="J1353" i="1" s="1"/>
  <c r="P1354" i="1" a="1"/>
  <c r="P1354" i="1" s="1"/>
  <c r="I1354" i="1" a="1"/>
  <c r="I1354" i="1"/>
  <c r="O1353" i="1" a="1"/>
  <c r="O1353" i="1"/>
  <c r="M1353" i="1" a="1"/>
  <c r="M1353" i="1"/>
  <c r="K1353" i="1" a="1"/>
  <c r="K1353" i="1"/>
  <c r="H1353" i="1" a="1"/>
  <c r="H1353" i="1"/>
  <c r="G1353" i="1" a="1"/>
  <c r="G1353" i="1"/>
  <c r="Q1352" i="1" a="1"/>
  <c r="Q1352" i="1"/>
  <c r="N1352" i="1" a="1"/>
  <c r="N1352" i="1" s="1"/>
  <c r="H1352" i="1" a="1"/>
  <c r="H1352" i="1"/>
  <c r="O1355" i="1" a="1"/>
  <c r="O1355" i="1" s="1"/>
  <c r="Q1354" i="1" a="1"/>
  <c r="Q1354" i="1"/>
  <c r="K1352" i="1" a="1"/>
  <c r="K1352" i="1" s="1"/>
  <c r="F1352" i="1" a="1"/>
  <c r="F1352" i="1" s="1"/>
  <c r="G1354" i="1" a="1"/>
  <c r="G1354" i="1" s="1"/>
  <c r="N1355" i="1" a="1"/>
  <c r="N1355" i="1"/>
  <c r="M1355" i="1" a="1"/>
  <c r="M1355" i="1"/>
  <c r="I1355" i="1" a="1"/>
  <c r="I1355" i="1"/>
  <c r="F1355" i="1" a="1"/>
  <c r="F1355" i="1"/>
  <c r="I1353" i="1" a="1"/>
  <c r="I1353" i="1"/>
  <c r="Q1353" i="1" a="1"/>
  <c r="Q1353" i="1"/>
  <c r="I1349" i="1" a="1"/>
  <c r="I1349" i="1"/>
  <c r="L1350" i="1" a="1"/>
  <c r="L1350" i="1" s="1"/>
  <c r="Q1349" i="1" a="1"/>
  <c r="Q1349" i="1"/>
  <c r="P1347" i="1" a="1"/>
  <c r="P1347" i="1"/>
  <c r="I1347" i="1" a="1"/>
  <c r="I1347" i="1"/>
  <c r="Q1350" i="1" a="1"/>
  <c r="Q1350" i="1" s="1"/>
  <c r="J1348" i="1" a="1"/>
  <c r="J1348" i="1" s="1"/>
  <c r="O1350" i="1" a="1"/>
  <c r="O1350" i="1" s="1"/>
  <c r="H1350" i="1" a="1"/>
  <c r="H1350" i="1"/>
  <c r="K1350" i="1" a="1"/>
  <c r="K1350" i="1"/>
  <c r="J1350" i="1" a="1"/>
  <c r="J1350" i="1"/>
  <c r="I1350" i="1" a="1"/>
  <c r="I1350" i="1"/>
  <c r="P1349" i="1" a="1"/>
  <c r="P1349" i="1"/>
  <c r="K1348" i="1" a="1"/>
  <c r="K1348" i="1" s="1"/>
  <c r="J1349" i="1" a="1"/>
  <c r="J1349" i="1" s="1"/>
  <c r="H1349" i="1" a="1"/>
  <c r="H1349" i="1" s="1"/>
  <c r="F1349" i="1" a="1"/>
  <c r="F1349" i="1"/>
  <c r="M1348" i="1" a="1"/>
  <c r="M1348" i="1" s="1"/>
  <c r="H1348" i="1" a="1"/>
  <c r="H1348" i="1" s="1"/>
  <c r="G1348" i="1" a="1"/>
  <c r="G1348" i="1"/>
  <c r="L1347" i="1" a="1"/>
  <c r="L1347" i="1" s="1"/>
  <c r="H1347" i="1" a="1"/>
  <c r="H1347" i="1" s="1"/>
  <c r="K1347" i="1" a="1"/>
  <c r="K1347" i="1"/>
  <c r="O1348" i="1" a="1"/>
  <c r="O1348" i="1"/>
  <c r="O1349" i="1" a="1"/>
  <c r="O1349" i="1"/>
  <c r="G1349" i="1" a="1"/>
  <c r="G1349" i="1"/>
  <c r="N1349" i="1" a="1"/>
  <c r="N1349" i="1"/>
  <c r="Q1347" i="1" a="1"/>
  <c r="Q1347" i="1" s="1"/>
  <c r="N1347" i="1" a="1"/>
  <c r="N1347" i="1"/>
  <c r="M1349" i="1" a="1"/>
  <c r="M1349" i="1" s="1"/>
  <c r="L1349" i="1" a="1"/>
  <c r="L1349" i="1"/>
  <c r="L1348" i="1" a="1"/>
  <c r="L1348" i="1" s="1"/>
  <c r="G1350" i="1" a="1"/>
  <c r="G1350" i="1"/>
  <c r="O1347" i="1" a="1"/>
  <c r="O1347" i="1"/>
  <c r="N1348" i="1" a="1"/>
  <c r="N1348" i="1" s="1"/>
  <c r="F1350" i="1" a="1"/>
  <c r="F1350" i="1" s="1"/>
  <c r="K1349" i="1" a="1"/>
  <c r="K1349" i="1"/>
  <c r="P1348" i="1" a="1"/>
  <c r="P1348" i="1"/>
  <c r="I1348" i="1" a="1"/>
  <c r="I1348" i="1"/>
  <c r="F1348" i="1" a="1"/>
  <c r="F1348" i="1"/>
  <c r="F1347" i="1" a="1"/>
  <c r="F1347" i="1"/>
  <c r="G1347" i="1" a="1"/>
  <c r="G1347" i="1" s="1"/>
  <c r="P1350" i="1" a="1"/>
  <c r="P1350" i="1" s="1"/>
  <c r="J1347" i="1" a="1"/>
  <c r="J1347" i="1" s="1"/>
  <c r="N1350" i="1" a="1"/>
  <c r="N1350" i="1"/>
  <c r="Q1348" i="1" a="1"/>
  <c r="Q1348" i="1"/>
  <c r="M1347" i="1" a="1"/>
  <c r="M1347" i="1"/>
  <c r="M1350" i="1" a="1"/>
  <c r="M1350" i="1"/>
  <c r="N1346" i="1" a="1"/>
  <c r="N1346" i="1" s="1"/>
  <c r="L1346" i="1" a="1"/>
  <c r="L1346" i="1" s="1"/>
  <c r="P1340" i="1" a="1"/>
  <c r="P1340" i="1"/>
  <c r="K1339" i="1" a="1"/>
  <c r="K1339" i="1"/>
  <c r="J1346" i="1" a="1"/>
  <c r="J1346" i="1"/>
  <c r="H1346" i="1" a="1"/>
  <c r="H1346" i="1"/>
  <c r="H1339" i="1" a="1"/>
  <c r="H1339" i="1" s="1"/>
  <c r="G1340" i="1" a="1"/>
  <c r="G1340" i="1" s="1"/>
  <c r="G1339" i="1" a="1"/>
  <c r="G1339" i="1" s="1"/>
  <c r="P1339" i="1" a="1"/>
  <c r="P1339" i="1" s="1"/>
  <c r="J1339" i="1" a="1"/>
  <c r="J1339" i="1"/>
  <c r="J1340" i="1" a="1"/>
  <c r="J1340" i="1" s="1"/>
  <c r="G1346" i="1" a="1"/>
  <c r="G1346" i="1" s="1"/>
  <c r="F1339" i="1" a="1"/>
  <c r="F1339" i="1" s="1"/>
  <c r="O1340" i="1" a="1"/>
  <c r="O1340" i="1" s="1"/>
  <c r="O1339" i="1" a="1"/>
  <c r="O1339" i="1" s="1"/>
  <c r="K1340" i="1" a="1"/>
  <c r="K1340" i="1"/>
  <c r="Q1346" i="1" a="1"/>
  <c r="Q1346" i="1"/>
  <c r="P1346" i="1" a="1"/>
  <c r="P1346" i="1"/>
  <c r="Q1340" i="1" a="1"/>
  <c r="Q1340" i="1"/>
  <c r="O1346" i="1" a="1"/>
  <c r="O1346" i="1" s="1"/>
  <c r="L1340" i="1" a="1"/>
  <c r="L1340" i="1" s="1"/>
  <c r="K1346" i="1" a="1"/>
  <c r="K1346" i="1" s="1"/>
  <c r="M1346" i="1" a="1"/>
  <c r="M1346" i="1" s="1"/>
  <c r="I1346" i="1" a="1"/>
  <c r="I1346" i="1"/>
  <c r="I1339" i="1" a="1"/>
  <c r="I1339" i="1" s="1"/>
  <c r="H1340" i="1" a="1"/>
  <c r="H1340" i="1"/>
  <c r="F1346" i="1" a="1"/>
  <c r="F1346" i="1"/>
  <c r="N1340" i="1" a="1"/>
  <c r="N1340" i="1" s="1"/>
  <c r="M1340" i="1" a="1"/>
  <c r="M1340" i="1" s="1"/>
  <c r="I1340" i="1" a="1"/>
  <c r="I1340" i="1"/>
  <c r="Q1338" i="1" a="1"/>
  <c r="Q1338" i="1"/>
  <c r="F1340" i="1" a="1"/>
  <c r="F1340" i="1"/>
  <c r="L1339" i="1" a="1"/>
  <c r="L1339" i="1"/>
  <c r="M1339" i="1" a="1"/>
  <c r="M1339" i="1"/>
  <c r="Q1339" i="1" a="1"/>
  <c r="Q1339" i="1" s="1"/>
  <c r="N1339" i="1" a="1"/>
  <c r="N1339" i="1" s="1"/>
  <c r="O1334" i="1" a="1"/>
  <c r="O1334" i="1" s="1"/>
  <c r="Q1334" i="1" a="1"/>
  <c r="Q1334" i="1"/>
  <c r="J1336" i="1" a="1"/>
  <c r="J1336" i="1" s="1"/>
  <c r="O1335" i="1" a="1"/>
  <c r="O1335" i="1" s="1"/>
  <c r="J1335" i="1" a="1"/>
  <c r="J1335" i="1" s="1"/>
  <c r="G1335" i="1" a="1"/>
  <c r="G1335" i="1" s="1"/>
  <c r="F1337" i="1" a="1"/>
  <c r="F1337" i="1" s="1"/>
  <c r="Q1336" i="1" a="1"/>
  <c r="Q1336" i="1"/>
  <c r="P1336" i="1" a="1"/>
  <c r="P1336" i="1"/>
  <c r="G1336" i="1" a="1"/>
  <c r="G1336" i="1"/>
  <c r="K1336" i="1" a="1"/>
  <c r="K1336" i="1"/>
  <c r="H1336" i="1" a="1"/>
  <c r="H1336" i="1" s="1"/>
  <c r="F1336" i="1" a="1"/>
  <c r="F1336" i="1"/>
  <c r="Q1335" i="1" a="1"/>
  <c r="Q1335" i="1"/>
  <c r="L1335" i="1" a="1"/>
  <c r="L1335" i="1" s="1"/>
  <c r="I1335" i="1" a="1"/>
  <c r="I1335" i="1"/>
  <c r="P1335" i="1" a="1"/>
  <c r="P1335" i="1" s="1"/>
  <c r="F1338" i="1" a="1"/>
  <c r="F1338" i="1" s="1"/>
  <c r="I1338" i="1" a="1"/>
  <c r="I1338" i="1" s="1"/>
  <c r="J1337" i="1" a="1"/>
  <c r="J1337" i="1" s="1"/>
  <c r="F1335" i="1" a="1"/>
  <c r="F1335" i="1" s="1"/>
  <c r="I1336" i="1" a="1"/>
  <c r="I1336" i="1"/>
  <c r="Q1337" i="1" a="1"/>
  <c r="Q1337" i="1"/>
  <c r="M1337" i="1" a="1"/>
  <c r="M1337" i="1"/>
  <c r="O1338" i="1" a="1"/>
  <c r="O1338" i="1"/>
  <c r="H1335" i="1" a="1"/>
  <c r="H1335" i="1"/>
  <c r="J1338" i="1" a="1"/>
  <c r="J1338" i="1" s="1"/>
  <c r="H1338" i="1" a="1"/>
  <c r="H1338" i="1" s="1"/>
  <c r="G1338" i="1" a="1"/>
  <c r="G1338" i="1" s="1"/>
  <c r="L1336" i="1" a="1"/>
  <c r="L1336" i="1"/>
  <c r="G1337" i="1" a="1"/>
  <c r="G1337" i="1"/>
  <c r="N1337" i="1" a="1"/>
  <c r="N1337" i="1" s="1"/>
  <c r="P1338" i="1" a="1"/>
  <c r="P1338" i="1" s="1"/>
  <c r="N1338" i="1" a="1"/>
  <c r="N1338" i="1" s="1"/>
  <c r="M1338" i="1" a="1"/>
  <c r="M1338" i="1" s="1"/>
  <c r="L1338" i="1" a="1"/>
  <c r="L1338" i="1"/>
  <c r="K1335" i="1" a="1"/>
  <c r="K1335" i="1"/>
  <c r="L1337" i="1" a="1"/>
  <c r="L1337" i="1"/>
  <c r="K1338" i="1" a="1"/>
  <c r="K1338" i="1"/>
  <c r="P1337" i="1" a="1"/>
  <c r="P1337" i="1" s="1"/>
  <c r="M1336" i="1" a="1"/>
  <c r="M1336" i="1" s="1"/>
  <c r="M1335" i="1" a="1"/>
  <c r="M1335" i="1"/>
  <c r="O1337" i="1" a="1"/>
  <c r="O1337" i="1" s="1"/>
  <c r="K1337" i="1" a="1"/>
  <c r="K1337" i="1"/>
  <c r="N1335" i="1" a="1"/>
  <c r="N1335" i="1"/>
  <c r="I1337" i="1" a="1"/>
  <c r="I1337" i="1" s="1"/>
  <c r="N1336" i="1" a="1"/>
  <c r="N1336" i="1" s="1"/>
  <c r="H1337" i="1" a="1"/>
  <c r="H1337" i="1" s="1"/>
  <c r="O1336" i="1" a="1"/>
  <c r="O1336" i="1" s="1"/>
  <c r="P1334" i="1" a="1"/>
  <c r="P1334" i="1"/>
  <c r="M1333" i="1" a="1"/>
  <c r="M1333" i="1"/>
  <c r="K1333" i="1" a="1"/>
  <c r="K1333" i="1"/>
  <c r="P1332" i="1" a="1"/>
  <c r="P1332" i="1"/>
  <c r="J1332" i="1" a="1"/>
  <c r="J1332" i="1"/>
  <c r="I1332" i="1" a="1"/>
  <c r="I1332" i="1"/>
  <c r="N1334" i="1" a="1"/>
  <c r="N1334" i="1"/>
  <c r="Q1332" i="1" a="1"/>
  <c r="Q1332" i="1" s="1"/>
  <c r="M1334" i="1" a="1"/>
  <c r="M1334" i="1"/>
  <c r="F1332" i="1" a="1"/>
  <c r="F1332" i="1" s="1"/>
  <c r="L1334" i="1" a="1"/>
  <c r="L1334" i="1"/>
  <c r="P1333" i="1" a="1"/>
  <c r="P1333" i="1"/>
  <c r="K1334" i="1" a="1"/>
  <c r="K1334" i="1" s="1"/>
  <c r="F1334" i="1" a="1"/>
  <c r="F1334" i="1" s="1"/>
  <c r="J1334" i="1" a="1"/>
  <c r="J1334" i="1"/>
  <c r="H1334" i="1" a="1"/>
  <c r="H1334" i="1"/>
  <c r="I1333" i="1" a="1"/>
  <c r="I1333" i="1"/>
  <c r="F1333" i="1" a="1"/>
  <c r="F1333" i="1"/>
  <c r="I1334" i="1" a="1"/>
  <c r="I1334" i="1" s="1"/>
  <c r="N1332" i="1" a="1"/>
  <c r="N1332" i="1" s="1"/>
  <c r="O1333" i="1" a="1"/>
  <c r="O1333" i="1" s="1"/>
  <c r="Q1333" i="1" a="1"/>
  <c r="Q1333" i="1" s="1"/>
  <c r="L1333" i="1" a="1"/>
  <c r="L1333" i="1"/>
  <c r="J1333" i="1" a="1"/>
  <c r="J1333" i="1" s="1"/>
  <c r="H1333" i="1" a="1"/>
  <c r="H1333" i="1" s="1"/>
  <c r="O1332" i="1" a="1"/>
  <c r="O1332" i="1" s="1"/>
  <c r="H1332" i="1" a="1"/>
  <c r="H1332" i="1" s="1"/>
  <c r="G1332" i="1" a="1"/>
  <c r="G1332" i="1" s="1"/>
  <c r="G1333" i="1" a="1"/>
  <c r="G1333" i="1"/>
  <c r="K1332" i="1" a="1"/>
  <c r="K1332" i="1"/>
  <c r="L1332" i="1" a="1"/>
  <c r="L1332" i="1"/>
  <c r="M1332" i="1" a="1"/>
  <c r="M1332" i="1"/>
  <c r="G1334" i="1" a="1"/>
  <c r="G1334" i="1" s="1"/>
  <c r="N1333" i="1" a="1"/>
  <c r="N1333" i="1" s="1"/>
  <c r="L1326" i="1" a="1"/>
  <c r="L1326" i="1"/>
  <c r="O1326" i="1" a="1"/>
  <c r="O1326" i="1" s="1"/>
  <c r="P1326" i="1" a="1"/>
  <c r="P1326" i="1"/>
  <c r="N1326" i="1" a="1"/>
  <c r="N1326" i="1" s="1"/>
  <c r="M1326" i="1" a="1"/>
  <c r="M1326" i="1" s="1"/>
  <c r="Q1326" i="1" a="1"/>
  <c r="Q1326" i="1"/>
  <c r="Q2232" i="1" a="1"/>
  <c r="Q2232" i="1" s="1"/>
  <c r="P2232" i="1" a="1"/>
  <c r="P2232" i="1" s="1"/>
  <c r="N2229" i="1" a="1"/>
  <c r="N2229" i="1" s="1"/>
  <c r="M2231" i="1" a="1"/>
  <c r="M2231" i="1"/>
  <c r="N2232" i="1" a="1"/>
  <c r="N2232" i="1"/>
  <c r="M2232" i="1" a="1"/>
  <c r="M2232" i="1"/>
  <c r="H2232" i="1" a="1"/>
  <c r="H2232" i="1" s="1"/>
  <c r="J2232" i="1" a="1"/>
  <c r="J2232" i="1" s="1"/>
  <c r="I2232" i="1" a="1"/>
  <c r="I2232" i="1" s="1"/>
  <c r="P2231" i="1" a="1"/>
  <c r="P2231" i="1" s="1"/>
  <c r="G2230" i="1" a="1"/>
  <c r="G2230" i="1"/>
  <c r="P2229" i="1" a="1"/>
  <c r="P2229" i="1" s="1"/>
  <c r="P2230" i="1" s="1" a="1"/>
  <c r="P2230" i="1" s="1"/>
  <c r="M2227" i="1" a="1"/>
  <c r="M2227" i="1" s="1"/>
  <c r="O2227" i="1" a="1"/>
  <c r="O2227" i="1"/>
  <c r="G2229" i="1" a="1"/>
  <c r="G2229" i="1" s="1"/>
  <c r="L2227" i="1" a="1"/>
  <c r="L2227" i="1"/>
  <c r="L2228" i="1" s="1" a="1"/>
  <c r="L2228" i="1" s="1"/>
  <c r="H2231" i="1" a="1"/>
  <c r="H2231" i="1" s="1"/>
  <c r="M2228" i="1" a="1"/>
  <c r="M2228" i="1"/>
  <c r="I2231" i="1" a="1"/>
  <c r="I2231" i="1" s="1"/>
  <c r="L2232" i="1" a="1"/>
  <c r="L2232" i="1" s="1"/>
  <c r="K2232" i="1" a="1"/>
  <c r="K2232" i="1" s="1"/>
  <c r="G2232" i="1" a="1"/>
  <c r="G2232" i="1" s="1"/>
  <c r="F2232" i="1" a="1"/>
  <c r="F2232" i="1"/>
  <c r="G2231" i="1" a="1"/>
  <c r="G2231" i="1" s="1"/>
  <c r="Q2229" i="1" a="1"/>
  <c r="Q2229" i="1" s="1"/>
  <c r="Q2230" i="1" s="1" a="1"/>
  <c r="Q2230" i="1" s="1"/>
  <c r="H2229" i="1" a="1"/>
  <c r="H2229" i="1"/>
  <c r="M2229" i="1" a="1"/>
  <c r="M2229" i="1"/>
  <c r="Q2227" i="1" a="1"/>
  <c r="Q2227" i="1"/>
  <c r="Q2228" i="1" s="1" a="1"/>
  <c r="Q2228" i="1" s="1"/>
  <c r="L2229" i="1" a="1"/>
  <c r="L2229" i="1"/>
  <c r="Q2231" i="1" a="1"/>
  <c r="Q2231" i="1" s="1"/>
  <c r="O2231" i="1" a="1"/>
  <c r="O2231" i="1"/>
  <c r="N2231" i="1" a="1"/>
  <c r="N2231" i="1" s="1"/>
  <c r="I2229" i="1" a="1"/>
  <c r="I2229" i="1" s="1"/>
  <c r="I2230" i="1" s="1" a="1"/>
  <c r="I2230" i="1" s="1"/>
  <c r="P2227" i="1" a="1"/>
  <c r="P2227" i="1" s="1"/>
  <c r="P2228" i="1" s="1" a="1"/>
  <c r="P2228" i="1" s="1"/>
  <c r="L2231" i="1" a="1"/>
  <c r="L2231" i="1" s="1"/>
  <c r="J2231" i="1" a="1"/>
  <c r="J2231" i="1" s="1"/>
  <c r="N2230" i="1" a="1"/>
  <c r="N2230" i="1" s="1"/>
  <c r="L2230" i="1" a="1"/>
  <c r="L2230" i="1" s="1"/>
  <c r="K2231" i="1" a="1"/>
  <c r="K2231" i="1"/>
  <c r="K2229" i="1" a="1"/>
  <c r="K2229" i="1" s="1"/>
  <c r="K2230" i="1" s="1" a="1"/>
  <c r="K2230" i="1" s="1"/>
  <c r="O2229" i="1" a="1"/>
  <c r="O2229" i="1"/>
  <c r="O2230" i="1" s="1" a="1"/>
  <c r="O2230" i="1" s="1"/>
  <c r="M2230" i="1" a="1"/>
  <c r="M2230" i="1" s="1"/>
  <c r="H2230" i="1" a="1"/>
  <c r="H2230" i="1" s="1"/>
  <c r="G2228" i="1" a="1"/>
  <c r="G2228" i="1" s="1"/>
  <c r="N2227" i="1" a="1"/>
  <c r="N2227" i="1" s="1"/>
  <c r="N2228" i="1" s="1" a="1"/>
  <c r="N2228" i="1" s="1"/>
  <c r="F2231" i="1" a="1"/>
  <c r="F2231" i="1" s="1"/>
  <c r="J2230" i="1" a="1"/>
  <c r="J2230" i="1" s="1"/>
  <c r="O2228" i="1" a="1"/>
  <c r="O2228" i="1" s="1"/>
  <c r="F2229" i="1" a="1"/>
  <c r="F2229" i="1" s="1"/>
  <c r="F2230" i="1" s="1" a="1"/>
  <c r="F2230" i="1" s="1"/>
  <c r="O2232" i="1" a="1"/>
  <c r="O2232" i="1"/>
  <c r="J2229" i="1" a="1"/>
  <c r="J2229" i="1" s="1"/>
  <c r="J2228" i="1" a="1"/>
  <c r="J2228" i="1" s="1"/>
  <c r="G2226" i="1" a="1"/>
  <c r="G2226" i="1" s="1"/>
  <c r="K2227" i="1" a="1"/>
  <c r="K2227" i="1"/>
  <c r="K2228" i="1" s="1" a="1"/>
  <c r="K2228" i="1" s="1"/>
  <c r="J2227" i="1" a="1"/>
  <c r="J2227" i="1"/>
  <c r="I2227" i="1" a="1"/>
  <c r="I2227" i="1"/>
  <c r="I2228" i="1" s="1" a="1"/>
  <c r="I2228" i="1" s="1"/>
  <c r="G2227" i="1" a="1"/>
  <c r="G2227" i="1"/>
  <c r="F2227" i="1" a="1"/>
  <c r="F2227" i="1" s="1"/>
  <c r="F2228" i="1" s="1" a="1"/>
  <c r="F2228" i="1" s="1"/>
  <c r="K2226" i="1" a="1"/>
  <c r="K2226" i="1"/>
  <c r="P2224" i="1" a="1"/>
  <c r="P2224" i="1" s="1"/>
  <c r="P2225" i="1" s="1" a="1"/>
  <c r="P2225" i="1" s="1"/>
  <c r="N2224" i="1" a="1"/>
  <c r="N2224" i="1"/>
  <c r="N2225" i="1" s="1" a="1"/>
  <c r="N2225" i="1" s="1"/>
  <c r="Q2226" i="1" a="1"/>
  <c r="Q2226" i="1"/>
  <c r="P2226" i="1" a="1"/>
  <c r="P2226" i="1"/>
  <c r="M2221" i="1" a="1"/>
  <c r="M2221" i="1" s="1"/>
  <c r="Q2224" i="1" a="1"/>
  <c r="Q2224" i="1"/>
  <c r="O2226" i="1" a="1"/>
  <c r="O2226" i="1" s="1"/>
  <c r="H2226" i="1" a="1"/>
  <c r="H2226" i="1" s="1"/>
  <c r="N2226" i="1" a="1"/>
  <c r="N2226" i="1" s="1"/>
  <c r="J2222" i="1" a="1"/>
  <c r="J2222" i="1" s="1"/>
  <c r="N2221" i="1" a="1"/>
  <c r="N2221" i="1"/>
  <c r="L2221" i="1" a="1"/>
  <c r="L2221" i="1" s="1"/>
  <c r="O2221" i="1" a="1"/>
  <c r="O2221" i="1" s="1"/>
  <c r="L2222" i="1" a="1"/>
  <c r="L2222" i="1" s="1"/>
  <c r="M2226" i="1" a="1"/>
  <c r="M2226" i="1" s="1"/>
  <c r="L2226" i="1" a="1"/>
  <c r="L2226" i="1" s="1"/>
  <c r="I2226" i="1" a="1"/>
  <c r="I2226" i="1"/>
  <c r="F2226" i="1" a="1"/>
  <c r="F2226" i="1" s="1"/>
  <c r="G2224" i="1" a="1"/>
  <c r="G2224" i="1"/>
  <c r="G2225" i="1" s="1" a="1"/>
  <c r="G2225" i="1" s="1"/>
  <c r="Q2225" i="1" a="1"/>
  <c r="Q2225" i="1" s="1"/>
  <c r="J2224" i="1" a="1"/>
  <c r="J2224" i="1" s="1"/>
  <c r="J2225" i="1" s="1" a="1"/>
  <c r="J2225" i="1" s="1"/>
  <c r="P2222" i="1" a="1"/>
  <c r="P2222" i="1" s="1"/>
  <c r="I2224" i="1" a="1"/>
  <c r="I2224" i="1"/>
  <c r="I2225" i="1" s="1" a="1"/>
  <c r="H2224" i="1" a="1"/>
  <c r="H2224" i="1" s="1"/>
  <c r="H2225" i="1" s="1" a="1"/>
  <c r="H2225" i="1" s="1"/>
  <c r="M2224" i="1" a="1"/>
  <c r="M2224" i="1" s="1"/>
  <c r="M2225" i="1" s="1" a="1"/>
  <c r="M2225" i="1" s="1"/>
  <c r="K2222" i="1" a="1"/>
  <c r="K2222" i="1" s="1"/>
  <c r="G2222" i="1" a="1"/>
  <c r="G2222" i="1"/>
  <c r="I2225" i="1"/>
  <c r="O2224" i="1" a="1"/>
  <c r="O2224" i="1" s="1"/>
  <c r="O2225" i="1" s="1" a="1"/>
  <c r="O2225" i="1" s="1"/>
  <c r="J2221" i="1" a="1"/>
  <c r="J2221" i="1" s="1"/>
  <c r="L2224" i="1" a="1"/>
  <c r="L2224" i="1" s="1"/>
  <c r="L2225" i="1" s="1" a="1"/>
  <c r="L2225" i="1" s="1"/>
  <c r="F2222" i="1" a="1"/>
  <c r="F2222" i="1" s="1"/>
  <c r="P2221" i="1" a="1"/>
  <c r="P2221" i="1" s="1"/>
  <c r="N2222" i="1" a="1"/>
  <c r="N2222" i="1" s="1"/>
  <c r="Q2222" i="1" a="1"/>
  <c r="Q2222" i="1" s="1"/>
  <c r="Q2221" i="1" a="1"/>
  <c r="Q2221" i="1" s="1"/>
  <c r="H2222" i="1" a="1"/>
  <c r="H2222" i="1" s="1"/>
  <c r="K2221" i="1" a="1"/>
  <c r="K2221" i="1" s="1"/>
  <c r="J2226" i="1" a="1"/>
  <c r="J2226" i="1"/>
  <c r="F2224" i="1" a="1"/>
  <c r="F2224" i="1" s="1"/>
  <c r="F2225" i="1" s="1" a="1"/>
  <c r="F2225" i="1" s="1"/>
  <c r="M2222" i="1" a="1"/>
  <c r="M2222" i="1" s="1"/>
  <c r="H2227" i="1" a="1"/>
  <c r="H2227" i="1" s="1"/>
  <c r="H2228" i="1" s="1" a="1"/>
  <c r="H2228" i="1" s="1"/>
  <c r="O2222" i="1" a="1"/>
  <c r="O2222" i="1" s="1"/>
  <c r="I2222" i="1" a="1"/>
  <c r="I2222" i="1" s="1"/>
  <c r="K2224" i="1" a="1"/>
  <c r="K2224" i="1" s="1"/>
  <c r="K2225" i="1" s="1" a="1"/>
  <c r="K2225" i="1" s="1"/>
  <c r="I2218" i="1" a="1"/>
  <c r="I2218" i="1" s="1"/>
  <c r="F2217" i="1" a="1"/>
  <c r="F2217" i="1" s="1"/>
  <c r="F2218" i="1" s="1" a="1"/>
  <c r="F2218" i="1" s="1"/>
  <c r="N2216" i="1" a="1"/>
  <c r="N2216" i="1" s="1"/>
  <c r="M2216" i="1" a="1"/>
  <c r="M2216" i="1"/>
  <c r="P2216" i="1" a="1"/>
  <c r="P2216" i="1"/>
  <c r="K2219" i="1" a="1"/>
  <c r="K2219" i="1"/>
  <c r="P2217" i="1" a="1"/>
  <c r="P2217" i="1"/>
  <c r="J2217" i="1" a="1"/>
  <c r="J2217" i="1" s="1"/>
  <c r="J2218" i="1" s="1" a="1"/>
  <c r="J2218" i="1" s="1"/>
  <c r="Q2216" i="1" a="1"/>
  <c r="Q2216" i="1" s="1"/>
  <c r="K2216" i="1" a="1"/>
  <c r="K2216" i="1"/>
  <c r="L2216" i="1" a="1"/>
  <c r="L2216" i="1"/>
  <c r="Q2219" i="1" a="1"/>
  <c r="Q2219" i="1" s="1"/>
  <c r="Q2220" i="1" s="1" a="1"/>
  <c r="Q2220" i="1" s="1"/>
  <c r="O2219" i="1" a="1"/>
  <c r="O2219" i="1" s="1"/>
  <c r="O2220" i="1" s="1" a="1"/>
  <c r="O2220" i="1" s="1"/>
  <c r="H2219" i="1" a="1"/>
  <c r="H2219" i="1" s="1"/>
  <c r="H2220" i="1" s="1" a="1"/>
  <c r="H2220" i="1" s="1"/>
  <c r="Q2217" i="1" a="1"/>
  <c r="Q2217" i="1" s="1"/>
  <c r="Q2218" i="1" s="1" a="1"/>
  <c r="Q2218" i="1" s="1"/>
  <c r="G2216" i="1" a="1"/>
  <c r="G2216" i="1" s="1"/>
  <c r="G2217" i="1" a="1"/>
  <c r="G2217" i="1" s="1"/>
  <c r="O2217" i="1" a="1"/>
  <c r="O2217" i="1" s="1"/>
  <c r="O2218" i="1" s="1" a="1"/>
  <c r="O2218" i="1" s="1"/>
  <c r="I2216" i="1" a="1"/>
  <c r="I2216" i="1"/>
  <c r="F2216" i="1" a="1"/>
  <c r="F2216" i="1" s="1"/>
  <c r="I2221" i="1" a="1"/>
  <c r="I2221" i="1" s="1"/>
  <c r="P2219" i="1" a="1"/>
  <c r="P2219" i="1" s="1"/>
  <c r="P2220" i="1" s="1" a="1"/>
  <c r="P2220" i="1" s="1"/>
  <c r="P2218" i="1" a="1"/>
  <c r="P2218" i="1" s="1"/>
  <c r="K2218" i="1" a="1"/>
  <c r="K2218" i="1" s="1"/>
  <c r="M2219" i="1" a="1"/>
  <c r="M2219" i="1"/>
  <c r="M2220" i="1" s="1" a="1"/>
  <c r="M2220" i="1" s="1"/>
  <c r="H2221" i="1" a="1"/>
  <c r="H2221" i="1"/>
  <c r="K2220" i="1" a="1"/>
  <c r="K2220" i="1" s="1"/>
  <c r="G2221" i="1" a="1"/>
  <c r="G2221" i="1" s="1"/>
  <c r="L2219" i="1" a="1"/>
  <c r="L2219" i="1"/>
  <c r="K2217" i="1" a="1"/>
  <c r="K2217" i="1"/>
  <c r="H2216" i="1" a="1"/>
  <c r="H2216" i="1" s="1"/>
  <c r="F2221" i="1" a="1"/>
  <c r="F2221" i="1" s="1"/>
  <c r="L2217" i="1" a="1"/>
  <c r="L2217" i="1" s="1"/>
  <c r="L2218" i="1" s="1" a="1"/>
  <c r="L2218" i="1" s="1"/>
  <c r="M2217" i="1" a="1"/>
  <c r="M2217" i="1"/>
  <c r="M2218" i="1" s="1" a="1"/>
  <c r="M2218" i="1" s="1"/>
  <c r="L2220" i="1" a="1"/>
  <c r="L2220" i="1"/>
  <c r="G2218" i="1" a="1"/>
  <c r="G2218" i="1" s="1"/>
  <c r="G2220" i="1"/>
  <c r="J2219" i="1" a="1"/>
  <c r="J2219" i="1" s="1"/>
  <c r="J2220" i="1" s="1" a="1"/>
  <c r="J2220" i="1" s="1"/>
  <c r="I2219" i="1" a="1"/>
  <c r="I2219" i="1" s="1"/>
  <c r="I2220" i="1" s="1" a="1"/>
  <c r="I2220" i="1" s="1"/>
  <c r="N2217" i="1" a="1"/>
  <c r="N2217" i="1" s="1"/>
  <c r="N2218" i="1" s="1" a="1"/>
  <c r="N2218" i="1" s="1"/>
  <c r="I2217" i="1" a="1"/>
  <c r="I2217" i="1" s="1"/>
  <c r="H2217" i="1" a="1"/>
  <c r="H2217" i="1" s="1"/>
  <c r="H2218" i="1" s="1" a="1"/>
  <c r="H2218" i="1" s="1"/>
  <c r="J2216" i="1" a="1"/>
  <c r="J2216" i="1"/>
  <c r="F2219" i="1" a="1"/>
  <c r="F2219" i="1"/>
  <c r="F2220" i="1" s="1" a="1"/>
  <c r="F2220" i="1" s="1"/>
  <c r="O2216" i="1" a="1"/>
  <c r="O2216" i="1"/>
  <c r="N2219" i="1" a="1"/>
  <c r="N2219" i="1" s="1"/>
  <c r="N2220" i="1" s="1" a="1"/>
  <c r="N2220" i="1" s="1"/>
  <c r="G2219" i="1" a="1"/>
  <c r="G2219" i="1"/>
  <c r="G2220" i="1" s="1" a="1"/>
  <c r="G2212" i="1" a="1"/>
  <c r="G2212" i="1"/>
  <c r="Q2210" i="1" a="1"/>
  <c r="Q2210" i="1"/>
  <c r="P2209" i="1" a="1"/>
  <c r="P2209" i="1" s="1"/>
  <c r="L2210" i="1" a="1"/>
  <c r="L2210" i="1" s="1"/>
  <c r="L2214" i="1" a="1"/>
  <c r="L2214" i="1" s="1"/>
  <c r="L2215" i="1" s="1" a="1"/>
  <c r="L2215" i="1" s="1"/>
  <c r="I2214" i="1" a="1"/>
  <c r="I2214" i="1" s="1"/>
  <c r="I2215" i="1" s="1" a="1"/>
  <c r="I2215" i="1" s="1"/>
  <c r="G2210" i="1" a="1"/>
  <c r="G2210" i="1" s="1"/>
  <c r="N2214" i="1" a="1"/>
  <c r="N2214" i="1" s="1"/>
  <c r="N2215" i="1" s="1" a="1"/>
  <c r="N2215" i="1" s="1"/>
  <c r="N2212" i="1" a="1"/>
  <c r="N2212" i="1" s="1"/>
  <c r="H2210" i="1" a="1"/>
  <c r="H2210" i="1" s="1"/>
  <c r="K2212" i="1" a="1"/>
  <c r="K2212" i="1" s="1"/>
  <c r="K2210" i="1" a="1"/>
  <c r="K2210" i="1" s="1"/>
  <c r="I2212" i="1" a="1"/>
  <c r="I2212" i="1" s="1"/>
  <c r="P2212" i="1" a="1"/>
  <c r="P2212" i="1" s="1"/>
  <c r="K2215" i="1" a="1"/>
  <c r="K2215" i="1"/>
  <c r="J2215" i="1" a="1"/>
  <c r="J2215" i="1"/>
  <c r="Q2214" i="1" a="1"/>
  <c r="Q2214" i="1" s="1"/>
  <c r="Q2215" i="1" s="1" a="1"/>
  <c r="Q2215" i="1" s="1"/>
  <c r="G2211" i="1" a="1"/>
  <c r="G2211" i="1"/>
  <c r="J2214" i="1" a="1"/>
  <c r="J2214" i="1" s="1"/>
  <c r="Q2209" i="1" a="1"/>
  <c r="Q2209" i="1"/>
  <c r="L2212" i="1" a="1"/>
  <c r="L2212" i="1"/>
  <c r="K2214" i="1" a="1"/>
  <c r="K2214" i="1"/>
  <c r="M2212" i="1" a="1"/>
  <c r="M2212" i="1"/>
  <c r="I2210" i="1" a="1"/>
  <c r="I2210" i="1" s="1"/>
  <c r="F2211" i="1" a="1"/>
  <c r="F2211" i="1" s="1"/>
  <c r="P2214" i="1" a="1"/>
  <c r="P2214" i="1" s="1"/>
  <c r="P2215" i="1" s="1" a="1"/>
  <c r="P2215" i="1" s="1"/>
  <c r="M2214" i="1" a="1"/>
  <c r="M2214" i="1"/>
  <c r="M2215" i="1" s="1" a="1"/>
  <c r="M2215" i="1" s="1"/>
  <c r="H2214" i="1" a="1"/>
  <c r="H2214" i="1" s="1"/>
  <c r="H2215" i="1" s="1" a="1"/>
  <c r="H2215" i="1" s="1"/>
  <c r="O2211" i="1" a="1"/>
  <c r="O2211" i="1"/>
  <c r="G2214" i="1" a="1"/>
  <c r="G2214" i="1"/>
  <c r="G2215" i="1" s="1" a="1"/>
  <c r="G2215" i="1" s="1"/>
  <c r="F2214" i="1" a="1"/>
  <c r="F2214" i="1" s="1"/>
  <c r="F2215" i="1" s="1" a="1"/>
  <c r="F2215" i="1" s="1"/>
  <c r="Q2212" i="1" a="1"/>
  <c r="Q2212" i="1" s="1"/>
  <c r="N2211" i="1" a="1"/>
  <c r="N2211" i="1" s="1"/>
  <c r="K2211" i="1" a="1"/>
  <c r="K2211" i="1" s="1"/>
  <c r="M2210" i="1" a="1"/>
  <c r="M2210" i="1" s="1"/>
  <c r="L2211" i="1" a="1"/>
  <c r="L2211" i="1" s="1"/>
  <c r="J2211" i="1" a="1"/>
  <c r="J2211" i="1"/>
  <c r="H2211" i="1" a="1"/>
  <c r="H2211" i="1"/>
  <c r="O2210" i="1" a="1"/>
  <c r="O2210" i="1" s="1"/>
  <c r="O2212" i="1" a="1"/>
  <c r="O2212" i="1" s="1"/>
  <c r="J2212" i="1" a="1"/>
  <c r="J2212" i="1"/>
  <c r="H2212" i="1" a="1"/>
  <c r="H2212" i="1" s="1"/>
  <c r="F2212" i="1" a="1"/>
  <c r="F2212" i="1" s="1"/>
  <c r="Q2211" i="1" a="1"/>
  <c r="Q2211" i="1"/>
  <c r="P2211" i="1" a="1"/>
  <c r="P2211" i="1"/>
  <c r="I2211" i="1" a="1"/>
  <c r="I2211" i="1" s="1"/>
  <c r="J2210" i="1" a="1"/>
  <c r="J2210" i="1" s="1"/>
  <c r="P2210" i="1" a="1"/>
  <c r="P2210" i="1" s="1"/>
  <c r="N2210" i="1" a="1"/>
  <c r="N2210" i="1"/>
  <c r="F2210" i="1" a="1"/>
  <c r="F2210" i="1"/>
  <c r="O2214" i="1" a="1"/>
  <c r="O2214" i="1" s="1"/>
  <c r="O2215" i="1" s="1" a="1"/>
  <c r="O2215" i="1" s="1"/>
  <c r="M2211" i="1" a="1"/>
  <c r="M2211" i="1" s="1"/>
  <c r="I2207" i="1" a="1"/>
  <c r="I2207" i="1" s="1"/>
  <c r="H2209" i="1" a="1"/>
  <c r="H2209" i="1" s="1"/>
  <c r="N2205" i="1" a="1"/>
  <c r="N2205" i="1"/>
  <c r="O2209" i="1" a="1"/>
  <c r="O2209" i="1"/>
  <c r="F2209" i="1" a="1"/>
  <c r="F2209" i="1"/>
  <c r="J2206" i="1" a="1"/>
  <c r="J2206" i="1" s="1"/>
  <c r="N2209" i="1" a="1"/>
  <c r="N2209" i="1" s="1"/>
  <c r="L2209" i="1" a="1"/>
  <c r="L2209" i="1"/>
  <c r="K2209" i="1" a="1"/>
  <c r="K2209" i="1" s="1"/>
  <c r="F2205" i="1" a="1"/>
  <c r="F2205" i="1" s="1"/>
  <c r="I2209" i="1" a="1"/>
  <c r="I2209" i="1" s="1"/>
  <c r="G2209" i="1" a="1"/>
  <c r="G2209" i="1" s="1"/>
  <c r="Q2208" i="1" a="1"/>
  <c r="Q2208" i="1"/>
  <c r="G2207" i="1" a="1"/>
  <c r="G2207" i="1"/>
  <c r="N2208" i="1" a="1"/>
  <c r="N2208" i="1" s="1"/>
  <c r="F2206" i="1" a="1"/>
  <c r="F2206" i="1"/>
  <c r="P2204" i="1" a="1"/>
  <c r="P2204" i="1" s="1"/>
  <c r="I2208" i="1" a="1"/>
  <c r="I2208" i="1" s="1"/>
  <c r="Q2207" i="1" a="1"/>
  <c r="Q2207" i="1"/>
  <c r="L2208" i="1" a="1"/>
  <c r="L2208" i="1"/>
  <c r="O2208" i="1" a="1"/>
  <c r="O2208" i="1" s="1"/>
  <c r="M2208" i="1" a="1"/>
  <c r="M2208" i="1" s="1"/>
  <c r="J2208" i="1" a="1"/>
  <c r="J2208" i="1" s="1"/>
  <c r="P2205" i="1" a="1"/>
  <c r="P2205" i="1" s="1"/>
  <c r="H2208" i="1" a="1"/>
  <c r="H2208" i="1" s="1"/>
  <c r="F2208" i="1" a="1"/>
  <c r="F2208" i="1"/>
  <c r="M2207" i="1" a="1"/>
  <c r="M2207" i="1"/>
  <c r="K2207" i="1" a="1"/>
  <c r="K2207" i="1" s="1"/>
  <c r="N2204" i="1" a="1"/>
  <c r="N2204" i="1" s="1"/>
  <c r="G2206" i="1" a="1"/>
  <c r="G2206" i="1" s="1"/>
  <c r="O2207" i="1" a="1"/>
  <c r="O2207" i="1" s="1"/>
  <c r="N2207" i="1" a="1"/>
  <c r="N2207" i="1" s="1"/>
  <c r="G2205" i="1" a="1"/>
  <c r="G2205" i="1" s="1"/>
  <c r="L2207" i="1" a="1"/>
  <c r="L2207" i="1"/>
  <c r="O2205" i="1" a="1"/>
  <c r="O2205" i="1" s="1"/>
  <c r="Q2206" i="1" a="1"/>
  <c r="Q2206" i="1" s="1"/>
  <c r="I2206" i="1" a="1"/>
  <c r="I2206" i="1" s="1"/>
  <c r="Q2205" i="1" a="1"/>
  <c r="Q2205" i="1" s="1"/>
  <c r="Q2204" i="1" a="1"/>
  <c r="Q2204" i="1" s="1"/>
  <c r="J2207" i="1" a="1"/>
  <c r="J2207" i="1" s="1"/>
  <c r="H2207" i="1" a="1"/>
  <c r="H2207" i="1" s="1"/>
  <c r="F2207" i="1" a="1"/>
  <c r="F2207" i="1"/>
  <c r="P2206" i="1" a="1"/>
  <c r="P2206" i="1" s="1"/>
  <c r="N2206" i="1" a="1"/>
  <c r="N2206" i="1" s="1"/>
  <c r="M2206" i="1" a="1"/>
  <c r="M2206" i="1"/>
  <c r="M2205" i="1" a="1"/>
  <c r="M2205" i="1" s="1"/>
  <c r="I2205" i="1" a="1"/>
  <c r="I2205" i="1" s="1"/>
  <c r="H2205" i="1" a="1"/>
  <c r="H2205" i="1" s="1"/>
  <c r="L2206" i="1" a="1"/>
  <c r="L2206" i="1" s="1"/>
  <c r="J2205" i="1" a="1"/>
  <c r="J2205" i="1"/>
  <c r="M2204" i="1" a="1"/>
  <c r="M2204" i="1" s="1"/>
  <c r="H2206" i="1" a="1"/>
  <c r="H2206" i="1" s="1"/>
  <c r="K2205" i="1" a="1"/>
  <c r="K2205" i="1" s="1"/>
  <c r="M2209" i="1" a="1"/>
  <c r="M2209" i="1" s="1"/>
  <c r="K2206" i="1" a="1"/>
  <c r="K2206" i="1"/>
  <c r="L2205" i="1" a="1"/>
  <c r="L2205" i="1"/>
  <c r="L2204" i="1" a="1"/>
  <c r="L2204" i="1" s="1"/>
  <c r="K2208" i="1" a="1"/>
  <c r="K2208" i="1" s="1"/>
  <c r="G2208" i="1" a="1"/>
  <c r="G2208" i="1" s="1"/>
  <c r="O2204" i="1" a="1"/>
  <c r="O2204" i="1" s="1"/>
  <c r="P2208" i="1" a="1"/>
  <c r="P2208" i="1"/>
  <c r="J2209" i="1" a="1"/>
  <c r="J2209" i="1"/>
  <c r="P2207" i="1" a="1"/>
  <c r="P2207" i="1"/>
  <c r="O2206" i="1" a="1"/>
  <c r="O2206" i="1" s="1"/>
  <c r="I2200" i="1" a="1"/>
  <c r="I2200" i="1" s="1"/>
  <c r="Q2200" i="1" a="1"/>
  <c r="Q2200" i="1" s="1"/>
  <c r="P2200" i="1" a="1"/>
  <c r="P2200" i="1"/>
  <c r="M2199" i="1" a="1"/>
  <c r="M2199" i="1" s="1"/>
  <c r="O2199" i="1" a="1"/>
  <c r="O2199" i="1" s="1"/>
  <c r="I2201" i="1" a="1"/>
  <c r="I2201" i="1" s="1"/>
  <c r="H2199" i="1" a="1"/>
  <c r="H2199" i="1" s="1"/>
  <c r="L2199" i="1" a="1"/>
  <c r="L2199" i="1" s="1"/>
  <c r="G2202" i="1" a="1"/>
  <c r="G2202" i="1" s="1"/>
  <c r="G2201" i="1" a="1"/>
  <c r="G2201" i="1" s="1"/>
  <c r="J2199" i="1" a="1"/>
  <c r="J2199" i="1" s="1"/>
  <c r="K2204" i="1" a="1"/>
  <c r="K2204" i="1" s="1"/>
  <c r="J2204" i="1" a="1"/>
  <c r="J2204" i="1"/>
  <c r="J2203" i="1" a="1"/>
  <c r="J2203" i="1" s="1"/>
  <c r="G2200" i="1" a="1"/>
  <c r="G2200" i="1"/>
  <c r="I2204" i="1" a="1"/>
  <c r="I2204" i="1" s="1"/>
  <c r="P2202" i="1" a="1"/>
  <c r="P2202" i="1" s="1"/>
  <c r="K2202" i="1" a="1"/>
  <c r="K2202" i="1" s="1"/>
  <c r="P2201" i="1" a="1"/>
  <c r="P2201" i="1" s="1"/>
  <c r="I2203" i="1" a="1"/>
  <c r="I2203" i="1"/>
  <c r="F2200" i="1" a="1"/>
  <c r="F2200" i="1" s="1"/>
  <c r="H2204" i="1" a="1"/>
  <c r="H2204" i="1"/>
  <c r="F2203" i="1" a="1"/>
  <c r="F2203" i="1" s="1"/>
  <c r="L2202" i="1" a="1"/>
  <c r="L2202" i="1" s="1"/>
  <c r="G2204" i="1" a="1"/>
  <c r="G2204" i="1"/>
  <c r="P2203" i="1" a="1"/>
  <c r="P2203" i="1"/>
  <c r="I2199" i="1" a="1"/>
  <c r="I2199" i="1"/>
  <c r="H2203" i="1" a="1"/>
  <c r="H2203" i="1" s="1"/>
  <c r="N2202" i="1" a="1"/>
  <c r="N2202" i="1" s="1"/>
  <c r="I2202" i="1" a="1"/>
  <c r="I2202" i="1" s="1"/>
  <c r="Q2201" i="1" a="1"/>
  <c r="Q2201" i="1" s="1"/>
  <c r="N2201" i="1" a="1"/>
  <c r="N2201" i="1" s="1"/>
  <c r="F2201" i="1" a="1"/>
  <c r="F2201" i="1" s="1"/>
  <c r="M2200" i="1" a="1"/>
  <c r="M2200" i="1" s="1"/>
  <c r="O2200" i="1" a="1"/>
  <c r="O2200" i="1" s="1"/>
  <c r="N2203" i="1" a="1"/>
  <c r="N2203" i="1"/>
  <c r="N2200" i="1" a="1"/>
  <c r="N2200" i="1"/>
  <c r="O2203" i="1" a="1"/>
  <c r="O2203" i="1"/>
  <c r="H2201" i="1" a="1"/>
  <c r="H2201" i="1" s="1"/>
  <c r="O2202" i="1" a="1"/>
  <c r="O2202" i="1" s="1"/>
  <c r="F2204" i="1" a="1"/>
  <c r="F2204" i="1"/>
  <c r="Q2203" i="1" a="1"/>
  <c r="Q2203" i="1" s="1"/>
  <c r="H2202" i="1" a="1"/>
  <c r="H2202" i="1" s="1"/>
  <c r="K2203" i="1" a="1"/>
  <c r="K2203" i="1"/>
  <c r="G2203" i="1" a="1"/>
  <c r="G2203" i="1" s="1"/>
  <c r="Q2202" i="1" a="1"/>
  <c r="Q2202" i="1"/>
  <c r="M2202" i="1" a="1"/>
  <c r="M2202" i="1" s="1"/>
  <c r="M2201" i="1" a="1"/>
  <c r="M2201" i="1" s="1"/>
  <c r="J2200" i="1" a="1"/>
  <c r="J2200" i="1" s="1"/>
  <c r="L2200" i="1" a="1"/>
  <c r="L2200" i="1" s="1"/>
  <c r="M2203" i="1" a="1"/>
  <c r="M2203" i="1"/>
  <c r="L2203" i="1" a="1"/>
  <c r="L2203" i="1" s="1"/>
  <c r="J2202" i="1" a="1"/>
  <c r="J2202" i="1" s="1"/>
  <c r="K2200" i="1" a="1"/>
  <c r="K2200" i="1" s="1"/>
  <c r="F2202" i="1" a="1"/>
  <c r="F2202" i="1" s="1"/>
  <c r="Q2199" i="1" a="1"/>
  <c r="Q2199" i="1"/>
  <c r="O2201" i="1" a="1"/>
  <c r="O2201" i="1" s="1"/>
  <c r="L2201" i="1" a="1"/>
  <c r="L2201" i="1" s="1"/>
  <c r="K2199" i="1" a="1"/>
  <c r="K2199" i="1" s="1"/>
  <c r="H2200" i="1" a="1"/>
  <c r="H2200" i="1" s="1"/>
  <c r="K2201" i="1" a="1"/>
  <c r="K2201" i="1" s="1"/>
  <c r="P2199" i="1" a="1"/>
  <c r="P2199" i="1" s="1"/>
  <c r="N2199" i="1" a="1"/>
  <c r="N2199" i="1" s="1"/>
  <c r="J2201" i="1" a="1"/>
  <c r="J2201" i="1"/>
  <c r="N2195" i="1" a="1"/>
  <c r="N2195" i="1"/>
  <c r="Q2194" i="1" a="1"/>
  <c r="Q2194" i="1" s="1"/>
  <c r="H2198" i="1" a="1"/>
  <c r="H2198" i="1" s="1"/>
  <c r="P2194" i="1" a="1"/>
  <c r="P2194" i="1" s="1"/>
  <c r="G2196" i="1" a="1"/>
  <c r="G2196" i="1"/>
  <c r="J2195" i="1" a="1"/>
  <c r="J2195" i="1"/>
  <c r="N2197" i="1" a="1"/>
  <c r="N2197" i="1"/>
  <c r="M2196" i="1" a="1"/>
  <c r="M2196" i="1" s="1"/>
  <c r="K2195" i="1" a="1"/>
  <c r="K2195" i="1" s="1"/>
  <c r="L2197" i="1" a="1"/>
  <c r="L2197" i="1" s="1"/>
  <c r="M2195" i="1" a="1"/>
  <c r="M2195" i="1" s="1"/>
  <c r="K2194" i="1" a="1"/>
  <c r="K2194" i="1" s="1"/>
  <c r="G2194" i="1" a="1"/>
  <c r="G2194" i="1" s="1"/>
  <c r="I2195" i="1" a="1"/>
  <c r="I2195" i="1" s="1"/>
  <c r="P2197" i="1" a="1"/>
  <c r="P2197" i="1" s="1"/>
  <c r="M2194" i="1" a="1"/>
  <c r="M2194" i="1"/>
  <c r="G2199" i="1" a="1"/>
  <c r="G2199" i="1"/>
  <c r="Q2196" i="1" a="1"/>
  <c r="Q2196" i="1"/>
  <c r="H2195" i="1" a="1"/>
  <c r="H2195" i="1"/>
  <c r="G2195" i="1" a="1"/>
  <c r="G2195" i="1" s="1"/>
  <c r="F2199" i="1" a="1"/>
  <c r="F2199" i="1" s="1"/>
  <c r="O2198" i="1" a="1"/>
  <c r="O2198" i="1" s="1"/>
  <c r="M2198" i="1" a="1"/>
  <c r="M2198" i="1" s="1"/>
  <c r="L2198" i="1" a="1"/>
  <c r="L2198" i="1" s="1"/>
  <c r="Q2197" i="1" a="1"/>
  <c r="Q2197" i="1"/>
  <c r="L2196" i="1" a="1"/>
  <c r="L2196" i="1"/>
  <c r="F2194" i="1" a="1"/>
  <c r="F2194" i="1" s="1"/>
  <c r="O2196" i="1" a="1"/>
  <c r="O2196" i="1" s="1"/>
  <c r="K2196" i="1" a="1"/>
  <c r="K2196" i="1"/>
  <c r="I2196" i="1" a="1"/>
  <c r="I2196" i="1"/>
  <c r="F2195" i="1" a="1"/>
  <c r="F2195" i="1" s="1"/>
  <c r="Q2198" i="1" a="1"/>
  <c r="Q2198" i="1" s="1"/>
  <c r="P2198" i="1" a="1"/>
  <c r="P2198" i="1" s="1"/>
  <c r="K2198" i="1" a="1"/>
  <c r="K2198" i="1" s="1"/>
  <c r="O2197" i="1" a="1"/>
  <c r="O2197" i="1" s="1"/>
  <c r="L2194" i="1" a="1"/>
  <c r="L2194" i="1" s="1"/>
  <c r="I2198" i="1" a="1"/>
  <c r="I2198" i="1"/>
  <c r="F2198" i="1" a="1"/>
  <c r="F2198" i="1"/>
  <c r="I2197" i="1" a="1"/>
  <c r="I2197" i="1"/>
  <c r="J2197" i="1" a="1"/>
  <c r="J2197" i="1" s="1"/>
  <c r="G2197" i="1" a="1"/>
  <c r="G2197" i="1" s="1"/>
  <c r="H2196" i="1" a="1"/>
  <c r="H2196" i="1" s="1"/>
  <c r="N2196" i="1" a="1"/>
  <c r="N2196" i="1" s="1"/>
  <c r="N2194" i="1" a="1"/>
  <c r="N2194" i="1" s="1"/>
  <c r="H2194" i="1" a="1"/>
  <c r="H2194" i="1"/>
  <c r="K2197" i="1" a="1"/>
  <c r="K2197" i="1" s="1"/>
  <c r="H2197" i="1" a="1"/>
  <c r="H2197" i="1" s="1"/>
  <c r="P2195" i="1" a="1"/>
  <c r="P2195" i="1" s="1"/>
  <c r="L2195" i="1" a="1"/>
  <c r="L2195" i="1" s="1"/>
  <c r="O2194" i="1" a="1"/>
  <c r="O2194" i="1" s="1"/>
  <c r="N2198" i="1" a="1"/>
  <c r="N2198" i="1" s="1"/>
  <c r="G2198" i="1" a="1"/>
  <c r="G2198" i="1" s="1"/>
  <c r="Q2195" i="1" a="1"/>
  <c r="Q2195" i="1" s="1"/>
  <c r="F2197" i="1" a="1"/>
  <c r="F2197" i="1"/>
  <c r="F2196" i="1" a="1"/>
  <c r="F2196" i="1" s="1"/>
  <c r="I2194" i="1" a="1"/>
  <c r="I2194" i="1" s="1"/>
  <c r="J2198" i="1" a="1"/>
  <c r="J2198" i="1" s="1"/>
  <c r="J2196" i="1" a="1"/>
  <c r="J2196" i="1"/>
  <c r="P2196" i="1" a="1"/>
  <c r="P2196" i="1"/>
  <c r="M2197" i="1" a="1"/>
  <c r="M2197" i="1"/>
  <c r="O2195" i="1" a="1"/>
  <c r="O2195" i="1" s="1"/>
  <c r="J2194" i="1" a="1"/>
  <c r="J2194" i="1" s="1"/>
  <c r="M2193" i="1" a="1"/>
  <c r="M2193" i="1" s="1"/>
  <c r="J2193" i="1" a="1"/>
  <c r="J2193" i="1" s="1"/>
  <c r="I2193" i="1" a="1"/>
  <c r="I2193" i="1" s="1"/>
  <c r="M2190" i="1" a="1"/>
  <c r="M2190" i="1" s="1"/>
  <c r="O2190" i="1" a="1"/>
  <c r="O2190" i="1" s="1"/>
  <c r="P2192" i="1" a="1"/>
  <c r="P2192" i="1"/>
  <c r="M2188" i="1" a="1"/>
  <c r="M2188" i="1" s="1"/>
  <c r="L2190" i="1" a="1"/>
  <c r="L2190" i="1" s="1"/>
  <c r="Q2192" i="1" a="1"/>
  <c r="Q2192" i="1" s="1"/>
  <c r="F2191" i="1" a="1"/>
  <c r="F2191" i="1" s="1"/>
  <c r="J2190" i="1" a="1"/>
  <c r="J2190" i="1" s="1"/>
  <c r="O2192" i="1" a="1"/>
  <c r="O2192" i="1"/>
  <c r="L2188" i="1" a="1"/>
  <c r="L2188" i="1" s="1"/>
  <c r="K2188" i="1" a="1"/>
  <c r="K2188" i="1"/>
  <c r="F2193" i="1" a="1"/>
  <c r="F2193" i="1" s="1"/>
  <c r="K2192" i="1" a="1"/>
  <c r="K2192" i="1" s="1"/>
  <c r="Q2187" i="1" a="1"/>
  <c r="Q2187" i="1" s="1"/>
  <c r="F2188" i="1" a="1"/>
  <c r="F2188" i="1"/>
  <c r="P2191" i="1" a="1"/>
  <c r="P2191" i="1"/>
  <c r="J2188" i="1" a="1"/>
  <c r="J2188" i="1"/>
  <c r="G2190" i="1" a="1"/>
  <c r="G2190" i="1" s="1"/>
  <c r="Q2191" i="1" a="1"/>
  <c r="Q2191" i="1" s="1"/>
  <c r="G2188" i="1" a="1"/>
  <c r="G2188" i="1" s="1"/>
  <c r="K2193" i="1" a="1"/>
  <c r="K2193" i="1" s="1"/>
  <c r="M2192" i="1" a="1"/>
  <c r="M2192" i="1" s="1"/>
  <c r="I2190" i="1" a="1"/>
  <c r="I2190" i="1"/>
  <c r="L2192" i="1" a="1"/>
  <c r="L2192" i="1" s="1"/>
  <c r="P2188" i="1" a="1"/>
  <c r="P2188" i="1"/>
  <c r="I2192" i="1" a="1"/>
  <c r="I2192" i="1" s="1"/>
  <c r="G2192" i="1" a="1"/>
  <c r="G2192" i="1"/>
  <c r="G2191" i="1" a="1"/>
  <c r="G2191" i="1"/>
  <c r="I2188" i="1" a="1"/>
  <c r="I2188" i="1"/>
  <c r="O2191" i="1" a="1"/>
  <c r="O2191" i="1"/>
  <c r="Q2193" i="1" a="1"/>
  <c r="Q2193" i="1" s="1"/>
  <c r="P2193" i="1" a="1"/>
  <c r="P2193" i="1" s="1"/>
  <c r="G2193" i="1" a="1"/>
  <c r="G2193" i="1"/>
  <c r="Q2190" i="1" a="1"/>
  <c r="Q2190" i="1"/>
  <c r="P2187" i="1" a="1"/>
  <c r="P2187" i="1" s="1"/>
  <c r="N2193" i="1" a="1"/>
  <c r="N2193" i="1" s="1"/>
  <c r="F2190" i="1" a="1"/>
  <c r="F2190" i="1" s="1"/>
  <c r="N2192" i="1" a="1"/>
  <c r="N2192" i="1"/>
  <c r="N2191" i="1" a="1"/>
  <c r="N2191" i="1" s="1"/>
  <c r="I2191" i="1" a="1"/>
  <c r="I2191" i="1" s="1"/>
  <c r="H2191" i="1" a="1"/>
  <c r="H2191" i="1" s="1"/>
  <c r="P2190" i="1" a="1"/>
  <c r="P2190" i="1" s="1"/>
  <c r="Q2188" i="1" a="1"/>
  <c r="Q2188" i="1" s="1"/>
  <c r="H2188" i="1" a="1"/>
  <c r="H2188" i="1"/>
  <c r="J2191" i="1" a="1"/>
  <c r="J2191" i="1"/>
  <c r="L2193" i="1" a="1"/>
  <c r="L2193" i="1" s="1"/>
  <c r="O2188" i="1" a="1"/>
  <c r="O2188" i="1" s="1"/>
  <c r="K2191" i="1" a="1"/>
  <c r="K2191" i="1"/>
  <c r="M2191" i="1" a="1"/>
  <c r="M2191" i="1" s="1"/>
  <c r="H2192" i="1" a="1"/>
  <c r="H2192" i="1" s="1"/>
  <c r="L2191" i="1" a="1"/>
  <c r="L2191" i="1" s="1"/>
  <c r="N2188" i="1" a="1"/>
  <c r="N2188" i="1"/>
  <c r="K2190" i="1" a="1"/>
  <c r="K2190" i="1" s="1"/>
  <c r="H2190" i="1" a="1"/>
  <c r="H2190" i="1" s="1"/>
  <c r="F2192" i="1" a="1"/>
  <c r="F2192" i="1" s="1"/>
  <c r="O2193" i="1" a="1"/>
  <c r="O2193" i="1"/>
  <c r="H2193" i="1" a="1"/>
  <c r="H2193" i="1" s="1"/>
  <c r="N2190" i="1" a="1"/>
  <c r="N2190" i="1"/>
  <c r="J2192" i="1" a="1"/>
  <c r="J2192" i="1" s="1"/>
  <c r="L2183" i="1" a="1"/>
  <c r="L2183" i="1" s="1"/>
  <c r="K2184" i="1" a="1"/>
  <c r="K2184" i="1"/>
  <c r="M2187" i="1" a="1"/>
  <c r="M2187" i="1" s="1"/>
  <c r="L2187" i="1" a="1"/>
  <c r="L2187" i="1" s="1"/>
  <c r="H2184" i="1" a="1"/>
  <c r="H2184" i="1" s="1"/>
  <c r="H2183" i="1" a="1"/>
  <c r="H2183" i="1" s="1"/>
  <c r="K2187" i="1" a="1"/>
  <c r="K2187" i="1" s="1"/>
  <c r="J2187" i="1" a="1"/>
  <c r="J2187" i="1"/>
  <c r="G2187" i="1" a="1"/>
  <c r="G2187" i="1" s="1"/>
  <c r="Q2186" i="1" a="1"/>
  <c r="Q2186" i="1" s="1"/>
  <c r="O2186" i="1" a="1"/>
  <c r="O2186" i="1" s="1"/>
  <c r="H2185" i="1" a="1"/>
  <c r="H2185" i="1" s="1"/>
  <c r="J2186" i="1" a="1"/>
  <c r="J2186" i="1" s="1"/>
  <c r="L2185" i="1" a="1"/>
  <c r="L2185" i="1" s="1"/>
  <c r="I2185" i="1" a="1"/>
  <c r="I2185" i="1" s="1"/>
  <c r="N2183" i="1" a="1"/>
  <c r="N2183" i="1" s="1"/>
  <c r="I2187" i="1" a="1"/>
  <c r="I2187" i="1"/>
  <c r="L2186" i="1" a="1"/>
  <c r="L2186" i="1"/>
  <c r="K2185" i="1" a="1"/>
  <c r="K2185" i="1" s="1"/>
  <c r="O2184" i="1" a="1"/>
  <c r="O2184" i="1" s="1"/>
  <c r="M2184" i="1" a="1"/>
  <c r="M2184" i="1" s="1"/>
  <c r="P2183" i="1" a="1"/>
  <c r="P2183" i="1"/>
  <c r="H2187" i="1" a="1"/>
  <c r="H2187" i="1" s="1"/>
  <c r="F2187" i="1" a="1"/>
  <c r="F2187" i="1" s="1"/>
  <c r="P2186" i="1" a="1"/>
  <c r="P2186" i="1"/>
  <c r="N2186" i="1" a="1"/>
  <c r="N2186" i="1"/>
  <c r="I2186" i="1" a="1"/>
  <c r="I2186" i="1"/>
  <c r="O2185" i="1" a="1"/>
  <c r="O2185" i="1"/>
  <c r="P2184" i="1" a="1"/>
  <c r="P2184" i="1" s="1"/>
  <c r="M2182" i="1" a="1"/>
  <c r="M2182" i="1" s="1"/>
  <c r="G2184" i="1" a="1"/>
  <c r="G2184" i="1"/>
  <c r="G2186" i="1" a="1"/>
  <c r="G2186" i="1" s="1"/>
  <c r="M2183" i="1" a="1"/>
  <c r="M2183" i="1" s="1"/>
  <c r="K2183" i="1" a="1"/>
  <c r="K2183" i="1" s="1"/>
  <c r="P2185" i="1" a="1"/>
  <c r="P2185" i="1" s="1"/>
  <c r="I2183" i="1" a="1"/>
  <c r="I2183" i="1" s="1"/>
  <c r="F2185" i="1" a="1"/>
  <c r="F2185" i="1"/>
  <c r="L2182" i="1" a="1"/>
  <c r="L2182" i="1"/>
  <c r="O2182" i="1" a="1"/>
  <c r="O2182" i="1" s="1"/>
  <c r="J2183" i="1" a="1"/>
  <c r="J2183" i="1" s="1"/>
  <c r="J2185" i="1" a="1"/>
  <c r="J2185" i="1"/>
  <c r="N2182" i="1" a="1"/>
  <c r="N2182" i="1" s="1"/>
  <c r="M2186" i="1" a="1"/>
  <c r="M2186" i="1" s="1"/>
  <c r="K2186" i="1" a="1"/>
  <c r="K2186" i="1"/>
  <c r="Q2182" i="1" a="1"/>
  <c r="Q2182" i="1"/>
  <c r="H2186" i="1" a="1"/>
  <c r="H2186" i="1" s="1"/>
  <c r="Q2183" i="1" a="1"/>
  <c r="Q2183" i="1"/>
  <c r="F2186" i="1" a="1"/>
  <c r="F2186" i="1" s="1"/>
  <c r="Q2184" i="1" a="1"/>
  <c r="Q2184" i="1" s="1"/>
  <c r="I2184" i="1" a="1"/>
  <c r="I2184" i="1" s="1"/>
  <c r="G2183" i="1" a="1"/>
  <c r="G2183" i="1"/>
  <c r="Q2185" i="1" a="1"/>
  <c r="Q2185" i="1" s="1"/>
  <c r="N2185" i="1" a="1"/>
  <c r="N2185" i="1"/>
  <c r="M2185" i="1" a="1"/>
  <c r="M2185" i="1" s="1"/>
  <c r="O2183" i="1" a="1"/>
  <c r="O2183" i="1" s="1"/>
  <c r="F2183" i="1" a="1"/>
  <c r="F2183" i="1" s="1"/>
  <c r="N2184" i="1" a="1"/>
  <c r="N2184" i="1" s="1"/>
  <c r="F2184" i="1" a="1"/>
  <c r="F2184" i="1"/>
  <c r="L2184" i="1" a="1"/>
  <c r="L2184" i="1" s="1"/>
  <c r="J2184" i="1" a="1"/>
  <c r="J2184" i="1" s="1"/>
  <c r="O2187" i="1" a="1"/>
  <c r="O2187" i="1" s="1"/>
  <c r="G2185" i="1" a="1"/>
  <c r="G2185" i="1"/>
  <c r="N2187" i="1" a="1"/>
  <c r="N2187" i="1"/>
  <c r="P2182" i="1" a="1"/>
  <c r="P2182" i="1" s="1"/>
  <c r="J2178" i="1" a="1"/>
  <c r="J2178" i="1" s="1"/>
  <c r="K2180" i="1" a="1"/>
  <c r="K2180" i="1"/>
  <c r="I2180" i="1" a="1"/>
  <c r="I2180" i="1" s="1"/>
  <c r="H2180" i="1" a="1"/>
  <c r="H2180" i="1"/>
  <c r="O2178" i="1" a="1"/>
  <c r="O2178" i="1" s="1"/>
  <c r="M2177" i="1" a="1"/>
  <c r="M2177" i="1"/>
  <c r="G2180" i="1" a="1"/>
  <c r="G2180" i="1" s="1"/>
  <c r="M2179" i="1" a="1"/>
  <c r="M2179" i="1" s="1"/>
  <c r="N2177" i="1" a="1"/>
  <c r="N2177" i="1" s="1"/>
  <c r="G2179" i="1" a="1"/>
  <c r="G2179" i="1" s="1"/>
  <c r="P2177" i="1" a="1"/>
  <c r="P2177" i="1"/>
  <c r="H2178" i="1" a="1"/>
  <c r="H2178" i="1"/>
  <c r="I2177" i="1" a="1"/>
  <c r="I2177" i="1" s="1"/>
  <c r="L2177" i="1" a="1"/>
  <c r="L2177" i="1" s="1"/>
  <c r="J2180" i="1" a="1"/>
  <c r="J2180" i="1" s="1"/>
  <c r="I2179" i="1" a="1"/>
  <c r="I2179" i="1"/>
  <c r="Q2179" i="1" a="1"/>
  <c r="Q2179" i="1" s="1"/>
  <c r="Q2177" i="1" a="1"/>
  <c r="Q2177" i="1"/>
  <c r="K2177" i="1" a="1"/>
  <c r="K2177" i="1"/>
  <c r="J2177" i="1" a="1"/>
  <c r="J2177" i="1" s="1"/>
  <c r="K2182" i="1" a="1"/>
  <c r="K2182" i="1" s="1"/>
  <c r="I2181" i="1" a="1"/>
  <c r="I2181" i="1" s="1"/>
  <c r="J2182" i="1" a="1"/>
  <c r="J2182" i="1"/>
  <c r="G2182" i="1" a="1"/>
  <c r="G2182" i="1" s="1"/>
  <c r="K2181" i="1" a="1"/>
  <c r="K2181" i="1"/>
  <c r="O2180" i="1" a="1"/>
  <c r="O2180" i="1"/>
  <c r="L2179" i="1" a="1"/>
  <c r="L2179" i="1" s="1"/>
  <c r="L2178" i="1" a="1"/>
  <c r="L2178" i="1" s="1"/>
  <c r="J2179" i="1" a="1"/>
  <c r="J2179" i="1" s="1"/>
  <c r="Q2178" i="1" a="1"/>
  <c r="Q2178" i="1" s="1"/>
  <c r="O2179" i="1" a="1"/>
  <c r="O2179" i="1"/>
  <c r="H2182" i="1" a="1"/>
  <c r="H2182" i="1"/>
  <c r="L2180" i="1" a="1"/>
  <c r="L2180" i="1"/>
  <c r="F2182" i="1" a="1"/>
  <c r="F2182" i="1"/>
  <c r="N2180" i="1" a="1"/>
  <c r="N2180" i="1" s="1"/>
  <c r="H2179" i="1" a="1"/>
  <c r="H2179" i="1" s="1"/>
  <c r="O2181" i="1" a="1"/>
  <c r="O2181" i="1"/>
  <c r="M2178" i="1" a="1"/>
  <c r="M2178" i="1" s="1"/>
  <c r="Q2180" i="1" a="1"/>
  <c r="Q2180" i="1" s="1"/>
  <c r="M2181" i="1" a="1"/>
  <c r="M2181" i="1" s="1"/>
  <c r="P2180" i="1" a="1"/>
  <c r="P2180" i="1" s="1"/>
  <c r="P2178" i="1" a="1"/>
  <c r="P2178" i="1" s="1"/>
  <c r="N2179" i="1" a="1"/>
  <c r="N2179" i="1" s="1"/>
  <c r="F2178" i="1" a="1"/>
  <c r="F2178" i="1" s="1"/>
  <c r="G2181" i="1" a="1"/>
  <c r="G2181" i="1"/>
  <c r="M2180" i="1" a="1"/>
  <c r="M2180" i="1"/>
  <c r="K2178" i="1" a="1"/>
  <c r="K2178" i="1" s="1"/>
  <c r="F2180" i="1" a="1"/>
  <c r="F2180" i="1" s="1"/>
  <c r="O2177" i="1" a="1"/>
  <c r="O2177" i="1" s="1"/>
  <c r="H2177" i="1" a="1"/>
  <c r="H2177" i="1" s="1"/>
  <c r="I2178" i="1" a="1"/>
  <c r="I2178" i="1" s="1"/>
  <c r="K2179" i="1" a="1"/>
  <c r="K2179" i="1" s="1"/>
  <c r="G2178" i="1" a="1"/>
  <c r="G2178" i="1"/>
  <c r="I2182" i="1" a="1"/>
  <c r="I2182" i="1"/>
  <c r="P2181" i="1" a="1"/>
  <c r="P2181" i="1"/>
  <c r="N2178" i="1" a="1"/>
  <c r="N2178" i="1" s="1"/>
  <c r="N2181" i="1" a="1"/>
  <c r="N2181" i="1"/>
  <c r="F2181" i="1" a="1"/>
  <c r="F2181" i="1" s="1"/>
  <c r="J2181" i="1" a="1"/>
  <c r="J2181" i="1" s="1"/>
  <c r="H2181" i="1" a="1"/>
  <c r="H2181" i="1"/>
  <c r="P2179" i="1" a="1"/>
  <c r="P2179" i="1"/>
  <c r="Q2181" i="1" a="1"/>
  <c r="Q2181" i="1"/>
  <c r="L2181" i="1" a="1"/>
  <c r="L2181" i="1" s="1"/>
  <c r="F2179" i="1" a="1"/>
  <c r="F2179" i="1" s="1"/>
  <c r="Q2172" i="1" a="1"/>
  <c r="Q2172" i="1" s="1"/>
  <c r="Q2171" i="1" a="1"/>
  <c r="Q2171" i="1" s="1"/>
  <c r="F2177" i="1" a="1"/>
  <c r="F2177" i="1"/>
  <c r="Q2176" i="1" a="1"/>
  <c r="Q2176" i="1" s="1"/>
  <c r="M2173" i="1" a="1"/>
  <c r="M2173" i="1"/>
  <c r="M2172" i="1" a="1"/>
  <c r="M2172" i="1" s="1"/>
  <c r="P2176" i="1" a="1"/>
  <c r="P2176" i="1"/>
  <c r="O2176" i="1" a="1"/>
  <c r="O2176" i="1" s="1"/>
  <c r="N2176" i="1" a="1"/>
  <c r="N2176" i="1" s="1"/>
  <c r="M2176" i="1" a="1"/>
  <c r="M2176" i="1"/>
  <c r="L2176" i="1" a="1"/>
  <c r="L2176" i="1"/>
  <c r="H2174" i="1" a="1"/>
  <c r="H2174" i="1" s="1"/>
  <c r="I2174" i="1" a="1"/>
  <c r="I2174" i="1" s="1"/>
  <c r="I2172" i="1" a="1"/>
  <c r="I2172" i="1" s="1"/>
  <c r="I2175" i="1" a="1"/>
  <c r="I2175" i="1"/>
  <c r="H2175" i="1" a="1"/>
  <c r="H2175" i="1"/>
  <c r="M2174" i="1" a="1"/>
  <c r="M2174" i="1"/>
  <c r="F2175" i="1" a="1"/>
  <c r="F2175" i="1"/>
  <c r="K2174" i="1" a="1"/>
  <c r="K2174" i="1"/>
  <c r="J2174" i="1" a="1"/>
  <c r="J2174" i="1" s="1"/>
  <c r="P2174" i="1" a="1"/>
  <c r="P2174" i="1" s="1"/>
  <c r="Q2174" i="1" a="1"/>
  <c r="Q2174" i="1"/>
  <c r="K2176" i="1" a="1"/>
  <c r="K2176" i="1" s="1"/>
  <c r="J2176" i="1" a="1"/>
  <c r="J2176" i="1" s="1"/>
  <c r="I2176" i="1" a="1"/>
  <c r="I2176" i="1"/>
  <c r="G2174" i="1" a="1"/>
  <c r="G2174" i="1" s="1"/>
  <c r="H2176" i="1" a="1"/>
  <c r="H2176" i="1" s="1"/>
  <c r="G2172" i="1" a="1"/>
  <c r="G2172" i="1" s="1"/>
  <c r="L2173" i="1" a="1"/>
  <c r="L2173" i="1"/>
  <c r="I2173" i="1" a="1"/>
  <c r="I2173" i="1" s="1"/>
  <c r="G2173" i="1" a="1"/>
  <c r="G2173" i="1" s="1"/>
  <c r="P2175" i="1" a="1"/>
  <c r="P2175" i="1"/>
  <c r="O2175" i="1" a="1"/>
  <c r="O2175" i="1"/>
  <c r="P2172" i="1" a="1"/>
  <c r="P2172" i="1"/>
  <c r="F2172" i="1" a="1"/>
  <c r="F2172" i="1"/>
  <c r="N2172" i="1" a="1"/>
  <c r="N2172" i="1"/>
  <c r="F2176" i="1" a="1"/>
  <c r="F2176" i="1"/>
  <c r="G2175" i="1" a="1"/>
  <c r="G2175" i="1" s="1"/>
  <c r="L2174" i="1" a="1"/>
  <c r="L2174" i="1"/>
  <c r="O2172" i="1" a="1"/>
  <c r="O2172" i="1"/>
  <c r="J2173" i="1" a="1"/>
  <c r="J2173" i="1" s="1"/>
  <c r="N2174" i="1" a="1"/>
  <c r="N2174" i="1" s="1"/>
  <c r="Q2173" i="1" a="1"/>
  <c r="Q2173" i="1" s="1"/>
  <c r="J2172" i="1" a="1"/>
  <c r="J2172" i="1" s="1"/>
  <c r="O2173" i="1" a="1"/>
  <c r="O2173" i="1" s="1"/>
  <c r="N2173" i="1" a="1"/>
  <c r="N2173" i="1" s="1"/>
  <c r="Q2175" i="1" a="1"/>
  <c r="Q2175" i="1" s="1"/>
  <c r="L2175" i="1" a="1"/>
  <c r="L2175" i="1" s="1"/>
  <c r="H2172" i="1" a="1"/>
  <c r="H2172" i="1"/>
  <c r="N2175" i="1" a="1"/>
  <c r="N2175" i="1"/>
  <c r="L2172" i="1" a="1"/>
  <c r="L2172" i="1"/>
  <c r="M2175" i="1" a="1"/>
  <c r="M2175" i="1" s="1"/>
  <c r="J2175" i="1" a="1"/>
  <c r="J2175" i="1" s="1"/>
  <c r="F2174" i="1" a="1"/>
  <c r="F2174" i="1" s="1"/>
  <c r="P2173" i="1" a="1"/>
  <c r="P2173" i="1" s="1"/>
  <c r="K2172" i="1" a="1"/>
  <c r="K2172" i="1"/>
  <c r="K2173" i="1" a="1"/>
  <c r="K2173" i="1"/>
  <c r="H2173" i="1" a="1"/>
  <c r="H2173" i="1"/>
  <c r="F2173" i="1" a="1"/>
  <c r="F2173" i="1"/>
  <c r="P2171" i="1" a="1"/>
  <c r="P2171" i="1"/>
  <c r="O2174" i="1" a="1"/>
  <c r="O2174" i="1"/>
  <c r="G2177" i="1" a="1"/>
  <c r="G2177" i="1"/>
  <c r="G2176" i="1" a="1"/>
  <c r="G2176" i="1"/>
  <c r="K2175" i="1" a="1"/>
  <c r="K2175" i="1" s="1"/>
  <c r="Q2168" i="1" a="1"/>
  <c r="Q2168" i="1" s="1"/>
  <c r="M2167" i="1" a="1"/>
  <c r="M2167" i="1" s="1"/>
  <c r="N2168" i="1" a="1"/>
  <c r="N2168" i="1" s="1"/>
  <c r="L2167" i="1" a="1"/>
  <c r="L2167" i="1"/>
  <c r="N2167" i="1" a="1"/>
  <c r="N2167" i="1" s="1"/>
  <c r="O2166" i="1" a="1"/>
  <c r="O2166" i="1"/>
  <c r="L2166" i="1" a="1"/>
  <c r="L2166" i="1" s="1"/>
  <c r="O2171" i="1" a="1"/>
  <c r="O2171" i="1"/>
  <c r="L2169" i="1" a="1"/>
  <c r="L2169" i="1"/>
  <c r="H2169" i="1" a="1"/>
  <c r="H2169" i="1"/>
  <c r="N2171" i="1" a="1"/>
  <c r="N2171" i="1" s="1"/>
  <c r="M2171" i="1" a="1"/>
  <c r="M2171" i="1"/>
  <c r="L2171" i="1" a="1"/>
  <c r="L2171" i="1"/>
  <c r="P2168" i="1" a="1"/>
  <c r="P2168" i="1"/>
  <c r="K2171" i="1" a="1"/>
  <c r="K2171" i="1" s="1"/>
  <c r="J2171" i="1" a="1"/>
  <c r="J2171" i="1"/>
  <c r="I2171" i="1" a="1"/>
  <c r="I2171" i="1" s="1"/>
  <c r="O2170" i="1" a="1"/>
  <c r="O2170" i="1" s="1"/>
  <c r="H2171" i="1" a="1"/>
  <c r="H2171" i="1" s="1"/>
  <c r="G2171" i="1" a="1"/>
  <c r="G2171" i="1" s="1"/>
  <c r="N2170" i="1" a="1"/>
  <c r="N2170" i="1"/>
  <c r="M2170" i="1" a="1"/>
  <c r="M2170" i="1"/>
  <c r="L2170" i="1" a="1"/>
  <c r="L2170" i="1"/>
  <c r="J2170" i="1" a="1"/>
  <c r="J2170" i="1"/>
  <c r="K2169" i="1" a="1"/>
  <c r="K2169" i="1" s="1"/>
  <c r="G2169" i="1" a="1"/>
  <c r="G2169" i="1"/>
  <c r="H2170" i="1" a="1"/>
  <c r="H2170" i="1" s="1"/>
  <c r="M2168" i="1" a="1"/>
  <c r="M2168" i="1" s="1"/>
  <c r="J2168" i="1" a="1"/>
  <c r="J2168" i="1"/>
  <c r="H2168" i="1" a="1"/>
  <c r="H2168" i="1"/>
  <c r="N2166" i="1" a="1"/>
  <c r="N2166" i="1"/>
  <c r="I2170" i="1" a="1"/>
  <c r="I2170" i="1" s="1"/>
  <c r="F2170" i="1" a="1"/>
  <c r="F2170" i="1" s="1"/>
  <c r="P2167" i="1" a="1"/>
  <c r="P2167" i="1"/>
  <c r="F2167" i="1" a="1"/>
  <c r="F2167" i="1"/>
  <c r="F2171" i="1" a="1"/>
  <c r="F2171" i="1"/>
  <c r="Q2170" i="1" a="1"/>
  <c r="Q2170" i="1"/>
  <c r="P2170" i="1" a="1"/>
  <c r="P2170" i="1" s="1"/>
  <c r="M2169" i="1" a="1"/>
  <c r="M2169" i="1" s="1"/>
  <c r="Q2169" i="1" a="1"/>
  <c r="Q2169" i="1" s="1"/>
  <c r="K2168" i="1" a="1"/>
  <c r="K2168" i="1" s="1"/>
  <c r="J2169" i="1" a="1"/>
  <c r="J2169" i="1" s="1"/>
  <c r="O2168" i="1" a="1"/>
  <c r="O2168" i="1" s="1"/>
  <c r="I2167" i="1" a="1"/>
  <c r="I2167" i="1"/>
  <c r="G2167" i="1" a="1"/>
  <c r="G2167" i="1" s="1"/>
  <c r="P2166" i="1" a="1"/>
  <c r="P2166" i="1" s="1"/>
  <c r="P2169" i="1" a="1"/>
  <c r="P2169" i="1" s="1"/>
  <c r="I2169" i="1" a="1"/>
  <c r="I2169" i="1"/>
  <c r="F2168" i="1" a="1"/>
  <c r="F2168" i="1"/>
  <c r="O2167" i="1" a="1"/>
  <c r="O2167" i="1" s="1"/>
  <c r="K2167" i="1" a="1"/>
  <c r="K2167" i="1"/>
  <c r="K2170" i="1" a="1"/>
  <c r="K2170" i="1" s="1"/>
  <c r="O2169" i="1" a="1"/>
  <c r="O2169" i="1"/>
  <c r="L2168" i="1" a="1"/>
  <c r="L2168" i="1"/>
  <c r="I2168" i="1" a="1"/>
  <c r="I2168" i="1" s="1"/>
  <c r="H2167" i="1" a="1"/>
  <c r="H2167" i="1" s="1"/>
  <c r="M2166" i="1" a="1"/>
  <c r="M2166" i="1" s="1"/>
  <c r="G2168" i="1" a="1"/>
  <c r="G2168" i="1" s="1"/>
  <c r="J2167" i="1" a="1"/>
  <c r="J2167" i="1" s="1"/>
  <c r="Q2166" i="1" a="1"/>
  <c r="Q2166" i="1"/>
  <c r="F2169" i="1" a="1"/>
  <c r="F2169" i="1" s="1"/>
  <c r="G2170" i="1" a="1"/>
  <c r="G2170" i="1"/>
  <c r="N2169" i="1" a="1"/>
  <c r="N2169" i="1"/>
  <c r="Q2167" i="1" a="1"/>
  <c r="Q2167" i="1" s="1"/>
  <c r="O2164" i="1" a="1"/>
  <c r="O2164" i="1"/>
  <c r="F2164" i="1" a="1"/>
  <c r="F2164" i="1"/>
  <c r="J2161" i="1" a="1"/>
  <c r="J2161" i="1" s="1"/>
  <c r="N2161" i="1" a="1"/>
  <c r="N2161" i="1" s="1"/>
  <c r="F2161" i="1" a="1"/>
  <c r="F2161" i="1" s="1"/>
  <c r="J2164" i="1" a="1"/>
  <c r="J2164" i="1"/>
  <c r="Q2163" i="1" a="1"/>
  <c r="Q2163" i="1"/>
  <c r="Q2164" i="1" a="1"/>
  <c r="Q2164" i="1"/>
  <c r="P2164" i="1" a="1"/>
  <c r="P2164" i="1"/>
  <c r="N2162" i="1" a="1"/>
  <c r="N2162" i="1"/>
  <c r="G2164" i="1" a="1"/>
  <c r="G2164" i="1" s="1"/>
  <c r="O2161" i="1" a="1"/>
  <c r="O2161" i="1" s="1"/>
  <c r="L2160" i="1" a="1"/>
  <c r="L2160" i="1" s="1"/>
  <c r="M2163" i="1" a="1"/>
  <c r="M2163" i="1"/>
  <c r="K2161" i="1" a="1"/>
  <c r="K2161" i="1" s="1"/>
  <c r="J2163" i="1" a="1"/>
  <c r="J2163" i="1" s="1"/>
  <c r="P2163" i="1" a="1"/>
  <c r="P2163" i="1" s="1"/>
  <c r="H2162" i="1" a="1"/>
  <c r="H2162" i="1"/>
  <c r="M2164" i="1" a="1"/>
  <c r="M2164" i="1" s="1"/>
  <c r="G2161" i="1" a="1"/>
  <c r="G2161" i="1" s="1"/>
  <c r="L2164" i="1" a="1"/>
  <c r="L2164" i="1" s="1"/>
  <c r="H2161" i="1" a="1"/>
  <c r="H2161" i="1" s="1"/>
  <c r="O2163" i="1" a="1"/>
  <c r="O2163" i="1" s="1"/>
  <c r="N2163" i="1" a="1"/>
  <c r="N2163" i="1"/>
  <c r="M2162" i="1" a="1"/>
  <c r="M2162" i="1" s="1"/>
  <c r="P2160" i="1" a="1"/>
  <c r="P2160" i="1" s="1"/>
  <c r="Q2162" i="1" a="1"/>
  <c r="Q2162" i="1"/>
  <c r="P2162" i="1" a="1"/>
  <c r="P2162" i="1"/>
  <c r="G2162" i="1" a="1"/>
  <c r="G2162" i="1"/>
  <c r="N2160" i="1" a="1"/>
  <c r="N2160" i="1"/>
  <c r="K2163" i="1" a="1"/>
  <c r="K2163" i="1" s="1"/>
  <c r="K2164" i="1" a="1"/>
  <c r="K2164" i="1"/>
  <c r="H2164" i="1" a="1"/>
  <c r="H2164" i="1"/>
  <c r="I2163" i="1" a="1"/>
  <c r="I2163" i="1" s="1"/>
  <c r="M2161" i="1" a="1"/>
  <c r="M2161" i="1"/>
  <c r="O2162" i="1" a="1"/>
  <c r="O2162" i="1"/>
  <c r="O2160" i="1" a="1"/>
  <c r="O2160" i="1"/>
  <c r="H2163" i="1" a="1"/>
  <c r="H2163" i="1"/>
  <c r="G2163" i="1" a="1"/>
  <c r="G2163" i="1" s="1"/>
  <c r="J2162" i="1" a="1"/>
  <c r="J2162" i="1" s="1"/>
  <c r="I2162" i="1" a="1"/>
  <c r="I2162" i="1" s="1"/>
  <c r="I2161" i="1" a="1"/>
  <c r="I2161" i="1" s="1"/>
  <c r="M2160" i="1" a="1"/>
  <c r="M2160" i="1"/>
  <c r="Q2161" i="1" a="1"/>
  <c r="Q2161" i="1"/>
  <c r="Q2160" i="1" a="1"/>
  <c r="Q2160" i="1"/>
  <c r="P2161" i="1" a="1"/>
  <c r="P2161" i="1" s="1"/>
  <c r="F2163" i="1" a="1"/>
  <c r="F2163" i="1"/>
  <c r="K2166" i="1" a="1"/>
  <c r="K2166" i="1" s="1"/>
  <c r="N2164" i="1" a="1"/>
  <c r="N2164" i="1" s="1"/>
  <c r="J2166" i="1" a="1"/>
  <c r="J2166" i="1" s="1"/>
  <c r="I2166" i="1" a="1"/>
  <c r="I2166" i="1" s="1"/>
  <c r="H2166" i="1" a="1"/>
  <c r="H2166" i="1" s="1"/>
  <c r="I2164" i="1" a="1"/>
  <c r="I2164" i="1" s="1"/>
  <c r="L2162" i="1" a="1"/>
  <c r="L2162" i="1" s="1"/>
  <c r="L2163" i="1" a="1"/>
  <c r="L2163" i="1"/>
  <c r="K2162" i="1" a="1"/>
  <c r="K2162" i="1" s="1"/>
  <c r="L2161" i="1" a="1"/>
  <c r="L2161" i="1"/>
  <c r="F2162" i="1" a="1"/>
  <c r="F2162" i="1"/>
  <c r="G2166" i="1" a="1"/>
  <c r="G2166" i="1" s="1"/>
  <c r="F2166" i="1" a="1"/>
  <c r="F2166" i="1"/>
  <c r="J2156" i="1" a="1"/>
  <c r="J2156" i="1"/>
  <c r="M2159" i="1" a="1"/>
  <c r="M2159" i="1" s="1"/>
  <c r="I2160" i="1" a="1"/>
  <c r="I2160" i="1" s="1"/>
  <c r="H2160" i="1" a="1"/>
  <c r="H2160" i="1"/>
  <c r="K2160" i="1" a="1"/>
  <c r="K2160" i="1"/>
  <c r="G2157" i="1" a="1"/>
  <c r="G2157" i="1"/>
  <c r="J2160" i="1" a="1"/>
  <c r="J2160" i="1" s="1"/>
  <c r="G2160" i="1" a="1"/>
  <c r="G2160" i="1"/>
  <c r="N2159" i="1" a="1"/>
  <c r="N2159" i="1"/>
  <c r="F2159" i="1" a="1"/>
  <c r="F2159" i="1"/>
  <c r="O2155" i="1" a="1"/>
  <c r="O2155" i="1"/>
  <c r="O2156" i="1" a="1"/>
  <c r="O2156" i="1" s="1"/>
  <c r="M2156" i="1" a="1"/>
  <c r="M2156" i="1" s="1"/>
  <c r="P2155" i="1" a="1"/>
  <c r="P2155" i="1" s="1"/>
  <c r="F2160" i="1" a="1"/>
  <c r="F2160" i="1"/>
  <c r="J2155" i="1" a="1"/>
  <c r="J2155" i="1"/>
  <c r="H2157" i="1" a="1"/>
  <c r="H2157" i="1"/>
  <c r="Q2159" i="1" a="1"/>
  <c r="Q2159" i="1" s="1"/>
  <c r="P2159" i="1" a="1"/>
  <c r="P2159" i="1" s="1"/>
  <c r="N2156" i="1" a="1"/>
  <c r="N2156" i="1" s="1"/>
  <c r="L2156" i="1" a="1"/>
  <c r="L2156" i="1" s="1"/>
  <c r="O2159" i="1" a="1"/>
  <c r="O2159" i="1"/>
  <c r="L2159" i="1" a="1"/>
  <c r="L2159" i="1" s="1"/>
  <c r="K2159" i="1" a="1"/>
  <c r="K2159" i="1"/>
  <c r="J2159" i="1" a="1"/>
  <c r="J2159" i="1"/>
  <c r="I2159" i="1" a="1"/>
  <c r="I2159" i="1"/>
  <c r="G2159" i="1" a="1"/>
  <c r="G2159" i="1" s="1"/>
  <c r="N2157" i="1" a="1"/>
  <c r="N2157" i="1"/>
  <c r="I2156" i="1" a="1"/>
  <c r="I2156" i="1"/>
  <c r="L2155" i="1" a="1"/>
  <c r="L2155" i="1" s="1"/>
  <c r="H2159" i="1" a="1"/>
  <c r="H2159" i="1"/>
  <c r="H2156" i="1" a="1"/>
  <c r="H2156" i="1"/>
  <c r="Q2158" i="1" a="1"/>
  <c r="Q2158" i="1"/>
  <c r="P2157" i="1" a="1"/>
  <c r="P2157" i="1"/>
  <c r="M2155" i="1" a="1"/>
  <c r="M2155" i="1" s="1"/>
  <c r="G2158" i="1" a="1"/>
  <c r="G2158" i="1" s="1"/>
  <c r="L2157" i="1" a="1"/>
  <c r="L2157" i="1"/>
  <c r="Q2155" i="1" a="1"/>
  <c r="Q2155" i="1" s="1"/>
  <c r="F2157" i="1" a="1"/>
  <c r="F2157" i="1"/>
  <c r="I2157" i="1" a="1"/>
  <c r="I2157" i="1"/>
  <c r="O2158" i="1" a="1"/>
  <c r="O2158" i="1"/>
  <c r="M2158" i="1" a="1"/>
  <c r="M2158" i="1"/>
  <c r="L2158" i="1" a="1"/>
  <c r="L2158" i="1"/>
  <c r="K2157" i="1" a="1"/>
  <c r="K2157" i="1" s="1"/>
  <c r="P2156" i="1" a="1"/>
  <c r="P2156" i="1" s="1"/>
  <c r="P2158" i="1" a="1"/>
  <c r="P2158" i="1" s="1"/>
  <c r="F2158" i="1" a="1"/>
  <c r="F2158" i="1" s="1"/>
  <c r="M2157" i="1" a="1"/>
  <c r="M2157" i="1" s="1"/>
  <c r="G2156" i="1" a="1"/>
  <c r="G2156" i="1" s="1"/>
  <c r="I2155" i="1" a="1"/>
  <c r="I2155" i="1"/>
  <c r="N2158" i="1" a="1"/>
  <c r="N2158" i="1"/>
  <c r="K2158" i="1" a="1"/>
  <c r="K2158" i="1" s="1"/>
  <c r="J2158" i="1" a="1"/>
  <c r="J2158" i="1" s="1"/>
  <c r="I2158" i="1" a="1"/>
  <c r="I2158" i="1"/>
  <c r="H2158" i="1" a="1"/>
  <c r="H2158" i="1"/>
  <c r="K2156" i="1" a="1"/>
  <c r="K2156" i="1"/>
  <c r="J2157" i="1" a="1"/>
  <c r="J2157" i="1"/>
  <c r="O2157" i="1" a="1"/>
  <c r="O2157" i="1"/>
  <c r="K2155" i="1" a="1"/>
  <c r="K2155" i="1" s="1"/>
  <c r="Q2157" i="1" a="1"/>
  <c r="Q2157" i="1"/>
  <c r="Q2156" i="1" a="1"/>
  <c r="Q2156" i="1"/>
  <c r="F2156" i="1" a="1"/>
  <c r="F2156" i="1"/>
  <c r="N2155" i="1" a="1"/>
  <c r="N2155" i="1" s="1"/>
  <c r="H2155" i="1" a="1"/>
  <c r="H2155" i="1" s="1"/>
  <c r="J2151" i="1" a="1"/>
  <c r="J2151" i="1" s="1"/>
  <c r="L2154" i="1" a="1"/>
  <c r="L2154" i="1"/>
  <c r="P2153" i="1" a="1"/>
  <c r="P2153" i="1" s="1"/>
  <c r="M2151" i="1" a="1"/>
  <c r="M2151" i="1"/>
  <c r="M2153" i="1" a="1"/>
  <c r="M2153" i="1" s="1"/>
  <c r="K2154" i="1" a="1"/>
  <c r="K2154" i="1"/>
  <c r="J2154" i="1" a="1"/>
  <c r="J2154" i="1"/>
  <c r="I2154" i="1" a="1"/>
  <c r="I2154" i="1"/>
  <c r="J2150" i="1" a="1"/>
  <c r="J2150" i="1" s="1"/>
  <c r="G2154" i="1" a="1"/>
  <c r="G2154" i="1"/>
  <c r="F2154" i="1" a="1"/>
  <c r="F2154" i="1"/>
  <c r="I2153" i="1" a="1"/>
  <c r="I2153" i="1" s="1"/>
  <c r="Q2151" i="1" a="1"/>
  <c r="Q2151" i="1" s="1"/>
  <c r="M2150" i="1" a="1"/>
  <c r="M2150" i="1"/>
  <c r="O2153" i="1" a="1"/>
  <c r="O2153" i="1"/>
  <c r="P2152" i="1" a="1"/>
  <c r="P2152" i="1"/>
  <c r="F2151" i="1" a="1"/>
  <c r="F2151" i="1" s="1"/>
  <c r="O2152" i="1" a="1"/>
  <c r="O2152" i="1" s="1"/>
  <c r="M2152" i="1" a="1"/>
  <c r="M2152" i="1" s="1"/>
  <c r="N2151" i="1" a="1"/>
  <c r="N2151" i="1" s="1"/>
  <c r="I2151" i="1" a="1"/>
  <c r="I2151" i="1"/>
  <c r="L2153" i="1" a="1"/>
  <c r="L2153" i="1"/>
  <c r="N2153" i="1" a="1"/>
  <c r="N2153" i="1" s="1"/>
  <c r="H2153" i="1" a="1"/>
  <c r="H2153" i="1" s="1"/>
  <c r="G2153" i="1" a="1"/>
  <c r="G2153" i="1" s="1"/>
  <c r="N2152" i="1" a="1"/>
  <c r="N2152" i="1"/>
  <c r="G2152" i="1" a="1"/>
  <c r="G2152" i="1" s="1"/>
  <c r="L2151" i="1" a="1"/>
  <c r="L2151" i="1"/>
  <c r="L2150" i="1" a="1"/>
  <c r="L2150" i="1" s="1"/>
  <c r="K2151" i="1" a="1"/>
  <c r="K2151" i="1" s="1"/>
  <c r="P2150" i="1" a="1"/>
  <c r="P2150" i="1" s="1"/>
  <c r="O2150" i="1" a="1"/>
  <c r="O2150" i="1" s="1"/>
  <c r="K2153" i="1" a="1"/>
  <c r="K2153" i="1" s="1"/>
  <c r="F2152" i="1" a="1"/>
  <c r="F2152" i="1" s="1"/>
  <c r="F2153" i="1" a="1"/>
  <c r="F2153" i="1" s="1"/>
  <c r="K2150" i="1" a="1"/>
  <c r="K2150" i="1"/>
  <c r="N2150" i="1" a="1"/>
  <c r="N2150" i="1"/>
  <c r="J2153" i="1" a="1"/>
  <c r="J2153" i="1" s="1"/>
  <c r="Q2152" i="1" a="1"/>
  <c r="Q2152" i="1"/>
  <c r="J2152" i="1" a="1"/>
  <c r="J2152" i="1"/>
  <c r="L2152" i="1" a="1"/>
  <c r="L2152" i="1" s="1"/>
  <c r="K2152" i="1" a="1"/>
  <c r="K2152" i="1"/>
  <c r="I2152" i="1" a="1"/>
  <c r="I2152" i="1"/>
  <c r="G2151" i="1" a="1"/>
  <c r="G2151" i="1"/>
  <c r="H2152" i="1" a="1"/>
  <c r="H2152" i="1"/>
  <c r="Q2150" i="1" a="1"/>
  <c r="Q2150" i="1"/>
  <c r="G2155" i="1" a="1"/>
  <c r="G2155" i="1" s="1"/>
  <c r="F2155" i="1" a="1"/>
  <c r="F2155" i="1" s="1"/>
  <c r="Q2154" i="1" a="1"/>
  <c r="Q2154" i="1" s="1"/>
  <c r="H2154" i="1" a="1"/>
  <c r="H2154" i="1" s="1"/>
  <c r="P2151" i="1" a="1"/>
  <c r="P2151" i="1"/>
  <c r="O2151" i="1" a="1"/>
  <c r="O2151" i="1"/>
  <c r="P2154" i="1" a="1"/>
  <c r="P2154" i="1"/>
  <c r="H2151" i="1" a="1"/>
  <c r="H2151" i="1" s="1"/>
  <c r="I2150" i="1" a="1"/>
  <c r="I2150" i="1" s="1"/>
  <c r="O2154" i="1" a="1"/>
  <c r="O2154" i="1" s="1"/>
  <c r="N2154" i="1" a="1"/>
  <c r="N2154" i="1" s="1"/>
  <c r="M2154" i="1" a="1"/>
  <c r="M2154" i="1" s="1"/>
  <c r="Q2153" i="1" a="1"/>
  <c r="Q2153" i="1" s="1"/>
  <c r="P2148" i="1" a="1"/>
  <c r="P2148" i="1" s="1"/>
  <c r="Q2146" i="1" a="1"/>
  <c r="Q2146" i="1" s="1"/>
  <c r="P2145" i="1" a="1"/>
  <c r="P2145" i="1"/>
  <c r="Q2149" i="1" a="1"/>
  <c r="Q2149" i="1"/>
  <c r="J2149" i="1" a="1"/>
  <c r="J2149" i="1" s="1"/>
  <c r="I2149" i="1" a="1"/>
  <c r="I2149" i="1" s="1"/>
  <c r="F2149" i="1" a="1"/>
  <c r="F2149" i="1" s="1"/>
  <c r="P2149" i="1" a="1"/>
  <c r="P2149" i="1" s="1"/>
  <c r="H2149" i="1" a="1"/>
  <c r="H2149" i="1" s="1"/>
  <c r="G2149" i="1" a="1"/>
  <c r="G2149" i="1" s="1"/>
  <c r="L2148" i="1" a="1"/>
  <c r="L2148" i="1"/>
  <c r="G2148" i="1" a="1"/>
  <c r="G2148" i="1"/>
  <c r="K2146" i="1" a="1"/>
  <c r="K2146" i="1" s="1"/>
  <c r="H2148" i="1" a="1"/>
  <c r="H2148" i="1"/>
  <c r="O2149" i="1" a="1"/>
  <c r="O2149" i="1"/>
  <c r="N2149" i="1" a="1"/>
  <c r="N2149" i="1" s="1"/>
  <c r="N2147" i="1" a="1"/>
  <c r="N2147" i="1" s="1"/>
  <c r="F2147" i="1" a="1"/>
  <c r="F2147" i="1"/>
  <c r="M2149" i="1" a="1"/>
  <c r="M2149" i="1"/>
  <c r="L2149" i="1" a="1"/>
  <c r="L2149" i="1" s="1"/>
  <c r="K2149" i="1" a="1"/>
  <c r="K2149" i="1" s="1"/>
  <c r="Q2148" i="1" a="1"/>
  <c r="Q2148" i="1"/>
  <c r="O2147" i="1" a="1"/>
  <c r="O2147" i="1"/>
  <c r="J2146" i="1" a="1"/>
  <c r="J2146" i="1" s="1"/>
  <c r="G2146" i="1" a="1"/>
  <c r="G2146" i="1" s="1"/>
  <c r="N2146" i="1" a="1"/>
  <c r="N2146" i="1" s="1"/>
  <c r="M2146" i="1" a="1"/>
  <c r="M2146" i="1"/>
  <c r="O2148" i="1" a="1"/>
  <c r="O2148" i="1" s="1"/>
  <c r="M2148" i="1" a="1"/>
  <c r="M2148" i="1" s="1"/>
  <c r="J2148" i="1" a="1"/>
  <c r="J2148" i="1" s="1"/>
  <c r="F2148" i="1" a="1"/>
  <c r="F2148" i="1"/>
  <c r="L2146" i="1" a="1"/>
  <c r="L2146" i="1" s="1"/>
  <c r="O2145" i="1" a="1"/>
  <c r="O2145" i="1" s="1"/>
  <c r="G2147" i="1" a="1"/>
  <c r="G2147" i="1" s="1"/>
  <c r="Q2145" i="1" a="1"/>
  <c r="Q2145" i="1" s="1"/>
  <c r="K2147" i="1" a="1"/>
  <c r="K2147" i="1" s="1"/>
  <c r="Q2147" i="1" a="1"/>
  <c r="Q2147" i="1" s="1"/>
  <c r="P2147" i="1" a="1"/>
  <c r="P2147" i="1" s="1"/>
  <c r="M2147" i="1" a="1"/>
  <c r="M2147" i="1" s="1"/>
  <c r="L2147" i="1" a="1"/>
  <c r="L2147" i="1"/>
  <c r="J2147" i="1" a="1"/>
  <c r="J2147" i="1"/>
  <c r="P2146" i="1" a="1"/>
  <c r="P2146" i="1" s="1"/>
  <c r="O2146" i="1" a="1"/>
  <c r="O2146" i="1"/>
  <c r="I2147" i="1" a="1"/>
  <c r="I2147" i="1"/>
  <c r="N2145" i="1" a="1"/>
  <c r="N2145" i="1" s="1"/>
  <c r="K2148" i="1" a="1"/>
  <c r="K2148" i="1" s="1"/>
  <c r="N2148" i="1" a="1"/>
  <c r="N2148" i="1"/>
  <c r="I2148" i="1" a="1"/>
  <c r="I2148" i="1" s="1"/>
  <c r="H2147" i="1" a="1"/>
  <c r="H2147" i="1" s="1"/>
  <c r="I2146" i="1" a="1"/>
  <c r="I2146" i="1" s="1"/>
  <c r="F2146" i="1" a="1"/>
  <c r="F2146" i="1" s="1"/>
  <c r="H2146" i="1" a="1"/>
  <c r="H2146" i="1" s="1"/>
  <c r="H2150" i="1" a="1"/>
  <c r="H2150" i="1"/>
  <c r="G2150" i="1" a="1"/>
  <c r="G2150" i="1"/>
  <c r="F2150" i="1" a="1"/>
  <c r="F2150" i="1"/>
  <c r="O2142" i="1" a="1"/>
  <c r="O2142" i="1"/>
  <c r="M2142" i="1" a="1"/>
  <c r="M2142" i="1" s="1"/>
  <c r="P2143" i="1" a="1"/>
  <c r="P2143" i="1" s="1"/>
  <c r="L2142" i="1" a="1"/>
  <c r="L2142" i="1"/>
  <c r="O2143" i="1" a="1"/>
  <c r="O2143" i="1"/>
  <c r="K2141" i="1" a="1"/>
  <c r="K2141" i="1" s="1"/>
  <c r="M2143" i="1" a="1"/>
  <c r="M2143" i="1" s="1"/>
  <c r="K2140" i="1" a="1"/>
  <c r="K2140" i="1"/>
  <c r="N2143" i="1" a="1"/>
  <c r="N2143" i="1" s="1"/>
  <c r="Q2142" i="1" a="1"/>
  <c r="Q2142" i="1" s="1"/>
  <c r="N2142" i="1" a="1"/>
  <c r="N2142" i="1" s="1"/>
  <c r="L2141" i="1" a="1"/>
  <c r="L2141" i="1" s="1"/>
  <c r="F2141" i="1" a="1"/>
  <c r="F2141" i="1"/>
  <c r="O2141" i="1" a="1"/>
  <c r="O2141" i="1"/>
  <c r="K2142" i="1" a="1"/>
  <c r="K2142" i="1"/>
  <c r="M2140" i="1" a="1"/>
  <c r="M2140" i="1" s="1"/>
  <c r="L2145" i="1" a="1"/>
  <c r="L2145" i="1" s="1"/>
  <c r="J2145" i="1" a="1"/>
  <c r="J2145" i="1"/>
  <c r="H2145" i="1" a="1"/>
  <c r="H2145" i="1" s="1"/>
  <c r="G2145" i="1" a="1"/>
  <c r="G2145" i="1" s="1"/>
  <c r="P2141" i="1" a="1"/>
  <c r="P2141" i="1"/>
  <c r="Q2144" i="1" a="1"/>
  <c r="Q2144" i="1" s="1"/>
  <c r="O2144" i="1" a="1"/>
  <c r="O2144" i="1" s="1"/>
  <c r="H2144" i="1" a="1"/>
  <c r="H2144" i="1"/>
  <c r="F2144" i="1" a="1"/>
  <c r="F2144" i="1" s="1"/>
  <c r="Q2141" i="1" a="1"/>
  <c r="Q2141" i="1" s="1"/>
  <c r="M2141" i="1" a="1"/>
  <c r="M2141" i="1" s="1"/>
  <c r="K2143" i="1" a="1"/>
  <c r="K2143" i="1"/>
  <c r="J2141" i="1" a="1"/>
  <c r="J2141" i="1" s="1"/>
  <c r="F2142" i="1" a="1"/>
  <c r="F2142" i="1"/>
  <c r="P2140" i="1" a="1"/>
  <c r="P2140" i="1" s="1"/>
  <c r="O2140" i="1" a="1"/>
  <c r="O2140" i="1" s="1"/>
  <c r="J2140" i="1" a="1"/>
  <c r="J2140" i="1" s="1"/>
  <c r="G2142" i="1" a="1"/>
  <c r="G2142" i="1" s="1"/>
  <c r="F2143" i="1" a="1"/>
  <c r="F2143" i="1" s="1"/>
  <c r="L2143" i="1" a="1"/>
  <c r="L2143" i="1" s="1"/>
  <c r="P2142" i="1" a="1"/>
  <c r="P2142" i="1"/>
  <c r="J2142" i="1" a="1"/>
  <c r="J2142" i="1" s="1"/>
  <c r="I2141" i="1" a="1"/>
  <c r="I2141" i="1" s="1"/>
  <c r="P2144" i="1" a="1"/>
  <c r="P2144" i="1" s="1"/>
  <c r="J2143" i="1" a="1"/>
  <c r="J2143" i="1" s="1"/>
  <c r="Q2140" i="1" a="1"/>
  <c r="Q2140" i="1"/>
  <c r="K2144" i="1" a="1"/>
  <c r="K2144" i="1"/>
  <c r="G2143" i="1" a="1"/>
  <c r="G2143" i="1" s="1"/>
  <c r="I2143" i="1" a="1"/>
  <c r="I2143" i="1"/>
  <c r="G2141" i="1" a="1"/>
  <c r="G2141" i="1" s="1"/>
  <c r="M2145" i="1" a="1"/>
  <c r="M2145" i="1" s="1"/>
  <c r="H2141" i="1" a="1"/>
  <c r="H2141" i="1"/>
  <c r="N2140" i="1" a="1"/>
  <c r="N2140" i="1" s="1"/>
  <c r="K2145" i="1" a="1"/>
  <c r="K2145" i="1" s="1"/>
  <c r="N2141" i="1" a="1"/>
  <c r="N2141" i="1"/>
  <c r="H2142" i="1" a="1"/>
  <c r="H2142" i="1"/>
  <c r="L2144" i="1" a="1"/>
  <c r="L2144" i="1"/>
  <c r="I2145" i="1" a="1"/>
  <c r="I2145" i="1" s="1"/>
  <c r="J2144" i="1" a="1"/>
  <c r="J2144" i="1" s="1"/>
  <c r="G2144" i="1" a="1"/>
  <c r="G2144" i="1" s="1"/>
  <c r="I2142" i="1" a="1"/>
  <c r="I2142" i="1"/>
  <c r="I2144" i="1" a="1"/>
  <c r="I2144" i="1"/>
  <c r="F2145" i="1" a="1"/>
  <c r="F2145" i="1"/>
  <c r="L2140" i="1" a="1"/>
  <c r="L2140" i="1" s="1"/>
  <c r="N2144" i="1" a="1"/>
  <c r="N2144" i="1" s="1"/>
  <c r="M2144" i="1" a="1"/>
  <c r="M2144" i="1"/>
  <c r="Q2143" i="1" a="1"/>
  <c r="Q2143" i="1" s="1"/>
  <c r="H2143" i="1" a="1"/>
  <c r="H2143" i="1"/>
  <c r="G2135" i="1" a="1"/>
  <c r="G2135" i="1"/>
  <c r="K2138" i="1" a="1"/>
  <c r="K2138" i="1" s="1"/>
  <c r="P2138" i="1" a="1"/>
  <c r="P2138" i="1"/>
  <c r="Q2136" i="1" a="1"/>
  <c r="Q2136" i="1"/>
  <c r="Q2137" i="1" a="1"/>
  <c r="Q2137" i="1" s="1"/>
  <c r="P2137" i="1" a="1"/>
  <c r="P2137" i="1" s="1"/>
  <c r="M2137" i="1" a="1"/>
  <c r="M2137" i="1"/>
  <c r="N2138" i="1" a="1"/>
  <c r="N2138" i="1"/>
  <c r="G2137" i="1" a="1"/>
  <c r="G2137" i="1" s="1"/>
  <c r="H2138" i="1" a="1"/>
  <c r="H2138" i="1" s="1"/>
  <c r="O2137" i="1" a="1"/>
  <c r="O2137" i="1"/>
  <c r="N2137" i="1" a="1"/>
  <c r="N2137" i="1" s="1"/>
  <c r="I2137" i="1" a="1"/>
  <c r="I2137" i="1"/>
  <c r="J2135" i="1" a="1"/>
  <c r="J2135" i="1" s="1"/>
  <c r="O2138" i="1" a="1"/>
  <c r="O2138" i="1" s="1"/>
  <c r="M2138" i="1" a="1"/>
  <c r="M2138" i="1"/>
  <c r="P2136" i="1" a="1"/>
  <c r="P2136" i="1"/>
  <c r="H2136" i="1" a="1"/>
  <c r="H2136" i="1" s="1"/>
  <c r="Q2135" i="1" a="1"/>
  <c r="Q2135" i="1" s="1"/>
  <c r="M2135" i="1" a="1"/>
  <c r="M2135" i="1" s="1"/>
  <c r="F2135" i="1" a="1"/>
  <c r="F2135" i="1" s="1"/>
  <c r="I2140" i="1" a="1"/>
  <c r="I2140" i="1"/>
  <c r="H2140" i="1" a="1"/>
  <c r="H2140" i="1"/>
  <c r="G2140" i="1" a="1"/>
  <c r="G2140" i="1" s="1"/>
  <c r="L2139" i="1" a="1"/>
  <c r="L2139" i="1"/>
  <c r="N2136" i="1" a="1"/>
  <c r="N2136" i="1"/>
  <c r="J2136" i="1" a="1"/>
  <c r="J2136" i="1"/>
  <c r="N2135" i="1" a="1"/>
  <c r="N2135" i="1" s="1"/>
  <c r="I2136" i="1" a="1"/>
  <c r="I2136" i="1" s="1"/>
  <c r="L2135" i="1" a="1"/>
  <c r="L2135" i="1" s="1"/>
  <c r="H2135" i="1" a="1"/>
  <c r="H2135" i="1" s="1"/>
  <c r="F2140" i="1" a="1"/>
  <c r="F2140" i="1"/>
  <c r="L2138" i="1" a="1"/>
  <c r="L2138" i="1" s="1"/>
  <c r="I2135" i="1" a="1"/>
  <c r="I2135" i="1" s="1"/>
  <c r="F2136" i="1" a="1"/>
  <c r="F2136" i="1" s="1"/>
  <c r="L2137" i="1" a="1"/>
  <c r="L2137" i="1"/>
  <c r="M2139" i="1" a="1"/>
  <c r="M2139" i="1"/>
  <c r="K2135" i="1" a="1"/>
  <c r="K2135" i="1" s="1"/>
  <c r="H2137" i="1" a="1"/>
  <c r="H2137" i="1"/>
  <c r="I2139" i="1" a="1"/>
  <c r="I2139" i="1"/>
  <c r="M2136" i="1" a="1"/>
  <c r="M2136" i="1" s="1"/>
  <c r="J2138" i="1" a="1"/>
  <c r="J2138" i="1" s="1"/>
  <c r="Q2138" i="1" a="1"/>
  <c r="Q2138" i="1" s="1"/>
  <c r="F2138" i="1" a="1"/>
  <c r="F2138" i="1" s="1"/>
  <c r="O2135" i="1" a="1"/>
  <c r="O2135" i="1"/>
  <c r="L2136" i="1" a="1"/>
  <c r="L2136" i="1"/>
  <c r="H2139" i="1" a="1"/>
  <c r="H2139" i="1"/>
  <c r="J2137" i="1" a="1"/>
  <c r="J2137" i="1" s="1"/>
  <c r="O2136" i="1" a="1"/>
  <c r="O2136" i="1" s="1"/>
  <c r="G2138" i="1" a="1"/>
  <c r="G2138" i="1" s="1"/>
  <c r="P2135" i="1" a="1"/>
  <c r="P2135" i="1"/>
  <c r="Q2139" i="1" a="1"/>
  <c r="Q2139" i="1" s="1"/>
  <c r="P2139" i="1" a="1"/>
  <c r="P2139" i="1"/>
  <c r="O2139" i="1" a="1"/>
  <c r="O2139" i="1"/>
  <c r="N2139" i="1" a="1"/>
  <c r="N2139" i="1" s="1"/>
  <c r="I2138" i="1" a="1"/>
  <c r="I2138" i="1"/>
  <c r="K2139" i="1" a="1"/>
  <c r="K2139" i="1" s="1"/>
  <c r="F2139" i="1" a="1"/>
  <c r="F2139" i="1" s="1"/>
  <c r="K2137" i="1" a="1"/>
  <c r="K2137" i="1" s="1"/>
  <c r="F2137" i="1" a="1"/>
  <c r="F2137" i="1" s="1"/>
  <c r="G2136" i="1" a="1"/>
  <c r="G2136" i="1"/>
  <c r="J2139" i="1" a="1"/>
  <c r="J2139" i="1" s="1"/>
  <c r="G2139" i="1" a="1"/>
  <c r="G2139" i="1" s="1"/>
  <c r="K2136" i="1" a="1"/>
  <c r="K2136" i="1" s="1"/>
  <c r="J2130" i="1" a="1"/>
  <c r="J2130" i="1"/>
  <c r="P2134" i="1" a="1"/>
  <c r="P2134" i="1" s="1"/>
  <c r="O2134" i="1" a="1"/>
  <c r="O2134" i="1" s="1"/>
  <c r="N2134" i="1" a="1"/>
  <c r="N2134" i="1" s="1"/>
  <c r="M2134" i="1" a="1"/>
  <c r="M2134" i="1"/>
  <c r="J2134" i="1" a="1"/>
  <c r="J2134" i="1"/>
  <c r="L2134" i="1" a="1"/>
  <c r="L2134" i="1" s="1"/>
  <c r="K2134" i="1" a="1"/>
  <c r="K2134" i="1"/>
  <c r="L2133" i="1" a="1"/>
  <c r="L2133" i="1"/>
  <c r="J2133" i="1" a="1"/>
  <c r="J2133" i="1"/>
  <c r="G2133" i="1" a="1"/>
  <c r="G2133" i="1" s="1"/>
  <c r="O2129" i="1" a="1"/>
  <c r="O2129" i="1"/>
  <c r="F2132" i="1" a="1"/>
  <c r="F2132" i="1" s="1"/>
  <c r="H2131" i="1" a="1"/>
  <c r="H2131" i="1" s="1"/>
  <c r="H2134" i="1" a="1"/>
  <c r="H2134" i="1" s="1"/>
  <c r="K2132" i="1" a="1"/>
  <c r="K2132" i="1" s="1"/>
  <c r="O2131" i="1" a="1"/>
  <c r="O2131" i="1"/>
  <c r="F2134" i="1" a="1"/>
  <c r="F2134" i="1"/>
  <c r="O2132" i="1" a="1"/>
  <c r="O2132" i="1" s="1"/>
  <c r="Q2129" i="1" a="1"/>
  <c r="Q2129" i="1" s="1"/>
  <c r="Q2130" i="1" a="1"/>
  <c r="Q2130" i="1" s="1"/>
  <c r="G2134" i="1" a="1"/>
  <c r="G2134" i="1"/>
  <c r="Q2133" i="1" a="1"/>
  <c r="Q2133" i="1" s="1"/>
  <c r="O2133" i="1" a="1"/>
  <c r="O2133" i="1"/>
  <c r="H2130" i="1" a="1"/>
  <c r="H2130" i="1"/>
  <c r="N2133" i="1" a="1"/>
  <c r="N2133" i="1"/>
  <c r="M2133" i="1" a="1"/>
  <c r="M2133" i="1" s="1"/>
  <c r="K2133" i="1" a="1"/>
  <c r="K2133" i="1" s="1"/>
  <c r="I2133" i="1" a="1"/>
  <c r="I2133" i="1" s="1"/>
  <c r="L2131" i="1" a="1"/>
  <c r="L2131" i="1" s="1"/>
  <c r="P2132" i="1" a="1"/>
  <c r="P2132" i="1"/>
  <c r="F2130" i="1" a="1"/>
  <c r="F2130" i="1" s="1"/>
  <c r="L2132" i="1" a="1"/>
  <c r="L2132" i="1"/>
  <c r="J2132" i="1" a="1"/>
  <c r="J2132" i="1"/>
  <c r="I2132" i="1" a="1"/>
  <c r="I2132" i="1"/>
  <c r="P2131" i="1" a="1"/>
  <c r="P2131" i="1"/>
  <c r="N2131" i="1" a="1"/>
  <c r="N2131" i="1" s="1"/>
  <c r="M2131" i="1" a="1"/>
  <c r="M2131" i="1" s="1"/>
  <c r="G2131" i="1" a="1"/>
  <c r="G2131" i="1"/>
  <c r="G2132" i="1" a="1"/>
  <c r="G2132" i="1" s="1"/>
  <c r="F2131" i="1" a="1"/>
  <c r="F2131" i="1" s="1"/>
  <c r="N2130" i="1" a="1"/>
  <c r="N2130" i="1" s="1"/>
  <c r="L2130" i="1" a="1"/>
  <c r="L2130" i="1" s="1"/>
  <c r="P2129" i="1" a="1"/>
  <c r="P2129" i="1" s="1"/>
  <c r="O2130" i="1" a="1"/>
  <c r="O2130" i="1"/>
  <c r="K2130" i="1" a="1"/>
  <c r="K2130" i="1"/>
  <c r="N2132" i="1" a="1"/>
  <c r="N2132" i="1"/>
  <c r="I2131" i="1" a="1"/>
  <c r="I2131" i="1"/>
  <c r="G2130" i="1" a="1"/>
  <c r="G2130" i="1" s="1"/>
  <c r="H2133" i="1" a="1"/>
  <c r="H2133" i="1" s="1"/>
  <c r="P2133" i="1" a="1"/>
  <c r="P2133" i="1" s="1"/>
  <c r="Q2132" i="1" a="1"/>
  <c r="Q2132" i="1" s="1"/>
  <c r="M2130" i="1" a="1"/>
  <c r="M2130" i="1" s="1"/>
  <c r="F2133" i="1" a="1"/>
  <c r="F2133" i="1" s="1"/>
  <c r="M2132" i="1" a="1"/>
  <c r="M2132" i="1" s="1"/>
  <c r="P2130" i="1" a="1"/>
  <c r="P2130" i="1"/>
  <c r="Q2131" i="1" a="1"/>
  <c r="Q2131" i="1" s="1"/>
  <c r="K2131" i="1" a="1"/>
  <c r="K2131" i="1" s="1"/>
  <c r="I2134" i="1" a="1"/>
  <c r="I2134" i="1" s="1"/>
  <c r="J2131" i="1" a="1"/>
  <c r="J2131" i="1"/>
  <c r="H2132" i="1" a="1"/>
  <c r="H2132" i="1"/>
  <c r="Q2134" i="1" a="1"/>
  <c r="Q2134" i="1"/>
  <c r="I2130" i="1" a="1"/>
  <c r="I2130" i="1"/>
  <c r="N2129" i="1" a="1"/>
  <c r="N2129" i="1"/>
  <c r="N2126" i="1" a="1"/>
  <c r="N2126" i="1" s="1"/>
  <c r="O2128" i="1" a="1"/>
  <c r="O2128" i="1"/>
  <c r="M2128" i="1" a="1"/>
  <c r="M2128" i="1" s="1"/>
  <c r="K2128" i="1" a="1"/>
  <c r="K2128" i="1"/>
  <c r="J2128" i="1" a="1"/>
  <c r="J2128" i="1"/>
  <c r="G2128" i="1" a="1"/>
  <c r="G2128" i="1" s="1"/>
  <c r="O2127" i="1" a="1"/>
  <c r="O2127" i="1" s="1"/>
  <c r="N2127" i="1" a="1"/>
  <c r="N2127" i="1" s="1"/>
  <c r="L2127" i="1" a="1"/>
  <c r="L2127" i="1" s="1"/>
  <c r="I2126" i="1" a="1"/>
  <c r="I2126" i="1"/>
  <c r="Q2125" i="1" a="1"/>
  <c r="Q2125" i="1"/>
  <c r="N2125" i="1" a="1"/>
  <c r="N2125" i="1"/>
  <c r="L2125" i="1" a="1"/>
  <c r="L2125" i="1"/>
  <c r="K2127" i="1" a="1"/>
  <c r="K2127" i="1" s="1"/>
  <c r="J2127" i="1" a="1"/>
  <c r="J2127" i="1"/>
  <c r="I2127" i="1" a="1"/>
  <c r="I2127" i="1"/>
  <c r="H2127" i="1" a="1"/>
  <c r="H2127" i="1" s="1"/>
  <c r="P2126" i="1" a="1"/>
  <c r="P2126" i="1" s="1"/>
  <c r="L2126" i="1" a="1"/>
  <c r="L2126" i="1" s="1"/>
  <c r="F2126" i="1" a="1"/>
  <c r="F2126" i="1"/>
  <c r="M2125" i="1" a="1"/>
  <c r="M2125" i="1"/>
  <c r="F2127" i="1" a="1"/>
  <c r="F2127" i="1" s="1"/>
  <c r="K2125" i="1" a="1"/>
  <c r="K2125" i="1" s="1"/>
  <c r="M2129" i="1" a="1"/>
  <c r="M2129" i="1" s="1"/>
  <c r="K2126" i="1" a="1"/>
  <c r="K2126" i="1"/>
  <c r="L2129" i="1" a="1"/>
  <c r="L2129" i="1" s="1"/>
  <c r="K2129" i="1" a="1"/>
  <c r="K2129" i="1" s="1"/>
  <c r="J2125" i="1" a="1"/>
  <c r="J2125" i="1" s="1"/>
  <c r="J2129" i="1" a="1"/>
  <c r="J2129" i="1"/>
  <c r="I2129" i="1" a="1"/>
  <c r="I2129" i="1" s="1"/>
  <c r="H2129" i="1" a="1"/>
  <c r="H2129" i="1" s="1"/>
  <c r="G2129" i="1" a="1"/>
  <c r="G2129" i="1"/>
  <c r="Q2127" i="1" a="1"/>
  <c r="Q2127" i="1"/>
  <c r="P2128" i="1" a="1"/>
  <c r="P2128" i="1"/>
  <c r="F2129" i="1" a="1"/>
  <c r="F2129" i="1" s="1"/>
  <c r="M2126" i="1" a="1"/>
  <c r="M2126" i="1" s="1"/>
  <c r="J2126" i="1" a="1"/>
  <c r="J2126" i="1"/>
  <c r="H2128" i="1" a="1"/>
  <c r="H2128" i="1" s="1"/>
  <c r="O2125" i="1" a="1"/>
  <c r="O2125" i="1"/>
  <c r="L2128" i="1" a="1"/>
  <c r="L2128" i="1"/>
  <c r="G2126" i="1" a="1"/>
  <c r="G2126" i="1" s="1"/>
  <c r="I2128" i="1" a="1"/>
  <c r="I2128" i="1" s="1"/>
  <c r="P2127" i="1" a="1"/>
  <c r="P2127" i="1" s="1"/>
  <c r="P2125" i="1" a="1"/>
  <c r="P2125" i="1" s="1"/>
  <c r="G2127" i="1" a="1"/>
  <c r="G2127" i="1"/>
  <c r="F2128" i="1" a="1"/>
  <c r="F2128" i="1" s="1"/>
  <c r="M2127" i="1" a="1"/>
  <c r="M2127" i="1" s="1"/>
  <c r="Q2126" i="1" a="1"/>
  <c r="Q2126" i="1"/>
  <c r="H2126" i="1" a="1"/>
  <c r="H2126" i="1"/>
  <c r="Q2128" i="1" a="1"/>
  <c r="Q2128" i="1" s="1"/>
  <c r="N2128" i="1" a="1"/>
  <c r="N2128" i="1" s="1"/>
  <c r="O2126" i="1" a="1"/>
  <c r="O2126" i="1" s="1"/>
  <c r="H1209" i="1" a="1"/>
  <c r="H1209" i="1" s="1"/>
  <c r="J1202" i="1" a="1"/>
  <c r="J1202" i="1"/>
  <c r="L1209" i="1" a="1"/>
  <c r="L1209" i="1" s="1"/>
  <c r="Q1209" i="1" a="1"/>
  <c r="Q1209" i="1" s="1"/>
  <c r="P1209" i="1" a="1"/>
  <c r="P1209" i="1" s="1"/>
  <c r="N1209" i="1" a="1"/>
  <c r="N1209" i="1"/>
  <c r="L1208" i="1" a="1"/>
  <c r="L1208" i="1"/>
  <c r="K1208" i="1" a="1"/>
  <c r="K1208" i="1"/>
  <c r="G1208" i="1" a="1"/>
  <c r="G1208" i="1" s="1"/>
  <c r="K1202" i="1" a="1"/>
  <c r="K1202" i="1"/>
  <c r="M1209" i="1" a="1"/>
  <c r="M1209" i="1"/>
  <c r="O1208" i="1" a="1"/>
  <c r="O1208" i="1" s="1"/>
  <c r="P1202" i="1" a="1"/>
  <c r="P1202" i="1"/>
  <c r="F1208" i="1" a="1"/>
  <c r="F1208" i="1"/>
  <c r="J1209" i="1" a="1"/>
  <c r="J1209" i="1" s="1"/>
  <c r="G1209" i="1" a="1"/>
  <c r="G1209" i="1"/>
  <c r="Q1208" i="1" a="1"/>
  <c r="Q1208" i="1" s="1"/>
  <c r="N1202" i="1" a="1"/>
  <c r="N1202" i="1" s="1"/>
  <c r="Q1202" i="1" a="1"/>
  <c r="Q1202" i="1" s="1"/>
  <c r="K1209" i="1" a="1"/>
  <c r="K1209" i="1" s="1"/>
  <c r="I1209" i="1" a="1"/>
  <c r="I1209" i="1"/>
  <c r="I1202" i="1" a="1"/>
  <c r="I1202" i="1" s="1"/>
  <c r="H1202" i="1" a="1"/>
  <c r="H1202" i="1"/>
  <c r="O1202" i="1" a="1"/>
  <c r="O1202" i="1"/>
  <c r="J1208" i="1" a="1"/>
  <c r="J1208" i="1"/>
  <c r="P1208" i="1" a="1"/>
  <c r="P1208" i="1" s="1"/>
  <c r="I1208" i="1" a="1"/>
  <c r="I1208" i="1"/>
  <c r="F1210" i="1" a="1"/>
  <c r="F1210" i="1" s="1"/>
  <c r="F1209" i="1" a="1"/>
  <c r="F1209" i="1" s="1"/>
  <c r="M1202" i="1" a="1"/>
  <c r="M1202" i="1" s="1"/>
  <c r="O1209" i="1" a="1"/>
  <c r="O1209" i="1"/>
  <c r="N1208" i="1" a="1"/>
  <c r="N1208" i="1" s="1"/>
  <c r="M1208" i="1" a="1"/>
  <c r="M1208" i="1" s="1"/>
  <c r="H1208" i="1" a="1"/>
  <c r="H1208" i="1" s="1"/>
  <c r="L1202" i="1" a="1"/>
  <c r="L1202" i="1" s="1"/>
  <c r="H1199" i="1" a="1"/>
  <c r="H1199" i="1"/>
  <c r="M1199" i="1" a="1"/>
  <c r="M1199" i="1" s="1"/>
  <c r="J1199" i="1" a="1"/>
  <c r="J1199" i="1"/>
  <c r="N1198" i="1" a="1"/>
  <c r="N1198" i="1" s="1"/>
  <c r="H1198" i="1" a="1"/>
  <c r="H1198" i="1" s="1"/>
  <c r="P1197" i="1" a="1"/>
  <c r="P1197" i="1" s="1"/>
  <c r="G1202" i="1" a="1"/>
  <c r="G1202" i="1"/>
  <c r="P1201" i="1" a="1"/>
  <c r="P1201" i="1"/>
  <c r="M1198" i="1" a="1"/>
  <c r="M1198" i="1" s="1"/>
  <c r="L1201" i="1" a="1"/>
  <c r="L1201" i="1"/>
  <c r="L1200" i="1" a="1"/>
  <c r="L1200" i="1" s="1"/>
  <c r="J1200" i="1" a="1"/>
  <c r="J1200" i="1" s="1"/>
  <c r="J1198" i="1" a="1"/>
  <c r="J1198" i="1" s="1"/>
  <c r="Q1197" i="1" a="1"/>
  <c r="Q1197" i="1" s="1"/>
  <c r="K1201" i="1" a="1"/>
  <c r="K1201" i="1" s="1"/>
  <c r="F1200" i="1" a="1"/>
  <c r="F1200" i="1"/>
  <c r="F1202" i="1" a="1"/>
  <c r="F1202" i="1" s="1"/>
  <c r="Q1201" i="1" a="1"/>
  <c r="Q1201" i="1" s="1"/>
  <c r="O1201" i="1" a="1"/>
  <c r="O1201" i="1" s="1"/>
  <c r="N1201" i="1" a="1"/>
  <c r="N1201" i="1"/>
  <c r="N1200" i="1" a="1"/>
  <c r="N1200" i="1" s="1"/>
  <c r="I1200" i="1" a="1"/>
  <c r="I1200" i="1"/>
  <c r="N1199" i="1" a="1"/>
  <c r="N1199" i="1" s="1"/>
  <c r="F1199" i="1" a="1"/>
  <c r="F1199" i="1" s="1"/>
  <c r="M1201" i="1" a="1"/>
  <c r="M1201" i="1"/>
  <c r="K1200" i="1" a="1"/>
  <c r="K1200" i="1"/>
  <c r="K1199" i="1" a="1"/>
  <c r="K1199" i="1" s="1"/>
  <c r="I1198" i="1" a="1"/>
  <c r="I1198" i="1" s="1"/>
  <c r="I1201" i="1" a="1"/>
  <c r="I1201" i="1" s="1"/>
  <c r="P1200" i="1" a="1"/>
  <c r="P1200" i="1" s="1"/>
  <c r="G1200" i="1" a="1"/>
  <c r="G1200" i="1"/>
  <c r="Q1199" i="1" a="1"/>
  <c r="Q1199" i="1"/>
  <c r="I1199" i="1" a="1"/>
  <c r="I1199" i="1" s="1"/>
  <c r="Q1198" i="1" a="1"/>
  <c r="Q1198" i="1"/>
  <c r="L1199" i="1" a="1"/>
  <c r="L1199" i="1" s="1"/>
  <c r="O1197" i="1" a="1"/>
  <c r="O1197" i="1" s="1"/>
  <c r="N1197" i="1" a="1"/>
  <c r="N1197" i="1" s="1"/>
  <c r="G1199" i="1" a="1"/>
  <c r="G1199" i="1" s="1"/>
  <c r="J1201" i="1" a="1"/>
  <c r="J1201" i="1"/>
  <c r="O1200" i="1" a="1"/>
  <c r="O1200" i="1" s="1"/>
  <c r="F1201" i="1" a="1"/>
  <c r="F1201" i="1" s="1"/>
  <c r="H1201" i="1" a="1"/>
  <c r="H1201" i="1" s="1"/>
  <c r="Q1200" i="1" a="1"/>
  <c r="Q1200" i="1" s="1"/>
  <c r="P1199" i="1" a="1"/>
  <c r="P1199" i="1" s="1"/>
  <c r="P1198" i="1" a="1"/>
  <c r="P1198" i="1" s="1"/>
  <c r="K1198" i="1" a="1"/>
  <c r="K1198" i="1" s="1"/>
  <c r="G1198" i="1" a="1"/>
  <c r="G1198" i="1" s="1"/>
  <c r="L1198" i="1" a="1"/>
  <c r="L1198" i="1"/>
  <c r="F1198" i="1" a="1"/>
  <c r="F1198" i="1"/>
  <c r="G1201" i="1" a="1"/>
  <c r="G1201" i="1"/>
  <c r="M1200" i="1" a="1"/>
  <c r="M1200" i="1" s="1"/>
  <c r="H1200" i="1" a="1"/>
  <c r="H1200" i="1"/>
  <c r="O1198" i="1" a="1"/>
  <c r="O1198" i="1" s="1"/>
  <c r="O1199" i="1" a="1"/>
  <c r="O1199" i="1"/>
  <c r="K1197" i="1" a="1"/>
  <c r="K1197" i="1" s="1"/>
  <c r="H1197" i="1" a="1"/>
  <c r="H1197" i="1"/>
  <c r="G1197" i="1" a="1"/>
  <c r="G1197" i="1" s="1"/>
  <c r="F1196" i="1" a="1"/>
  <c r="F1196" i="1" s="1"/>
  <c r="N1194" i="1" a="1"/>
  <c r="N1194" i="1" s="1"/>
  <c r="I1194" i="1" a="1"/>
  <c r="I1194" i="1" s="1"/>
  <c r="K1192" i="1" a="1"/>
  <c r="K1192" i="1" s="1"/>
  <c r="O1192" i="1" a="1"/>
  <c r="O1192" i="1" s="1"/>
  <c r="H1196" i="1" a="1"/>
  <c r="H1196" i="1"/>
  <c r="N1196" i="1" a="1"/>
  <c r="N1196" i="1" s="1"/>
  <c r="J1197" i="1" a="1"/>
  <c r="J1197" i="1"/>
  <c r="I1197" i="1" a="1"/>
  <c r="I1197" i="1" s="1"/>
  <c r="J1193" i="1" a="1"/>
  <c r="J1193" i="1" s="1"/>
  <c r="F1197" i="1" a="1"/>
  <c r="F1197" i="1"/>
  <c r="K1195" i="1" a="1"/>
  <c r="K1195" i="1"/>
  <c r="M1195" i="1" a="1"/>
  <c r="M1195" i="1"/>
  <c r="F1193" i="1" a="1"/>
  <c r="F1193" i="1" s="1"/>
  <c r="O1196" i="1" a="1"/>
  <c r="O1196" i="1" s="1"/>
  <c r="M1196" i="1" a="1"/>
  <c r="M1196" i="1" s="1"/>
  <c r="Q1192" i="1" a="1"/>
  <c r="Q1192" i="1" s="1"/>
  <c r="J1196" i="1" a="1"/>
  <c r="J1196" i="1" s="1"/>
  <c r="G1194" i="1" a="1"/>
  <c r="G1194" i="1"/>
  <c r="L1196" i="1" a="1"/>
  <c r="L1196" i="1" s="1"/>
  <c r="N1193" i="1" a="1"/>
  <c r="N1193" i="1" s="1"/>
  <c r="L1195" i="1" a="1"/>
  <c r="L1195" i="1" s="1"/>
  <c r="K1196" i="1" a="1"/>
  <c r="K1196" i="1"/>
  <c r="Q1195" i="1" a="1"/>
  <c r="Q1195" i="1" s="1"/>
  <c r="P1195" i="1" a="1"/>
  <c r="P1195" i="1" s="1"/>
  <c r="O1195" i="1" a="1"/>
  <c r="O1195" i="1"/>
  <c r="M1192" i="1" a="1"/>
  <c r="M1192" i="1" s="1"/>
  <c r="I1195" i="1" a="1"/>
  <c r="I1195" i="1" s="1"/>
  <c r="P1193" i="1" a="1"/>
  <c r="P1193" i="1"/>
  <c r="L1192" i="1" a="1"/>
  <c r="L1192" i="1" s="1"/>
  <c r="O1193" i="1" a="1"/>
  <c r="O1193" i="1" s="1"/>
  <c r="K1193" i="1" a="1"/>
  <c r="K1193" i="1" s="1"/>
  <c r="N1192" i="1" a="1"/>
  <c r="N1192" i="1" s="1"/>
  <c r="H1193" i="1" a="1"/>
  <c r="H1193" i="1"/>
  <c r="Q1194" i="1" a="1"/>
  <c r="Q1194" i="1" s="1"/>
  <c r="Q1193" i="1" a="1"/>
  <c r="Q1193" i="1" s="1"/>
  <c r="M1193" i="1" a="1"/>
  <c r="M1193" i="1" s="1"/>
  <c r="J1194" i="1" a="1"/>
  <c r="J1194" i="1" s="1"/>
  <c r="P1194" i="1" a="1"/>
  <c r="P1194" i="1" s="1"/>
  <c r="I1196" i="1" a="1"/>
  <c r="I1196" i="1"/>
  <c r="G1196" i="1" a="1"/>
  <c r="G1196" i="1"/>
  <c r="J1195" i="1" a="1"/>
  <c r="J1195" i="1" s="1"/>
  <c r="H1195" i="1" a="1"/>
  <c r="H1195" i="1"/>
  <c r="F1195" i="1" a="1"/>
  <c r="F1195" i="1"/>
  <c r="O1194" i="1" a="1"/>
  <c r="O1194" i="1" s="1"/>
  <c r="M1194" i="1" a="1"/>
  <c r="M1194" i="1" s="1"/>
  <c r="I1193" i="1" a="1"/>
  <c r="I1193" i="1"/>
  <c r="P1192" i="1" a="1"/>
  <c r="P1192" i="1" s="1"/>
  <c r="G1193" i="1" a="1"/>
  <c r="G1193" i="1"/>
  <c r="G1195" i="1" a="1"/>
  <c r="G1195" i="1"/>
  <c r="N1195" i="1" a="1"/>
  <c r="N1195" i="1" s="1"/>
  <c r="H1194" i="1" a="1"/>
  <c r="H1194" i="1" s="1"/>
  <c r="J1192" i="1" a="1"/>
  <c r="J1192" i="1" s="1"/>
  <c r="L1193" i="1" a="1"/>
  <c r="L1193" i="1" s="1"/>
  <c r="K1194" i="1" a="1"/>
  <c r="K1194" i="1"/>
  <c r="L1197" i="1" a="1"/>
  <c r="L1197" i="1"/>
  <c r="Q1196" i="1" a="1"/>
  <c r="Q1196" i="1"/>
  <c r="F1194" i="1" a="1"/>
  <c r="F1194" i="1" s="1"/>
  <c r="L1194" i="1" a="1"/>
  <c r="L1194" i="1"/>
  <c r="P1196" i="1" a="1"/>
  <c r="P1196" i="1" s="1"/>
  <c r="M1197" i="1" a="1"/>
  <c r="M1197" i="1"/>
  <c r="F1235" i="1" a="1"/>
  <c r="F1235" i="1"/>
  <c r="Q1234" i="1" a="1"/>
  <c r="Q1234" i="1" s="1"/>
  <c r="Q1236" i="1" a="1"/>
  <c r="Q1236" i="1"/>
  <c r="P1235" i="1" a="1"/>
  <c r="P1235" i="1" s="1"/>
  <c r="P1236" i="1" a="1"/>
  <c r="P1236" i="1"/>
  <c r="M1236" i="1" a="1"/>
  <c r="M1236" i="1" s="1"/>
  <c r="L1236" i="1" a="1"/>
  <c r="L1236" i="1" s="1"/>
  <c r="F1234" i="1" a="1"/>
  <c r="F1234" i="1"/>
  <c r="P1232" i="1" a="1"/>
  <c r="P1232" i="1"/>
  <c r="L1232" i="1" a="1"/>
  <c r="L1232" i="1" s="1"/>
  <c r="N1232" i="1" a="1"/>
  <c r="N1232" i="1"/>
  <c r="P1233" i="1" a="1"/>
  <c r="P1233" i="1" s="1"/>
  <c r="I1232" i="1" a="1"/>
  <c r="I1232" i="1" s="1"/>
  <c r="I1235" i="1" a="1"/>
  <c r="I1235" i="1"/>
  <c r="G1235" i="1" a="1"/>
  <c r="G1235" i="1"/>
  <c r="K1236" i="1" a="1"/>
  <c r="K1236" i="1"/>
  <c r="J1236" i="1" a="1"/>
  <c r="J1236" i="1" s="1"/>
  <c r="H1235" i="1" a="1"/>
  <c r="H1235" i="1"/>
  <c r="F1236" i="1" a="1"/>
  <c r="F1236" i="1" s="1"/>
  <c r="K1233" i="1" a="1"/>
  <c r="K1233" i="1" s="1"/>
  <c r="G1233" i="1" a="1"/>
  <c r="G1233" i="1" s="1"/>
  <c r="K1232" i="1" a="1"/>
  <c r="K1232" i="1" s="1"/>
  <c r="F1232" i="1" a="1"/>
  <c r="F1232" i="1"/>
  <c r="I1236" i="1" a="1"/>
  <c r="I1236" i="1"/>
  <c r="G1236" i="1" a="1"/>
  <c r="G1236" i="1"/>
  <c r="K1235" i="1" a="1"/>
  <c r="K1235" i="1"/>
  <c r="J1235" i="1" a="1"/>
  <c r="J1235" i="1" s="1"/>
  <c r="P1234" i="1" a="1"/>
  <c r="P1234" i="1" s="1"/>
  <c r="J1234" i="1" a="1"/>
  <c r="J1234" i="1"/>
  <c r="H1234" i="1" a="1"/>
  <c r="H1234" i="1"/>
  <c r="L1233" i="1" a="1"/>
  <c r="L1233" i="1"/>
  <c r="O1232" i="1" a="1"/>
  <c r="O1232" i="1" s="1"/>
  <c r="J1233" i="1" a="1"/>
  <c r="J1233" i="1"/>
  <c r="K1234" i="1" a="1"/>
  <c r="K1234" i="1"/>
  <c r="O1233" i="1" a="1"/>
  <c r="O1233" i="1" s="1"/>
  <c r="M1234" i="1" a="1"/>
  <c r="M1234" i="1" s="1"/>
  <c r="F1233" i="1" a="1"/>
  <c r="F1233" i="1"/>
  <c r="Q1233" i="1" a="1"/>
  <c r="Q1233" i="1" s="1"/>
  <c r="L1234" i="1" a="1"/>
  <c r="L1234" i="1"/>
  <c r="Q1235" i="1" a="1"/>
  <c r="Q1235" i="1" s="1"/>
  <c r="Q1232" i="1" a="1"/>
  <c r="Q1232" i="1" s="1"/>
  <c r="G1237" i="1" a="1"/>
  <c r="G1237" i="1"/>
  <c r="H1233" i="1" a="1"/>
  <c r="H1233" i="1"/>
  <c r="N1236" i="1" a="1"/>
  <c r="N1236" i="1" s="1"/>
  <c r="H1236" i="1" a="1"/>
  <c r="H1236" i="1"/>
  <c r="I1233" i="1" a="1"/>
  <c r="I1233" i="1"/>
  <c r="M1235" i="1" a="1"/>
  <c r="M1235" i="1" s="1"/>
  <c r="O1234" i="1" a="1"/>
  <c r="O1234" i="1"/>
  <c r="G1232" i="1" a="1"/>
  <c r="G1232" i="1"/>
  <c r="G1234" i="1" a="1"/>
  <c r="G1234" i="1" s="1"/>
  <c r="I1234" i="1" a="1"/>
  <c r="I1234" i="1" s="1"/>
  <c r="M1233" i="1" a="1"/>
  <c r="M1233" i="1"/>
  <c r="J1232" i="1" a="1"/>
  <c r="J1232" i="1" s="1"/>
  <c r="I1237" i="1" a="1"/>
  <c r="I1237" i="1"/>
  <c r="N1234" i="1" a="1"/>
  <c r="N1234" i="1" s="1"/>
  <c r="M1232" i="1" a="1"/>
  <c r="M1232" i="1" s="1"/>
  <c r="L1235" i="1" a="1"/>
  <c r="L1235" i="1" s="1"/>
  <c r="H1237" i="1" a="1"/>
  <c r="H1237" i="1"/>
  <c r="F1237" i="1" a="1"/>
  <c r="F1237" i="1" s="1"/>
  <c r="O1235" i="1" a="1"/>
  <c r="O1235" i="1"/>
  <c r="N1235" i="1" a="1"/>
  <c r="N1235" i="1"/>
  <c r="N1233" i="1" a="1"/>
  <c r="N1233" i="1" s="1"/>
  <c r="H1232" i="1" a="1"/>
  <c r="H1232" i="1"/>
  <c r="O1236" i="1" a="1"/>
  <c r="O1236" i="1"/>
  <c r="G1230" i="1" a="1"/>
  <c r="G1230" i="1" s="1"/>
  <c r="M1229" i="1" a="1"/>
  <c r="M1229" i="1"/>
  <c r="H1228" i="1" a="1"/>
  <c r="H1228" i="1"/>
  <c r="L1227" i="1" a="1"/>
  <c r="L1227" i="1"/>
  <c r="J1229" i="1" a="1"/>
  <c r="J1229" i="1" s="1"/>
  <c r="Q1227" i="1" a="1"/>
  <c r="Q1227" i="1"/>
  <c r="F1229" i="1" a="1"/>
  <c r="F1229" i="1"/>
  <c r="P1227" i="1" a="1"/>
  <c r="P1227" i="1"/>
  <c r="P1228" i="1" a="1"/>
  <c r="P1228" i="1"/>
  <c r="L1228" i="1" a="1"/>
  <c r="L1228" i="1"/>
  <c r="I1228" i="1" a="1"/>
  <c r="I1228" i="1"/>
  <c r="Q1229" i="1" a="1"/>
  <c r="Q1229" i="1"/>
  <c r="K1227" i="1" a="1"/>
  <c r="K1227" i="1" s="1"/>
  <c r="F1228" i="1" a="1"/>
  <c r="F1228" i="1"/>
  <c r="O1228" i="1" a="1"/>
  <c r="O1228" i="1"/>
  <c r="O1230" i="1" a="1"/>
  <c r="O1230" i="1" s="1"/>
  <c r="K1230" i="1" a="1"/>
  <c r="K1230" i="1"/>
  <c r="N1230" i="1" a="1"/>
  <c r="N1230" i="1" s="1"/>
  <c r="N1229" i="1" a="1"/>
  <c r="N1229" i="1" s="1"/>
  <c r="G1229" i="1" a="1"/>
  <c r="G1229" i="1" s="1"/>
  <c r="I1227" i="1" a="1"/>
  <c r="I1227" i="1"/>
  <c r="O1227" i="1" a="1"/>
  <c r="O1227" i="1"/>
  <c r="O1226" i="1" a="1"/>
  <c r="O1226" i="1" s="1"/>
  <c r="P1230" i="1" a="1"/>
  <c r="P1230" i="1"/>
  <c r="G1228" i="1" a="1"/>
  <c r="G1228" i="1"/>
  <c r="I1231" i="1" a="1"/>
  <c r="I1231" i="1"/>
  <c r="K1229" i="1" a="1"/>
  <c r="K1229" i="1"/>
  <c r="I1230" i="1" a="1"/>
  <c r="I1230" i="1" s="1"/>
  <c r="M1230" i="1" a="1"/>
  <c r="M1230" i="1"/>
  <c r="J1230" i="1" a="1"/>
  <c r="J1230" i="1" s="1"/>
  <c r="H1230" i="1" a="1"/>
  <c r="H1230" i="1"/>
  <c r="Q1231" i="1" a="1"/>
  <c r="Q1231" i="1"/>
  <c r="Q1228" i="1" a="1"/>
  <c r="Q1228" i="1" s="1"/>
  <c r="O1231" i="1" a="1"/>
  <c r="O1231" i="1" s="1"/>
  <c r="N1226" i="1" a="1"/>
  <c r="N1226" i="1"/>
  <c r="P1231" i="1" a="1"/>
  <c r="P1231" i="1"/>
  <c r="N1231" i="1" a="1"/>
  <c r="N1231" i="1"/>
  <c r="G1227" i="1" a="1"/>
  <c r="G1227" i="1" s="1"/>
  <c r="K1228" i="1" a="1"/>
  <c r="K1228" i="1"/>
  <c r="N1227" i="1" a="1"/>
  <c r="N1227" i="1" s="1"/>
  <c r="L1229" i="1" a="1"/>
  <c r="L1229" i="1" s="1"/>
  <c r="M1231" i="1" a="1"/>
  <c r="M1231" i="1" s="1"/>
  <c r="L1231" i="1" a="1"/>
  <c r="L1231" i="1" s="1"/>
  <c r="L1230" i="1" a="1"/>
  <c r="L1230" i="1" s="1"/>
  <c r="F1230" i="1" a="1"/>
  <c r="F1230" i="1" s="1"/>
  <c r="M1228" i="1" a="1"/>
  <c r="M1228" i="1"/>
  <c r="H1227" i="1" a="1"/>
  <c r="H1227" i="1" s="1"/>
  <c r="K1231" i="1" a="1"/>
  <c r="K1231" i="1"/>
  <c r="J1231" i="1" a="1"/>
  <c r="J1231" i="1"/>
  <c r="H1231" i="1" a="1"/>
  <c r="H1231" i="1"/>
  <c r="Q1230" i="1" a="1"/>
  <c r="Q1230" i="1"/>
  <c r="G1231" i="1" a="1"/>
  <c r="G1231" i="1" s="1"/>
  <c r="O1229" i="1" a="1"/>
  <c r="O1229" i="1" s="1"/>
  <c r="I1229" i="1" a="1"/>
  <c r="I1229" i="1"/>
  <c r="N1228" i="1" a="1"/>
  <c r="N1228" i="1" s="1"/>
  <c r="F1231" i="1" a="1"/>
  <c r="F1231" i="1" s="1"/>
  <c r="J1227" i="1" a="1"/>
  <c r="J1227" i="1" s="1"/>
  <c r="F1227" i="1" a="1"/>
  <c r="F1227" i="1" s="1"/>
  <c r="P1229" i="1" a="1"/>
  <c r="P1229" i="1"/>
  <c r="H1229" i="1" a="1"/>
  <c r="H1229" i="1"/>
  <c r="J1228" i="1" a="1"/>
  <c r="J1228" i="1" s="1"/>
  <c r="Q1226" i="1" a="1"/>
  <c r="Q1226" i="1"/>
  <c r="M1227" i="1" a="1"/>
  <c r="M1227" i="1" s="1"/>
  <c r="P1226" i="1" a="1"/>
  <c r="P1226" i="1" s="1"/>
  <c r="F1222" i="1" a="1"/>
  <c r="F1222" i="1"/>
  <c r="H1223" i="1" a="1"/>
  <c r="H1223" i="1"/>
  <c r="N1225" i="1" a="1"/>
  <c r="N1225" i="1"/>
  <c r="M1225" i="1" a="1"/>
  <c r="M1225" i="1" s="1"/>
  <c r="L1225" i="1" a="1"/>
  <c r="L1225" i="1"/>
  <c r="K1225" i="1" a="1"/>
  <c r="K1225" i="1"/>
  <c r="H1222" i="1" a="1"/>
  <c r="H1222" i="1"/>
  <c r="J1225" i="1" a="1"/>
  <c r="J1225" i="1" s="1"/>
  <c r="G1224" i="1" a="1"/>
  <c r="G1224" i="1"/>
  <c r="L1222" i="1" a="1"/>
  <c r="L1222" i="1" s="1"/>
  <c r="P1224" i="1" a="1"/>
  <c r="P1224" i="1" s="1"/>
  <c r="K1222" i="1" a="1"/>
  <c r="K1222" i="1"/>
  <c r="O1224" i="1" a="1"/>
  <c r="O1224" i="1" s="1"/>
  <c r="M1222" i="1" a="1"/>
  <c r="M1222" i="1"/>
  <c r="Q1222" i="1" a="1"/>
  <c r="Q1222" i="1" s="1"/>
  <c r="H1225" i="1" a="1"/>
  <c r="H1225" i="1"/>
  <c r="O1222" i="1" a="1"/>
  <c r="O1222" i="1"/>
  <c r="J1223" i="1" a="1"/>
  <c r="J1223" i="1"/>
  <c r="F1225" i="1" a="1"/>
  <c r="F1225" i="1" s="1"/>
  <c r="M1224" i="1" a="1"/>
  <c r="M1224" i="1" s="1"/>
  <c r="J1224" i="1" a="1"/>
  <c r="J1224" i="1"/>
  <c r="N1222" i="1" a="1"/>
  <c r="N1222" i="1"/>
  <c r="N1223" i="1" a="1"/>
  <c r="N1223" i="1" s="1"/>
  <c r="G1223" i="1" a="1"/>
  <c r="G1223" i="1"/>
  <c r="J1222" i="1" a="1"/>
  <c r="J1222" i="1" s="1"/>
  <c r="K1223" i="1" a="1"/>
  <c r="K1223" i="1"/>
  <c r="F1223" i="1" a="1"/>
  <c r="F1223" i="1"/>
  <c r="N1224" i="1" a="1"/>
  <c r="N1224" i="1"/>
  <c r="M1223" i="1" a="1"/>
  <c r="M1223" i="1" s="1"/>
  <c r="P1221" i="1" a="1"/>
  <c r="P1221" i="1"/>
  <c r="K1221" i="1" a="1"/>
  <c r="K1221" i="1"/>
  <c r="M1221" i="1" a="1"/>
  <c r="M1221" i="1"/>
  <c r="I1222" i="1" a="1"/>
  <c r="I1222" i="1"/>
  <c r="K1226" i="1" a="1"/>
  <c r="K1226" i="1" s="1"/>
  <c r="Q1223" i="1" a="1"/>
  <c r="Q1223" i="1" s="1"/>
  <c r="G1225" i="1" a="1"/>
  <c r="G1225" i="1" s="1"/>
  <c r="K1224" i="1" a="1"/>
  <c r="K1224" i="1" s="1"/>
  <c r="F1224" i="1" a="1"/>
  <c r="F1224" i="1" s="1"/>
  <c r="H1226" i="1" a="1"/>
  <c r="H1226" i="1" s="1"/>
  <c r="I1224" i="1" a="1"/>
  <c r="I1224" i="1"/>
  <c r="Q1225" i="1" a="1"/>
  <c r="Q1225" i="1"/>
  <c r="P1225" i="1" a="1"/>
  <c r="P1225" i="1" s="1"/>
  <c r="O1223" i="1" a="1"/>
  <c r="O1223" i="1" s="1"/>
  <c r="L1224" i="1" a="1"/>
  <c r="L1224" i="1" s="1"/>
  <c r="G1226" i="1" a="1"/>
  <c r="G1226" i="1"/>
  <c r="I1226" i="1" a="1"/>
  <c r="I1226" i="1" s="1"/>
  <c r="Q1221" i="1" a="1"/>
  <c r="Q1221" i="1"/>
  <c r="F1226" i="1" a="1"/>
  <c r="F1226" i="1"/>
  <c r="H1224" i="1" a="1"/>
  <c r="H1224" i="1"/>
  <c r="P1223" i="1" a="1"/>
  <c r="P1223" i="1"/>
  <c r="L1223" i="1" a="1"/>
  <c r="L1223" i="1"/>
  <c r="L1221" i="1" a="1"/>
  <c r="L1221" i="1" s="1"/>
  <c r="P1222" i="1" a="1"/>
  <c r="P1222" i="1" s="1"/>
  <c r="G1222" i="1" a="1"/>
  <c r="G1222" i="1" s="1"/>
  <c r="N1221" i="1" a="1"/>
  <c r="N1221" i="1"/>
  <c r="O1221" i="1" a="1"/>
  <c r="O1221" i="1" s="1"/>
  <c r="Q1224" i="1" a="1"/>
  <c r="Q1224" i="1" s="1"/>
  <c r="M1226" i="1" a="1"/>
  <c r="M1226" i="1" s="1"/>
  <c r="O1225" i="1" a="1"/>
  <c r="O1225" i="1" s="1"/>
  <c r="L1226" i="1" a="1"/>
  <c r="L1226" i="1"/>
  <c r="J1221" i="1" a="1"/>
  <c r="J1221" i="1"/>
  <c r="I1225" i="1" a="1"/>
  <c r="I1225" i="1" s="1"/>
  <c r="J1226" i="1" a="1"/>
  <c r="J1226" i="1"/>
  <c r="I1223" i="1" a="1"/>
  <c r="I1223" i="1"/>
  <c r="H1221" i="1" a="1"/>
  <c r="H1221" i="1"/>
  <c r="G1221" i="1" a="1"/>
  <c r="G1221" i="1"/>
  <c r="G1220" i="1" a="1"/>
  <c r="G1220" i="1" s="1"/>
  <c r="H1219" i="1" a="1"/>
  <c r="H1219" i="1" s="1"/>
  <c r="I1216" i="1" a="1"/>
  <c r="I1216" i="1"/>
  <c r="F1221" i="1" a="1"/>
  <c r="F1221" i="1" s="1"/>
  <c r="J1218" i="1" a="1"/>
  <c r="J1218" i="1"/>
  <c r="Q1218" i="1" a="1"/>
  <c r="Q1218" i="1"/>
  <c r="K1217" i="1" a="1"/>
  <c r="K1217" i="1" s="1"/>
  <c r="Q1217" i="1" a="1"/>
  <c r="Q1217" i="1"/>
  <c r="L1217" i="1" a="1"/>
  <c r="L1217" i="1"/>
  <c r="Q1220" i="1" a="1"/>
  <c r="Q1220" i="1"/>
  <c r="F1217" i="1" a="1"/>
  <c r="F1217" i="1" s="1"/>
  <c r="P1220" i="1" a="1"/>
  <c r="P1220" i="1"/>
  <c r="N1219" i="1" a="1"/>
  <c r="N1219" i="1" s="1"/>
  <c r="L1219" i="1" a="1"/>
  <c r="L1219" i="1" s="1"/>
  <c r="L1218" i="1" a="1"/>
  <c r="L1218" i="1" s="1"/>
  <c r="M1218" i="1" a="1"/>
  <c r="M1218" i="1" s="1"/>
  <c r="I1218" i="1" a="1"/>
  <c r="I1218" i="1" s="1"/>
  <c r="O1217" i="1" a="1"/>
  <c r="O1217" i="1"/>
  <c r="G1217" i="1" a="1"/>
  <c r="G1217" i="1"/>
  <c r="P1216" i="1" a="1"/>
  <c r="P1216" i="1" s="1"/>
  <c r="L1216" i="1" a="1"/>
  <c r="L1216" i="1" s="1"/>
  <c r="I1220" i="1" a="1"/>
  <c r="I1220" i="1" s="1"/>
  <c r="K1218" i="1" a="1"/>
  <c r="K1218" i="1"/>
  <c r="O1220" i="1" a="1"/>
  <c r="O1220" i="1" s="1"/>
  <c r="H1216" i="1" a="1"/>
  <c r="H1216" i="1" s="1"/>
  <c r="N1220" i="1" a="1"/>
  <c r="N1220" i="1"/>
  <c r="M1220" i="1" a="1"/>
  <c r="M1220" i="1" s="1"/>
  <c r="K1220" i="1" a="1"/>
  <c r="K1220" i="1" s="1"/>
  <c r="H1218" i="1" a="1"/>
  <c r="H1218" i="1" s="1"/>
  <c r="G1218" i="1" a="1"/>
  <c r="G1218" i="1"/>
  <c r="L1220" i="1" a="1"/>
  <c r="L1220" i="1" s="1"/>
  <c r="J1220" i="1" a="1"/>
  <c r="J1220" i="1"/>
  <c r="M1219" i="1" a="1"/>
  <c r="M1219" i="1"/>
  <c r="P1217" i="1" a="1"/>
  <c r="P1217" i="1" s="1"/>
  <c r="I1217" i="1" a="1"/>
  <c r="I1217" i="1" s="1"/>
  <c r="M1216" i="1" a="1"/>
  <c r="M1216" i="1" s="1"/>
  <c r="N1218" i="1" a="1"/>
  <c r="N1218" i="1" s="1"/>
  <c r="F1220" i="1" a="1"/>
  <c r="F1220" i="1" s="1"/>
  <c r="F1218" i="1" a="1"/>
  <c r="F1218" i="1" s="1"/>
  <c r="O1219" i="1" a="1"/>
  <c r="O1219" i="1" s="1"/>
  <c r="N1217" i="1" a="1"/>
  <c r="N1217" i="1" s="1"/>
  <c r="M1217" i="1" a="1"/>
  <c r="M1217" i="1"/>
  <c r="P1218" i="1" a="1"/>
  <c r="P1218" i="1" s="1"/>
  <c r="I1219" i="1" a="1"/>
  <c r="I1219" i="1" s="1"/>
  <c r="K1216" i="1" a="1"/>
  <c r="K1216" i="1" s="1"/>
  <c r="Q1219" i="1" a="1"/>
  <c r="Q1219" i="1" s="1"/>
  <c r="K1219" i="1" a="1"/>
  <c r="K1219" i="1"/>
  <c r="P1219" i="1" a="1"/>
  <c r="P1219" i="1" s="1"/>
  <c r="F1219" i="1" a="1"/>
  <c r="F1219" i="1"/>
  <c r="O1218" i="1" a="1"/>
  <c r="O1218" i="1"/>
  <c r="J1219" i="1" a="1"/>
  <c r="J1219" i="1" s="1"/>
  <c r="G1219" i="1" a="1"/>
  <c r="G1219" i="1" s="1"/>
  <c r="Q1216" i="1" a="1"/>
  <c r="Q1216" i="1" s="1"/>
  <c r="H1220" i="1" a="1"/>
  <c r="H1220" i="1" s="1"/>
  <c r="J1216" i="1" a="1"/>
  <c r="J1216" i="1"/>
  <c r="J1217" i="1" a="1"/>
  <c r="J1217" i="1" s="1"/>
  <c r="N1216" i="1" a="1"/>
  <c r="N1216" i="1" s="1"/>
  <c r="O1216" i="1" a="1"/>
  <c r="O1216" i="1" s="1"/>
  <c r="I1221" i="1" a="1"/>
  <c r="I1221" i="1" s="1"/>
  <c r="H1217" i="1" a="1"/>
  <c r="H1217" i="1" s="1"/>
  <c r="K1210" i="1" a="1"/>
  <c r="K1210" i="1"/>
  <c r="H1214" i="1" a="1"/>
  <c r="H1214" i="1" s="1"/>
  <c r="F1212" i="1" a="1"/>
  <c r="F1212" i="1"/>
  <c r="J1212" i="1" a="1"/>
  <c r="J1212" i="1"/>
  <c r="N1214" i="1" a="1"/>
  <c r="N1214" i="1"/>
  <c r="M1214" i="1" a="1"/>
  <c r="M1214" i="1"/>
  <c r="I1214" i="1" a="1"/>
  <c r="I1214" i="1"/>
  <c r="Q1212" i="1" a="1"/>
  <c r="Q1212" i="1"/>
  <c r="K1214" i="1" a="1"/>
  <c r="K1214" i="1"/>
  <c r="Q1211" i="1" a="1"/>
  <c r="Q1211" i="1" s="1"/>
  <c r="M1211" i="1" a="1"/>
  <c r="M1211" i="1" s="1"/>
  <c r="I1211" i="1" a="1"/>
  <c r="I1211" i="1" s="1"/>
  <c r="N1211" i="1" a="1"/>
  <c r="N1211" i="1"/>
  <c r="G1214" i="1" a="1"/>
  <c r="G1214" i="1"/>
  <c r="H1210" i="1" a="1"/>
  <c r="H1210" i="1" s="1"/>
  <c r="O1210" i="1" a="1"/>
  <c r="O1210" i="1" s="1"/>
  <c r="O1212" i="1" a="1"/>
  <c r="O1212" i="1" s="1"/>
  <c r="F1211" i="1" a="1"/>
  <c r="F1211" i="1"/>
  <c r="H1212" i="1" a="1"/>
  <c r="H1212" i="1" s="1"/>
  <c r="L1210" i="1" a="1"/>
  <c r="L1210" i="1" s="1"/>
  <c r="G1211" i="1" a="1"/>
  <c r="G1211" i="1"/>
  <c r="I1210" i="1" a="1"/>
  <c r="I1210" i="1"/>
  <c r="L1211" i="1" a="1"/>
  <c r="L1211" i="1"/>
  <c r="Q1210" i="1" a="1"/>
  <c r="Q1210" i="1" s="1"/>
  <c r="G1216" i="1" a="1"/>
  <c r="G1216" i="1" s="1"/>
  <c r="N1215" i="1" a="1"/>
  <c r="N1215" i="1"/>
  <c r="I1215" i="1" a="1"/>
  <c r="I1215" i="1"/>
  <c r="H1211" i="1" a="1"/>
  <c r="H1211" i="1"/>
  <c r="O1211" i="1" a="1"/>
  <c r="O1211" i="1"/>
  <c r="J1211" i="1" a="1"/>
  <c r="J1211" i="1"/>
  <c r="M1210" i="1" a="1"/>
  <c r="M1210" i="1"/>
  <c r="G1210" i="1" a="1"/>
  <c r="G1210" i="1" s="1"/>
  <c r="F1216" i="1" a="1"/>
  <c r="F1216" i="1"/>
  <c r="K1215" i="1" a="1"/>
  <c r="K1215" i="1"/>
  <c r="G1212" i="1" a="1"/>
  <c r="G1212" i="1"/>
  <c r="Q1215" i="1" a="1"/>
  <c r="Q1215" i="1" s="1"/>
  <c r="P1215" i="1" a="1"/>
  <c r="P1215" i="1"/>
  <c r="O1215" i="1" a="1"/>
  <c r="O1215" i="1" s="1"/>
  <c r="L1214" i="1" a="1"/>
  <c r="L1214" i="1" s="1"/>
  <c r="M1212" i="1" a="1"/>
  <c r="M1212" i="1" s="1"/>
  <c r="P1211" i="1" a="1"/>
  <c r="P1211" i="1" s="1"/>
  <c r="L1212" i="1" a="1"/>
  <c r="L1212" i="1" s="1"/>
  <c r="J1214" i="1" a="1"/>
  <c r="J1214" i="1" s="1"/>
  <c r="K1211" i="1" a="1"/>
  <c r="K1211" i="1" s="1"/>
  <c r="M1215" i="1" a="1"/>
  <c r="M1215" i="1" s="1"/>
  <c r="L1215" i="1" a="1"/>
  <c r="L1215" i="1"/>
  <c r="G1215" i="1" a="1"/>
  <c r="G1215" i="1"/>
  <c r="P1212" i="1" a="1"/>
  <c r="P1212" i="1"/>
  <c r="J1215" i="1" a="1"/>
  <c r="J1215" i="1" s="1"/>
  <c r="Q1214" i="1" a="1"/>
  <c r="Q1214" i="1"/>
  <c r="F1214" i="1" a="1"/>
  <c r="F1214" i="1" s="1"/>
  <c r="N1212" i="1" a="1"/>
  <c r="N1212" i="1" s="1"/>
  <c r="P1214" i="1" a="1"/>
  <c r="P1214" i="1" s="1"/>
  <c r="J1210" i="1" a="1"/>
  <c r="J1210" i="1"/>
  <c r="K1212" i="1" a="1"/>
  <c r="K1212" i="1" s="1"/>
  <c r="H1215" i="1" a="1"/>
  <c r="H1215" i="1" s="1"/>
  <c r="F1215" i="1" a="1"/>
  <c r="F1215" i="1" s="1"/>
  <c r="P1210" i="1" a="1"/>
  <c r="P1210" i="1" s="1"/>
  <c r="I1212" i="1" a="1"/>
  <c r="I1212" i="1"/>
  <c r="N1210" i="1" a="1"/>
  <c r="N1210" i="1" s="1"/>
  <c r="O1214" i="1" a="1"/>
  <c r="O1214" i="1" s="1"/>
  <c r="L1261" i="1" a="1"/>
  <c r="L1261" i="1" s="1"/>
  <c r="K1261" i="1" a="1"/>
  <c r="K1261" i="1" s="1"/>
  <c r="J1261" i="1" a="1"/>
  <c r="J1261" i="1"/>
  <c r="I1261" i="1" a="1"/>
  <c r="I1261" i="1" s="1"/>
  <c r="H1261" i="1" a="1"/>
  <c r="H1261" i="1"/>
  <c r="F1262" i="1" a="1"/>
  <c r="F1262" i="1" s="1"/>
  <c r="Q1261" i="1" a="1"/>
  <c r="Q1261" i="1"/>
  <c r="P1261" i="1" a="1"/>
  <c r="P1261" i="1"/>
  <c r="O1261" i="1" a="1"/>
  <c r="O1261" i="1"/>
  <c r="N1261" i="1" a="1"/>
  <c r="N1261" i="1" s="1"/>
  <c r="M1261" i="1" a="1"/>
  <c r="M1261" i="1"/>
  <c r="P1259" i="1" a="1"/>
  <c r="P1259" i="1" s="1"/>
  <c r="G1261" i="1" a="1"/>
  <c r="G1261" i="1" s="1"/>
  <c r="F1261" i="1" a="1"/>
  <c r="F1261" i="1" s="1"/>
  <c r="M1260" i="1" a="1"/>
  <c r="M1260" i="1" s="1"/>
  <c r="J1260" i="1" a="1"/>
  <c r="J1260" i="1" s="1"/>
  <c r="Q1260" i="1" a="1"/>
  <c r="Q1260" i="1" s="1"/>
  <c r="P1260" i="1" a="1"/>
  <c r="P1260" i="1" s="1"/>
  <c r="F1260" i="1" a="1"/>
  <c r="F1260" i="1"/>
  <c r="O1260" i="1" a="1"/>
  <c r="O1260" i="1" s="1"/>
  <c r="N1260" i="1" a="1"/>
  <c r="N1260" i="1" s="1"/>
  <c r="L1260" i="1" a="1"/>
  <c r="L1260" i="1"/>
  <c r="I1260" i="1" a="1"/>
  <c r="I1260" i="1"/>
  <c r="K1260" i="1" a="1"/>
  <c r="K1260" i="1"/>
  <c r="H1260" i="1" a="1"/>
  <c r="H1260" i="1"/>
  <c r="G1260" i="1" a="1"/>
  <c r="G1260" i="1"/>
  <c r="Q1259" i="1" a="1"/>
  <c r="Q1259" i="1"/>
  <c r="N1259" i="1" a="1"/>
  <c r="N1259" i="1" s="1"/>
  <c r="O1259" i="1" a="1"/>
  <c r="O1259" i="1"/>
  <c r="G1259" i="1" a="1"/>
  <c r="G1259" i="1" s="1"/>
  <c r="L1258" i="1" a="1"/>
  <c r="L1258" i="1" s="1"/>
  <c r="G1258" i="1" a="1"/>
  <c r="G1258" i="1" s="1"/>
  <c r="K1257" i="1" a="1"/>
  <c r="K1257" i="1" s="1"/>
  <c r="O1258" i="1" a="1"/>
  <c r="O1258" i="1" s="1"/>
  <c r="J1258" i="1" a="1"/>
  <c r="J1258" i="1"/>
  <c r="Q1256" i="1" a="1"/>
  <c r="Q1256" i="1" s="1"/>
  <c r="F1258" i="1" a="1"/>
  <c r="F1258" i="1"/>
  <c r="F1257" i="1" a="1"/>
  <c r="F1257" i="1"/>
  <c r="Q1258" i="1" a="1"/>
  <c r="Q1258" i="1"/>
  <c r="O1257" i="1" a="1"/>
  <c r="O1257" i="1" s="1"/>
  <c r="G1257" i="1" a="1"/>
  <c r="G1257" i="1" s="1"/>
  <c r="L1257" i="1" a="1"/>
  <c r="L1257" i="1"/>
  <c r="J1257" i="1" a="1"/>
  <c r="J1257" i="1" s="1"/>
  <c r="N1258" i="1" a="1"/>
  <c r="N1258" i="1"/>
  <c r="M1259" i="1" a="1"/>
  <c r="M1259" i="1"/>
  <c r="L1259" i="1" a="1"/>
  <c r="L1259" i="1" s="1"/>
  <c r="I1257" i="1" a="1"/>
  <c r="I1257" i="1" s="1"/>
  <c r="P1258" i="1" a="1"/>
  <c r="P1258" i="1" s="1"/>
  <c r="N1257" i="1" a="1"/>
  <c r="N1257" i="1"/>
  <c r="K1259" i="1" a="1"/>
  <c r="K1259" i="1"/>
  <c r="M1257" i="1" a="1"/>
  <c r="M1257" i="1"/>
  <c r="J1259" i="1" a="1"/>
  <c r="J1259" i="1" s="1"/>
  <c r="I1259" i="1" a="1"/>
  <c r="I1259" i="1"/>
  <c r="M1258" i="1" a="1"/>
  <c r="M1258" i="1"/>
  <c r="K1258" i="1" a="1"/>
  <c r="K1258" i="1" s="1"/>
  <c r="Q1257" i="1" a="1"/>
  <c r="Q1257" i="1"/>
  <c r="H1259" i="1" a="1"/>
  <c r="H1259" i="1" s="1"/>
  <c r="H1258" i="1" a="1"/>
  <c r="H1258" i="1" s="1"/>
  <c r="F1259" i="1" a="1"/>
  <c r="F1259" i="1"/>
  <c r="I1258" i="1" a="1"/>
  <c r="I1258" i="1" s="1"/>
  <c r="H1257" i="1" a="1"/>
  <c r="H1257" i="1" s="1"/>
  <c r="P1257" i="1" a="1"/>
  <c r="P1257" i="1" s="1"/>
  <c r="N1253" i="1" a="1"/>
  <c r="N1253" i="1"/>
  <c r="I1254" i="1" a="1"/>
  <c r="I1254" i="1" s="1"/>
  <c r="H1253" i="1" a="1"/>
  <c r="H1253" i="1" s="1"/>
  <c r="F1253" i="1" a="1"/>
  <c r="F1253" i="1" s="1"/>
  <c r="H1256" i="1" a="1"/>
  <c r="H1256" i="1"/>
  <c r="M1252" i="1" a="1"/>
  <c r="M1252" i="1" s="1"/>
  <c r="I1253" i="1" a="1"/>
  <c r="I1253" i="1"/>
  <c r="F1254" i="1" a="1"/>
  <c r="F1254" i="1" s="1"/>
  <c r="O1255" i="1" a="1"/>
  <c r="O1255" i="1" s="1"/>
  <c r="N1255" i="1" a="1"/>
  <c r="N1255" i="1" s="1"/>
  <c r="M1254" i="1" a="1"/>
  <c r="M1254" i="1" s="1"/>
  <c r="J1255" i="1" a="1"/>
  <c r="J1255" i="1"/>
  <c r="Q1254" i="1" a="1"/>
  <c r="Q1254" i="1"/>
  <c r="N1254" i="1" a="1"/>
  <c r="N1254" i="1"/>
  <c r="L1253" i="1" a="1"/>
  <c r="L1253" i="1"/>
  <c r="O1253" i="1" a="1"/>
  <c r="O1253" i="1" s="1"/>
  <c r="J1253" i="1" a="1"/>
  <c r="J1253" i="1"/>
  <c r="J1252" i="1" a="1"/>
  <c r="J1252" i="1" s="1"/>
  <c r="N1251" i="1" a="1"/>
  <c r="N1251" i="1" s="1"/>
  <c r="F1252" i="1" a="1"/>
  <c r="F1252" i="1" s="1"/>
  <c r="H1254" i="1" a="1"/>
  <c r="H1254" i="1"/>
  <c r="P1253" i="1" a="1"/>
  <c r="P1253" i="1" s="1"/>
  <c r="G1253" i="1" a="1"/>
  <c r="G1253" i="1"/>
  <c r="P1252" i="1" a="1"/>
  <c r="P1252" i="1"/>
  <c r="K1253" i="1" a="1"/>
  <c r="K1253" i="1" s="1"/>
  <c r="O1251" i="1" a="1"/>
  <c r="O1251" i="1"/>
  <c r="I1252" i="1" a="1"/>
  <c r="I1252" i="1"/>
  <c r="F1256" i="1" a="1"/>
  <c r="F1256" i="1"/>
  <c r="Q1255" i="1" a="1"/>
  <c r="Q1255" i="1" s="1"/>
  <c r="P1251" i="1" a="1"/>
  <c r="P1251" i="1" s="1"/>
  <c r="M1253" i="1" a="1"/>
  <c r="M1253" i="1" s="1"/>
  <c r="Q1252" i="1" a="1"/>
  <c r="Q1252" i="1"/>
  <c r="O1252" i="1" a="1"/>
  <c r="O1252" i="1"/>
  <c r="H1252" i="1" a="1"/>
  <c r="H1252" i="1"/>
  <c r="Q1251" i="1" a="1"/>
  <c r="Q1251" i="1"/>
  <c r="L1254" i="1" a="1"/>
  <c r="L1254" i="1" s="1"/>
  <c r="F1255" i="1" a="1"/>
  <c r="F1255" i="1" s="1"/>
  <c r="P1256" i="1" a="1"/>
  <c r="P1256" i="1" s="1"/>
  <c r="L1252" i="1" a="1"/>
  <c r="L1252" i="1" s="1"/>
  <c r="I1255" i="1" a="1"/>
  <c r="I1255" i="1" s="1"/>
  <c r="J1254" i="1" a="1"/>
  <c r="J1254" i="1"/>
  <c r="O1256" i="1" a="1"/>
  <c r="O1256" i="1" s="1"/>
  <c r="G1252" i="1" a="1"/>
  <c r="G1252" i="1" s="1"/>
  <c r="N1256" i="1" a="1"/>
  <c r="N1256" i="1"/>
  <c r="O1254" i="1" a="1"/>
  <c r="O1254" i="1" s="1"/>
  <c r="M1256" i="1" a="1"/>
  <c r="M1256" i="1"/>
  <c r="L1255" i="1" a="1"/>
  <c r="L1255" i="1" s="1"/>
  <c r="K1254" i="1" a="1"/>
  <c r="K1254" i="1" s="1"/>
  <c r="G1256" i="1" a="1"/>
  <c r="G1256" i="1" s="1"/>
  <c r="G1255" i="1" a="1"/>
  <c r="G1255" i="1" s="1"/>
  <c r="G1254" i="1" a="1"/>
  <c r="G1254" i="1"/>
  <c r="I1256" i="1" a="1"/>
  <c r="I1256" i="1"/>
  <c r="N1252" i="1" a="1"/>
  <c r="N1252" i="1"/>
  <c r="L1256" i="1" a="1"/>
  <c r="L1256" i="1" s="1"/>
  <c r="P1255" i="1" a="1"/>
  <c r="P1255" i="1"/>
  <c r="H1255" i="1" a="1"/>
  <c r="H1255" i="1"/>
  <c r="P1254" i="1" a="1"/>
  <c r="P1254" i="1" s="1"/>
  <c r="Q1253" i="1" a="1"/>
  <c r="Q1253" i="1" s="1"/>
  <c r="M1251" i="1" a="1"/>
  <c r="M1251" i="1"/>
  <c r="K1256" i="1" a="1"/>
  <c r="K1256" i="1" s="1"/>
  <c r="J1256" i="1" a="1"/>
  <c r="J1256" i="1" s="1"/>
  <c r="M1255" i="1" a="1"/>
  <c r="M1255" i="1" s="1"/>
  <c r="K1255" i="1" a="1"/>
  <c r="K1255" i="1"/>
  <c r="K1252" i="1" a="1"/>
  <c r="K1252" i="1" s="1"/>
  <c r="G1249" i="1" a="1"/>
  <c r="G1249" i="1" s="1"/>
  <c r="L1247" i="1" a="1"/>
  <c r="L1247" i="1" s="1"/>
  <c r="H1247" i="1" a="1"/>
  <c r="H1247" i="1" s="1"/>
  <c r="P1249" i="1" a="1"/>
  <c r="P1249" i="1" s="1"/>
  <c r="P1248" i="1" a="1"/>
  <c r="P1248" i="1" s="1"/>
  <c r="O1249" i="1" a="1"/>
  <c r="O1249" i="1" s="1"/>
  <c r="K1248" i="1" a="1"/>
  <c r="K1248" i="1" s="1"/>
  <c r="I1248" i="1" a="1"/>
  <c r="I1248" i="1" s="1"/>
  <c r="K1249" i="1" a="1"/>
  <c r="K1249" i="1"/>
  <c r="F1248" i="1" a="1"/>
  <c r="F1248" i="1" s="1"/>
  <c r="G1247" i="1" a="1"/>
  <c r="G1247" i="1"/>
  <c r="O1248" i="1" a="1"/>
  <c r="O1248" i="1"/>
  <c r="J1247" i="1" a="1"/>
  <c r="J1247" i="1" s="1"/>
  <c r="P1250" i="1" a="1"/>
  <c r="P1250" i="1" s="1"/>
  <c r="M1250" i="1" a="1"/>
  <c r="M1250" i="1" s="1"/>
  <c r="H1249" i="1" a="1"/>
  <c r="H1249" i="1" s="1"/>
  <c r="K1250" i="1" a="1"/>
  <c r="K1250" i="1"/>
  <c r="I1249" i="1" a="1"/>
  <c r="I1249" i="1"/>
  <c r="N1248" i="1" a="1"/>
  <c r="N1248" i="1" s="1"/>
  <c r="M1247" i="1" a="1"/>
  <c r="M1247" i="1"/>
  <c r="H1250" i="1" a="1"/>
  <c r="H1250" i="1" s="1"/>
  <c r="F1250" i="1" a="1"/>
  <c r="F1250" i="1" s="1"/>
  <c r="H1248" i="1" a="1"/>
  <c r="H1248" i="1" s="1"/>
  <c r="L1251" i="1" a="1"/>
  <c r="L1251" i="1"/>
  <c r="K1251" i="1" a="1"/>
  <c r="K1251" i="1" s="1"/>
  <c r="J1251" i="1" a="1"/>
  <c r="J1251" i="1"/>
  <c r="H1251" i="1" a="1"/>
  <c r="H1251" i="1"/>
  <c r="M1248" i="1" a="1"/>
  <c r="M1248" i="1" s="1"/>
  <c r="G1248" i="1" a="1"/>
  <c r="G1248" i="1"/>
  <c r="F1247" i="1" a="1"/>
  <c r="F1247" i="1" s="1"/>
  <c r="I1251" i="1" a="1"/>
  <c r="I1251" i="1" s="1"/>
  <c r="G1251" i="1" a="1"/>
  <c r="G1251" i="1" s="1"/>
  <c r="F1251" i="1" a="1"/>
  <c r="F1251" i="1" s="1"/>
  <c r="F1249" i="1" a="1"/>
  <c r="F1249" i="1" s="1"/>
  <c r="J1248" i="1" a="1"/>
  <c r="J1248" i="1" s="1"/>
  <c r="N1249" i="1" a="1"/>
  <c r="N1249" i="1" s="1"/>
  <c r="L1248" i="1" a="1"/>
  <c r="L1248" i="1" s="1"/>
  <c r="Q1250" i="1" a="1"/>
  <c r="Q1250" i="1" s="1"/>
  <c r="I1247" i="1" a="1"/>
  <c r="I1247" i="1" s="1"/>
  <c r="O1250" i="1" a="1"/>
  <c r="O1250" i="1"/>
  <c r="L1249" i="1" a="1"/>
  <c r="L1249" i="1"/>
  <c r="J1250" i="1" a="1"/>
  <c r="J1250" i="1" s="1"/>
  <c r="Q1247" i="1" a="1"/>
  <c r="Q1247" i="1"/>
  <c r="N1247" i="1" a="1"/>
  <c r="N1247" i="1"/>
  <c r="K1247" i="1" a="1"/>
  <c r="K1247" i="1"/>
  <c r="N1250" i="1" a="1"/>
  <c r="N1250" i="1"/>
  <c r="G1250" i="1" a="1"/>
  <c r="G1250" i="1"/>
  <c r="P1247" i="1" a="1"/>
  <c r="P1247" i="1" s="1"/>
  <c r="L1250" i="1" a="1"/>
  <c r="L1250" i="1"/>
  <c r="I1250" i="1" a="1"/>
  <c r="I1250" i="1" s="1"/>
  <c r="O1247" i="1" a="1"/>
  <c r="O1247" i="1" s="1"/>
  <c r="Q1248" i="1" a="1"/>
  <c r="Q1248" i="1" s="1"/>
  <c r="M1249" i="1" a="1"/>
  <c r="M1249" i="1" s="1"/>
  <c r="Q1249" i="1" a="1"/>
  <c r="Q1249" i="1" s="1"/>
  <c r="J1249" i="1" a="1"/>
  <c r="J1249" i="1"/>
  <c r="M1246" i="1" a="1"/>
  <c r="M1246" i="1" s="1"/>
  <c r="L1246" i="1" a="1"/>
  <c r="L1246" i="1"/>
  <c r="K1246" i="1" a="1"/>
  <c r="K1246" i="1" s="1"/>
  <c r="L1243" i="1" a="1"/>
  <c r="L1243" i="1" s="1"/>
  <c r="Q1245" i="1" a="1"/>
  <c r="Q1245" i="1" s="1"/>
  <c r="I1244" i="1" a="1"/>
  <c r="I1244" i="1" s="1"/>
  <c r="N1242" i="1" a="1"/>
  <c r="N1242" i="1" s="1"/>
  <c r="I1246" i="1" a="1"/>
  <c r="I1246" i="1" s="1"/>
  <c r="P1245" i="1" a="1"/>
  <c r="P1245" i="1" s="1"/>
  <c r="N1243" i="1" a="1"/>
  <c r="N1243" i="1"/>
  <c r="N1245" i="1" a="1"/>
  <c r="N1245" i="1" s="1"/>
  <c r="L1245" i="1" a="1"/>
  <c r="L1245" i="1" s="1"/>
  <c r="K1245" i="1" a="1"/>
  <c r="K1245" i="1" s="1"/>
  <c r="M1244" i="1" a="1"/>
  <c r="M1244" i="1"/>
  <c r="G1245" i="1" a="1"/>
  <c r="G1245" i="1" s="1"/>
  <c r="G1244" i="1" a="1"/>
  <c r="G1244" i="1"/>
  <c r="I1243" i="1" a="1"/>
  <c r="I1243" i="1"/>
  <c r="O1242" i="1" a="1"/>
  <c r="O1242" i="1" s="1"/>
  <c r="P1244" i="1" a="1"/>
  <c r="P1244" i="1"/>
  <c r="O1244" i="1" a="1"/>
  <c r="O1244" i="1"/>
  <c r="N1244" i="1" a="1"/>
  <c r="N1244" i="1"/>
  <c r="H1244" i="1" a="1"/>
  <c r="H1244" i="1" s="1"/>
  <c r="Q1242" i="1" a="1"/>
  <c r="Q1242" i="1"/>
  <c r="K1244" i="1" a="1"/>
  <c r="K1244" i="1"/>
  <c r="K1243" i="1" a="1"/>
  <c r="K1243" i="1"/>
  <c r="F1244" i="1" a="1"/>
  <c r="F1244" i="1"/>
  <c r="P1243" i="1" a="1"/>
  <c r="P1243" i="1" s="1"/>
  <c r="H1243" i="1" a="1"/>
  <c r="H1243" i="1" s="1"/>
  <c r="M1245" i="1" a="1"/>
  <c r="M1245" i="1" s="1"/>
  <c r="Q1243" i="1" a="1"/>
  <c r="Q1243" i="1" s="1"/>
  <c r="Q1246" i="1" a="1"/>
  <c r="Q1246" i="1" s="1"/>
  <c r="J1246" i="1" a="1"/>
  <c r="J1246" i="1" s="1"/>
  <c r="F1245" i="1" a="1"/>
  <c r="F1245" i="1" s="1"/>
  <c r="J1243" i="1" a="1"/>
  <c r="J1243" i="1" s="1"/>
  <c r="P1246" i="1" a="1"/>
  <c r="P1246" i="1" s="1"/>
  <c r="H1246" i="1" a="1"/>
  <c r="H1246" i="1" s="1"/>
  <c r="G1246" i="1" a="1"/>
  <c r="G1246" i="1" s="1"/>
  <c r="F1246" i="1" a="1"/>
  <c r="F1246" i="1" s="1"/>
  <c r="L1244" i="1" a="1"/>
  <c r="L1244" i="1"/>
  <c r="J1244" i="1" a="1"/>
  <c r="J1244" i="1" s="1"/>
  <c r="O1243" i="1" a="1"/>
  <c r="O1243" i="1"/>
  <c r="P1242" i="1" a="1"/>
  <c r="P1242" i="1" s="1"/>
  <c r="F1243" i="1" a="1"/>
  <c r="F1243" i="1" s="1"/>
  <c r="O1245" i="1" a="1"/>
  <c r="O1245" i="1" s="1"/>
  <c r="J1245" i="1" a="1"/>
  <c r="J1245" i="1"/>
  <c r="I1245" i="1" a="1"/>
  <c r="I1245" i="1"/>
  <c r="Q1244" i="1" a="1"/>
  <c r="Q1244" i="1"/>
  <c r="G1243" i="1" a="1"/>
  <c r="G1243" i="1"/>
  <c r="O1246" i="1" a="1"/>
  <c r="O1246" i="1"/>
  <c r="M1243" i="1" a="1"/>
  <c r="M1243" i="1"/>
  <c r="N1246" i="1" a="1"/>
  <c r="N1246" i="1" s="1"/>
  <c r="H1245" i="1" a="1"/>
  <c r="H1245" i="1"/>
  <c r="N1240" i="1" a="1"/>
  <c r="N1240" i="1" s="1"/>
  <c r="M1242" i="1" a="1"/>
  <c r="M1242" i="1"/>
  <c r="G1242" i="1" a="1"/>
  <c r="G1242" i="1"/>
  <c r="O1239" i="1" a="1"/>
  <c r="O1239" i="1" s="1"/>
  <c r="Q1237" i="1" a="1"/>
  <c r="Q1237" i="1" s="1"/>
  <c r="P1241" i="1" a="1"/>
  <c r="P1241" i="1"/>
  <c r="F1242" i="1" a="1"/>
  <c r="F1242" i="1"/>
  <c r="H1241" i="1" a="1"/>
  <c r="H1241" i="1"/>
  <c r="G1241" i="1" a="1"/>
  <c r="G1241" i="1"/>
  <c r="P1240" i="1" a="1"/>
  <c r="P1240" i="1"/>
  <c r="G1239" i="1" a="1"/>
  <c r="G1239" i="1" s="1"/>
  <c r="F1240" i="1" a="1"/>
  <c r="F1240" i="1" s="1"/>
  <c r="G1238" i="1" a="1"/>
  <c r="G1238" i="1" s="1"/>
  <c r="L1242" i="1" a="1"/>
  <c r="L1242" i="1" s="1"/>
  <c r="K1242" i="1" a="1"/>
  <c r="K1242" i="1" s="1"/>
  <c r="H1242" i="1" a="1"/>
  <c r="H1242" i="1"/>
  <c r="F1241" i="1" a="1"/>
  <c r="F1241" i="1"/>
  <c r="M1237" i="1" a="1"/>
  <c r="M1237" i="1"/>
  <c r="J1237" i="1" a="1"/>
  <c r="J1237" i="1" s="1"/>
  <c r="Q1240" i="1" a="1"/>
  <c r="Q1240" i="1" s="1"/>
  <c r="N1239" i="1" a="1"/>
  <c r="N1239" i="1"/>
  <c r="L1237" i="1" a="1"/>
  <c r="L1237" i="1" s="1"/>
  <c r="L1240" i="1" a="1"/>
  <c r="L1240" i="1" s="1"/>
  <c r="M1241" i="1" a="1"/>
  <c r="M1241" i="1"/>
  <c r="N1238" i="1" a="1"/>
  <c r="N1238" i="1"/>
  <c r="K1239" i="1" a="1"/>
  <c r="K1239" i="1"/>
  <c r="I1240" i="1" a="1"/>
  <c r="I1240" i="1"/>
  <c r="J1242" i="1" a="1"/>
  <c r="J1242" i="1" s="1"/>
  <c r="I1242" i="1" a="1"/>
  <c r="I1242" i="1"/>
  <c r="Q1241" i="1" a="1"/>
  <c r="Q1241" i="1" s="1"/>
  <c r="M1239" i="1" a="1"/>
  <c r="M1239" i="1"/>
  <c r="O1241" i="1" a="1"/>
  <c r="O1241" i="1" s="1"/>
  <c r="J1239" i="1" a="1"/>
  <c r="J1239" i="1" s="1"/>
  <c r="N1241" i="1" a="1"/>
  <c r="N1241" i="1"/>
  <c r="L1241" i="1" a="1"/>
  <c r="L1241" i="1"/>
  <c r="H1239" i="1" a="1"/>
  <c r="H1239" i="1" s="1"/>
  <c r="M1238" i="1" a="1"/>
  <c r="M1238" i="1"/>
  <c r="L1238" i="1" a="1"/>
  <c r="L1238" i="1" s="1"/>
  <c r="K1241" i="1" a="1"/>
  <c r="K1241" i="1" s="1"/>
  <c r="I1241" i="1" a="1"/>
  <c r="I1241" i="1" s="1"/>
  <c r="H1238" i="1" a="1"/>
  <c r="H1238" i="1" s="1"/>
  <c r="O1240" i="1" a="1"/>
  <c r="O1240" i="1" s="1"/>
  <c r="M1240" i="1" a="1"/>
  <c r="M1240" i="1" s="1"/>
  <c r="K1240" i="1" a="1"/>
  <c r="K1240" i="1"/>
  <c r="G1240" i="1" a="1"/>
  <c r="G1240" i="1"/>
  <c r="Q1238" i="1" a="1"/>
  <c r="Q1238" i="1"/>
  <c r="O1238" i="1" a="1"/>
  <c r="O1238" i="1" s="1"/>
  <c r="K1238" i="1" a="1"/>
  <c r="K1238" i="1"/>
  <c r="N1237" i="1" a="1"/>
  <c r="N1237" i="1" s="1"/>
  <c r="H1240" i="1" a="1"/>
  <c r="H1240" i="1"/>
  <c r="P1239" i="1" a="1"/>
  <c r="P1239" i="1"/>
  <c r="K1237" i="1" a="1"/>
  <c r="K1237" i="1"/>
  <c r="P1238" i="1" a="1"/>
  <c r="P1238" i="1" s="1"/>
  <c r="O1237" i="1" a="1"/>
  <c r="O1237" i="1" s="1"/>
  <c r="J1240" i="1" a="1"/>
  <c r="J1240" i="1"/>
  <c r="Q1239" i="1" a="1"/>
  <c r="Q1239" i="1"/>
  <c r="J1238" i="1" a="1"/>
  <c r="J1238" i="1" s="1"/>
  <c r="L1239" i="1" a="1"/>
  <c r="L1239" i="1"/>
  <c r="I1238" i="1" a="1"/>
  <c r="I1238" i="1" s="1"/>
  <c r="F1239" i="1" a="1"/>
  <c r="F1239" i="1" s="1"/>
  <c r="F1238" i="1" a="1"/>
  <c r="F1238" i="1" s="1"/>
  <c r="J1241" i="1" a="1"/>
  <c r="J1241" i="1"/>
  <c r="I1239" i="1" a="1"/>
  <c r="I1239" i="1" s="1"/>
  <c r="P1237" i="1" a="1"/>
  <c r="P1237" i="1"/>
  <c r="L1321" i="1" a="1"/>
  <c r="L1321" i="1"/>
  <c r="K1321" i="1" a="1"/>
  <c r="K1321" i="1"/>
  <c r="P1319" i="1" a="1"/>
  <c r="P1319" i="1"/>
  <c r="O1321" i="1" a="1"/>
  <c r="O1321" i="1" s="1"/>
  <c r="I1321" i="1" a="1"/>
  <c r="I1321" i="1" s="1"/>
  <c r="I1320" i="1" a="1"/>
  <c r="I1320" i="1" s="1"/>
  <c r="Q1319" i="1" a="1"/>
  <c r="Q1319" i="1" s="1"/>
  <c r="M1321" i="1" a="1"/>
  <c r="M1321" i="1" s="1"/>
  <c r="J1321" i="1" a="1"/>
  <c r="J1321" i="1" s="1"/>
  <c r="G1320" i="1" a="1"/>
  <c r="G1320" i="1"/>
  <c r="J1319" i="1" a="1"/>
  <c r="J1319" i="1" s="1"/>
  <c r="K1319" i="1" a="1"/>
  <c r="K1319" i="1" s="1"/>
  <c r="Q1320" i="1" a="1"/>
  <c r="Q1320" i="1" s="1"/>
  <c r="J1320" i="1" a="1"/>
  <c r="J1320" i="1" s="1"/>
  <c r="L1320" i="1" a="1"/>
  <c r="L1320" i="1"/>
  <c r="N1319" i="1" a="1"/>
  <c r="N1319" i="1" s="1"/>
  <c r="I1319" i="1" a="1"/>
  <c r="I1319" i="1"/>
  <c r="Q1321" i="1" a="1"/>
  <c r="Q1321" i="1"/>
  <c r="O1320" i="1" a="1"/>
  <c r="O1320" i="1"/>
  <c r="H1320" i="1" a="1"/>
  <c r="H1320" i="1"/>
  <c r="G1321" i="1" a="1"/>
  <c r="G1321" i="1"/>
  <c r="N1320" i="1" a="1"/>
  <c r="N1320" i="1" s="1"/>
  <c r="N1321" i="1" a="1"/>
  <c r="N1321" i="1"/>
  <c r="M1319" i="1" a="1"/>
  <c r="M1319" i="1" s="1"/>
  <c r="P1321" i="1" a="1"/>
  <c r="P1321" i="1" s="1"/>
  <c r="M1320" i="1" a="1"/>
  <c r="M1320" i="1"/>
  <c r="O1319" i="1" a="1"/>
  <c r="O1319" i="1"/>
  <c r="H1321" i="1" a="1"/>
  <c r="H1321" i="1"/>
  <c r="F1321" i="1" a="1"/>
  <c r="F1321" i="1"/>
  <c r="K1320" i="1" a="1"/>
  <c r="K1320" i="1"/>
  <c r="F1320" i="1" a="1"/>
  <c r="F1320" i="1" s="1"/>
  <c r="L1319" i="1" a="1"/>
  <c r="L1319" i="1"/>
  <c r="P1320" i="1" a="1"/>
  <c r="P1320" i="1"/>
  <c r="G1319" i="1" a="1"/>
  <c r="G1319" i="1" s="1"/>
  <c r="M1318" i="1" a="1"/>
  <c r="M1318" i="1" s="1"/>
  <c r="H1319" i="1" a="1"/>
  <c r="H1319" i="1" s="1"/>
  <c r="F1319" i="1" a="1"/>
  <c r="F1319" i="1" s="1"/>
  <c r="Q1318" i="1" a="1"/>
  <c r="Q1318" i="1" s="1"/>
  <c r="P1318" i="1" a="1"/>
  <c r="P1318" i="1" s="1"/>
  <c r="O1318" i="1" a="1"/>
  <c r="O1318" i="1" s="1"/>
  <c r="N1318" i="1" a="1"/>
  <c r="N1318" i="1" s="1"/>
  <c r="I1318" i="1" a="1"/>
  <c r="I1318" i="1" s="1"/>
  <c r="H1318" i="1" a="1"/>
  <c r="H1318" i="1" s="1"/>
  <c r="K1317" i="1" a="1"/>
  <c r="K1317" i="1"/>
  <c r="I1317" i="1" a="1"/>
  <c r="I1317" i="1"/>
  <c r="G1318" i="1" a="1"/>
  <c r="G1318" i="1"/>
  <c r="F1318" i="1" a="1"/>
  <c r="F1318" i="1"/>
  <c r="Q1317" i="1" a="1"/>
  <c r="Q1317" i="1" s="1"/>
  <c r="O1317" i="1" a="1"/>
  <c r="O1317" i="1"/>
  <c r="M1317" i="1" a="1"/>
  <c r="M1317" i="1"/>
  <c r="G1317" i="1" a="1"/>
  <c r="G1317" i="1" s="1"/>
  <c r="N1317" i="1" a="1"/>
  <c r="N1317" i="1"/>
  <c r="J1317" i="1" a="1"/>
  <c r="J1317" i="1" s="1"/>
  <c r="H1317" i="1" a="1"/>
  <c r="H1317" i="1" s="1"/>
  <c r="F1317" i="1" a="1"/>
  <c r="F1317" i="1" s="1"/>
  <c r="P1317" i="1" a="1"/>
  <c r="P1317" i="1"/>
  <c r="L1317" i="1" a="1"/>
  <c r="L1317" i="1" s="1"/>
  <c r="L1318" i="1" a="1"/>
  <c r="L1318" i="1"/>
  <c r="K1318" i="1" a="1"/>
  <c r="K1318" i="1"/>
  <c r="J1318" i="1" a="1"/>
  <c r="J1318" i="1"/>
  <c r="M1263" i="1" a="1"/>
  <c r="M1263" i="1"/>
  <c r="I1263" i="1" a="1"/>
  <c r="I1263" i="1"/>
  <c r="K1263" i="1" a="1"/>
  <c r="K1263" i="1" s="1"/>
  <c r="Q1263" i="1" a="1"/>
  <c r="Q1263" i="1" s="1"/>
  <c r="P1263" i="1" a="1"/>
  <c r="P1263" i="1" s="1"/>
  <c r="N1263" i="1" a="1"/>
  <c r="N1263" i="1" s="1"/>
  <c r="O1263" i="1" a="1"/>
  <c r="O1263" i="1" s="1"/>
  <c r="G1263" i="1" a="1"/>
  <c r="G1263" i="1" s="1"/>
  <c r="L1263" i="1" a="1"/>
  <c r="L1263" i="1"/>
  <c r="J1263" i="1" a="1"/>
  <c r="J1263" i="1" s="1"/>
  <c r="F1263" i="1" a="1"/>
  <c r="F1263" i="1" s="1"/>
  <c r="H1263" i="1" a="1"/>
  <c r="H1263" i="1" s="1"/>
  <c r="I1262" i="1" a="1"/>
  <c r="I1262" i="1" s="1"/>
  <c r="Q1262" i="1" a="1"/>
  <c r="Q1262" i="1" s="1"/>
  <c r="O1262" i="1" a="1"/>
  <c r="O1262" i="1"/>
  <c r="G1262" i="1" a="1"/>
  <c r="G1262" i="1" s="1"/>
  <c r="N1262" i="1" a="1"/>
  <c r="N1262" i="1"/>
  <c r="L1262" i="1" a="1"/>
  <c r="L1262" i="1"/>
  <c r="J1262" i="1" a="1"/>
  <c r="J1262" i="1"/>
  <c r="H1262" i="1" a="1"/>
  <c r="H1262" i="1" s="1"/>
  <c r="M1262" i="1" a="1"/>
  <c r="M1262" i="1" s="1"/>
  <c r="K1262" i="1" a="1"/>
  <c r="K1262" i="1"/>
  <c r="P1262" i="1" a="1"/>
  <c r="P1262" i="1"/>
  <c r="I1190" i="1" a="1"/>
  <c r="I1190" i="1"/>
  <c r="H1190" i="1" a="1"/>
  <c r="H1190" i="1"/>
  <c r="F1190" i="1" a="1"/>
  <c r="F1190" i="1" s="1"/>
  <c r="O1189" i="1" a="1"/>
  <c r="O1189" i="1"/>
  <c r="N1189" i="1" a="1"/>
  <c r="N1189" i="1" s="1"/>
  <c r="L1189" i="1" a="1"/>
  <c r="L1189" i="1"/>
  <c r="J1189" i="1" a="1"/>
  <c r="J1189" i="1"/>
  <c r="K1188" i="1" a="1"/>
  <c r="K1188" i="1" s="1"/>
  <c r="L1190" i="1" a="1"/>
  <c r="L1190" i="1" s="1"/>
  <c r="I1192" i="1" a="1"/>
  <c r="I1192" i="1" s="1"/>
  <c r="K1191" i="1" a="1"/>
  <c r="K1191" i="1" s="1"/>
  <c r="H1192" i="1" a="1"/>
  <c r="H1192" i="1" s="1"/>
  <c r="O1191" i="1" a="1"/>
  <c r="O1191" i="1"/>
  <c r="Q1189" i="1" a="1"/>
  <c r="Q1189" i="1" s="1"/>
  <c r="L1188" i="1" a="1"/>
  <c r="L1188" i="1"/>
  <c r="O1190" i="1" a="1"/>
  <c r="O1190" i="1"/>
  <c r="G1192" i="1" a="1"/>
  <c r="G1192" i="1"/>
  <c r="F1192" i="1" a="1"/>
  <c r="F1192" i="1" s="1"/>
  <c r="G1190" i="1" a="1"/>
  <c r="G1190" i="1" s="1"/>
  <c r="I1189" i="1" a="1"/>
  <c r="I1189" i="1"/>
  <c r="Q1188" i="1" a="1"/>
  <c r="Q1188" i="1" s="1"/>
  <c r="N1190" i="1" a="1"/>
  <c r="N1190" i="1" s="1"/>
  <c r="L1191" i="1" a="1"/>
  <c r="L1191" i="1" s="1"/>
  <c r="Q1190" i="1" a="1"/>
  <c r="Q1190" i="1"/>
  <c r="J1191" i="1" a="1"/>
  <c r="J1191" i="1"/>
  <c r="M1189" i="1" a="1"/>
  <c r="M1189" i="1" s="1"/>
  <c r="G1189" i="1" a="1"/>
  <c r="G1189" i="1" s="1"/>
  <c r="F1191" i="1" a="1"/>
  <c r="F1191" i="1" s="1"/>
  <c r="M1190" i="1" a="1"/>
  <c r="M1190" i="1" s="1"/>
  <c r="K1189" i="1" a="1"/>
  <c r="K1189" i="1"/>
  <c r="N1188" i="1" a="1"/>
  <c r="N1188" i="1" s="1"/>
  <c r="P1189" i="1" a="1"/>
  <c r="P1189" i="1" s="1"/>
  <c r="O1188" i="1" a="1"/>
  <c r="O1188" i="1"/>
  <c r="P1190" i="1" a="1"/>
  <c r="P1190" i="1"/>
  <c r="J1188" i="1" a="1"/>
  <c r="J1188" i="1"/>
  <c r="Q1191" i="1" a="1"/>
  <c r="Q1191" i="1"/>
  <c r="P1191" i="1" a="1"/>
  <c r="P1191" i="1"/>
  <c r="N1191" i="1" a="1"/>
  <c r="N1191" i="1" s="1"/>
  <c r="M1191" i="1" a="1"/>
  <c r="M1191" i="1" s="1"/>
  <c r="I1191" i="1" a="1"/>
  <c r="I1191" i="1" s="1"/>
  <c r="H1191" i="1" a="1"/>
  <c r="H1191" i="1" s="1"/>
  <c r="P1188" i="1" a="1"/>
  <c r="P1188" i="1"/>
  <c r="G1191" i="1" a="1"/>
  <c r="G1191" i="1" s="1"/>
  <c r="K1190" i="1" a="1"/>
  <c r="K1190" i="1" s="1"/>
  <c r="M1188" i="1" a="1"/>
  <c r="M1188" i="1" s="1"/>
  <c r="H1189" i="1" a="1"/>
  <c r="H1189" i="1"/>
  <c r="F1189" i="1" a="1"/>
  <c r="F1189" i="1" s="1"/>
  <c r="J1190" i="1" a="1"/>
  <c r="J1190" i="1"/>
  <c r="N1185" i="1" a="1"/>
  <c r="N1185" i="1"/>
  <c r="I1188" i="1" a="1"/>
  <c r="I1188" i="1"/>
  <c r="H1188" i="1" a="1"/>
  <c r="H1188" i="1" s="1"/>
  <c r="G1188" i="1" a="1"/>
  <c r="G1188" i="1"/>
  <c r="N1187" i="1" a="1"/>
  <c r="N1187" i="1"/>
  <c r="I1186" i="1" a="1"/>
  <c r="I1186" i="1" s="1"/>
  <c r="M1186" i="1" a="1"/>
  <c r="M1186" i="1" s="1"/>
  <c r="I1187" i="1" a="1"/>
  <c r="I1187" i="1" s="1"/>
  <c r="N1186" i="1" a="1"/>
  <c r="N1186" i="1" s="1"/>
  <c r="O1185" i="1" a="1"/>
  <c r="O1185" i="1" s="1"/>
  <c r="Q1185" i="1" a="1"/>
  <c r="Q1185" i="1" s="1"/>
  <c r="P1187" i="1" a="1"/>
  <c r="P1187" i="1" s="1"/>
  <c r="O1186" i="1" a="1"/>
  <c r="O1186" i="1" s="1"/>
  <c r="F1188" i="1" a="1"/>
  <c r="F1188" i="1"/>
  <c r="P1185" i="1" a="1"/>
  <c r="P1185" i="1" s="1"/>
  <c r="Q1187" i="1" a="1"/>
  <c r="Q1187" i="1" s="1"/>
  <c r="F1187" i="1" a="1"/>
  <c r="F1187" i="1"/>
  <c r="O1187" i="1" a="1"/>
  <c r="O1187" i="1" s="1"/>
  <c r="M1187" i="1" a="1"/>
  <c r="M1187" i="1" s="1"/>
  <c r="F1186" i="1" a="1"/>
  <c r="F1186" i="1" s="1"/>
  <c r="L1187" i="1" a="1"/>
  <c r="L1187" i="1"/>
  <c r="K1187" i="1" a="1"/>
  <c r="K1187" i="1" s="1"/>
  <c r="J1187" i="1" a="1"/>
  <c r="J1187" i="1"/>
  <c r="H1187" i="1" a="1"/>
  <c r="H1187" i="1"/>
  <c r="J1186" i="1" a="1"/>
  <c r="J1186" i="1" s="1"/>
  <c r="P1186" i="1" a="1"/>
  <c r="P1186" i="1"/>
  <c r="G1187" i="1" a="1"/>
  <c r="G1187" i="1"/>
  <c r="Q1186" i="1" a="1"/>
  <c r="Q1186" i="1" s="1"/>
  <c r="K1186" i="1" a="1"/>
  <c r="K1186" i="1" s="1"/>
  <c r="G1186" i="1" a="1"/>
  <c r="G1186" i="1"/>
  <c r="M1185" i="1" a="1"/>
  <c r="M1185" i="1" s="1"/>
  <c r="L1185" i="1" a="1"/>
  <c r="L1185" i="1" s="1"/>
  <c r="L1186" i="1" a="1"/>
  <c r="L1186" i="1"/>
  <c r="H1186" i="1" a="1"/>
  <c r="H1186" i="1" s="1"/>
  <c r="K1185" i="1" a="1"/>
  <c r="K1185" i="1" s="1"/>
  <c r="I1185" i="1" a="1"/>
  <c r="I1185" i="1" s="1"/>
  <c r="J1185" i="1" a="1"/>
  <c r="J1185" i="1" s="1"/>
  <c r="H1185" i="1" a="1"/>
  <c r="H1185" i="1" s="1"/>
  <c r="F1185" i="1" a="1"/>
  <c r="F1185" i="1" s="1"/>
  <c r="G1185" i="1" a="1"/>
  <c r="G1185" i="1" s="1"/>
  <c r="M1177" i="1" a="1"/>
  <c r="M1177" i="1" s="1"/>
  <c r="H1177" i="1" a="1"/>
  <c r="H1177" i="1" s="1"/>
  <c r="G1177" i="1" a="1"/>
  <c r="G1177" i="1"/>
  <c r="O1178" i="1" a="1"/>
  <c r="O1178" i="1" s="1"/>
  <c r="I1178" i="1" a="1"/>
  <c r="I1178" i="1" s="1"/>
  <c r="P1176" i="1" a="1"/>
  <c r="P1176" i="1"/>
  <c r="H1178" i="1" a="1"/>
  <c r="H1178" i="1" s="1"/>
  <c r="M1176" i="1" a="1"/>
  <c r="M1176" i="1" s="1"/>
  <c r="O1177" i="1" a="1"/>
  <c r="O1177" i="1"/>
  <c r="F1177" i="1" a="1"/>
  <c r="F1177" i="1"/>
  <c r="J1178" i="1" a="1"/>
  <c r="J1178" i="1" s="1"/>
  <c r="K1179" i="1" a="1"/>
  <c r="K1179" i="1"/>
  <c r="N1179" i="1" a="1"/>
  <c r="N1179" i="1" s="1"/>
  <c r="M1178" i="1" a="1"/>
  <c r="M1178" i="1"/>
  <c r="K1177" i="1" a="1"/>
  <c r="K1177" i="1" s="1"/>
  <c r="Q1177" i="1" a="1"/>
  <c r="Q1177" i="1" s="1"/>
  <c r="L1177" i="1" a="1"/>
  <c r="L1177" i="1" s="1"/>
  <c r="K1176" i="1" a="1"/>
  <c r="K1176" i="1"/>
  <c r="O1176" i="1" a="1"/>
  <c r="O1176" i="1"/>
  <c r="N1177" i="1" a="1"/>
  <c r="N1177" i="1"/>
  <c r="J1179" i="1" a="1"/>
  <c r="J1179" i="1" s="1"/>
  <c r="I1177" i="1" a="1"/>
  <c r="I1177" i="1" s="1"/>
  <c r="O1179" i="1" a="1"/>
  <c r="O1179" i="1" s="1"/>
  <c r="Q1179" i="1" a="1"/>
  <c r="Q1179" i="1" s="1"/>
  <c r="F1178" i="1" a="1"/>
  <c r="F1178" i="1" s="1"/>
  <c r="Q1176" i="1" a="1"/>
  <c r="Q1176" i="1" s="1"/>
  <c r="N1178" i="1" a="1"/>
  <c r="N1178" i="1"/>
  <c r="P1179" i="1" a="1"/>
  <c r="P1179" i="1" s="1"/>
  <c r="L1178" i="1" a="1"/>
  <c r="L1178" i="1"/>
  <c r="P1177" i="1" a="1"/>
  <c r="P1177" i="1" s="1"/>
  <c r="Q1178" i="1" a="1"/>
  <c r="Q1178" i="1" s="1"/>
  <c r="N1176" i="1" a="1"/>
  <c r="N1176" i="1"/>
  <c r="M1179" i="1" a="1"/>
  <c r="M1179" i="1" s="1"/>
  <c r="L1179" i="1" a="1"/>
  <c r="L1179" i="1" s="1"/>
  <c r="G1179" i="1" a="1"/>
  <c r="G1179" i="1" s="1"/>
  <c r="G1178" i="1" a="1"/>
  <c r="G1178" i="1" s="1"/>
  <c r="F1179" i="1" a="1"/>
  <c r="F1179" i="1"/>
  <c r="K1178" i="1" a="1"/>
  <c r="K1178" i="1"/>
  <c r="J1177" i="1" a="1"/>
  <c r="J1177" i="1"/>
  <c r="L1176" i="1" a="1"/>
  <c r="L1176" i="1" s="1"/>
  <c r="I1179" i="1" a="1"/>
  <c r="I1179" i="1"/>
  <c r="H1179" i="1" a="1"/>
  <c r="H1179" i="1"/>
  <c r="P1178" i="1" a="1"/>
  <c r="P1178" i="1"/>
  <c r="G1173" i="1" a="1"/>
  <c r="G1173" i="1"/>
  <c r="P1173" i="1" a="1"/>
  <c r="P1173" i="1"/>
  <c r="H1172" i="1" a="1"/>
  <c r="H1172" i="1" s="1"/>
  <c r="N1173" i="1" a="1"/>
  <c r="N1173" i="1" s="1"/>
  <c r="L1172" i="1" a="1"/>
  <c r="L1172" i="1"/>
  <c r="L1173" i="1" a="1"/>
  <c r="L1173" i="1"/>
  <c r="K1173" i="1" a="1"/>
  <c r="K1173" i="1" s="1"/>
  <c r="I1173" i="1" a="1"/>
  <c r="I1173" i="1" s="1"/>
  <c r="F1173" i="1" a="1"/>
  <c r="F1173" i="1" s="1"/>
  <c r="F1172" i="1" a="1"/>
  <c r="F1172" i="1" s="1"/>
  <c r="L1171" i="1" a="1"/>
  <c r="L1171" i="1" s="1"/>
  <c r="Q1172" i="1" a="1"/>
  <c r="Q1172" i="1" s="1"/>
  <c r="O1172" i="1" a="1"/>
  <c r="O1172" i="1"/>
  <c r="J1172" i="1" a="1"/>
  <c r="J1172" i="1" s="1"/>
  <c r="I1172" i="1" a="1"/>
  <c r="I1172" i="1" s="1"/>
  <c r="O1171" i="1" a="1"/>
  <c r="O1171" i="1"/>
  <c r="J1171" i="1" a="1"/>
  <c r="J1171" i="1"/>
  <c r="N1175" i="1" a="1"/>
  <c r="N1175" i="1"/>
  <c r="M1175" i="1" a="1"/>
  <c r="M1175" i="1" s="1"/>
  <c r="G1174" i="1" a="1"/>
  <c r="G1174" i="1" s="1"/>
  <c r="I1175" i="1" a="1"/>
  <c r="I1175" i="1" s="1"/>
  <c r="H1175" i="1" a="1"/>
  <c r="H1175" i="1"/>
  <c r="I1174" i="1" a="1"/>
  <c r="I1174" i="1"/>
  <c r="F1174" i="1" a="1"/>
  <c r="F1174" i="1"/>
  <c r="G1172" i="1" a="1"/>
  <c r="G1172" i="1"/>
  <c r="L1174" i="1" a="1"/>
  <c r="L1174" i="1" s="1"/>
  <c r="G1175" i="1" a="1"/>
  <c r="G1175" i="1"/>
  <c r="N1174" i="1" a="1"/>
  <c r="N1174" i="1"/>
  <c r="N1172" i="1" a="1"/>
  <c r="N1172" i="1" s="1"/>
  <c r="Q1171" i="1" a="1"/>
  <c r="Q1171" i="1" s="1"/>
  <c r="P1174" i="1" a="1"/>
  <c r="P1174" i="1"/>
  <c r="F1175" i="1" a="1"/>
  <c r="F1175" i="1" s="1"/>
  <c r="P1172" i="1" a="1"/>
  <c r="P1172" i="1" s="1"/>
  <c r="I1176" i="1" a="1"/>
  <c r="I1176" i="1" s="1"/>
  <c r="J1176" i="1" a="1"/>
  <c r="J1176" i="1" s="1"/>
  <c r="H1176" i="1" a="1"/>
  <c r="H1176" i="1" s="1"/>
  <c r="K1174" i="1" a="1"/>
  <c r="K1174" i="1" s="1"/>
  <c r="H1174" i="1" a="1"/>
  <c r="H1174" i="1" s="1"/>
  <c r="G1176" i="1" a="1"/>
  <c r="G1176" i="1" s="1"/>
  <c r="N1171" i="1" a="1"/>
  <c r="N1171" i="1" s="1"/>
  <c r="K1175" i="1" a="1"/>
  <c r="K1175" i="1" s="1"/>
  <c r="M1172" i="1" a="1"/>
  <c r="M1172" i="1" s="1"/>
  <c r="F1176" i="1" a="1"/>
  <c r="F1176" i="1" s="1"/>
  <c r="Q1175" i="1" a="1"/>
  <c r="Q1175" i="1" s="1"/>
  <c r="P1175" i="1" a="1"/>
  <c r="P1175" i="1"/>
  <c r="O1175" i="1" a="1"/>
  <c r="O1175" i="1" s="1"/>
  <c r="M1171" i="1" a="1"/>
  <c r="M1171" i="1"/>
  <c r="L1175" i="1" a="1"/>
  <c r="L1175" i="1"/>
  <c r="Q1174" i="1" a="1"/>
  <c r="Q1174" i="1" s="1"/>
  <c r="M1173" i="1" a="1"/>
  <c r="M1173" i="1"/>
  <c r="J1175" i="1" a="1"/>
  <c r="J1175" i="1" s="1"/>
  <c r="K1171" i="1" a="1"/>
  <c r="K1171" i="1" s="1"/>
  <c r="O1174" i="1" a="1"/>
  <c r="O1174" i="1"/>
  <c r="M1174" i="1" a="1"/>
  <c r="M1174" i="1"/>
  <c r="J1174" i="1" a="1"/>
  <c r="J1174" i="1" s="1"/>
  <c r="Q1173" i="1" a="1"/>
  <c r="Q1173" i="1"/>
  <c r="K1172" i="1" a="1"/>
  <c r="K1172" i="1" s="1"/>
  <c r="P1171" i="1" a="1"/>
  <c r="P1171" i="1" s="1"/>
  <c r="O1173" i="1" a="1"/>
  <c r="O1173" i="1" s="1"/>
  <c r="J1173" i="1" a="1"/>
  <c r="J1173" i="1"/>
  <c r="H1173" i="1" a="1"/>
  <c r="H1173" i="1" s="1"/>
  <c r="O1169" i="1" a="1"/>
  <c r="O1169" i="1"/>
  <c r="I1170" i="1" a="1"/>
  <c r="I1170" i="1" s="1"/>
  <c r="N1170" i="1" a="1"/>
  <c r="N1170" i="1"/>
  <c r="G1169" i="1" a="1"/>
  <c r="G1169" i="1" s="1"/>
  <c r="I1171" i="1" a="1"/>
  <c r="I1171" i="1" s="1"/>
  <c r="H1171" i="1" a="1"/>
  <c r="H1171" i="1" s="1"/>
  <c r="G1171" i="1" a="1"/>
  <c r="G1171" i="1" s="1"/>
  <c r="K1169" i="1" a="1"/>
  <c r="K1169" i="1" s="1"/>
  <c r="F1171" i="1" a="1"/>
  <c r="F1171" i="1" s="1"/>
  <c r="K1170" i="1" a="1"/>
  <c r="K1170" i="1" s="1"/>
  <c r="Q1170" i="1" a="1"/>
  <c r="Q1170" i="1" s="1"/>
  <c r="P1170" i="1" a="1"/>
  <c r="P1170" i="1" s="1"/>
  <c r="O1170" i="1" a="1"/>
  <c r="O1170" i="1" s="1"/>
  <c r="M1170" i="1" a="1"/>
  <c r="M1170" i="1" s="1"/>
  <c r="H1170" i="1" a="1"/>
  <c r="H1170" i="1"/>
  <c r="G1170" i="1" a="1"/>
  <c r="G1170" i="1" s="1"/>
  <c r="Q1169" i="1" a="1"/>
  <c r="Q1169" i="1"/>
  <c r="J1169" i="1" a="1"/>
  <c r="J1169" i="1"/>
  <c r="H1169" i="1" a="1"/>
  <c r="H1169" i="1"/>
  <c r="P1169" i="1" a="1"/>
  <c r="P1169" i="1"/>
  <c r="L1169" i="1" a="1"/>
  <c r="L1169" i="1"/>
  <c r="L1170" i="1" a="1"/>
  <c r="L1170" i="1"/>
  <c r="N1169" i="1" a="1"/>
  <c r="N1169" i="1" s="1"/>
  <c r="J1170" i="1" a="1"/>
  <c r="J1170" i="1"/>
  <c r="F1170" i="1" a="1"/>
  <c r="F1170" i="1" s="1"/>
  <c r="M1169" i="1" a="1"/>
  <c r="M1169" i="1" s="1"/>
  <c r="I1169" i="1" a="1"/>
  <c r="I1169" i="1" s="1"/>
  <c r="F1167" i="1" a="1"/>
  <c r="F1167" i="1" s="1"/>
  <c r="F1166" i="1" a="1"/>
  <c r="F1166" i="1" s="1"/>
  <c r="Q1165" i="1" a="1"/>
  <c r="Q1165" i="1" s="1"/>
  <c r="G1165" i="1" a="1"/>
  <c r="G1165" i="1" s="1"/>
  <c r="P1163" i="1" a="1"/>
  <c r="P1163" i="1"/>
  <c r="I1168" i="1" a="1"/>
  <c r="I1168" i="1" s="1"/>
  <c r="H1168" i="1" a="1"/>
  <c r="H1168" i="1" s="1"/>
  <c r="G1164" i="1" a="1"/>
  <c r="G1164" i="1" s="1"/>
  <c r="F1168" i="1" a="1"/>
  <c r="F1168" i="1" s="1"/>
  <c r="Q1167" i="1" a="1"/>
  <c r="Q1167" i="1" s="1"/>
  <c r="L1167" i="1" a="1"/>
  <c r="L1167" i="1" s="1"/>
  <c r="O1166" i="1" a="1"/>
  <c r="O1166" i="1"/>
  <c r="G1167" i="1" a="1"/>
  <c r="G1167" i="1" s="1"/>
  <c r="M1166" i="1" a="1"/>
  <c r="M1166" i="1" s="1"/>
  <c r="K1166" i="1" a="1"/>
  <c r="K1166" i="1" s="1"/>
  <c r="M1164" i="1" a="1"/>
  <c r="M1164" i="1" s="1"/>
  <c r="N1166" i="1" a="1"/>
  <c r="N1166" i="1" s="1"/>
  <c r="H1165" i="1" a="1"/>
  <c r="H1165" i="1"/>
  <c r="L1165" i="1" a="1"/>
  <c r="L1165" i="1"/>
  <c r="K1164" i="1" a="1"/>
  <c r="K1164" i="1"/>
  <c r="P1165" i="1" a="1"/>
  <c r="P1165" i="1" s="1"/>
  <c r="K1165" i="1" a="1"/>
  <c r="K1165" i="1"/>
  <c r="I1166" i="1" a="1"/>
  <c r="I1166" i="1"/>
  <c r="N1164" i="1" a="1"/>
  <c r="N1164" i="1"/>
  <c r="M1165" i="1" a="1"/>
  <c r="M1165" i="1" s="1"/>
  <c r="I1167" i="1" a="1"/>
  <c r="I1167" i="1"/>
  <c r="G1168" i="1" a="1"/>
  <c r="G1168" i="1"/>
  <c r="O1167" i="1" a="1"/>
  <c r="O1167" i="1"/>
  <c r="J1166" i="1" a="1"/>
  <c r="J1166" i="1" s="1"/>
  <c r="K1167" i="1" a="1"/>
  <c r="K1167" i="1" s="1"/>
  <c r="M1167" i="1" a="1"/>
  <c r="M1167" i="1" s="1"/>
  <c r="F1165" i="1" a="1"/>
  <c r="F1165" i="1"/>
  <c r="P1168" i="1" a="1"/>
  <c r="P1168" i="1"/>
  <c r="M1168" i="1" a="1"/>
  <c r="M1168" i="1"/>
  <c r="J1168" i="1" a="1"/>
  <c r="J1168" i="1"/>
  <c r="P1166" i="1" a="1"/>
  <c r="P1166" i="1" s="1"/>
  <c r="N1167" i="1" a="1"/>
  <c r="N1167" i="1" s="1"/>
  <c r="I1164" i="1" a="1"/>
  <c r="I1164" i="1" s="1"/>
  <c r="G1166" i="1" a="1"/>
  <c r="G1166" i="1" s="1"/>
  <c r="O1164" i="1" a="1"/>
  <c r="O1164" i="1" s="1"/>
  <c r="Q1163" i="1" a="1"/>
  <c r="Q1163" i="1"/>
  <c r="O1163" i="1" a="1"/>
  <c r="O1163" i="1"/>
  <c r="P1167" i="1" a="1"/>
  <c r="P1167" i="1" s="1"/>
  <c r="Q1166" i="1" a="1"/>
  <c r="Q1166" i="1" s="1"/>
  <c r="Q1164" i="1" a="1"/>
  <c r="Q1164" i="1" s="1"/>
  <c r="F1164" i="1" a="1"/>
  <c r="F1164" i="1" s="1"/>
  <c r="O1165" i="1" a="1"/>
  <c r="O1165" i="1"/>
  <c r="L1166" i="1" a="1"/>
  <c r="L1166" i="1"/>
  <c r="J1165" i="1" a="1"/>
  <c r="J1165" i="1"/>
  <c r="P1164" i="1" a="1"/>
  <c r="P1164" i="1"/>
  <c r="J1164" i="1" a="1"/>
  <c r="J1164" i="1"/>
  <c r="H1164" i="1" a="1"/>
  <c r="H1164" i="1"/>
  <c r="N1165" i="1" a="1"/>
  <c r="N1165" i="1"/>
  <c r="L1164" i="1" a="1"/>
  <c r="L1164" i="1" s="1"/>
  <c r="I1165" i="1" a="1"/>
  <c r="I1165" i="1"/>
  <c r="F1169" i="1" a="1"/>
  <c r="F1169" i="1" s="1"/>
  <c r="J1167" i="1" a="1"/>
  <c r="J1167" i="1"/>
  <c r="Q1168" i="1" a="1"/>
  <c r="Q1168" i="1"/>
  <c r="O1168" i="1" a="1"/>
  <c r="O1168" i="1" s="1"/>
  <c r="N1168" i="1" a="1"/>
  <c r="N1168" i="1"/>
  <c r="L1168" i="1" a="1"/>
  <c r="L1168" i="1"/>
  <c r="H1167" i="1" a="1"/>
  <c r="H1167" i="1"/>
  <c r="H1166" i="1" a="1"/>
  <c r="H1166" i="1"/>
  <c r="K1168" i="1" a="1"/>
  <c r="K1168" i="1"/>
  <c r="Q1156" i="1" a="1"/>
  <c r="Q1156" i="1"/>
  <c r="P1156" i="1" a="1"/>
  <c r="P1156" i="1" s="1"/>
  <c r="G1162" i="1" a="1"/>
  <c r="G1162" i="1" s="1"/>
  <c r="F1162" i="1" a="1"/>
  <c r="F1162" i="1" s="1"/>
  <c r="O1156" i="1" a="1"/>
  <c r="O1156" i="1" s="1"/>
  <c r="H1156" i="1" a="1"/>
  <c r="H1156" i="1" s="1"/>
  <c r="J1156" i="1" a="1"/>
  <c r="J1156" i="1"/>
  <c r="K1156" i="1" a="1"/>
  <c r="K1156" i="1"/>
  <c r="N1163" i="1" a="1"/>
  <c r="N1163" i="1" s="1"/>
  <c r="M1163" i="1" a="1"/>
  <c r="M1163" i="1"/>
  <c r="L1163" i="1" a="1"/>
  <c r="L1163" i="1" s="1"/>
  <c r="F1163" i="1" a="1"/>
  <c r="F1163" i="1"/>
  <c r="G1163" i="1" a="1"/>
  <c r="G1163" i="1" s="1"/>
  <c r="O1162" i="1" a="1"/>
  <c r="O1162" i="1" s="1"/>
  <c r="I1162" i="1" a="1"/>
  <c r="I1162" i="1" s="1"/>
  <c r="J1162" i="1" a="1"/>
  <c r="J1162" i="1"/>
  <c r="H1162" i="1" a="1"/>
  <c r="H1162" i="1"/>
  <c r="K1163" i="1" a="1"/>
  <c r="K1163" i="1"/>
  <c r="N1162" i="1" a="1"/>
  <c r="N1162" i="1" s="1"/>
  <c r="N1156" i="1" a="1"/>
  <c r="N1156" i="1"/>
  <c r="M1156" i="1" a="1"/>
  <c r="M1156" i="1" s="1"/>
  <c r="J1163" i="1" a="1"/>
  <c r="J1163" i="1"/>
  <c r="I1163" i="1" a="1"/>
  <c r="I1163" i="1" s="1"/>
  <c r="H1163" i="1" a="1"/>
  <c r="H1163" i="1"/>
  <c r="Q1162" i="1" a="1"/>
  <c r="Q1162" i="1"/>
  <c r="M1162" i="1" a="1"/>
  <c r="M1162" i="1"/>
  <c r="P1162" i="1" a="1"/>
  <c r="P1162" i="1" s="1"/>
  <c r="L1162" i="1" a="1"/>
  <c r="L1162" i="1"/>
  <c r="K1162" i="1" a="1"/>
  <c r="K1162" i="1"/>
  <c r="L1156" i="1" a="1"/>
  <c r="L1156" i="1"/>
  <c r="I1156" i="1" a="1"/>
  <c r="I1156" i="1" s="1"/>
  <c r="O1154" i="1" a="1"/>
  <c r="O1154" i="1" s="1"/>
  <c r="K1155" i="1" a="1"/>
  <c r="K1155" i="1" s="1"/>
  <c r="Q1155" i="1" a="1"/>
  <c r="Q1155" i="1" s="1"/>
  <c r="P1155" i="1" a="1"/>
  <c r="P1155" i="1"/>
  <c r="O1155" i="1" a="1"/>
  <c r="O1155" i="1"/>
  <c r="N1155" i="1" a="1"/>
  <c r="N1155" i="1" s="1"/>
  <c r="H1155" i="1" a="1"/>
  <c r="H1155" i="1" s="1"/>
  <c r="G1155" i="1" a="1"/>
  <c r="G1155" i="1"/>
  <c r="Q1154" i="1" a="1"/>
  <c r="Q1154" i="1" s="1"/>
  <c r="P1154" i="1" a="1"/>
  <c r="P1154" i="1"/>
  <c r="N1154" i="1" a="1"/>
  <c r="N1154" i="1"/>
  <c r="M1155" i="1" a="1"/>
  <c r="M1155" i="1"/>
  <c r="G1156" i="1" a="1"/>
  <c r="G1156" i="1" s="1"/>
  <c r="F1156" i="1" a="1"/>
  <c r="F1156" i="1"/>
  <c r="L1155" i="1" a="1"/>
  <c r="L1155" i="1"/>
  <c r="J1155" i="1" a="1"/>
  <c r="J1155" i="1"/>
  <c r="I1155" i="1" a="1"/>
  <c r="I1155" i="1" s="1"/>
  <c r="F1155" i="1" a="1"/>
  <c r="F1155" i="1"/>
  <c r="F1153" i="1" a="1"/>
  <c r="F1153" i="1" s="1"/>
  <c r="P1150" i="1" a="1"/>
  <c r="P1150" i="1" s="1"/>
  <c r="I1150" i="1" a="1"/>
  <c r="I1150" i="1"/>
  <c r="M1154" i="1" a="1"/>
  <c r="M1154" i="1"/>
  <c r="O1153" i="1" a="1"/>
  <c r="O1153" i="1" s="1"/>
  <c r="L1153" i="1" a="1"/>
  <c r="L1153" i="1"/>
  <c r="H1150" i="1" a="1"/>
  <c r="H1150" i="1"/>
  <c r="L1154" i="1" a="1"/>
  <c r="L1154" i="1"/>
  <c r="K1154" i="1" a="1"/>
  <c r="K1154" i="1"/>
  <c r="J1154" i="1" a="1"/>
  <c r="J1154" i="1" s="1"/>
  <c r="F1154" i="1" a="1"/>
  <c r="F1154" i="1" s="1"/>
  <c r="G1154" i="1" a="1"/>
  <c r="G1154" i="1" s="1"/>
  <c r="G1153" i="1" a="1"/>
  <c r="G1153" i="1" s="1"/>
  <c r="Q1150" i="1" a="1"/>
  <c r="Q1150" i="1" s="1"/>
  <c r="Q1153" i="1" a="1"/>
  <c r="Q1153" i="1" s="1"/>
  <c r="N1153" i="1" a="1"/>
  <c r="N1153" i="1" s="1"/>
  <c r="M1153" i="1" a="1"/>
  <c r="M1153" i="1" s="1"/>
  <c r="K1153" i="1" a="1"/>
  <c r="K1153" i="1" s="1"/>
  <c r="J1150" i="1" a="1"/>
  <c r="J1150" i="1" s="1"/>
  <c r="K1150" i="1" a="1"/>
  <c r="K1150" i="1" s="1"/>
  <c r="G1150" i="1" a="1"/>
  <c r="G1150" i="1"/>
  <c r="O1150" i="1" a="1"/>
  <c r="O1150" i="1" s="1"/>
  <c r="M1150" i="1" a="1"/>
  <c r="M1150" i="1"/>
  <c r="P1153" i="1" a="1"/>
  <c r="P1153" i="1"/>
  <c r="J1153" i="1" a="1"/>
  <c r="J1153" i="1"/>
  <c r="H1153" i="1" a="1"/>
  <c r="H1153" i="1"/>
  <c r="L1150" i="1" a="1"/>
  <c r="L1150" i="1"/>
  <c r="I1154" i="1" a="1"/>
  <c r="I1154" i="1" s="1"/>
  <c r="H1154" i="1" a="1"/>
  <c r="H1154" i="1"/>
  <c r="I1153" i="1" a="1"/>
  <c r="I1153" i="1" s="1"/>
  <c r="N1150" i="1" a="1"/>
  <c r="N1150" i="1" s="1"/>
  <c r="G1149" i="1" a="1"/>
  <c r="G1149" i="1"/>
  <c r="Q1149" i="1" a="1"/>
  <c r="Q1149" i="1"/>
  <c r="M1149" i="1" a="1"/>
  <c r="M1149" i="1"/>
  <c r="I1149" i="1" a="1"/>
  <c r="I1149" i="1"/>
  <c r="L1149" i="1" a="1"/>
  <c r="L1149" i="1"/>
  <c r="F1150" i="1" a="1"/>
  <c r="F1150" i="1" s="1"/>
  <c r="P1149" i="1" a="1"/>
  <c r="P1149" i="1"/>
  <c r="H1149" i="1" a="1"/>
  <c r="H1149" i="1"/>
  <c r="O1149" i="1" a="1"/>
  <c r="O1149" i="1" s="1"/>
  <c r="N1149" i="1" a="1"/>
  <c r="N1149" i="1" s="1"/>
  <c r="K1149" i="1" a="1"/>
  <c r="K1149" i="1" s="1"/>
  <c r="J1149" i="1" a="1"/>
  <c r="J1149" i="1" s="1"/>
  <c r="Q1148" i="1" a="1"/>
  <c r="Q1148" i="1" s="1"/>
  <c r="P1148" i="1" a="1"/>
  <c r="P1148" i="1" s="1"/>
  <c r="F1149" i="1" a="1"/>
  <c r="F1149" i="1" s="1"/>
  <c r="O1148" i="1" a="1"/>
  <c r="O1148" i="1" s="1"/>
  <c r="N1148" i="1" a="1"/>
  <c r="N1148" i="1" s="1"/>
  <c r="M1148" i="1" a="1"/>
  <c r="M1148" i="1" s="1"/>
  <c r="L1148" i="1" a="1"/>
  <c r="L1148" i="1"/>
  <c r="L1145" i="1" a="1"/>
  <c r="L1145" i="1"/>
  <c r="K1147" i="1" a="1"/>
  <c r="K1147" i="1"/>
  <c r="Q1145" i="1" a="1"/>
  <c r="Q1145" i="1"/>
  <c r="K1148" i="1" a="1"/>
  <c r="K1148" i="1" s="1"/>
  <c r="J1148" i="1" a="1"/>
  <c r="J1148" i="1"/>
  <c r="K1146" i="1" a="1"/>
  <c r="K1146" i="1"/>
  <c r="P1144" i="1" a="1"/>
  <c r="P1144" i="1" s="1"/>
  <c r="I1148" i="1" a="1"/>
  <c r="I1148" i="1" s="1"/>
  <c r="Q1144" i="1" a="1"/>
  <c r="Q1144" i="1"/>
  <c r="F1147" i="1" a="1"/>
  <c r="F1147" i="1" s="1"/>
  <c r="O1144" i="1" a="1"/>
  <c r="O1144" i="1" s="1"/>
  <c r="F1145" i="1" a="1"/>
  <c r="F1145" i="1" s="1"/>
  <c r="H1148" i="1" a="1"/>
  <c r="H1148" i="1" s="1"/>
  <c r="G1148" i="1" a="1"/>
  <c r="G1148" i="1"/>
  <c r="L1147" i="1" a="1"/>
  <c r="L1147" i="1" s="1"/>
  <c r="N1144" i="1" a="1"/>
  <c r="N1144" i="1"/>
  <c r="F1148" i="1" a="1"/>
  <c r="F1148" i="1"/>
  <c r="O1145" i="1" a="1"/>
  <c r="O1145" i="1"/>
  <c r="Q1147" i="1" a="1"/>
  <c r="Q1147" i="1" s="1"/>
  <c r="O1147" i="1" a="1"/>
  <c r="O1147" i="1" s="1"/>
  <c r="N1147" i="1" a="1"/>
  <c r="N1147" i="1" s="1"/>
  <c r="M1147" i="1" a="1"/>
  <c r="M1147" i="1" s="1"/>
  <c r="J1147" i="1" a="1"/>
  <c r="J1147" i="1"/>
  <c r="P1145" i="1" a="1"/>
  <c r="P1145" i="1"/>
  <c r="Q1146" i="1" a="1"/>
  <c r="Q1146" i="1"/>
  <c r="N1146" i="1" a="1"/>
  <c r="N1146" i="1" s="1"/>
  <c r="H1146" i="1" a="1"/>
  <c r="H1146" i="1" s="1"/>
  <c r="I1147" i="1" a="1"/>
  <c r="I1147" i="1" s="1"/>
  <c r="H1147" i="1" a="1"/>
  <c r="H1147" i="1" s="1"/>
  <c r="G1147" i="1" a="1"/>
  <c r="G1147" i="1" s="1"/>
  <c r="P1146" i="1" a="1"/>
  <c r="P1146" i="1" s="1"/>
  <c r="M1146" i="1" a="1"/>
  <c r="M1146" i="1" s="1"/>
  <c r="L1146" i="1" a="1"/>
  <c r="L1146" i="1" s="1"/>
  <c r="K1145" i="1" a="1"/>
  <c r="K1145" i="1"/>
  <c r="J1145" i="1" a="1"/>
  <c r="J1145" i="1"/>
  <c r="J1146" i="1" a="1"/>
  <c r="J1146" i="1" s="1"/>
  <c r="N1145" i="1" a="1"/>
  <c r="N1145" i="1" s="1"/>
  <c r="I1146" i="1" a="1"/>
  <c r="I1146" i="1" s="1"/>
  <c r="M1145" i="1" a="1"/>
  <c r="M1145" i="1" s="1"/>
  <c r="G1145" i="1" a="1"/>
  <c r="G1145" i="1"/>
  <c r="O1146" i="1" a="1"/>
  <c r="O1146" i="1" s="1"/>
  <c r="I1145" i="1" a="1"/>
  <c r="I1145" i="1" s="1"/>
  <c r="F1146" i="1" a="1"/>
  <c r="F1146" i="1"/>
  <c r="H1145" i="1" a="1"/>
  <c r="H1145" i="1"/>
  <c r="G1146" i="1" a="1"/>
  <c r="G1146" i="1" s="1"/>
  <c r="P1147" i="1" a="1"/>
  <c r="P1147" i="1" s="1"/>
  <c r="I1142" i="1" a="1"/>
  <c r="I1142" i="1" s="1"/>
  <c r="Q1141" i="1" a="1"/>
  <c r="Q1141" i="1" s="1"/>
  <c r="J1139" i="1" a="1"/>
  <c r="J1139" i="1" s="1"/>
  <c r="H1141" i="1" a="1"/>
  <c r="H1141" i="1" s="1"/>
  <c r="M1139" i="1" a="1"/>
  <c r="M1139" i="1" s="1"/>
  <c r="L1142" i="1" a="1"/>
  <c r="L1142" i="1"/>
  <c r="P1143" i="1" a="1"/>
  <c r="P1143" i="1"/>
  <c r="G1144" i="1" a="1"/>
  <c r="G1144" i="1" s="1"/>
  <c r="P1141" i="1" a="1"/>
  <c r="P1141" i="1" s="1"/>
  <c r="G1141" i="1" a="1"/>
  <c r="G1141" i="1"/>
  <c r="F1144" i="1" a="1"/>
  <c r="F1144" i="1" s="1"/>
  <c r="K1143" i="1" a="1"/>
  <c r="K1143" i="1"/>
  <c r="H1144" i="1" a="1"/>
  <c r="H1144" i="1"/>
  <c r="M1144" i="1" a="1"/>
  <c r="M1144" i="1" s="1"/>
  <c r="Q1142" i="1" a="1"/>
  <c r="Q1142" i="1" s="1"/>
  <c r="L1144" i="1" a="1"/>
  <c r="L1144" i="1"/>
  <c r="K1144" i="1" a="1"/>
  <c r="K1144" i="1"/>
  <c r="P1139" i="1" a="1"/>
  <c r="P1139" i="1" s="1"/>
  <c r="P1142" i="1" a="1"/>
  <c r="P1142" i="1" s="1"/>
  <c r="O1141" i="1" a="1"/>
  <c r="O1141" i="1" s="1"/>
  <c r="J1144" i="1" a="1"/>
  <c r="J1144" i="1"/>
  <c r="I1144" i="1" a="1"/>
  <c r="I1144" i="1" s="1"/>
  <c r="Q1143" i="1" a="1"/>
  <c r="Q1143" i="1"/>
  <c r="J1142" i="1" a="1"/>
  <c r="J1142" i="1" s="1"/>
  <c r="J1140" i="1" a="1"/>
  <c r="J1140" i="1" s="1"/>
  <c r="M1143" i="1" a="1"/>
  <c r="M1143" i="1"/>
  <c r="H1140" i="1" a="1"/>
  <c r="H1140" i="1"/>
  <c r="I1140" i="1" a="1"/>
  <c r="I1140" i="1"/>
  <c r="J1141" i="1" a="1"/>
  <c r="J1141" i="1"/>
  <c r="N1139" i="1" a="1"/>
  <c r="N1139" i="1"/>
  <c r="F1142" i="1" a="1"/>
  <c r="F1142" i="1" s="1"/>
  <c r="O1143" i="1" a="1"/>
  <c r="O1143" i="1" s="1"/>
  <c r="N1143" i="1" a="1"/>
  <c r="N1143" i="1"/>
  <c r="O1142" i="1" a="1"/>
  <c r="O1142" i="1" s="1"/>
  <c r="N1142" i="1" a="1"/>
  <c r="N1142" i="1"/>
  <c r="K1141" i="1" a="1"/>
  <c r="K1141" i="1"/>
  <c r="N1141" i="1" a="1"/>
  <c r="N1141" i="1"/>
  <c r="N1140" i="1" a="1"/>
  <c r="N1140" i="1" s="1"/>
  <c r="G1140" i="1" a="1"/>
  <c r="G1140" i="1"/>
  <c r="O1140" i="1" a="1"/>
  <c r="O1140" i="1"/>
  <c r="L1143" i="1" a="1"/>
  <c r="L1143" i="1"/>
  <c r="M1141" i="1" a="1"/>
  <c r="M1141" i="1"/>
  <c r="P1140" i="1" a="1"/>
  <c r="P1140" i="1"/>
  <c r="H1142" i="1" a="1"/>
  <c r="H1142" i="1"/>
  <c r="L1140" i="1" a="1"/>
  <c r="L1140" i="1"/>
  <c r="K1140" i="1" a="1"/>
  <c r="K1140" i="1" s="1"/>
  <c r="O1139" i="1" a="1"/>
  <c r="O1139" i="1" s="1"/>
  <c r="K1139" i="1" a="1"/>
  <c r="K1139" i="1" s="1"/>
  <c r="L1139" i="1" a="1"/>
  <c r="L1139" i="1" s="1"/>
  <c r="I1141" i="1" a="1"/>
  <c r="I1141" i="1"/>
  <c r="F1141" i="1" a="1"/>
  <c r="F1141" i="1"/>
  <c r="F1140" i="1" a="1"/>
  <c r="F1140" i="1"/>
  <c r="Q1140" i="1" a="1"/>
  <c r="Q1140" i="1"/>
  <c r="Q1139" i="1" a="1"/>
  <c r="Q1139" i="1" s="1"/>
  <c r="J1143" i="1" a="1"/>
  <c r="J1143" i="1"/>
  <c r="F1143" i="1" a="1"/>
  <c r="F1143" i="1"/>
  <c r="I1143" i="1" a="1"/>
  <c r="I1143" i="1"/>
  <c r="G1142" i="1" a="1"/>
  <c r="G1142" i="1"/>
  <c r="H1143" i="1" a="1"/>
  <c r="H1143" i="1"/>
  <c r="G1143" i="1" a="1"/>
  <c r="G1143" i="1" s="1"/>
  <c r="M1140" i="1" a="1"/>
  <c r="M1140" i="1"/>
  <c r="M1142" i="1" a="1"/>
  <c r="M1142" i="1"/>
  <c r="K1142" i="1" a="1"/>
  <c r="K1142" i="1" s="1"/>
  <c r="L1141" i="1" a="1"/>
  <c r="L1141" i="1"/>
  <c r="I1139" i="1" a="1"/>
  <c r="I1139" i="1" s="1"/>
  <c r="H1139" i="1" a="1"/>
  <c r="H1139" i="1"/>
  <c r="F1139" i="1" a="1"/>
  <c r="F1139" i="1"/>
  <c r="N1138" i="1" a="1"/>
  <c r="N1138" i="1"/>
  <c r="L1138" i="1" a="1"/>
  <c r="L1138" i="1" s="1"/>
  <c r="G1138" i="1" a="1"/>
  <c r="G1138" i="1"/>
  <c r="Q1138" i="1" a="1"/>
  <c r="Q1138" i="1"/>
  <c r="G1139" i="1" a="1"/>
  <c r="G1139" i="1"/>
  <c r="P1138" i="1" a="1"/>
  <c r="P1138" i="1"/>
  <c r="O1138" i="1" a="1"/>
  <c r="O1138" i="1" s="1"/>
  <c r="M1138" i="1" a="1"/>
  <c r="M1138" i="1" s="1"/>
  <c r="K1138" i="1" a="1"/>
  <c r="K1138" i="1" s="1"/>
  <c r="J1138" i="1" a="1"/>
  <c r="J1138" i="1" s="1"/>
  <c r="I1138" i="1" a="1"/>
  <c r="I1138" i="1" s="1"/>
  <c r="H1138" i="1" a="1"/>
  <c r="H1138" i="1"/>
  <c r="F1138" i="1" a="1"/>
  <c r="F1138" i="1" s="1"/>
  <c r="N1566" i="1" a="1"/>
  <c r="N1566" i="1" s="1"/>
  <c r="F1565" i="1" a="1"/>
  <c r="F1565" i="1" s="1"/>
  <c r="K1566" i="1" a="1"/>
  <c r="K1566" i="1" s="1"/>
  <c r="K1565" i="1" a="1"/>
  <c r="K1565" i="1"/>
  <c r="L1574" i="1" a="1"/>
  <c r="L1574" i="1" s="1"/>
  <c r="K1574" i="1" a="1"/>
  <c r="K1574" i="1"/>
  <c r="J1572" i="1" a="1"/>
  <c r="J1572" i="1" s="1"/>
  <c r="O1564" i="1" a="1"/>
  <c r="O1564" i="1" s="1"/>
  <c r="G1565" i="1" a="1"/>
  <c r="G1565" i="1"/>
  <c r="Q1564" i="1" a="1"/>
  <c r="Q1564" i="1"/>
  <c r="J1574" i="1" a="1"/>
  <c r="J1574" i="1"/>
  <c r="I1574" i="1" a="1"/>
  <c r="I1574" i="1" s="1"/>
  <c r="F1574" i="1" a="1"/>
  <c r="F1574" i="1"/>
  <c r="N1572" i="1" a="1"/>
  <c r="N1572" i="1"/>
  <c r="P1565" i="1" a="1"/>
  <c r="P1565" i="1" s="1"/>
  <c r="M1565" i="1" a="1"/>
  <c r="M1565" i="1" s="1"/>
  <c r="H1565" i="1" a="1"/>
  <c r="H1565" i="1" s="1"/>
  <c r="K1572" i="1" a="1"/>
  <c r="K1572" i="1" s="1"/>
  <c r="H1572" i="1" a="1"/>
  <c r="H1572" i="1"/>
  <c r="G1566" i="1" a="1"/>
  <c r="G1566" i="1" s="1"/>
  <c r="O1566" i="1" a="1"/>
  <c r="O1566" i="1"/>
  <c r="F1566" i="1" a="1"/>
  <c r="F1566" i="1" s="1"/>
  <c r="N1564" i="1" a="1"/>
  <c r="N1564" i="1"/>
  <c r="H1566" i="1" a="1"/>
  <c r="H1566" i="1" s="1"/>
  <c r="M1566" i="1" a="1"/>
  <c r="M1566" i="1" s="1"/>
  <c r="H1574" i="1" a="1"/>
  <c r="H1574" i="1" s="1"/>
  <c r="M1564" i="1" a="1"/>
  <c r="M1564" i="1" s="1"/>
  <c r="P1572" i="1" a="1"/>
  <c r="P1572" i="1"/>
  <c r="Q1565" i="1" a="1"/>
  <c r="Q1565" i="1" s="1"/>
  <c r="O1572" i="1" a="1"/>
  <c r="O1572" i="1" s="1"/>
  <c r="L1572" i="1" a="1"/>
  <c r="L1572" i="1" s="1"/>
  <c r="P1564" i="1" a="1"/>
  <c r="P1564" i="1"/>
  <c r="F1572" i="1" a="1"/>
  <c r="F1572" i="1"/>
  <c r="P1566" i="1" a="1"/>
  <c r="P1566" i="1"/>
  <c r="Q1566" i="1" a="1"/>
  <c r="Q1566" i="1"/>
  <c r="L1566" i="1" a="1"/>
  <c r="L1566" i="1" s="1"/>
  <c r="L1565" i="1" a="1"/>
  <c r="L1565" i="1" s="1"/>
  <c r="O1565" i="1" a="1"/>
  <c r="O1565" i="1"/>
  <c r="I1565" i="1" a="1"/>
  <c r="I1565" i="1"/>
  <c r="J1565" i="1" a="1"/>
  <c r="J1565" i="1"/>
  <c r="M1572" i="1" a="1"/>
  <c r="M1572" i="1" s="1"/>
  <c r="I1566" i="1" a="1"/>
  <c r="I1566" i="1"/>
  <c r="N1565" i="1" a="1"/>
  <c r="N1565" i="1" s="1"/>
  <c r="J1566" i="1" a="1"/>
  <c r="J1566" i="1" s="1"/>
  <c r="G1574" i="1" a="1"/>
  <c r="G1574" i="1" s="1"/>
  <c r="Q1572" i="1" a="1"/>
  <c r="Q1572" i="1" s="1"/>
  <c r="G1572" i="1" a="1"/>
  <c r="G1572" i="1"/>
  <c r="I1572" i="1" a="1"/>
  <c r="I1572" i="1" s="1"/>
  <c r="J1558" i="1" a="1"/>
  <c r="J1558" i="1"/>
  <c r="M1558" i="1" a="1"/>
  <c r="M1558" i="1" s="1"/>
  <c r="H1558" i="1" a="1"/>
  <c r="H1558" i="1"/>
  <c r="N1558" i="1" a="1"/>
  <c r="N1558" i="1" s="1"/>
  <c r="L1564" i="1" a="1"/>
  <c r="L1564" i="1" s="1"/>
  <c r="K1564" i="1" a="1"/>
  <c r="K1564" i="1" s="1"/>
  <c r="K1558" i="1" a="1"/>
  <c r="K1558" i="1" s="1"/>
  <c r="I1564" i="1" a="1"/>
  <c r="I1564" i="1" s="1"/>
  <c r="L1558" i="1" a="1"/>
  <c r="L1558" i="1" s="1"/>
  <c r="N1557" i="1" a="1"/>
  <c r="N1557" i="1"/>
  <c r="G1564" i="1" a="1"/>
  <c r="G1564" i="1" s="1"/>
  <c r="M1557" i="1" a="1"/>
  <c r="M1557" i="1" s="1"/>
  <c r="J1564" i="1" a="1"/>
  <c r="J1564" i="1" s="1"/>
  <c r="H1564" i="1" a="1"/>
  <c r="H1564" i="1" s="1"/>
  <c r="F1564" i="1" a="1"/>
  <c r="F1564" i="1" s="1"/>
  <c r="P1558" i="1" a="1"/>
  <c r="P1558" i="1" s="1"/>
  <c r="Q1557" i="1" a="1"/>
  <c r="Q1557" i="1" s="1"/>
  <c r="I1558" i="1" a="1"/>
  <c r="I1558" i="1"/>
  <c r="O1557" i="1" a="1"/>
  <c r="O1557" i="1"/>
  <c r="O1558" i="1" a="1"/>
  <c r="O1558" i="1"/>
  <c r="Q1558" i="1" a="1"/>
  <c r="Q1558" i="1"/>
  <c r="F1558" i="1" a="1"/>
  <c r="F1558" i="1" s="1"/>
  <c r="G1558" i="1" a="1"/>
  <c r="G1558" i="1"/>
  <c r="L1557" i="1" a="1"/>
  <c r="L1557" i="1" s="1"/>
  <c r="P1557" i="1" a="1"/>
  <c r="P1557" i="1"/>
  <c r="P1549" i="1" a="1"/>
  <c r="P1549" i="1"/>
  <c r="J1549" i="1" a="1"/>
  <c r="J1549" i="1" s="1"/>
  <c r="K1549" i="1" a="1"/>
  <c r="K1549" i="1" s="1"/>
  <c r="Q1551" i="1" a="1"/>
  <c r="Q1551" i="1" s="1"/>
  <c r="N1548" i="1" a="1"/>
  <c r="N1548" i="1" s="1"/>
  <c r="I1551" i="1" a="1"/>
  <c r="I1551" i="1"/>
  <c r="J1551" i="1" a="1"/>
  <c r="J1551" i="1" s="1"/>
  <c r="P1551" i="1" a="1"/>
  <c r="P1551" i="1"/>
  <c r="N1551" i="1" a="1"/>
  <c r="N1551" i="1" s="1"/>
  <c r="F1551" i="1" a="1"/>
  <c r="F1551" i="1" s="1"/>
  <c r="H1551" i="1" a="1"/>
  <c r="H1551" i="1" s="1"/>
  <c r="H1549" i="1" a="1"/>
  <c r="H1549" i="1" s="1"/>
  <c r="Q1549" i="1" a="1"/>
  <c r="Q1549" i="1" s="1"/>
  <c r="M1548" i="1" a="1"/>
  <c r="M1548" i="1"/>
  <c r="P1548" i="1" a="1"/>
  <c r="P1548" i="1"/>
  <c r="K1557" i="1" a="1"/>
  <c r="K1557" i="1"/>
  <c r="O1549" i="1" a="1"/>
  <c r="O1549" i="1" s="1"/>
  <c r="I1557" i="1" a="1"/>
  <c r="I1557" i="1"/>
  <c r="K1551" i="1" a="1"/>
  <c r="K1551" i="1" s="1"/>
  <c r="F1549" i="1" a="1"/>
  <c r="F1549" i="1" s="1"/>
  <c r="L1551" i="1" a="1"/>
  <c r="L1551" i="1" s="1"/>
  <c r="I1549" i="1" a="1"/>
  <c r="I1549" i="1" s="1"/>
  <c r="G1549" i="1" a="1"/>
  <c r="G1549" i="1" s="1"/>
  <c r="J1557" i="1" a="1"/>
  <c r="J1557" i="1"/>
  <c r="O1551" i="1" a="1"/>
  <c r="O1551" i="1"/>
  <c r="M1549" i="1" a="1"/>
  <c r="M1549" i="1" s="1"/>
  <c r="M1551" i="1" a="1"/>
  <c r="M1551" i="1"/>
  <c r="H1557" i="1" a="1"/>
  <c r="H1557" i="1" s="1"/>
  <c r="G1557" i="1" a="1"/>
  <c r="G1557" i="1"/>
  <c r="G1551" i="1" a="1"/>
  <c r="G1551" i="1"/>
  <c r="L1549" i="1" a="1"/>
  <c r="L1549" i="1"/>
  <c r="F1557" i="1" a="1"/>
  <c r="F1557" i="1"/>
  <c r="Q1548" i="1" a="1"/>
  <c r="Q1548" i="1" s="1"/>
  <c r="O1548" i="1" a="1"/>
  <c r="O1548" i="1" s="1"/>
  <c r="N1549" i="1" a="1"/>
  <c r="N1549" i="1" s="1"/>
  <c r="P1530" i="1" a="1"/>
  <c r="P1530" i="1"/>
  <c r="I1548" i="1" a="1"/>
  <c r="I1548" i="1" s="1"/>
  <c r="G1548" i="1" a="1"/>
  <c r="G1548" i="1" s="1"/>
  <c r="L1531" i="1" a="1"/>
  <c r="L1531" i="1" s="1"/>
  <c r="K1531" i="1" a="1"/>
  <c r="K1531" i="1" s="1"/>
  <c r="J1531" i="1" a="1"/>
  <c r="J1531" i="1" s="1"/>
  <c r="F1548" i="1" a="1"/>
  <c r="F1548" i="1" s="1"/>
  <c r="H1531" i="1" a="1"/>
  <c r="H1531" i="1"/>
  <c r="O1530" i="1" a="1"/>
  <c r="O1530" i="1" s="1"/>
  <c r="L1530" i="1" a="1"/>
  <c r="L1530" i="1"/>
  <c r="I1530" i="1" a="1"/>
  <c r="I1530" i="1" s="1"/>
  <c r="P1531" i="1" a="1"/>
  <c r="P1531" i="1" s="1"/>
  <c r="O1531" i="1" a="1"/>
  <c r="O1531" i="1"/>
  <c r="F1530" i="1" a="1"/>
  <c r="F1530" i="1"/>
  <c r="I1531" i="1" a="1"/>
  <c r="I1531" i="1" s="1"/>
  <c r="G1530" i="1" a="1"/>
  <c r="G1530" i="1" s="1"/>
  <c r="M1531" i="1" a="1"/>
  <c r="M1531" i="1"/>
  <c r="H1530" i="1" a="1"/>
  <c r="H1530" i="1"/>
  <c r="Q1531" i="1" a="1"/>
  <c r="Q1531" i="1"/>
  <c r="G1531" i="1" a="1"/>
  <c r="G1531" i="1" s="1"/>
  <c r="J1530" i="1" a="1"/>
  <c r="J1530" i="1"/>
  <c r="M1530" i="1" a="1"/>
  <c r="M1530" i="1" s="1"/>
  <c r="L1548" i="1" a="1"/>
  <c r="L1548" i="1" s="1"/>
  <c r="N1530" i="1" a="1"/>
  <c r="N1530" i="1" s="1"/>
  <c r="K1548" i="1" a="1"/>
  <c r="K1548" i="1"/>
  <c r="J1548" i="1" a="1"/>
  <c r="J1548" i="1" s="1"/>
  <c r="H1548" i="1" a="1"/>
  <c r="H1548" i="1"/>
  <c r="F1531" i="1" a="1"/>
  <c r="F1531" i="1"/>
  <c r="Q1530" i="1" a="1"/>
  <c r="Q1530" i="1" s="1"/>
  <c r="N1531" i="1" a="1"/>
  <c r="N1531" i="1" s="1"/>
  <c r="K1530" i="1" a="1"/>
  <c r="K1530" i="1" s="1"/>
  <c r="O1527" i="1" a="1"/>
  <c r="O1527" i="1" s="1"/>
  <c r="P1527" i="1" a="1"/>
  <c r="P1527" i="1" s="1"/>
  <c r="F1529" i="1" a="1"/>
  <c r="F1529" i="1" s="1"/>
  <c r="G1528" i="1" a="1"/>
  <c r="G1528" i="1" s="1"/>
  <c r="I1529" i="1" a="1"/>
  <c r="I1529" i="1"/>
  <c r="G1529" i="1" a="1"/>
  <c r="G1529" i="1" s="1"/>
  <c r="P1528" i="1" a="1"/>
  <c r="P1528" i="1"/>
  <c r="N1528" i="1" a="1"/>
  <c r="N1528" i="1"/>
  <c r="K1528" i="1" a="1"/>
  <c r="K1528" i="1" s="1"/>
  <c r="J1528" i="1" a="1"/>
  <c r="J1528" i="1" s="1"/>
  <c r="H1528" i="1" a="1"/>
  <c r="H1528" i="1"/>
  <c r="Q1527" i="1" a="1"/>
  <c r="Q1527" i="1" s="1"/>
  <c r="M1528" i="1" a="1"/>
  <c r="M1528" i="1" s="1"/>
  <c r="N1527" i="1" a="1"/>
  <c r="N1527" i="1"/>
  <c r="Q1529" i="1" a="1"/>
  <c r="Q1529" i="1" s="1"/>
  <c r="H1529" i="1" a="1"/>
  <c r="H1529" i="1"/>
  <c r="L1528" i="1" a="1"/>
  <c r="L1528" i="1"/>
  <c r="L1527" i="1" a="1"/>
  <c r="L1527" i="1" s="1"/>
  <c r="P1529" i="1" a="1"/>
  <c r="P1529" i="1"/>
  <c r="O1528" i="1" a="1"/>
  <c r="O1528" i="1"/>
  <c r="O1529" i="1" a="1"/>
  <c r="O1529" i="1" s="1"/>
  <c r="Q1528" i="1" a="1"/>
  <c r="Q1528" i="1"/>
  <c r="K1529" i="1" a="1"/>
  <c r="K1529" i="1" s="1"/>
  <c r="K1527" i="1" a="1"/>
  <c r="K1527" i="1" s="1"/>
  <c r="M1527" i="1" a="1"/>
  <c r="M1527" i="1" s="1"/>
  <c r="N1529" i="1" a="1"/>
  <c r="N1529" i="1"/>
  <c r="M1529" i="1" a="1"/>
  <c r="M1529" i="1" s="1"/>
  <c r="L1529" i="1" a="1"/>
  <c r="L1529" i="1" s="1"/>
  <c r="F1528" i="1" a="1"/>
  <c r="F1528" i="1"/>
  <c r="I1528" i="1" a="1"/>
  <c r="I1528" i="1" s="1"/>
  <c r="J1529" i="1" a="1"/>
  <c r="J1529" i="1" s="1"/>
  <c r="J1576" i="1" a="1"/>
  <c r="J1576" i="1" s="1"/>
  <c r="N1574" i="1" a="1"/>
  <c r="N1574" i="1" s="1"/>
  <c r="F1577" i="1" a="1"/>
  <c r="F1577" i="1" s="1"/>
  <c r="Q1576" i="1" a="1"/>
  <c r="Q1576" i="1" s="1"/>
  <c r="K1575" i="1" a="1"/>
  <c r="K1575" i="1" s="1"/>
  <c r="O1577" i="1" a="1"/>
  <c r="O1577" i="1" s="1"/>
  <c r="L1577" i="1" a="1"/>
  <c r="L1577" i="1" s="1"/>
  <c r="L1575" i="1" a="1"/>
  <c r="L1575" i="1"/>
  <c r="I1576" i="1" a="1"/>
  <c r="I1576" i="1"/>
  <c r="F1576" i="1" a="1"/>
  <c r="F1576" i="1"/>
  <c r="Q1575" i="1" a="1"/>
  <c r="Q1575" i="1" s="1"/>
  <c r="N1575" i="1" a="1"/>
  <c r="N1575" i="1"/>
  <c r="M1576" i="1" a="1"/>
  <c r="M1576" i="1"/>
  <c r="M1574" i="1" a="1"/>
  <c r="M1574" i="1"/>
  <c r="M1577" i="1" a="1"/>
  <c r="M1577" i="1"/>
  <c r="G1578" i="1" a="1"/>
  <c r="G1578" i="1" s="1"/>
  <c r="I1577" i="1" a="1"/>
  <c r="I1577" i="1"/>
  <c r="K1576" i="1" a="1"/>
  <c r="K1576" i="1"/>
  <c r="P1574" i="1" a="1"/>
  <c r="P1574" i="1" s="1"/>
  <c r="G1575" i="1" a="1"/>
  <c r="G1575" i="1" s="1"/>
  <c r="Q1574" i="1" a="1"/>
  <c r="Q1574" i="1"/>
  <c r="O1574" i="1" a="1"/>
  <c r="O1574" i="1" s="1"/>
  <c r="F1578" i="1" a="1"/>
  <c r="F1578" i="1"/>
  <c r="J1577" i="1" a="1"/>
  <c r="J1577" i="1"/>
  <c r="N1577" i="1" a="1"/>
  <c r="N1577" i="1"/>
  <c r="H1576" i="1" a="1"/>
  <c r="H1576" i="1" s="1"/>
  <c r="Q1577" i="1" a="1"/>
  <c r="Q1577" i="1"/>
  <c r="P1577" i="1" a="1"/>
  <c r="P1577" i="1" s="1"/>
  <c r="K1577" i="1" a="1"/>
  <c r="K1577" i="1" s="1"/>
  <c r="H1577" i="1" a="1"/>
  <c r="H1577" i="1" s="1"/>
  <c r="P1576" i="1" a="1"/>
  <c r="P1576" i="1" s="1"/>
  <c r="O1576" i="1" a="1"/>
  <c r="O1576" i="1"/>
  <c r="G1576" i="1" a="1"/>
  <c r="G1576" i="1" s="1"/>
  <c r="P1575" i="1" a="1"/>
  <c r="P1575" i="1" s="1"/>
  <c r="F1575" i="1" a="1"/>
  <c r="F1575" i="1" s="1"/>
  <c r="M1575" i="1" a="1"/>
  <c r="M1575" i="1"/>
  <c r="J1575" i="1" a="1"/>
  <c r="J1575" i="1" s="1"/>
  <c r="O1575" i="1" a="1"/>
  <c r="O1575" i="1" s="1"/>
  <c r="N1576" i="1" a="1"/>
  <c r="N1576" i="1" s="1"/>
  <c r="L1576" i="1" a="1"/>
  <c r="L1576" i="1" s="1"/>
  <c r="H1575" i="1" a="1"/>
  <c r="H1575" i="1"/>
  <c r="I1575" i="1" a="1"/>
  <c r="I1575" i="1" s="1"/>
  <c r="G1577" i="1" a="1"/>
  <c r="G1577" i="1"/>
  <c r="K1107" i="1"/>
  <c r="G1107" i="1"/>
  <c r="F1107" i="1"/>
  <c r="Q1106" i="1"/>
  <c r="P1106" i="1"/>
  <c r="O1106" i="1"/>
  <c r="N1106" i="1"/>
  <c r="M1106" i="1"/>
  <c r="L1106" i="1"/>
  <c r="K1106" i="1"/>
  <c r="J1106" i="1"/>
  <c r="I1106" i="1"/>
  <c r="H1106" i="1"/>
  <c r="G1106" i="1"/>
  <c r="F1106" i="1"/>
  <c r="O1102" i="1"/>
  <c r="N1102" i="1"/>
  <c r="M1102" i="1"/>
  <c r="K1102" i="1"/>
  <c r="J1102" i="1"/>
  <c r="I1102" i="1"/>
  <c r="H1102" i="1"/>
  <c r="G1102" i="1"/>
  <c r="F1102" i="1"/>
  <c r="Q1100" i="1"/>
  <c r="P1100" i="1"/>
  <c r="O1100" i="1"/>
  <c r="N1100" i="1"/>
  <c r="M1100" i="1"/>
  <c r="J1100" i="1"/>
  <c r="O1094" i="1"/>
  <c r="L1094" i="1"/>
  <c r="K1094" i="1"/>
  <c r="J1094" i="1"/>
  <c r="I1094" i="1"/>
  <c r="H1094" i="1"/>
  <c r="G1094" i="1"/>
  <c r="F1094" i="1"/>
  <c r="Q1090" i="1"/>
  <c r="M1090" i="1"/>
  <c r="L1090" i="1"/>
  <c r="I1090" i="1"/>
  <c r="G1090" i="1"/>
  <c r="F1090" i="1"/>
  <c r="Q1089" i="1"/>
  <c r="P1089" i="1"/>
  <c r="L1089" i="1"/>
  <c r="G1089" i="1"/>
  <c r="P1087" i="1"/>
  <c r="M1087" i="1"/>
  <c r="L1087" i="1"/>
  <c r="J1087" i="1"/>
  <c r="H1087" i="1"/>
  <c r="O1085" i="1"/>
  <c r="N1085" i="1"/>
  <c r="M1085" i="1"/>
  <c r="L1085" i="1"/>
  <c r="K1085" i="1"/>
  <c r="J1085" i="1"/>
  <c r="I1085" i="1"/>
  <c r="H1085" i="1"/>
  <c r="G1085" i="1"/>
  <c r="O1084" i="1"/>
  <c r="K1084" i="1"/>
  <c r="I1084" i="1"/>
  <c r="H1084" i="1"/>
  <c r="G1084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Q1081" i="1"/>
  <c r="Q1107" i="1" s="1"/>
  <c r="P1081" i="1"/>
  <c r="P1107" i="1" s="1"/>
  <c r="O1081" i="1"/>
  <c r="O1107" i="1" s="1"/>
  <c r="N1081" i="1"/>
  <c r="N1107" i="1" s="1"/>
  <c r="M1081" i="1"/>
  <c r="M1107" i="1" s="1"/>
  <c r="L1081" i="1"/>
  <c r="L1107" i="1" s="1"/>
  <c r="K1081" i="1"/>
  <c r="J1081" i="1"/>
  <c r="J1107" i="1" s="1"/>
  <c r="I1081" i="1"/>
  <c r="I1107" i="1" s="1"/>
  <c r="H1081" i="1"/>
  <c r="H1107" i="1" s="1"/>
  <c r="G1081" i="1"/>
  <c r="F1081" i="1"/>
  <c r="Q1080" i="1"/>
  <c r="P1080" i="1"/>
  <c r="O1080" i="1"/>
  <c r="N1080" i="1"/>
  <c r="M1080" i="1"/>
  <c r="L1080" i="1"/>
  <c r="K1080" i="1"/>
  <c r="J1080" i="1"/>
  <c r="I1080" i="1"/>
  <c r="H1080" i="1"/>
  <c r="G1080" i="1"/>
  <c r="F1080" i="1"/>
  <c r="Q1078" i="1"/>
  <c r="Q1104" i="1" s="1"/>
  <c r="P1078" i="1"/>
  <c r="P1104" i="1" s="1"/>
  <c r="O1078" i="1"/>
  <c r="O1104" i="1" s="1"/>
  <c r="N1078" i="1"/>
  <c r="N1104" i="1" s="1"/>
  <c r="M1078" i="1"/>
  <c r="M1104" i="1" s="1"/>
  <c r="L1078" i="1"/>
  <c r="L1104" i="1" s="1"/>
  <c r="K1078" i="1"/>
  <c r="K1104" i="1" s="1"/>
  <c r="J1078" i="1"/>
  <c r="J1104" i="1" s="1"/>
  <c r="I1078" i="1"/>
  <c r="I1104" i="1" s="1"/>
  <c r="H1078" i="1"/>
  <c r="H1104" i="1" s="1"/>
  <c r="G1078" i="1"/>
  <c r="G1104" i="1" s="1"/>
  <c r="F1078" i="1"/>
  <c r="F1104" i="1" s="1"/>
  <c r="Q1076" i="1"/>
  <c r="Q1102" i="1" s="1"/>
  <c r="P1076" i="1"/>
  <c r="P1102" i="1" s="1"/>
  <c r="O1076" i="1"/>
  <c r="N1076" i="1"/>
  <c r="M1076" i="1"/>
  <c r="L1076" i="1"/>
  <c r="L1102" i="1" s="1"/>
  <c r="K1076" i="1"/>
  <c r="J1076" i="1"/>
  <c r="I1076" i="1"/>
  <c r="H1076" i="1"/>
  <c r="G1076" i="1"/>
  <c r="F1076" i="1"/>
  <c r="Q1074" i="1"/>
  <c r="P1074" i="1"/>
  <c r="O1074" i="1"/>
  <c r="N1074" i="1"/>
  <c r="M1074" i="1"/>
  <c r="L1074" i="1"/>
  <c r="L1100" i="1" s="1"/>
  <c r="K1074" i="1"/>
  <c r="K1100" i="1" s="1"/>
  <c r="J1074" i="1"/>
  <c r="I1074" i="1"/>
  <c r="I1100" i="1" s="1"/>
  <c r="H1074" i="1"/>
  <c r="H1100" i="1" s="1"/>
  <c r="G1074" i="1"/>
  <c r="G1100" i="1" s="1"/>
  <c r="F1074" i="1"/>
  <c r="F1100" i="1" s="1"/>
  <c r="Q1068" i="1"/>
  <c r="Q1094" i="1" s="1"/>
  <c r="P1068" i="1"/>
  <c r="P1094" i="1" s="1"/>
  <c r="O1068" i="1"/>
  <c r="N1068" i="1"/>
  <c r="N1094" i="1" s="1"/>
  <c r="M1068" i="1"/>
  <c r="M1094" i="1" s="1"/>
  <c r="L1068" i="1"/>
  <c r="K1068" i="1"/>
  <c r="J1068" i="1"/>
  <c r="I1068" i="1"/>
  <c r="H1068" i="1"/>
  <c r="G1068" i="1"/>
  <c r="F1068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Q1064" i="1"/>
  <c r="P1064" i="1"/>
  <c r="P1090" i="1" s="1"/>
  <c r="O1064" i="1"/>
  <c r="O1090" i="1" s="1"/>
  <c r="N1064" i="1"/>
  <c r="N1090" i="1" s="1"/>
  <c r="M1064" i="1"/>
  <c r="L1064" i="1"/>
  <c r="K1064" i="1"/>
  <c r="K1090" i="1" s="1"/>
  <c r="J1064" i="1"/>
  <c r="J1090" i="1" s="1"/>
  <c r="I1064" i="1"/>
  <c r="H1064" i="1"/>
  <c r="H1090" i="1" s="1"/>
  <c r="G1064" i="1"/>
  <c r="F1064" i="1"/>
  <c r="Q1063" i="1"/>
  <c r="P1063" i="1"/>
  <c r="O1063" i="1"/>
  <c r="O1089" i="1" s="1"/>
  <c r="N1063" i="1"/>
  <c r="N1089" i="1" s="1"/>
  <c r="M1063" i="1"/>
  <c r="M1089" i="1" s="1"/>
  <c r="L1063" i="1"/>
  <c r="K1063" i="1"/>
  <c r="K1089" i="1" s="1"/>
  <c r="J1063" i="1"/>
  <c r="J1089" i="1" s="1"/>
  <c r="I1063" i="1"/>
  <c r="I1089" i="1" s="1"/>
  <c r="H1063" i="1"/>
  <c r="H1089" i="1" s="1"/>
  <c r="G1063" i="1"/>
  <c r="F1063" i="1"/>
  <c r="F1089" i="1" s="1"/>
  <c r="Q1061" i="1"/>
  <c r="Q1087" i="1" s="1"/>
  <c r="P1061" i="1"/>
  <c r="O1061" i="1"/>
  <c r="O1087" i="1" s="1"/>
  <c r="N1061" i="1"/>
  <c r="N1087" i="1" s="1"/>
  <c r="M1061" i="1"/>
  <c r="L1061" i="1"/>
  <c r="K1061" i="1"/>
  <c r="K1087" i="1" s="1"/>
  <c r="J1061" i="1"/>
  <c r="I1061" i="1"/>
  <c r="I1087" i="1" s="1"/>
  <c r="H1061" i="1"/>
  <c r="G1061" i="1"/>
  <c r="G1087" i="1" s="1"/>
  <c r="F1061" i="1"/>
  <c r="F1087" i="1" s="1"/>
  <c r="Q1059" i="1"/>
  <c r="Q1085" i="1" s="1"/>
  <c r="P1059" i="1"/>
  <c r="P1085" i="1" s="1"/>
  <c r="O1059" i="1"/>
  <c r="N1059" i="1"/>
  <c r="M1059" i="1"/>
  <c r="L1059" i="1"/>
  <c r="K1059" i="1"/>
  <c r="J1059" i="1"/>
  <c r="I1059" i="1"/>
  <c r="H1059" i="1"/>
  <c r="G1059" i="1"/>
  <c r="F1059" i="1"/>
  <c r="F1085" i="1" s="1"/>
  <c r="Q1058" i="1"/>
  <c r="Q1084" i="1" s="1"/>
  <c r="P1058" i="1"/>
  <c r="P1084" i="1" s="1"/>
  <c r="O1058" i="1"/>
  <c r="N1058" i="1"/>
  <c r="N1084" i="1" s="1"/>
  <c r="M1058" i="1"/>
  <c r="M1084" i="1" s="1"/>
  <c r="L1058" i="1"/>
  <c r="L1084" i="1" s="1"/>
  <c r="K1058" i="1"/>
  <c r="J1058" i="1"/>
  <c r="J1084" i="1" s="1"/>
  <c r="I1058" i="1"/>
  <c r="H1058" i="1"/>
  <c r="G1058" i="1"/>
  <c r="F1058" i="1"/>
  <c r="F1084" i="1" s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Q904" i="1"/>
  <c r="Q901" i="1" s="1"/>
  <c r="P904" i="1"/>
  <c r="P901" i="1" s="1"/>
  <c r="O904" i="1"/>
  <c r="O901" i="1" s="1"/>
  <c r="N904" i="1"/>
  <c r="N901" i="1" s="1"/>
  <c r="M904" i="1"/>
  <c r="L904" i="1"/>
  <c r="K904" i="1"/>
  <c r="J904" i="1"/>
  <c r="I904" i="1"/>
  <c r="H904" i="1"/>
  <c r="G904" i="1"/>
  <c r="F904" i="1"/>
  <c r="M901" i="1"/>
  <c r="L901" i="1"/>
  <c r="K901" i="1"/>
  <c r="J901" i="1"/>
  <c r="I901" i="1"/>
  <c r="H901" i="1"/>
  <c r="G901" i="1"/>
  <c r="F901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Q895" i="1"/>
  <c r="P895" i="1"/>
  <c r="O895" i="1"/>
  <c r="N895" i="1"/>
  <c r="M895" i="1"/>
  <c r="L895" i="1"/>
  <c r="K895" i="1"/>
  <c r="J895" i="1"/>
  <c r="I895" i="1"/>
  <c r="H895" i="1"/>
  <c r="G895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M1902" i="1" a="1"/>
  <c r="M1902" i="1" s="1"/>
  <c r="P1900" i="1" a="1"/>
  <c r="P1900" i="1" s="1"/>
  <c r="J1902" i="1" a="1"/>
  <c r="J1902" i="1" s="1"/>
  <c r="P1898" i="1" a="1"/>
  <c r="P1898" i="1" s="1"/>
  <c r="P1902" i="1" a="1"/>
  <c r="P1902" i="1"/>
  <c r="L1902" i="1" a="1"/>
  <c r="L1902" i="1"/>
  <c r="N1902" i="1" a="1"/>
  <c r="N1902" i="1"/>
  <c r="F1900" i="1" a="1"/>
  <c r="F1900" i="1" s="1"/>
  <c r="M1900" i="1" a="1"/>
  <c r="M1900" i="1"/>
  <c r="H1898" i="1" a="1"/>
  <c r="H1898" i="1"/>
  <c r="O1898" i="1" a="1"/>
  <c r="O1898" i="1"/>
  <c r="O1900" i="1" a="1"/>
  <c r="O1900" i="1" s="1"/>
  <c r="Q1902" i="1" a="1"/>
  <c r="Q1902" i="1"/>
  <c r="H1902" i="1" a="1"/>
  <c r="H1902" i="1" s="1"/>
  <c r="K1898" i="1" a="1"/>
  <c r="K1898" i="1" s="1"/>
  <c r="Q1898" i="1" a="1"/>
  <c r="Q1898" i="1"/>
  <c r="N1900" i="1" a="1"/>
  <c r="N1900" i="1" s="1"/>
  <c r="K1900" i="1" a="1"/>
  <c r="K1900" i="1" s="1"/>
  <c r="I1898" i="1" a="1"/>
  <c r="I1898" i="1" s="1"/>
  <c r="G1902" i="1" a="1"/>
  <c r="G1902" i="1" s="1"/>
  <c r="G1900" i="1" a="1"/>
  <c r="G1900" i="1"/>
  <c r="G1898" i="1" a="1"/>
  <c r="G1898" i="1" s="1"/>
  <c r="I1900" i="1" a="1"/>
  <c r="I1900" i="1"/>
  <c r="L1900" i="1" a="1"/>
  <c r="L1900" i="1" s="1"/>
  <c r="Q1900" i="1" a="1"/>
  <c r="Q1900" i="1" s="1"/>
  <c r="J1898" i="1" a="1"/>
  <c r="J1898" i="1"/>
  <c r="O1902" i="1" a="1"/>
  <c r="O1902" i="1" s="1"/>
  <c r="F1902" i="1" a="1"/>
  <c r="F1902" i="1"/>
  <c r="N1898" i="1" a="1"/>
  <c r="N1898" i="1" s="1"/>
  <c r="I1902" i="1" a="1"/>
  <c r="I1902" i="1" s="1"/>
  <c r="H1900" i="1" a="1"/>
  <c r="H1900" i="1" s="1"/>
  <c r="L1898" i="1" a="1"/>
  <c r="L1898" i="1"/>
  <c r="M1898" i="1" a="1"/>
  <c r="M1898" i="1" s="1"/>
  <c r="J1900" i="1" a="1"/>
  <c r="J1900" i="1"/>
  <c r="K1902" i="1" a="1"/>
  <c r="K1902" i="1"/>
  <c r="J1894" i="1" a="1"/>
  <c r="J1894" i="1" s="1"/>
  <c r="J1893" i="1" a="1"/>
  <c r="J1893" i="1" s="1"/>
  <c r="G1896" i="1" a="1"/>
  <c r="G1896" i="1" s="1"/>
  <c r="I1894" i="1" a="1"/>
  <c r="I1894" i="1" s="1"/>
  <c r="L1892" i="1" a="1"/>
  <c r="L1892" i="1"/>
  <c r="H1894" i="1" a="1"/>
  <c r="H1894" i="1"/>
  <c r="L1893" i="1" a="1"/>
  <c r="L1893" i="1"/>
  <c r="K1892" i="1" a="1"/>
  <c r="K1892" i="1" s="1"/>
  <c r="M1896" i="1" a="1"/>
  <c r="M1896" i="1" s="1"/>
  <c r="N1892" i="1" a="1"/>
  <c r="N1892" i="1" s="1"/>
  <c r="F1893" i="1" a="1"/>
  <c r="F1893" i="1" s="1"/>
  <c r="K1894" i="1" a="1"/>
  <c r="K1894" i="1" s="1"/>
  <c r="G1893" i="1" a="1"/>
  <c r="G1893" i="1" s="1"/>
  <c r="O1890" i="1" a="1"/>
  <c r="O1890" i="1" s="1"/>
  <c r="P1890" i="1" a="1"/>
  <c r="P1890" i="1" s="1"/>
  <c r="J1892" i="1" a="1"/>
  <c r="J1892" i="1" s="1"/>
  <c r="Q1893" i="1" a="1"/>
  <c r="Q1893" i="1"/>
  <c r="P1892" i="1" a="1"/>
  <c r="P1892" i="1" s="1"/>
  <c r="N1894" i="1" a="1"/>
  <c r="N1894" i="1" s="1"/>
  <c r="F1898" i="1" a="1"/>
  <c r="F1898" i="1" s="1"/>
  <c r="K1896" i="1" a="1"/>
  <c r="K1896" i="1"/>
  <c r="P1893" i="1" a="1"/>
  <c r="P1893" i="1"/>
  <c r="F1896" i="1" a="1"/>
  <c r="F1896" i="1"/>
  <c r="F1894" i="1" a="1"/>
  <c r="F1894" i="1" s="1"/>
  <c r="I1892" i="1" a="1"/>
  <c r="I1892" i="1"/>
  <c r="H1893" i="1" a="1"/>
  <c r="H1893" i="1"/>
  <c r="Q1890" i="1" a="1"/>
  <c r="Q1890" i="1" s="1"/>
  <c r="M1892" i="1" a="1"/>
  <c r="M1892" i="1"/>
  <c r="O1892" i="1" a="1"/>
  <c r="O1892" i="1" s="1"/>
  <c r="F1892" i="1" a="1"/>
  <c r="F1892" i="1" s="1"/>
  <c r="P1894" i="1" a="1"/>
  <c r="P1894" i="1" s="1"/>
  <c r="N1896" i="1" a="1"/>
  <c r="N1896" i="1" s="1"/>
  <c r="M1894" i="1" a="1"/>
  <c r="M1894" i="1" s="1"/>
  <c r="H1896" i="1" a="1"/>
  <c r="H1896" i="1"/>
  <c r="G1892" i="1" a="1"/>
  <c r="G1892" i="1" s="1"/>
  <c r="H1892" i="1" a="1"/>
  <c r="H1892" i="1"/>
  <c r="M1893" i="1" a="1"/>
  <c r="M1893" i="1"/>
  <c r="O1896" i="1" a="1"/>
  <c r="O1896" i="1" s="1"/>
  <c r="G1894" i="1" a="1"/>
  <c r="G1894" i="1" s="1"/>
  <c r="K1893" i="1" a="1"/>
  <c r="K1893" i="1" s="1"/>
  <c r="I1893" i="1" a="1"/>
  <c r="I1893" i="1" s="1"/>
  <c r="Q1894" i="1" a="1"/>
  <c r="Q1894" i="1" s="1"/>
  <c r="Q1892" i="1" a="1"/>
  <c r="Q1892" i="1" s="1"/>
  <c r="Q1896" i="1" a="1"/>
  <c r="Q1896" i="1" s="1"/>
  <c r="P1896" i="1" a="1"/>
  <c r="P1896" i="1"/>
  <c r="L1896" i="1" a="1"/>
  <c r="L1896" i="1"/>
  <c r="O1894" i="1" a="1"/>
  <c r="O1894" i="1" s="1"/>
  <c r="J1896" i="1" a="1"/>
  <c r="J1896" i="1" s="1"/>
  <c r="O1893" i="1" a="1"/>
  <c r="O1893" i="1" s="1"/>
  <c r="I1896" i="1" a="1"/>
  <c r="I1896" i="1"/>
  <c r="L1894" i="1" a="1"/>
  <c r="L1894" i="1" s="1"/>
  <c r="N1893" i="1" a="1"/>
  <c r="N1893" i="1" s="1"/>
  <c r="I1890" i="1" a="1"/>
  <c r="I1890" i="1" s="1"/>
  <c r="O1887" i="1" a="1"/>
  <c r="O1887" i="1"/>
  <c r="N1888" i="1" a="1"/>
  <c r="N1888" i="1"/>
  <c r="H1890" i="1" a="1"/>
  <c r="H1890" i="1" s="1"/>
  <c r="Q1884" i="1" a="1"/>
  <c r="Q1884" i="1"/>
  <c r="F1890" i="1" a="1"/>
  <c r="F1890" i="1" s="1"/>
  <c r="G1888" i="1" a="1"/>
  <c r="G1888" i="1" s="1"/>
  <c r="L1884" i="1" a="1"/>
  <c r="L1884" i="1"/>
  <c r="J1884" i="1" a="1"/>
  <c r="J1884" i="1"/>
  <c r="J1887" i="1" a="1"/>
  <c r="J1887" i="1" s="1"/>
  <c r="G1887" i="1" a="1"/>
  <c r="G1887" i="1" s="1"/>
  <c r="G1884" i="1" a="1"/>
  <c r="G1884" i="1" s="1"/>
  <c r="O1884" i="1" a="1"/>
  <c r="O1884" i="1" s="1"/>
  <c r="K1884" i="1" a="1"/>
  <c r="K1884" i="1" s="1"/>
  <c r="F1888" i="1" a="1"/>
  <c r="F1888" i="1" s="1"/>
  <c r="P1887" i="1" a="1"/>
  <c r="P1887" i="1" s="1"/>
  <c r="F1884" i="1" a="1"/>
  <c r="F1884" i="1" s="1"/>
  <c r="G1890" i="1" a="1"/>
  <c r="G1890" i="1" s="1"/>
  <c r="M1884" i="1" a="1"/>
  <c r="M1884" i="1" s="1"/>
  <c r="I1884" i="1" a="1"/>
  <c r="I1884" i="1"/>
  <c r="P1882" i="1" a="1"/>
  <c r="P1882" i="1" s="1"/>
  <c r="K1888" i="1" a="1"/>
  <c r="K1888" i="1"/>
  <c r="N1887" i="1" a="1"/>
  <c r="N1887" i="1"/>
  <c r="J1888" i="1" a="1"/>
  <c r="J1888" i="1"/>
  <c r="N1890" i="1" a="1"/>
  <c r="N1890" i="1" s="1"/>
  <c r="M1890" i="1" a="1"/>
  <c r="M1890" i="1" s="1"/>
  <c r="L1890" i="1" a="1"/>
  <c r="L1890" i="1" s="1"/>
  <c r="K1887" i="1" a="1"/>
  <c r="K1887" i="1" s="1"/>
  <c r="K1890" i="1" a="1"/>
  <c r="K1890" i="1" s="1"/>
  <c r="H1884" i="1" a="1"/>
  <c r="H1884" i="1" s="1"/>
  <c r="O1882" i="1" a="1"/>
  <c r="O1882" i="1"/>
  <c r="Q1882" i="1" a="1"/>
  <c r="Q1882" i="1"/>
  <c r="Q1887" i="1" a="1"/>
  <c r="Q1887" i="1" s="1"/>
  <c r="Q1888" i="1" a="1"/>
  <c r="Q1888" i="1"/>
  <c r="P1888" i="1" a="1"/>
  <c r="P1888" i="1"/>
  <c r="M1888" i="1" a="1"/>
  <c r="M1888" i="1" s="1"/>
  <c r="F1887" i="1" a="1"/>
  <c r="F1887" i="1" s="1"/>
  <c r="L1888" i="1" a="1"/>
  <c r="L1888" i="1"/>
  <c r="I1887" i="1" a="1"/>
  <c r="I1887" i="1"/>
  <c r="N1882" i="1" a="1"/>
  <c r="N1882" i="1"/>
  <c r="P1884" i="1" a="1"/>
  <c r="P1884" i="1" s="1"/>
  <c r="J1890" i="1" a="1"/>
  <c r="J1890" i="1" s="1"/>
  <c r="O1888" i="1" a="1"/>
  <c r="O1888" i="1" s="1"/>
  <c r="I1888" i="1" a="1"/>
  <c r="I1888" i="1" s="1"/>
  <c r="H1888" i="1" a="1"/>
  <c r="H1888" i="1" s="1"/>
  <c r="M1887" i="1" a="1"/>
  <c r="M1887" i="1" s="1"/>
  <c r="L1887" i="1" a="1"/>
  <c r="L1887" i="1" s="1"/>
  <c r="H1887" i="1" a="1"/>
  <c r="H1887" i="1" s="1"/>
  <c r="N1884" i="1" a="1"/>
  <c r="N1884" i="1" s="1"/>
  <c r="I1880" i="1" a="1"/>
  <c r="I1880" i="1" s="1"/>
  <c r="H1880" i="1" a="1"/>
  <c r="H1880" i="1"/>
  <c r="H1874" i="1" a="1"/>
  <c r="H1874" i="1"/>
  <c r="F1880" i="1" a="1"/>
  <c r="F1880" i="1"/>
  <c r="O1878" i="1" a="1"/>
  <c r="O1878" i="1"/>
  <c r="K1876" i="1" a="1"/>
  <c r="K1876" i="1" s="1"/>
  <c r="P1872" i="1" a="1"/>
  <c r="P1872" i="1" s="1"/>
  <c r="G1876" i="1" a="1"/>
  <c r="G1876" i="1"/>
  <c r="O1874" i="1" a="1"/>
  <c r="O1874" i="1" s="1"/>
  <c r="M1874" i="1" a="1"/>
  <c r="M1874" i="1" s="1"/>
  <c r="Q1872" i="1" a="1"/>
  <c r="Q1872" i="1"/>
  <c r="H1876" i="1" a="1"/>
  <c r="H1876" i="1"/>
  <c r="M1876" i="1" a="1"/>
  <c r="M1876" i="1" s="1"/>
  <c r="N1876" i="1" a="1"/>
  <c r="N1876" i="1"/>
  <c r="J1876" i="1" a="1"/>
  <c r="J1876" i="1" s="1"/>
  <c r="K1878" i="1" a="1"/>
  <c r="K1878" i="1" s="1"/>
  <c r="H1878" i="1" a="1"/>
  <c r="H1878" i="1"/>
  <c r="G1878" i="1" a="1"/>
  <c r="G1878" i="1" s="1"/>
  <c r="Q1874" i="1" a="1"/>
  <c r="Q1874" i="1"/>
  <c r="Q1876" i="1" a="1"/>
  <c r="Q1876" i="1"/>
  <c r="I1876" i="1" a="1"/>
  <c r="I1876" i="1" s="1"/>
  <c r="G1874" i="1" a="1"/>
  <c r="G1874" i="1"/>
  <c r="P1878" i="1" a="1"/>
  <c r="P1878" i="1" s="1"/>
  <c r="Q1878" i="1" a="1"/>
  <c r="Q1878" i="1"/>
  <c r="L1876" i="1" a="1"/>
  <c r="L1876" i="1" s="1"/>
  <c r="M1882" i="1" a="1"/>
  <c r="M1882" i="1" s="1"/>
  <c r="P1880" i="1" a="1"/>
  <c r="P1880" i="1" s="1"/>
  <c r="L1878" i="1" a="1"/>
  <c r="L1878" i="1" s="1"/>
  <c r="J1874" i="1" a="1"/>
  <c r="J1874" i="1" s="1"/>
  <c r="P1876" i="1" a="1"/>
  <c r="P1876" i="1"/>
  <c r="L1882" i="1" a="1"/>
  <c r="L1882" i="1" s="1"/>
  <c r="K1882" i="1" a="1"/>
  <c r="K1882" i="1" s="1"/>
  <c r="K1880" i="1" a="1"/>
  <c r="K1880" i="1"/>
  <c r="M1878" i="1" a="1"/>
  <c r="M1878" i="1"/>
  <c r="J1878" i="1" a="1"/>
  <c r="J1878" i="1" s="1"/>
  <c r="O1876" i="1" a="1"/>
  <c r="O1876" i="1"/>
  <c r="F1876" i="1" a="1"/>
  <c r="F1876" i="1" s="1"/>
  <c r="P1874" i="1" a="1"/>
  <c r="P1874" i="1" s="1"/>
  <c r="K1874" i="1" a="1"/>
  <c r="K1874" i="1" s="1"/>
  <c r="F1874" i="1" a="1"/>
  <c r="F1874" i="1"/>
  <c r="I1874" i="1" a="1"/>
  <c r="I1874" i="1"/>
  <c r="J1882" i="1" a="1"/>
  <c r="J1882" i="1" s="1"/>
  <c r="G1882" i="1" a="1"/>
  <c r="G1882" i="1"/>
  <c r="I1882" i="1" a="1"/>
  <c r="I1882" i="1" s="1"/>
  <c r="H1882" i="1" a="1"/>
  <c r="H1882" i="1" s="1"/>
  <c r="L1874" i="1" a="1"/>
  <c r="L1874" i="1" s="1"/>
  <c r="F1882" i="1" a="1"/>
  <c r="F1882" i="1" s="1"/>
  <c r="O1872" i="1" a="1"/>
  <c r="O1872" i="1"/>
  <c r="N1880" i="1" a="1"/>
  <c r="N1880" i="1" s="1"/>
  <c r="G1880" i="1" a="1"/>
  <c r="G1880" i="1" s="1"/>
  <c r="I1878" i="1" a="1"/>
  <c r="I1878" i="1"/>
  <c r="F1878" i="1" a="1"/>
  <c r="F1878" i="1"/>
  <c r="N1874" i="1" a="1"/>
  <c r="N1874" i="1" s="1"/>
  <c r="L1880" i="1" a="1"/>
  <c r="L1880" i="1" s="1"/>
  <c r="Q1880" i="1" a="1"/>
  <c r="Q1880" i="1" s="1"/>
  <c r="O1880" i="1" a="1"/>
  <c r="O1880" i="1" s="1"/>
  <c r="M1880" i="1" a="1"/>
  <c r="M1880" i="1" s="1"/>
  <c r="N1878" i="1" a="1"/>
  <c r="N1878" i="1" s="1"/>
  <c r="J1880" i="1" a="1"/>
  <c r="J1880" i="1" s="1"/>
  <c r="G1871" i="1" a="1"/>
  <c r="G1871" i="1" s="1"/>
  <c r="M1870" i="1" a="1"/>
  <c r="M1870" i="1"/>
  <c r="F1868" i="1" a="1"/>
  <c r="F1868" i="1" s="1"/>
  <c r="I1867" i="1" a="1"/>
  <c r="I1867" i="1" s="1"/>
  <c r="M1872" i="1" a="1"/>
  <c r="M1872" i="1" s="1"/>
  <c r="K1870" i="1" a="1"/>
  <c r="K1870" i="1"/>
  <c r="L1872" i="1" a="1"/>
  <c r="L1872" i="1"/>
  <c r="K1872" i="1" a="1"/>
  <c r="K1872" i="1"/>
  <c r="H1872" i="1" a="1"/>
  <c r="H1872" i="1" s="1"/>
  <c r="J1868" i="1" a="1"/>
  <c r="J1868" i="1"/>
  <c r="N1871" i="1" a="1"/>
  <c r="N1871" i="1"/>
  <c r="I1871" i="1" a="1"/>
  <c r="I1871" i="1" s="1"/>
  <c r="Q1871" i="1" a="1"/>
  <c r="Q1871" i="1"/>
  <c r="L1870" i="1" a="1"/>
  <c r="L1870" i="1"/>
  <c r="K1868" i="1" a="1"/>
  <c r="K1868" i="1"/>
  <c r="G1867" i="1" a="1"/>
  <c r="G1867" i="1"/>
  <c r="J1870" i="1" a="1"/>
  <c r="J1870" i="1"/>
  <c r="G1872" i="1" a="1"/>
  <c r="G1872" i="1" s="1"/>
  <c r="Q1865" i="1" a="1"/>
  <c r="Q1865" i="1" s="1"/>
  <c r="L1871" i="1" a="1"/>
  <c r="L1871" i="1" s="1"/>
  <c r="P1871" i="1" a="1"/>
  <c r="P1871" i="1" s="1"/>
  <c r="O1871" i="1" a="1"/>
  <c r="O1871" i="1"/>
  <c r="Q1870" i="1" a="1"/>
  <c r="Q1870" i="1"/>
  <c r="I1868" i="1" a="1"/>
  <c r="I1868" i="1" s="1"/>
  <c r="H1868" i="1" a="1"/>
  <c r="H1868" i="1" s="1"/>
  <c r="F1867" i="1" a="1"/>
  <c r="F1867" i="1" s="1"/>
  <c r="O1867" i="1" a="1"/>
  <c r="O1867" i="1" s="1"/>
  <c r="O1870" i="1" a="1"/>
  <c r="O1870" i="1"/>
  <c r="P1868" i="1" a="1"/>
  <c r="P1868" i="1" s="1"/>
  <c r="L1867" i="1" a="1"/>
  <c r="L1867" i="1" s="1"/>
  <c r="J1867" i="1" a="1"/>
  <c r="J1867" i="1" s="1"/>
  <c r="H1867" i="1" a="1"/>
  <c r="H1867" i="1" s="1"/>
  <c r="Q1868" i="1" a="1"/>
  <c r="Q1868" i="1" s="1"/>
  <c r="L1868" i="1" a="1"/>
  <c r="L1868" i="1"/>
  <c r="I1870" i="1" a="1"/>
  <c r="I1870" i="1"/>
  <c r="I1872" i="1" a="1"/>
  <c r="I1872" i="1" s="1"/>
  <c r="K1871" i="1" a="1"/>
  <c r="K1871" i="1" s="1"/>
  <c r="J1871" i="1" a="1"/>
  <c r="J1871" i="1"/>
  <c r="F1870" i="1" a="1"/>
  <c r="F1870" i="1"/>
  <c r="O1868" i="1" a="1"/>
  <c r="O1868" i="1"/>
  <c r="M1868" i="1" a="1"/>
  <c r="M1868" i="1" s="1"/>
  <c r="G1868" i="1" a="1"/>
  <c r="G1868" i="1"/>
  <c r="P1867" i="1" a="1"/>
  <c r="P1867" i="1"/>
  <c r="M1867" i="1" a="1"/>
  <c r="M1867" i="1" s="1"/>
  <c r="N1867" i="1" a="1"/>
  <c r="N1867" i="1" s="1"/>
  <c r="M1871" i="1" a="1"/>
  <c r="M1871" i="1" s="1"/>
  <c r="Q1867" i="1" a="1"/>
  <c r="Q1867" i="1" s="1"/>
  <c r="N1868" i="1" a="1"/>
  <c r="N1868" i="1"/>
  <c r="G1870" i="1" a="1"/>
  <c r="G1870" i="1" s="1"/>
  <c r="F1871" i="1" a="1"/>
  <c r="F1871" i="1"/>
  <c r="H1870" i="1" a="1"/>
  <c r="H1870" i="1" s="1"/>
  <c r="N1872" i="1" a="1"/>
  <c r="N1872" i="1" s="1"/>
  <c r="J1872" i="1" a="1"/>
  <c r="J1872" i="1" s="1"/>
  <c r="K1867" i="1" a="1"/>
  <c r="K1867" i="1" s="1"/>
  <c r="F1872" i="1" a="1"/>
  <c r="F1872" i="1" s="1"/>
  <c r="N1870" i="1" a="1"/>
  <c r="N1870" i="1" s="1"/>
  <c r="H1871" i="1" a="1"/>
  <c r="H1871" i="1" s="1"/>
  <c r="P1870" i="1" a="1"/>
  <c r="P1870" i="1" s="1"/>
  <c r="F1865" i="1" a="1"/>
  <c r="F1865" i="1" s="1"/>
  <c r="P1864" i="1" a="1"/>
  <c r="P1864" i="1" s="1"/>
  <c r="G1864" i="1" a="1"/>
  <c r="G1864" i="1"/>
  <c r="O1861" i="1" a="1"/>
  <c r="O1861" i="1"/>
  <c r="M1859" i="1" a="1"/>
  <c r="M1859" i="1"/>
  <c r="O1864" i="1" a="1"/>
  <c r="O1864" i="1"/>
  <c r="M1864" i="1" a="1"/>
  <c r="M1864" i="1" s="1"/>
  <c r="J1864" i="1" a="1"/>
  <c r="J1864" i="1"/>
  <c r="N1861" i="1" a="1"/>
  <c r="N1861" i="1" s="1"/>
  <c r="Q1859" i="1" a="1"/>
  <c r="Q1859" i="1"/>
  <c r="J1859" i="1" a="1"/>
  <c r="J1859" i="1"/>
  <c r="O1859" i="1" a="1"/>
  <c r="O1859" i="1" s="1"/>
  <c r="L1864" i="1" a="1"/>
  <c r="L1864" i="1"/>
  <c r="I1864" i="1" a="1"/>
  <c r="I1864" i="1"/>
  <c r="P1859" i="1" a="1"/>
  <c r="P1859" i="1"/>
  <c r="K1859" i="1" a="1"/>
  <c r="K1859" i="1" s="1"/>
  <c r="H1861" i="1" a="1"/>
  <c r="H1861" i="1"/>
  <c r="O1865" i="1" a="1"/>
  <c r="O1865" i="1" s="1"/>
  <c r="L1865" i="1" a="1"/>
  <c r="L1865" i="1" s="1"/>
  <c r="L1861" i="1" a="1"/>
  <c r="L1861" i="1"/>
  <c r="Q1864" i="1" a="1"/>
  <c r="Q1864" i="1" s="1"/>
  <c r="H1859" i="1" a="1"/>
  <c r="H1859" i="1" s="1"/>
  <c r="N1864" i="1" a="1"/>
  <c r="N1864" i="1"/>
  <c r="K1864" i="1" a="1"/>
  <c r="K1864" i="1" s="1"/>
  <c r="M1861" i="1" a="1"/>
  <c r="M1861" i="1" s="1"/>
  <c r="G1859" i="1" a="1"/>
  <c r="G1859" i="1" s="1"/>
  <c r="P1861" i="1" a="1"/>
  <c r="P1861" i="1" s="1"/>
  <c r="F1864" i="1" a="1"/>
  <c r="F1864" i="1"/>
  <c r="K1861" i="1" a="1"/>
  <c r="K1861" i="1" s="1"/>
  <c r="Q1861" i="1" a="1"/>
  <c r="Q1861" i="1" s="1"/>
  <c r="F1861" i="1" a="1"/>
  <c r="F1861" i="1" s="1"/>
  <c r="I1859" i="1" a="1"/>
  <c r="I1859" i="1" s="1"/>
  <c r="N1859" i="1" a="1"/>
  <c r="N1859" i="1" s="1"/>
  <c r="F1859" i="1" a="1"/>
  <c r="F1859" i="1" s="1"/>
  <c r="P1865" i="1" a="1"/>
  <c r="P1865" i="1"/>
  <c r="J1861" i="1" a="1"/>
  <c r="J1861" i="1" s="1"/>
  <c r="G1861" i="1" a="1"/>
  <c r="G1861" i="1" s="1"/>
  <c r="K1865" i="1" a="1"/>
  <c r="K1865" i="1" s="1"/>
  <c r="N1865" i="1" a="1"/>
  <c r="N1865" i="1"/>
  <c r="I1861" i="1" a="1"/>
  <c r="I1861" i="1"/>
  <c r="J1865" i="1" a="1"/>
  <c r="J1865" i="1" s="1"/>
  <c r="M1865" i="1" a="1"/>
  <c r="M1865" i="1"/>
  <c r="I1865" i="1" a="1"/>
  <c r="I1865" i="1" s="1"/>
  <c r="H1864" i="1" a="1"/>
  <c r="H1864" i="1" s="1"/>
  <c r="H1865" i="1" a="1"/>
  <c r="H1865" i="1"/>
  <c r="L1859" i="1" a="1"/>
  <c r="L1859" i="1"/>
  <c r="G1865" i="1" a="1"/>
  <c r="G1865" i="1" s="1"/>
  <c r="M1851" i="1" a="1"/>
  <c r="M1851" i="1" s="1"/>
  <c r="Q1853" i="1" a="1"/>
  <c r="Q1853" i="1"/>
  <c r="P1851" i="1" a="1"/>
  <c r="P1851" i="1" s="1"/>
  <c r="P1857" i="1" a="1"/>
  <c r="P1857" i="1"/>
  <c r="O1855" i="1" a="1"/>
  <c r="O1855" i="1" s="1"/>
  <c r="F1855" i="1" a="1"/>
  <c r="F1855" i="1" s="1"/>
  <c r="M1853" i="1" a="1"/>
  <c r="M1853" i="1" s="1"/>
  <c r="Q1851" i="1" a="1"/>
  <c r="Q1851" i="1" s="1"/>
  <c r="N1857" i="1" a="1"/>
  <c r="N1857" i="1" s="1"/>
  <c r="M1857" i="1" a="1"/>
  <c r="M1857" i="1"/>
  <c r="K1857" i="1" a="1"/>
  <c r="K1857" i="1" s="1"/>
  <c r="G1855" i="1" a="1"/>
  <c r="G1855" i="1" s="1"/>
  <c r="H1857" i="1" a="1"/>
  <c r="H1857" i="1" s="1"/>
  <c r="O1851" i="1" a="1"/>
  <c r="O1851" i="1" s="1"/>
  <c r="L1855" i="1" a="1"/>
  <c r="L1855" i="1"/>
  <c r="G1857" i="1" a="1"/>
  <c r="G1857" i="1" s="1"/>
  <c r="N1851" i="1" a="1"/>
  <c r="N1851" i="1"/>
  <c r="K1853" i="1" a="1"/>
  <c r="K1853" i="1"/>
  <c r="F1853" i="1" a="1"/>
  <c r="F1853" i="1"/>
  <c r="F1857" i="1" a="1"/>
  <c r="F1857" i="1"/>
  <c r="N1855" i="1" a="1"/>
  <c r="N1855" i="1"/>
  <c r="J1857" i="1" a="1"/>
  <c r="J1857" i="1"/>
  <c r="M1855" i="1" a="1"/>
  <c r="M1855" i="1" s="1"/>
  <c r="K1855" i="1" a="1"/>
  <c r="K1855" i="1"/>
  <c r="L1853" i="1" a="1"/>
  <c r="L1853" i="1" s="1"/>
  <c r="J1853" i="1" a="1"/>
  <c r="J1853" i="1" s="1"/>
  <c r="J1855" i="1" a="1"/>
  <c r="J1855" i="1" s="1"/>
  <c r="I1855" i="1" a="1"/>
  <c r="I1855" i="1" s="1"/>
  <c r="P1853" i="1" a="1"/>
  <c r="P1853" i="1" s="1"/>
  <c r="H1855" i="1" a="1"/>
  <c r="H1855" i="1"/>
  <c r="I1853" i="1" a="1"/>
  <c r="I1853" i="1" s="1"/>
  <c r="P1855" i="1" a="1"/>
  <c r="P1855" i="1"/>
  <c r="G1853" i="1" a="1"/>
  <c r="G1853" i="1"/>
  <c r="O1857" i="1" a="1"/>
  <c r="O1857" i="1"/>
  <c r="I1857" i="1" a="1"/>
  <c r="I1857" i="1" s="1"/>
  <c r="H1853" i="1" a="1"/>
  <c r="H1853" i="1" s="1"/>
  <c r="Q1855" i="1" a="1"/>
  <c r="Q1855" i="1" s="1"/>
  <c r="N1853" i="1" a="1"/>
  <c r="N1853" i="1" s="1"/>
  <c r="Q1857" i="1" a="1"/>
  <c r="Q1857" i="1" s="1"/>
  <c r="L1857" i="1" a="1"/>
  <c r="L1857" i="1" s="1"/>
  <c r="O1853" i="1" a="1"/>
  <c r="O1853" i="1"/>
  <c r="P1846" i="1" a="1"/>
  <c r="P1846" i="1" s="1"/>
  <c r="N1845" i="1" a="1"/>
  <c r="N1845" i="1" s="1"/>
  <c r="M1848" i="1" a="1"/>
  <c r="M1848" i="1"/>
  <c r="H1846" i="1" a="1"/>
  <c r="H1846" i="1"/>
  <c r="M1846" i="1" a="1"/>
  <c r="M1846" i="1"/>
  <c r="L1846" i="1" a="1"/>
  <c r="L1846" i="1" s="1"/>
  <c r="K1846" i="1" a="1"/>
  <c r="K1846" i="1" s="1"/>
  <c r="G1848" i="1" a="1"/>
  <c r="G1848" i="1"/>
  <c r="F1848" i="1" a="1"/>
  <c r="F1848" i="1"/>
  <c r="L1850" i="1" a="1"/>
  <c r="L1850" i="1"/>
  <c r="P1845" i="1" a="1"/>
  <c r="P1845" i="1" s="1"/>
  <c r="O1848" i="1" a="1"/>
  <c r="O1848" i="1" s="1"/>
  <c r="L1851" i="1" a="1"/>
  <c r="L1851" i="1" s="1"/>
  <c r="K1851" i="1" a="1"/>
  <c r="K1851" i="1" s="1"/>
  <c r="J1851" i="1" a="1"/>
  <c r="J1851" i="1"/>
  <c r="O1850" i="1" a="1"/>
  <c r="O1850" i="1"/>
  <c r="G1851" i="1" a="1"/>
  <c r="G1851" i="1" s="1"/>
  <c r="L1848" i="1" a="1"/>
  <c r="L1848" i="1"/>
  <c r="O1845" i="1" a="1"/>
  <c r="O1845" i="1"/>
  <c r="F1851" i="1" a="1"/>
  <c r="F1851" i="1"/>
  <c r="J1850" i="1" a="1"/>
  <c r="J1850" i="1"/>
  <c r="K1850" i="1" a="1"/>
  <c r="K1850" i="1"/>
  <c r="I1851" i="1" a="1"/>
  <c r="I1851" i="1" s="1"/>
  <c r="Q1850" i="1" a="1"/>
  <c r="Q1850" i="1" s="1"/>
  <c r="N1850" i="1" a="1"/>
  <c r="N1850" i="1" s="1"/>
  <c r="I1850" i="1" a="1"/>
  <c r="I1850" i="1" s="1"/>
  <c r="N1848" i="1" a="1"/>
  <c r="N1848" i="1"/>
  <c r="Q1845" i="1" a="1"/>
  <c r="Q1845" i="1"/>
  <c r="H1848" i="1" a="1"/>
  <c r="H1848" i="1"/>
  <c r="H1851" i="1" a="1"/>
  <c r="H1851" i="1"/>
  <c r="G1846" i="1" a="1"/>
  <c r="G1846" i="1" s="1"/>
  <c r="Q1848" i="1" a="1"/>
  <c r="Q1848" i="1"/>
  <c r="N1846" i="1" a="1"/>
  <c r="N1846" i="1" s="1"/>
  <c r="P1850" i="1" a="1"/>
  <c r="P1850" i="1" s="1"/>
  <c r="M1850" i="1" a="1"/>
  <c r="M1850" i="1"/>
  <c r="H1850" i="1" a="1"/>
  <c r="H1850" i="1"/>
  <c r="P1848" i="1" a="1"/>
  <c r="P1848" i="1" s="1"/>
  <c r="F1846" i="1" a="1"/>
  <c r="F1846" i="1"/>
  <c r="G1850" i="1" a="1"/>
  <c r="G1850" i="1"/>
  <c r="F1850" i="1" a="1"/>
  <c r="F1850" i="1" s="1"/>
  <c r="K1848" i="1" a="1"/>
  <c r="K1848" i="1" s="1"/>
  <c r="Q1846" i="1" a="1"/>
  <c r="Q1846" i="1" s="1"/>
  <c r="I1848" i="1" a="1"/>
  <c r="I1848" i="1"/>
  <c r="O1846" i="1" a="1"/>
  <c r="O1846" i="1" s="1"/>
  <c r="I1846" i="1" a="1"/>
  <c r="I1846" i="1"/>
  <c r="J1848" i="1" a="1"/>
  <c r="J1848" i="1"/>
  <c r="J1846" i="1" a="1"/>
  <c r="J1846" i="1" s="1"/>
  <c r="P1842" i="1" a="1"/>
  <c r="P1842" i="1" s="1"/>
  <c r="J1842" i="1" a="1"/>
  <c r="J1842" i="1" s="1"/>
  <c r="K1840" i="1" a="1"/>
  <c r="K1840" i="1"/>
  <c r="H1842" i="1" a="1"/>
  <c r="H1842" i="1" s="1"/>
  <c r="P1840" i="1" a="1"/>
  <c r="P1840" i="1" s="1"/>
  <c r="J1838" i="1" a="1"/>
  <c r="J1838" i="1" s="1"/>
  <c r="I1840" i="1" a="1"/>
  <c r="I1840" i="1" s="1"/>
  <c r="O1838" i="1" a="1"/>
  <c r="O1838" i="1" s="1"/>
  <c r="Q1838" i="1" a="1"/>
  <c r="Q1838" i="1"/>
  <c r="K1838" i="1" a="1"/>
  <c r="K1838" i="1" s="1"/>
  <c r="M1838" i="1" a="1"/>
  <c r="M1838" i="1" s="1"/>
  <c r="G1838" i="1" a="1"/>
  <c r="G1838" i="1"/>
  <c r="P1838" i="1" a="1"/>
  <c r="P1838" i="1"/>
  <c r="H1840" i="1" a="1"/>
  <c r="H1840" i="1"/>
  <c r="N1840" i="1" a="1"/>
  <c r="N1840" i="1" s="1"/>
  <c r="L1840" i="1" a="1"/>
  <c r="L1840" i="1" s="1"/>
  <c r="F1840" i="1" a="1"/>
  <c r="F1840" i="1" s="1"/>
  <c r="M1845" i="1" a="1"/>
  <c r="M1845" i="1" s="1"/>
  <c r="F1842" i="1" a="1"/>
  <c r="F1842" i="1"/>
  <c r="L1842" i="1" a="1"/>
  <c r="L1842" i="1"/>
  <c r="L1845" i="1" a="1"/>
  <c r="L1845" i="1" s="1"/>
  <c r="K1845" i="1" a="1"/>
  <c r="K1845" i="1" s="1"/>
  <c r="G1840" i="1" a="1"/>
  <c r="G1840" i="1" s="1"/>
  <c r="N1838" i="1" a="1"/>
  <c r="N1838" i="1"/>
  <c r="J1845" i="1" a="1"/>
  <c r="J1845" i="1" s="1"/>
  <c r="I1845" i="1" a="1"/>
  <c r="I1845" i="1" s="1"/>
  <c r="O1840" i="1" a="1"/>
  <c r="O1840" i="1" s="1"/>
  <c r="H1838" i="1" a="1"/>
  <c r="H1838" i="1"/>
  <c r="L1838" i="1" a="1"/>
  <c r="L1838" i="1" s="1"/>
  <c r="H1845" i="1" a="1"/>
  <c r="H1845" i="1"/>
  <c r="F1845" i="1" a="1"/>
  <c r="F1845" i="1" s="1"/>
  <c r="G1845" i="1" a="1"/>
  <c r="G1845" i="1" s="1"/>
  <c r="G1842" i="1" a="1"/>
  <c r="G1842" i="1" s="1"/>
  <c r="O1842" i="1" a="1"/>
  <c r="O1842" i="1" s="1"/>
  <c r="I1842" i="1" a="1"/>
  <c r="I1842" i="1" s="1"/>
  <c r="N1842" i="1" a="1"/>
  <c r="N1842" i="1"/>
  <c r="K1842" i="1" a="1"/>
  <c r="K1842" i="1" s="1"/>
  <c r="Q1842" i="1" a="1"/>
  <c r="Q1842" i="1"/>
  <c r="I1838" i="1" a="1"/>
  <c r="I1838" i="1" s="1"/>
  <c r="Q1840" i="1" a="1"/>
  <c r="Q1840" i="1" s="1"/>
  <c r="J1840" i="1" a="1"/>
  <c r="J1840" i="1" s="1"/>
  <c r="M1842" i="1" a="1"/>
  <c r="M1842" i="1"/>
  <c r="M1840" i="1" a="1"/>
  <c r="M1840" i="1"/>
  <c r="J1832" i="1" a="1"/>
  <c r="J1832" i="1"/>
  <c r="F1836" i="1" a="1"/>
  <c r="F1836" i="1" s="1"/>
  <c r="H1836" i="1" a="1"/>
  <c r="H1836" i="1" s="1"/>
  <c r="G1834" i="1" a="1"/>
  <c r="G1834" i="1" s="1"/>
  <c r="O1834" i="1" a="1"/>
  <c r="O1834" i="1" s="1"/>
  <c r="M1834" i="1" a="1"/>
  <c r="M1834" i="1" s="1"/>
  <c r="F1831" i="1" a="1"/>
  <c r="F1831" i="1" s="1"/>
  <c r="P1829" i="1" a="1"/>
  <c r="P1829" i="1" s="1"/>
  <c r="I1832" i="1" a="1"/>
  <c r="I1832" i="1" s="1"/>
  <c r="J1834" i="1" a="1"/>
  <c r="J1834" i="1"/>
  <c r="G1836" i="1" a="1"/>
  <c r="G1836" i="1" s="1"/>
  <c r="I1834" i="1" a="1"/>
  <c r="I1834" i="1"/>
  <c r="H1832" i="1" a="1"/>
  <c r="H1832" i="1"/>
  <c r="L1831" i="1" a="1"/>
  <c r="L1831" i="1"/>
  <c r="O1831" i="1" a="1"/>
  <c r="O1831" i="1" s="1"/>
  <c r="G1831" i="1" a="1"/>
  <c r="G1831" i="1" s="1"/>
  <c r="Q1831" i="1" a="1"/>
  <c r="Q1831" i="1" s="1"/>
  <c r="O1832" i="1" a="1"/>
  <c r="O1832" i="1"/>
  <c r="G1832" i="1" a="1"/>
  <c r="G1832" i="1"/>
  <c r="N1834" i="1" a="1"/>
  <c r="N1834" i="1" s="1"/>
  <c r="L1832" i="1" a="1"/>
  <c r="L1832" i="1" s="1"/>
  <c r="P1834" i="1" a="1"/>
  <c r="P1834" i="1"/>
  <c r="I1831" i="1" a="1"/>
  <c r="I1831" i="1" s="1"/>
  <c r="P1836" i="1" a="1"/>
  <c r="P1836" i="1"/>
  <c r="N1836" i="1" a="1"/>
  <c r="N1836" i="1" s="1"/>
  <c r="Q1836" i="1" a="1"/>
  <c r="Q1836" i="1"/>
  <c r="J1836" i="1" a="1"/>
  <c r="J1836" i="1" s="1"/>
  <c r="L1834" i="1" a="1"/>
  <c r="L1834" i="1" s="1"/>
  <c r="F1832" i="1" a="1"/>
  <c r="F1832" i="1" s="1"/>
  <c r="K1831" i="1" a="1"/>
  <c r="K1831" i="1" s="1"/>
  <c r="F1834" i="1" a="1"/>
  <c r="F1834" i="1"/>
  <c r="F1838" i="1" a="1"/>
  <c r="F1838" i="1"/>
  <c r="O1836" i="1" a="1"/>
  <c r="O1836" i="1"/>
  <c r="Q1832" i="1" a="1"/>
  <c r="Q1832" i="1" s="1"/>
  <c r="Q1829" i="1" a="1"/>
  <c r="Q1829" i="1"/>
  <c r="M1836" i="1" a="1"/>
  <c r="M1836" i="1" s="1"/>
  <c r="H1834" i="1" a="1"/>
  <c r="H1834" i="1" s="1"/>
  <c r="N1831" i="1" a="1"/>
  <c r="N1831" i="1" s="1"/>
  <c r="K1836" i="1" a="1"/>
  <c r="K1836" i="1" s="1"/>
  <c r="Q1834" i="1" a="1"/>
  <c r="Q1834" i="1"/>
  <c r="J1831" i="1" a="1"/>
  <c r="J1831" i="1" s="1"/>
  <c r="K1832" i="1" a="1"/>
  <c r="K1832" i="1"/>
  <c r="M1831" i="1" a="1"/>
  <c r="M1831" i="1" s="1"/>
  <c r="H1831" i="1" a="1"/>
  <c r="H1831" i="1"/>
  <c r="P1832" i="1" a="1"/>
  <c r="P1832" i="1"/>
  <c r="P1831" i="1" a="1"/>
  <c r="P1831" i="1"/>
  <c r="I1836" i="1" a="1"/>
  <c r="I1836" i="1" s="1"/>
  <c r="M1832" i="1" a="1"/>
  <c r="M1832" i="1" s="1"/>
  <c r="K1834" i="1" a="1"/>
  <c r="K1834" i="1"/>
  <c r="N1832" i="1" a="1"/>
  <c r="N1832" i="1"/>
  <c r="L1836" i="1" a="1"/>
  <c r="L1836" i="1"/>
  <c r="M1827" i="1" a="1"/>
  <c r="M1827" i="1" s="1"/>
  <c r="N1829" i="1" a="1"/>
  <c r="N1829" i="1"/>
  <c r="L1829" i="1" a="1"/>
  <c r="L1829" i="1" s="1"/>
  <c r="K1829" i="1" a="1"/>
  <c r="K1829" i="1"/>
  <c r="I1829" i="1" a="1"/>
  <c r="I1829" i="1"/>
  <c r="H1829" i="1" a="1"/>
  <c r="H1829" i="1" s="1"/>
  <c r="G1829" i="1" a="1"/>
  <c r="G1829" i="1"/>
  <c r="F1829" i="1" a="1"/>
  <c r="F1829" i="1" s="1"/>
  <c r="Q1827" i="1" a="1"/>
  <c r="Q1827" i="1" s="1"/>
  <c r="I1826" i="1" a="1"/>
  <c r="I1826" i="1" s="1"/>
  <c r="P1827" i="1" a="1"/>
  <c r="P1827" i="1" s="1"/>
  <c r="N1827" i="1" a="1"/>
  <c r="N1827" i="1" s="1"/>
  <c r="L1827" i="1" a="1"/>
  <c r="L1827" i="1" s="1"/>
  <c r="J1827" i="1" a="1"/>
  <c r="J1827" i="1" s="1"/>
  <c r="I1827" i="1" a="1"/>
  <c r="I1827" i="1"/>
  <c r="L1826" i="1" a="1"/>
  <c r="L1826" i="1" s="1"/>
  <c r="J1826" i="1" a="1"/>
  <c r="J1826" i="1" s="1"/>
  <c r="H1826" i="1" a="1"/>
  <c r="H1826" i="1"/>
  <c r="K1827" i="1" a="1"/>
  <c r="K1827" i="1"/>
  <c r="H1827" i="1" a="1"/>
  <c r="H1827" i="1"/>
  <c r="G1827" i="1" a="1"/>
  <c r="G1827" i="1"/>
  <c r="F1827" i="1" a="1"/>
  <c r="F1827" i="1" s="1"/>
  <c r="Q1826" i="1" a="1"/>
  <c r="Q1826" i="1" s="1"/>
  <c r="P1826" i="1" a="1"/>
  <c r="P1826" i="1" s="1"/>
  <c r="G1826" i="1" a="1"/>
  <c r="G1826" i="1" s="1"/>
  <c r="F1826" i="1" a="1"/>
  <c r="F1826" i="1"/>
  <c r="O1826" i="1" a="1"/>
  <c r="O1826" i="1"/>
  <c r="N1826" i="1" a="1"/>
  <c r="N1826" i="1" s="1"/>
  <c r="M1826" i="1" a="1"/>
  <c r="M1826" i="1"/>
  <c r="K1826" i="1" a="1"/>
  <c r="K1826" i="1" s="1"/>
  <c r="J1829" i="1" a="1"/>
  <c r="J1829" i="1"/>
  <c r="O1827" i="1" a="1"/>
  <c r="O1827" i="1" s="1"/>
  <c r="O1829" i="1" a="1"/>
  <c r="O1829" i="1"/>
  <c r="M1829" i="1" a="1"/>
  <c r="M1829" i="1"/>
  <c r="O806" i="1" a="1"/>
  <c r="O806" i="1" s="1"/>
  <c r="L806" i="1" a="1"/>
  <c r="L806" i="1" s="1"/>
  <c r="J806" i="1" a="1"/>
  <c r="J806" i="1" s="1"/>
  <c r="F816" i="1" a="1"/>
  <c r="F816" i="1" s="1"/>
  <c r="M806" i="1" a="1"/>
  <c r="M806" i="1" s="1"/>
  <c r="P806" i="1" a="1"/>
  <c r="P806" i="1"/>
  <c r="K806" i="1" a="1"/>
  <c r="K806" i="1" s="1"/>
  <c r="I816" i="1" a="1"/>
  <c r="I816" i="1" s="1"/>
  <c r="G806" i="1" a="1"/>
  <c r="G806" i="1"/>
  <c r="F806" i="1" a="1"/>
  <c r="F806" i="1" s="1"/>
  <c r="N806" i="1" a="1"/>
  <c r="N806" i="1"/>
  <c r="L816" i="1" a="1"/>
  <c r="L816" i="1" s="1"/>
  <c r="J816" i="1" a="1"/>
  <c r="J816" i="1" s="1"/>
  <c r="Q806" i="1" a="1"/>
  <c r="Q806" i="1" s="1"/>
  <c r="P804" i="1" a="1"/>
  <c r="P804" i="1"/>
  <c r="H806" i="1" a="1"/>
  <c r="H806" i="1" s="1"/>
  <c r="Q804" i="1" a="1"/>
  <c r="Q804" i="1" s="1"/>
  <c r="I806" i="1" a="1"/>
  <c r="I806" i="1" s="1"/>
  <c r="O804" i="1" a="1"/>
  <c r="O804" i="1" s="1"/>
  <c r="J804" i="1" a="1"/>
  <c r="J804" i="1"/>
  <c r="F804" i="1" a="1"/>
  <c r="F804" i="1"/>
  <c r="N802" i="1" a="1"/>
  <c r="N802" i="1"/>
  <c r="Q802" i="1" a="1"/>
  <c r="Q802" i="1" s="1"/>
  <c r="O802" i="1" a="1"/>
  <c r="O802" i="1"/>
  <c r="M802" i="1" a="1"/>
  <c r="M802" i="1" s="1"/>
  <c r="N804" i="1" a="1"/>
  <c r="N804" i="1" s="1"/>
  <c r="M804" i="1" a="1"/>
  <c r="M804" i="1" s="1"/>
  <c r="G804" i="1" a="1"/>
  <c r="G804" i="1"/>
  <c r="K804" i="1" a="1"/>
  <c r="K804" i="1" s="1"/>
  <c r="I804" i="1" a="1"/>
  <c r="I804" i="1" s="1"/>
  <c r="P802" i="1" a="1"/>
  <c r="P802" i="1" s="1"/>
  <c r="L804" i="1" a="1"/>
  <c r="L804" i="1" s="1"/>
  <c r="H804" i="1" a="1"/>
  <c r="H804" i="1"/>
  <c r="L802" i="1" a="1"/>
  <c r="L802" i="1"/>
  <c r="G802" i="1" a="1"/>
  <c r="G802" i="1" s="1"/>
  <c r="K802" i="1" a="1"/>
  <c r="K802" i="1"/>
  <c r="J802" i="1" a="1"/>
  <c r="J802" i="1"/>
  <c r="I802" i="1" a="1"/>
  <c r="I802" i="1" s="1"/>
  <c r="F802" i="1" a="1"/>
  <c r="F802" i="1" s="1"/>
  <c r="H802" i="1" a="1"/>
  <c r="H802" i="1"/>
  <c r="J780" i="1" a="1"/>
  <c r="J780" i="1" s="1"/>
  <c r="H780" i="1" a="1"/>
  <c r="H780" i="1" s="1"/>
  <c r="F780" i="1" a="1"/>
  <c r="F780" i="1" s="1"/>
  <c r="F779" i="1" s="1"/>
  <c r="P780" i="1" a="1"/>
  <c r="P780" i="1"/>
  <c r="P779" i="1" s="1"/>
  <c r="M780" i="1" a="1"/>
  <c r="M780" i="1" s="1"/>
  <c r="M779" i="1" s="1"/>
  <c r="M786" i="1" s="1"/>
  <c r="M787" i="1" s="1"/>
  <c r="Q780" i="1" a="1"/>
  <c r="Q780" i="1" s="1"/>
  <c r="Q779" i="1" s="1"/>
  <c r="Q786" i="1" s="1"/>
  <c r="Q787" i="1" s="1"/>
  <c r="G780" i="1" a="1"/>
  <c r="G780" i="1" s="1"/>
  <c r="N780" i="1" a="1"/>
  <c r="N780" i="1" s="1"/>
  <c r="K780" i="1" a="1"/>
  <c r="K780" i="1"/>
  <c r="O780" i="1" a="1"/>
  <c r="O780" i="1"/>
  <c r="I780" i="1" a="1"/>
  <c r="I780" i="1" s="1"/>
  <c r="L780" i="1" a="1"/>
  <c r="L780" i="1" s="1"/>
  <c r="F766" i="1" a="1"/>
  <c r="F766" i="1" s="1"/>
  <c r="O766" i="1" a="1"/>
  <c r="O766" i="1" s="1"/>
  <c r="O816" i="1" s="1" a="1"/>
  <c r="O816" i="1" s="1"/>
  <c r="L766" i="1" a="1"/>
  <c r="L766" i="1"/>
  <c r="H766" i="1" a="1"/>
  <c r="H766" i="1" s="1"/>
  <c r="H816" i="1" s="1" a="1"/>
  <c r="H816" i="1" s="1"/>
  <c r="Q766" i="1" a="1"/>
  <c r="Q766" i="1"/>
  <c r="Q816" i="1" s="1" a="1"/>
  <c r="Q816" i="1" s="1"/>
  <c r="P766" i="1" a="1"/>
  <c r="P766" i="1"/>
  <c r="P816" i="1" s="1" a="1"/>
  <c r="P816" i="1" s="1"/>
  <c r="N766" i="1" a="1"/>
  <c r="N766" i="1" s="1"/>
  <c r="N816" i="1" s="1" a="1"/>
  <c r="N816" i="1" s="1"/>
  <c r="M766" i="1" a="1"/>
  <c r="M766" i="1" s="1"/>
  <c r="M816" i="1" s="1" a="1"/>
  <c r="M816" i="1" s="1"/>
  <c r="K766" i="1" a="1"/>
  <c r="K766" i="1"/>
  <c r="K816" i="1" s="1" a="1"/>
  <c r="K816" i="1" s="1"/>
  <c r="I766" i="1" a="1"/>
  <c r="I766" i="1"/>
  <c r="J766" i="1" a="1"/>
  <c r="J766" i="1"/>
  <c r="G766" i="1" a="1"/>
  <c r="G766" i="1" s="1"/>
  <c r="G816" i="1" s="1" a="1"/>
  <c r="G816" i="1" s="1"/>
  <c r="Q2312" i="1" a="1"/>
  <c r="Q2312" i="1"/>
  <c r="P2312" i="1" a="1"/>
  <c r="P2312" i="1" s="1"/>
  <c r="O2312" i="1" a="1"/>
  <c r="O2312" i="1" s="1"/>
  <c r="K2306" i="1" a="1"/>
  <c r="K2306" i="1"/>
  <c r="F2306" i="1" a="1"/>
  <c r="F2306" i="1" s="1"/>
  <c r="L2304" i="1" a="1"/>
  <c r="L2304" i="1"/>
  <c r="G2308" i="1" a="1"/>
  <c r="G2308" i="1" s="1"/>
  <c r="H2310" i="1" a="1"/>
  <c r="H2310" i="1"/>
  <c r="G2312" i="1" a="1"/>
  <c r="G2312" i="1" s="1"/>
  <c r="K2312" i="1" a="1"/>
  <c r="K2312" i="1"/>
  <c r="J2312" i="1" a="1"/>
  <c r="J2312" i="1" s="1"/>
  <c r="F2312" i="1" a="1"/>
  <c r="F2312" i="1" s="1"/>
  <c r="P2310" i="1" a="1"/>
  <c r="P2310" i="1" s="1"/>
  <c r="L2310" i="1" a="1"/>
  <c r="L2310" i="1"/>
  <c r="Q2308" i="1" a="1"/>
  <c r="Q2308" i="1"/>
  <c r="G2306" i="1" a="1"/>
  <c r="G2306" i="1" s="1"/>
  <c r="J2310" i="1" a="1"/>
  <c r="J2310" i="1" s="1"/>
  <c r="M2308" i="1" a="1"/>
  <c r="M2308" i="1" s="1"/>
  <c r="G2304" i="1" a="1"/>
  <c r="G2304" i="1" s="1"/>
  <c r="N2304" i="1" a="1"/>
  <c r="N2304" i="1"/>
  <c r="M2304" i="1" a="1"/>
  <c r="M2304" i="1"/>
  <c r="O2306" i="1" a="1"/>
  <c r="O2306" i="1" s="1"/>
  <c r="M2306" i="1" a="1"/>
  <c r="M2306" i="1" s="1"/>
  <c r="J2306" i="1" a="1"/>
  <c r="J2306" i="1" s="1"/>
  <c r="P2304" i="1" a="1"/>
  <c r="P2304" i="1" s="1"/>
  <c r="F2304" i="1" a="1"/>
  <c r="F2304" i="1" s="1"/>
  <c r="I2312" i="1" a="1"/>
  <c r="I2312" i="1"/>
  <c r="Q2310" i="1" a="1"/>
  <c r="Q2310" i="1"/>
  <c r="J2304" i="1" a="1"/>
  <c r="J2304" i="1" s="1"/>
  <c r="M2310" i="1" a="1"/>
  <c r="M2310" i="1"/>
  <c r="N2308" i="1" a="1"/>
  <c r="N2308" i="1" s="1"/>
  <c r="P2306" i="1" a="1"/>
  <c r="P2306" i="1" s="1"/>
  <c r="P2303" i="1" a="1"/>
  <c r="P2303" i="1" s="1"/>
  <c r="H2312" i="1" a="1"/>
  <c r="H2312" i="1" s="1"/>
  <c r="H2308" i="1" a="1"/>
  <c r="H2308" i="1"/>
  <c r="I2304" i="1" a="1"/>
  <c r="I2304" i="1"/>
  <c r="O2310" i="1" a="1"/>
  <c r="O2310" i="1" s="1"/>
  <c r="N2310" i="1" a="1"/>
  <c r="N2310" i="1" s="1"/>
  <c r="K2310" i="1" a="1"/>
  <c r="K2310" i="1" s="1"/>
  <c r="O2304" i="1" a="1"/>
  <c r="O2304" i="1"/>
  <c r="K2308" i="1" a="1"/>
  <c r="K2308" i="1" s="1"/>
  <c r="G2310" i="1" a="1"/>
  <c r="G2310" i="1" s="1"/>
  <c r="L2308" i="1" a="1"/>
  <c r="L2308" i="1"/>
  <c r="Q2306" i="1" a="1"/>
  <c r="Q2306" i="1"/>
  <c r="O2308" i="1" a="1"/>
  <c r="O2308" i="1" s="1"/>
  <c r="H2306" i="1" a="1"/>
  <c r="H2306" i="1" s="1"/>
  <c r="K2304" i="1" a="1"/>
  <c r="K2304" i="1"/>
  <c r="H2304" i="1" a="1"/>
  <c r="H2304" i="1" s="1"/>
  <c r="J2308" i="1" a="1"/>
  <c r="J2308" i="1"/>
  <c r="I2306" i="1" a="1"/>
  <c r="I2306" i="1"/>
  <c r="P2308" i="1" a="1"/>
  <c r="P2308" i="1" s="1"/>
  <c r="I2310" i="1" a="1"/>
  <c r="I2310" i="1"/>
  <c r="F2310" i="1" a="1"/>
  <c r="F2310" i="1"/>
  <c r="F2308" i="1" a="1"/>
  <c r="F2308" i="1"/>
  <c r="N2306" i="1" a="1"/>
  <c r="N2306" i="1"/>
  <c r="L2306" i="1" a="1"/>
  <c r="L2306" i="1"/>
  <c r="Q2304" i="1" a="1"/>
  <c r="Q2304" i="1"/>
  <c r="Q2303" i="1" a="1"/>
  <c r="Q2303" i="1" s="1"/>
  <c r="O2303" i="1" a="1"/>
  <c r="O2303" i="1" s="1"/>
  <c r="N2312" i="1" a="1"/>
  <c r="N2312" i="1"/>
  <c r="I2308" i="1" a="1"/>
  <c r="I2308" i="1" s="1"/>
  <c r="M2312" i="1" a="1"/>
  <c r="M2312" i="1"/>
  <c r="L2312" i="1" a="1"/>
  <c r="L2312" i="1" s="1"/>
  <c r="J2303" i="1" a="1"/>
  <c r="J2303" i="1"/>
  <c r="K2302" i="1" a="1"/>
  <c r="K2302" i="1"/>
  <c r="Q2300" i="1" a="1"/>
  <c r="Q2300" i="1" s="1"/>
  <c r="G2300" i="1" a="1"/>
  <c r="G2300" i="1" s="1"/>
  <c r="I2303" i="1" a="1"/>
  <c r="I2303" i="1" s="1"/>
  <c r="H2298" i="1" a="1"/>
  <c r="H2298" i="1"/>
  <c r="N2303" i="1" a="1"/>
  <c r="N2303" i="1" s="1"/>
  <c r="G2303" i="1" a="1"/>
  <c r="G2303" i="1" s="1"/>
  <c r="P2300" i="1" a="1"/>
  <c r="P2300" i="1"/>
  <c r="Q2298" i="1" a="1"/>
  <c r="Q2298" i="1" s="1"/>
  <c r="M2303" i="1" a="1"/>
  <c r="M2303" i="1" s="1"/>
  <c r="L2300" i="1" a="1"/>
  <c r="L2300" i="1" s="1"/>
  <c r="F2303" i="1" a="1"/>
  <c r="F2303" i="1"/>
  <c r="O2302" i="1" a="1"/>
  <c r="O2302" i="1"/>
  <c r="I2302" i="1" a="1"/>
  <c r="I2302" i="1"/>
  <c r="M2298" i="1" a="1"/>
  <c r="M2298" i="1" s="1"/>
  <c r="H2302" i="1" a="1"/>
  <c r="H2302" i="1" s="1"/>
  <c r="N2300" i="1" a="1"/>
  <c r="N2300" i="1"/>
  <c r="I2300" i="1" a="1"/>
  <c r="I2300" i="1"/>
  <c r="J2298" i="1" a="1"/>
  <c r="J2298" i="1"/>
  <c r="Q2302" i="1" a="1"/>
  <c r="Q2302" i="1"/>
  <c r="L2302" i="1" a="1"/>
  <c r="L2302" i="1"/>
  <c r="M2300" i="1" a="1"/>
  <c r="M2300" i="1"/>
  <c r="K2303" i="1" a="1"/>
  <c r="K2303" i="1" s="1"/>
  <c r="H2303" i="1" a="1"/>
  <c r="H2303" i="1" s="1"/>
  <c r="P2302" i="1" a="1"/>
  <c r="P2302" i="1"/>
  <c r="N2302" i="1" a="1"/>
  <c r="N2302" i="1"/>
  <c r="G2302" i="1" a="1"/>
  <c r="G2302" i="1" s="1"/>
  <c r="H2300" i="1" a="1"/>
  <c r="H2300" i="1"/>
  <c r="I2298" i="1" a="1"/>
  <c r="I2298" i="1" s="1"/>
  <c r="F2302" i="1" a="1"/>
  <c r="F2302" i="1"/>
  <c r="O2300" i="1" a="1"/>
  <c r="O2300" i="1"/>
  <c r="P2298" i="1" a="1"/>
  <c r="P2298" i="1" s="1"/>
  <c r="O2298" i="1" a="1"/>
  <c r="O2298" i="1"/>
  <c r="L2298" i="1" a="1"/>
  <c r="L2298" i="1"/>
  <c r="N2298" i="1" a="1"/>
  <c r="N2298" i="1" s="1"/>
  <c r="M2302" i="1" a="1"/>
  <c r="M2302" i="1" s="1"/>
  <c r="J2302" i="1" a="1"/>
  <c r="J2302" i="1" s="1"/>
  <c r="F2300" i="1" a="1"/>
  <c r="F2300" i="1" s="1"/>
  <c r="J2300" i="1" a="1"/>
  <c r="J2300" i="1" s="1"/>
  <c r="K2298" i="1" a="1"/>
  <c r="K2298" i="1" s="1"/>
  <c r="K2300" i="1" a="1"/>
  <c r="K2300" i="1" s="1"/>
  <c r="L2303" i="1" a="1"/>
  <c r="L2303" i="1" s="1"/>
  <c r="F2297" i="1" a="1"/>
  <c r="F2297" i="1"/>
  <c r="G2294" i="1" a="1"/>
  <c r="G2294" i="1" s="1"/>
  <c r="O2292" i="1" a="1"/>
  <c r="O2292" i="1" s="1"/>
  <c r="P2290" i="1" a="1"/>
  <c r="P2290" i="1" s="1"/>
  <c r="H2297" i="1" a="1"/>
  <c r="H2297" i="1"/>
  <c r="G2298" i="1" a="1"/>
  <c r="G2298" i="1"/>
  <c r="O2297" i="1" a="1"/>
  <c r="O2297" i="1" s="1"/>
  <c r="F2298" i="1" a="1"/>
  <c r="F2298" i="1"/>
  <c r="K2292" i="1" a="1"/>
  <c r="K2292" i="1" s="1"/>
  <c r="Q2297" i="1" a="1"/>
  <c r="Q2297" i="1"/>
  <c r="P2297" i="1" a="1"/>
  <c r="P2297" i="1"/>
  <c r="O2294" i="1" a="1"/>
  <c r="O2294" i="1"/>
  <c r="N2297" i="1" a="1"/>
  <c r="N2297" i="1" s="1"/>
  <c r="L2294" i="1" a="1"/>
  <c r="L2294" i="1" s="1"/>
  <c r="Q2294" i="1" a="1"/>
  <c r="Q2294" i="1" s="1"/>
  <c r="N2292" i="1" a="1"/>
  <c r="N2292" i="1" s="1"/>
  <c r="I2294" i="1" a="1"/>
  <c r="I2294" i="1" s="1"/>
  <c r="J2292" i="1" a="1"/>
  <c r="J2292" i="1"/>
  <c r="L2292" i="1" a="1"/>
  <c r="L2292" i="1"/>
  <c r="Q2292" i="1" a="1"/>
  <c r="Q2292" i="1" s="1"/>
  <c r="N2294" i="1" a="1"/>
  <c r="N2294" i="1" s="1"/>
  <c r="M2297" i="1" a="1"/>
  <c r="M2297" i="1" s="1"/>
  <c r="L2297" i="1" a="1"/>
  <c r="L2297" i="1" s="1"/>
  <c r="F2294" i="1" a="1"/>
  <c r="F2294" i="1"/>
  <c r="K2297" i="1" a="1"/>
  <c r="K2297" i="1" s="1"/>
  <c r="G2297" i="1" a="1"/>
  <c r="G2297" i="1"/>
  <c r="H2294" i="1" a="1"/>
  <c r="H2294" i="1" s="1"/>
  <c r="F2292" i="1" a="1"/>
  <c r="F2292" i="1" s="1"/>
  <c r="P2292" i="1" a="1"/>
  <c r="P2292" i="1" s="1"/>
  <c r="K2294" i="1" a="1"/>
  <c r="K2294" i="1" s="1"/>
  <c r="Q2290" i="1" a="1"/>
  <c r="Q2290" i="1" s="1"/>
  <c r="M2294" i="1" a="1"/>
  <c r="M2294" i="1" s="1"/>
  <c r="P2294" i="1" a="1"/>
  <c r="P2294" i="1"/>
  <c r="J2297" i="1" a="1"/>
  <c r="J2297" i="1"/>
  <c r="M2292" i="1" a="1"/>
  <c r="M2292" i="1" s="1"/>
  <c r="J2294" i="1" a="1"/>
  <c r="J2294" i="1"/>
  <c r="I2292" i="1" a="1"/>
  <c r="I2292" i="1" s="1"/>
  <c r="G2292" i="1" a="1"/>
  <c r="G2292" i="1" s="1"/>
  <c r="I2297" i="1" a="1"/>
  <c r="I2297" i="1"/>
  <c r="H2292" i="1" a="1"/>
  <c r="H2292" i="1"/>
  <c r="F2237" i="1" a="1"/>
  <c r="F2237" i="1"/>
  <c r="M2241" i="1" a="1"/>
  <c r="M2241" i="1"/>
  <c r="L2241" i="1" a="1"/>
  <c r="L2241" i="1"/>
  <c r="K2241" i="1" a="1"/>
  <c r="K2241" i="1"/>
  <c r="H2241" i="1" a="1"/>
  <c r="H2241" i="1" s="1"/>
  <c r="G2237" i="1" a="1"/>
  <c r="G2237" i="1"/>
  <c r="J2241" i="1" a="1"/>
  <c r="J2241" i="1" s="1"/>
  <c r="I2241" i="1" a="1"/>
  <c r="I2241" i="1"/>
  <c r="F2241" i="1" a="1"/>
  <c r="F2241" i="1" s="1"/>
  <c r="G2241" i="1" a="1"/>
  <c r="G2241" i="1" s="1"/>
  <c r="P2239" i="1" a="1"/>
  <c r="P2239" i="1" s="1"/>
  <c r="N2236" i="1" a="1"/>
  <c r="N2236" i="1"/>
  <c r="L2236" i="1" a="1"/>
  <c r="L2236" i="1"/>
  <c r="Q2239" i="1" a="1"/>
  <c r="Q2239" i="1" s="1"/>
  <c r="O2239" i="1" a="1"/>
  <c r="O2239" i="1" s="1"/>
  <c r="N2239" i="1" a="1"/>
  <c r="N2239" i="1"/>
  <c r="M2239" i="1" a="1"/>
  <c r="M2239" i="1" s="1"/>
  <c r="L2239" i="1" a="1"/>
  <c r="L2239" i="1" s="1"/>
  <c r="H2239" i="1" a="1"/>
  <c r="H2239" i="1"/>
  <c r="P2237" i="1" a="1"/>
  <c r="P2237" i="1"/>
  <c r="M2237" i="1" a="1"/>
  <c r="M2237" i="1" s="1"/>
  <c r="K2237" i="1" a="1"/>
  <c r="K2237" i="1" s="1"/>
  <c r="O2236" i="1" a="1"/>
  <c r="O2236" i="1" s="1"/>
  <c r="J2236" i="1" a="1"/>
  <c r="J2236" i="1"/>
  <c r="O2237" i="1" a="1"/>
  <c r="O2237" i="1"/>
  <c r="Q2237" i="1" a="1"/>
  <c r="Q2237" i="1" s="1"/>
  <c r="L2237" i="1" a="1"/>
  <c r="L2237" i="1"/>
  <c r="K2239" i="1" a="1"/>
  <c r="K2239" i="1" s="1"/>
  <c r="I2239" i="1" a="1"/>
  <c r="I2239" i="1" s="1"/>
  <c r="G2239" i="1" a="1"/>
  <c r="G2239" i="1" s="1"/>
  <c r="P2236" i="1" a="1"/>
  <c r="P2236" i="1"/>
  <c r="Q2236" i="1" a="1"/>
  <c r="Q2236" i="1" s="1"/>
  <c r="F2239" i="1" a="1"/>
  <c r="F2239" i="1" s="1"/>
  <c r="N2237" i="1" a="1"/>
  <c r="N2237" i="1"/>
  <c r="J2237" i="1" a="1"/>
  <c r="J2237" i="1" s="1"/>
  <c r="H2237" i="1" a="1"/>
  <c r="H2237" i="1" s="1"/>
  <c r="M2236" i="1" a="1"/>
  <c r="M2236" i="1" s="1"/>
  <c r="F2236" i="1" a="1"/>
  <c r="F2236" i="1"/>
  <c r="I2236" i="1" a="1"/>
  <c r="I2236" i="1"/>
  <c r="G2236" i="1" a="1"/>
  <c r="G2236" i="1" s="1"/>
  <c r="H2236" i="1" a="1"/>
  <c r="H2236" i="1" s="1"/>
  <c r="K2236" i="1" a="1"/>
  <c r="K2236" i="1" s="1"/>
  <c r="J2239" i="1" a="1"/>
  <c r="J2239" i="1"/>
  <c r="I2237" i="1" a="1"/>
  <c r="I2237" i="1"/>
  <c r="H2288" i="1" a="1"/>
  <c r="H2288" i="1"/>
  <c r="F2288" i="1" a="1"/>
  <c r="F2288" i="1"/>
  <c r="G2288" i="1" a="1"/>
  <c r="G2288" i="1" s="1"/>
  <c r="O2290" i="1" a="1"/>
  <c r="O2290" i="1"/>
  <c r="M2290" i="1" a="1"/>
  <c r="M2290" i="1"/>
  <c r="P2288" i="1" a="1"/>
  <c r="P2288" i="1" s="1"/>
  <c r="K2290" i="1" a="1"/>
  <c r="K2290" i="1"/>
  <c r="G2290" i="1" a="1"/>
  <c r="G2290" i="1"/>
  <c r="N2288" i="1" a="1"/>
  <c r="N2288" i="1" s="1"/>
  <c r="L2288" i="1" a="1"/>
  <c r="L2288" i="1"/>
  <c r="J2288" i="1" a="1"/>
  <c r="J2288" i="1" s="1"/>
  <c r="N2290" i="1" a="1"/>
  <c r="N2290" i="1" s="1"/>
  <c r="L2290" i="1" a="1"/>
  <c r="L2290" i="1" s="1"/>
  <c r="J2290" i="1" a="1"/>
  <c r="J2290" i="1"/>
  <c r="I2290" i="1" a="1"/>
  <c r="I2290" i="1" s="1"/>
  <c r="M2288" i="1" a="1"/>
  <c r="M2288" i="1" s="1"/>
  <c r="K2288" i="1" a="1"/>
  <c r="K2288" i="1" s="1"/>
  <c r="H2290" i="1" a="1"/>
  <c r="H2290" i="1"/>
  <c r="F2290" i="1" a="1"/>
  <c r="F2290" i="1" s="1"/>
  <c r="Q2288" i="1" a="1"/>
  <c r="Q2288" i="1" s="1"/>
  <c r="O2288" i="1" a="1"/>
  <c r="O2288" i="1" s="1"/>
  <c r="I2288" i="1" a="1"/>
  <c r="I2288" i="1" s="1"/>
  <c r="P2286" i="1" a="1"/>
  <c r="P2286" i="1"/>
  <c r="N2286" i="1" a="1"/>
  <c r="N2286" i="1"/>
  <c r="L2286" i="1" a="1"/>
  <c r="L2286" i="1" s="1"/>
  <c r="K2286" i="1" a="1"/>
  <c r="K2286" i="1" s="1"/>
  <c r="I2286" i="1" a="1"/>
  <c r="I2286" i="1" s="1"/>
  <c r="Q2286" i="1" a="1"/>
  <c r="Q2286" i="1"/>
  <c r="Q2284" i="1" a="1"/>
  <c r="Q2284" i="1" s="1"/>
  <c r="O2286" i="1" a="1"/>
  <c r="O2286" i="1"/>
  <c r="G2286" i="1" a="1"/>
  <c r="G2286" i="1"/>
  <c r="P2284" i="1" a="1"/>
  <c r="P2284" i="1"/>
  <c r="F2286" i="1" a="1"/>
  <c r="F2286" i="1"/>
  <c r="M2286" i="1" a="1"/>
  <c r="M2286" i="1"/>
  <c r="J2286" i="1" a="1"/>
  <c r="J2286" i="1" s="1"/>
  <c r="H2286" i="1" a="1"/>
  <c r="H2286" i="1"/>
  <c r="M2284" i="1" a="1"/>
  <c r="M2284" i="1"/>
  <c r="H2282" i="1" a="1"/>
  <c r="H2282" i="1" s="1"/>
  <c r="Q2282" i="1" a="1"/>
  <c r="Q2282" i="1" s="1"/>
  <c r="K2284" i="1" a="1"/>
  <c r="K2284" i="1" s="1"/>
  <c r="N2282" i="1" a="1"/>
  <c r="N2282" i="1" s="1"/>
  <c r="F2282" i="1" a="1"/>
  <c r="F2282" i="1" s="1"/>
  <c r="I2284" i="1" a="1"/>
  <c r="I2284" i="1" s="1"/>
  <c r="H2284" i="1" a="1"/>
  <c r="H2284" i="1" s="1"/>
  <c r="F2284" i="1" a="1"/>
  <c r="F2284" i="1"/>
  <c r="P2282" i="1" a="1"/>
  <c r="P2282" i="1" s="1"/>
  <c r="O2282" i="1" a="1"/>
  <c r="O2282" i="1" s="1"/>
  <c r="M2282" i="1" a="1"/>
  <c r="M2282" i="1" s="1"/>
  <c r="K2282" i="1" a="1"/>
  <c r="K2282" i="1"/>
  <c r="J2282" i="1" a="1"/>
  <c r="J2282" i="1" s="1"/>
  <c r="I2282" i="1" a="1"/>
  <c r="I2282" i="1" s="1"/>
  <c r="G2282" i="1" a="1"/>
  <c r="G2282" i="1"/>
  <c r="L2284" i="1" a="1"/>
  <c r="L2284" i="1" s="1"/>
  <c r="J2284" i="1" a="1"/>
  <c r="J2284" i="1"/>
  <c r="L2282" i="1" a="1"/>
  <c r="L2282" i="1"/>
  <c r="G2284" i="1" a="1"/>
  <c r="G2284" i="1"/>
  <c r="O2284" i="1" a="1"/>
  <c r="O2284" i="1"/>
  <c r="N2284" i="1" a="1"/>
  <c r="N2284" i="1" s="1"/>
  <c r="F2280" i="1" a="1"/>
  <c r="F2280" i="1"/>
  <c r="I2281" i="1" a="1"/>
  <c r="I2281" i="1" s="1"/>
  <c r="H2281" i="1" a="1"/>
  <c r="H2281" i="1"/>
  <c r="M2280" i="1" a="1"/>
  <c r="M2280" i="1"/>
  <c r="G2281" i="1" a="1"/>
  <c r="G2281" i="1"/>
  <c r="Q2280" i="1" a="1"/>
  <c r="Q2280" i="1" s="1"/>
  <c r="P2280" i="1" a="1"/>
  <c r="P2280" i="1"/>
  <c r="O2280" i="1" a="1"/>
  <c r="O2280" i="1" s="1"/>
  <c r="P2278" i="1" a="1"/>
  <c r="P2278" i="1" s="1"/>
  <c r="I2280" i="1" a="1"/>
  <c r="I2280" i="1"/>
  <c r="N2280" i="1" a="1"/>
  <c r="N2280" i="1"/>
  <c r="L2280" i="1" a="1"/>
  <c r="L2280" i="1" s="1"/>
  <c r="J2278" i="1" a="1"/>
  <c r="J2278" i="1" s="1"/>
  <c r="J2280" i="1" a="1"/>
  <c r="J2280" i="1"/>
  <c r="H2280" i="1" a="1"/>
  <c r="H2280" i="1" s="1"/>
  <c r="Q2278" i="1" a="1"/>
  <c r="Q2278" i="1" s="1"/>
  <c r="G2278" i="1" a="1"/>
  <c r="G2278" i="1" s="1"/>
  <c r="L2278" i="1" a="1"/>
  <c r="L2278" i="1"/>
  <c r="G2280" i="1" a="1"/>
  <c r="G2280" i="1" s="1"/>
  <c r="M2278" i="1" a="1"/>
  <c r="M2278" i="1" s="1"/>
  <c r="O2278" i="1" a="1"/>
  <c r="O2278" i="1" s="1"/>
  <c r="N2278" i="1" a="1"/>
  <c r="N2278" i="1" s="1"/>
  <c r="K2278" i="1" a="1"/>
  <c r="K2278" i="1" s="1"/>
  <c r="I2278" i="1" a="1"/>
  <c r="I2278" i="1" s="1"/>
  <c r="Q2281" i="1" a="1"/>
  <c r="Q2281" i="1" s="1"/>
  <c r="P2281" i="1" a="1"/>
  <c r="P2281" i="1" s="1"/>
  <c r="O2281" i="1" a="1"/>
  <c r="O2281" i="1"/>
  <c r="N2281" i="1" a="1"/>
  <c r="N2281" i="1" s="1"/>
  <c r="F2281" i="1" a="1"/>
  <c r="F2281" i="1" s="1"/>
  <c r="L2281" i="1" a="1"/>
  <c r="L2281" i="1" s="1"/>
  <c r="M2281" i="1" a="1"/>
  <c r="M2281" i="1" s="1"/>
  <c r="K2280" i="1" a="1"/>
  <c r="K2280" i="1" s="1"/>
  <c r="H2278" i="1" a="1"/>
  <c r="H2278" i="1" s="1"/>
  <c r="K2281" i="1" a="1"/>
  <c r="K2281" i="1"/>
  <c r="J2281" i="1" a="1"/>
  <c r="J2281" i="1" s="1"/>
  <c r="J2275" i="1" a="1"/>
  <c r="J2275" i="1"/>
  <c r="K2275" i="1" a="1"/>
  <c r="K2275" i="1" s="1"/>
  <c r="I2275" i="1" a="1"/>
  <c r="I2275" i="1"/>
  <c r="F2278" i="1" a="1"/>
  <c r="F2278" i="1"/>
  <c r="Q2277" i="1" a="1"/>
  <c r="Q2277" i="1" s="1"/>
  <c r="P2277" i="1" a="1"/>
  <c r="P2277" i="1" s="1"/>
  <c r="H2277" i="1" a="1"/>
  <c r="H2277" i="1"/>
  <c r="O2277" i="1" a="1"/>
  <c r="O2277" i="1" s="1"/>
  <c r="N2277" i="1" a="1"/>
  <c r="N2277" i="1" s="1"/>
  <c r="M2277" i="1" a="1"/>
  <c r="M2277" i="1"/>
  <c r="O2275" i="1" a="1"/>
  <c r="O2275" i="1"/>
  <c r="I2277" i="1" a="1"/>
  <c r="I2277" i="1" s="1"/>
  <c r="K2277" i="1" a="1"/>
  <c r="K2277" i="1" s="1"/>
  <c r="F2277" i="1" a="1"/>
  <c r="F2277" i="1" s="1"/>
  <c r="P2275" i="1" a="1"/>
  <c r="P2275" i="1" s="1"/>
  <c r="H2275" i="1" a="1"/>
  <c r="H2275" i="1" s="1"/>
  <c r="N2275" i="1" a="1"/>
  <c r="N2275" i="1" s="1"/>
  <c r="M2275" i="1" a="1"/>
  <c r="M2275" i="1" s="1"/>
  <c r="L2277" i="1" a="1"/>
  <c r="L2277" i="1" s="1"/>
  <c r="J2277" i="1" a="1"/>
  <c r="J2277" i="1"/>
  <c r="G2277" i="1" a="1"/>
  <c r="G2277" i="1" s="1"/>
  <c r="Q2275" i="1" a="1"/>
  <c r="Q2275" i="1" s="1"/>
  <c r="L2275" i="1" a="1"/>
  <c r="L2275" i="1" s="1"/>
  <c r="K2274" i="1" a="1"/>
  <c r="K2274" i="1" s="1"/>
  <c r="H2274" i="1" a="1"/>
  <c r="H2274" i="1" s="1"/>
  <c r="L2274" i="1" a="1"/>
  <c r="L2274" i="1" s="1"/>
  <c r="G2275" i="1" a="1"/>
  <c r="G2275" i="1"/>
  <c r="F2274" i="1" a="1"/>
  <c r="F2274" i="1" s="1"/>
  <c r="O2274" i="1" a="1"/>
  <c r="O2274" i="1" s="1"/>
  <c r="F2275" i="1" a="1"/>
  <c r="F2275" i="1" s="1"/>
  <c r="N2274" i="1" a="1"/>
  <c r="N2274" i="1" s="1"/>
  <c r="I2274" i="1" a="1"/>
  <c r="I2274" i="1"/>
  <c r="G2274" i="1" a="1"/>
  <c r="G2274" i="1"/>
  <c r="Q2274" i="1" a="1"/>
  <c r="Q2274" i="1"/>
  <c r="M2274" i="1" a="1"/>
  <c r="M2274" i="1"/>
  <c r="J2274" i="1" a="1"/>
  <c r="J2274" i="1"/>
  <c r="P2274" i="1" a="1"/>
  <c r="P2274" i="1"/>
  <c r="Q2271" i="1" a="1"/>
  <c r="Q2271" i="1"/>
  <c r="K2269" i="1" a="1"/>
  <c r="K2269" i="1"/>
  <c r="O2271" i="1" a="1"/>
  <c r="O2271" i="1"/>
  <c r="M2271" i="1" a="1"/>
  <c r="M2271" i="1"/>
  <c r="K2271" i="1" a="1"/>
  <c r="K2271" i="1" s="1"/>
  <c r="P2271" i="1" a="1"/>
  <c r="P2271" i="1"/>
  <c r="N2271" i="1" a="1"/>
  <c r="N2271" i="1" s="1"/>
  <c r="L2271" i="1" a="1"/>
  <c r="L2271" i="1"/>
  <c r="J2271" i="1" a="1"/>
  <c r="J2271" i="1" s="1"/>
  <c r="I2271" i="1" a="1"/>
  <c r="I2271" i="1" s="1"/>
  <c r="H2271" i="1" a="1"/>
  <c r="H2271" i="1" s="1"/>
  <c r="Q2269" i="1" a="1"/>
  <c r="Q2269" i="1" s="1"/>
  <c r="L2269" i="1" a="1"/>
  <c r="L2269" i="1" s="1"/>
  <c r="H2269" i="1" a="1"/>
  <c r="H2269" i="1"/>
  <c r="I2269" i="1" a="1"/>
  <c r="I2269" i="1" s="1"/>
  <c r="O2269" i="1" a="1"/>
  <c r="O2269" i="1" s="1"/>
  <c r="G2271" i="1" a="1"/>
  <c r="G2271" i="1" s="1"/>
  <c r="N2269" i="1" a="1"/>
  <c r="N2269" i="1" s="1"/>
  <c r="F2271" i="1" a="1"/>
  <c r="F2271" i="1" s="1"/>
  <c r="J2269" i="1" a="1"/>
  <c r="J2269" i="1" s="1"/>
  <c r="M2269" i="1" a="1"/>
  <c r="M2269" i="1" s="1"/>
  <c r="P2269" i="1" a="1"/>
  <c r="P2269" i="1" s="1"/>
  <c r="N2265" i="1" a="1"/>
  <c r="N2265" i="1" s="1"/>
  <c r="G2269" i="1" a="1"/>
  <c r="G2269" i="1"/>
  <c r="K2267" i="1" a="1"/>
  <c r="K2267" i="1"/>
  <c r="F2269" i="1" a="1"/>
  <c r="F2269" i="1"/>
  <c r="Q2267" i="1" a="1"/>
  <c r="Q2267" i="1"/>
  <c r="O2267" i="1" a="1"/>
  <c r="O2267" i="1"/>
  <c r="J2267" i="1" a="1"/>
  <c r="J2267" i="1"/>
  <c r="M2267" i="1" a="1"/>
  <c r="M2267" i="1" s="1"/>
  <c r="F2267" i="1" a="1"/>
  <c r="F2267" i="1"/>
  <c r="H2267" i="1" a="1"/>
  <c r="H2267" i="1"/>
  <c r="N2267" i="1" a="1"/>
  <c r="N2267" i="1"/>
  <c r="G2267" i="1" a="1"/>
  <c r="G2267" i="1"/>
  <c r="M2265" i="1" a="1"/>
  <c r="M2265" i="1" s="1"/>
  <c r="L2265" i="1" a="1"/>
  <c r="L2265" i="1" s="1"/>
  <c r="P2267" i="1" a="1"/>
  <c r="P2267" i="1"/>
  <c r="I2267" i="1" a="1"/>
  <c r="I2267" i="1" s="1"/>
  <c r="Q2265" i="1" a="1"/>
  <c r="Q2265" i="1" s="1"/>
  <c r="P2265" i="1" a="1"/>
  <c r="P2265" i="1"/>
  <c r="L2267" i="1" a="1"/>
  <c r="L2267" i="1" s="1"/>
  <c r="O2265" i="1" a="1"/>
  <c r="O2265" i="1"/>
  <c r="F2261" i="1" a="1"/>
  <c r="F2261" i="1"/>
  <c r="H2261" i="1" a="1"/>
  <c r="H2261" i="1"/>
  <c r="K2263" i="1" a="1"/>
  <c r="K2263" i="1"/>
  <c r="J2263" i="1" a="1"/>
  <c r="J2263" i="1"/>
  <c r="I2261" i="1" a="1"/>
  <c r="I2261" i="1"/>
  <c r="G2261" i="1" a="1"/>
  <c r="G2261" i="1"/>
  <c r="G2263" i="1" a="1"/>
  <c r="G2263" i="1" s="1"/>
  <c r="K2261" i="1" a="1"/>
  <c r="K2261" i="1" s="1"/>
  <c r="J2261" i="1" a="1"/>
  <c r="J2261" i="1" s="1"/>
  <c r="F2263" i="1" a="1"/>
  <c r="F2263" i="1" s="1"/>
  <c r="L2261" i="1" a="1"/>
  <c r="L2261" i="1"/>
  <c r="N2261" i="1" a="1"/>
  <c r="N2261" i="1"/>
  <c r="I2263" i="1" a="1"/>
  <c r="I2263" i="1" s="1"/>
  <c r="K2265" i="1" a="1"/>
  <c r="K2265" i="1" s="1"/>
  <c r="J2265" i="1" a="1"/>
  <c r="J2265" i="1"/>
  <c r="H2263" i="1" a="1"/>
  <c r="H2263" i="1" s="1"/>
  <c r="I2265" i="1" a="1"/>
  <c r="I2265" i="1" s="1"/>
  <c r="O2261" i="1" a="1"/>
  <c r="O2261" i="1" s="1"/>
  <c r="H2265" i="1" a="1"/>
  <c r="H2265" i="1" s="1"/>
  <c r="M2263" i="1" a="1"/>
  <c r="M2263" i="1"/>
  <c r="M2261" i="1" a="1"/>
  <c r="M2261" i="1" s="1"/>
  <c r="G2265" i="1" a="1"/>
  <c r="G2265" i="1"/>
  <c r="F2265" i="1" a="1"/>
  <c r="F2265" i="1" s="1"/>
  <c r="Q2263" i="1" a="1"/>
  <c r="Q2263" i="1"/>
  <c r="P2263" i="1" a="1"/>
  <c r="P2263" i="1" s="1"/>
  <c r="Q2261" i="1" a="1"/>
  <c r="Q2261" i="1" s="1"/>
  <c r="O2263" i="1" a="1"/>
  <c r="O2263" i="1"/>
  <c r="N2263" i="1" a="1"/>
  <c r="N2263" i="1" s="1"/>
  <c r="L2263" i="1" a="1"/>
  <c r="L2263" i="1" s="1"/>
  <c r="P2261" i="1" a="1"/>
  <c r="P2261" i="1" s="1"/>
  <c r="O2258" i="1" a="1"/>
  <c r="O2258" i="1" s="1"/>
  <c r="P2256" i="1" a="1"/>
  <c r="P2256" i="1" s="1"/>
  <c r="H2256" i="1" a="1"/>
  <c r="H2256" i="1" s="1"/>
  <c r="H2260" i="1" a="1"/>
  <c r="H2260" i="1" s="1"/>
  <c r="H2258" i="1" a="1"/>
  <c r="H2258" i="1" s="1"/>
  <c r="Q2256" i="1" a="1"/>
  <c r="Q2256" i="1"/>
  <c r="G2258" i="1" a="1"/>
  <c r="G2258" i="1" s="1"/>
  <c r="O2256" i="1" a="1"/>
  <c r="O2256" i="1" s="1"/>
  <c r="L2256" i="1" a="1"/>
  <c r="L2256" i="1" s="1"/>
  <c r="N2256" i="1" a="1"/>
  <c r="N2256" i="1"/>
  <c r="M2256" i="1" a="1"/>
  <c r="M2256" i="1"/>
  <c r="K2256" i="1" a="1"/>
  <c r="K2256" i="1"/>
  <c r="P2260" i="1" a="1"/>
  <c r="P2260" i="1"/>
  <c r="Q2260" i="1" a="1"/>
  <c r="Q2260" i="1"/>
  <c r="O2260" i="1" a="1"/>
  <c r="O2260" i="1"/>
  <c r="I2258" i="1" a="1"/>
  <c r="I2258" i="1" s="1"/>
  <c r="J2256" i="1" a="1"/>
  <c r="J2256" i="1"/>
  <c r="F2260" i="1" a="1"/>
  <c r="F2260" i="1"/>
  <c r="N2260" i="1" a="1"/>
  <c r="N2260" i="1" s="1"/>
  <c r="M2260" i="1" a="1"/>
  <c r="M2260" i="1" s="1"/>
  <c r="K2260" i="1" a="1"/>
  <c r="K2260" i="1"/>
  <c r="F2256" i="1" a="1"/>
  <c r="F2256" i="1" s="1"/>
  <c r="I2260" i="1" a="1"/>
  <c r="I2260" i="1"/>
  <c r="I2256" i="1" a="1"/>
  <c r="I2256" i="1" s="1"/>
  <c r="L2260" i="1" a="1"/>
  <c r="L2260" i="1" s="1"/>
  <c r="G2260" i="1" a="1"/>
  <c r="G2260" i="1" s="1"/>
  <c r="K2258" i="1" a="1"/>
  <c r="K2258" i="1"/>
  <c r="J2258" i="1" a="1"/>
  <c r="J2258" i="1"/>
  <c r="L2258" i="1" a="1"/>
  <c r="L2258" i="1"/>
  <c r="M2258" i="1" a="1"/>
  <c r="M2258" i="1" s="1"/>
  <c r="G2256" i="1" a="1"/>
  <c r="G2256" i="1"/>
  <c r="N2258" i="1" a="1"/>
  <c r="N2258" i="1" s="1"/>
  <c r="F2258" i="1" a="1"/>
  <c r="F2258" i="1" s="1"/>
  <c r="J2260" i="1" a="1"/>
  <c r="J2260" i="1" s="1"/>
  <c r="Q2258" i="1" a="1"/>
  <c r="Q2258" i="1" s="1"/>
  <c r="P2258" i="1" a="1"/>
  <c r="P2258" i="1" s="1"/>
  <c r="P2252" i="1" a="1"/>
  <c r="P2252" i="1" s="1"/>
  <c r="O2252" i="1" a="1"/>
  <c r="O2252" i="1" s="1"/>
  <c r="L2252" i="1" a="1"/>
  <c r="L2252" i="1"/>
  <c r="Q2250" i="1" a="1"/>
  <c r="Q2250" i="1"/>
  <c r="I2252" i="1" a="1"/>
  <c r="I2252" i="1" s="1"/>
  <c r="O2250" i="1" a="1"/>
  <c r="O2250" i="1" s="1"/>
  <c r="H2252" i="1" a="1"/>
  <c r="H2252" i="1" s="1"/>
  <c r="F2252" i="1" a="1"/>
  <c r="F2252" i="1"/>
  <c r="N2250" i="1" a="1"/>
  <c r="N2250" i="1" s="1"/>
  <c r="Q2255" i="1" a="1"/>
  <c r="Q2255" i="1" s="1"/>
  <c r="G2252" i="1" a="1"/>
  <c r="G2252" i="1" s="1"/>
  <c r="P2255" i="1" a="1"/>
  <c r="P2255" i="1" s="1"/>
  <c r="J2252" i="1" a="1"/>
  <c r="J2252" i="1"/>
  <c r="O2255" i="1" a="1"/>
  <c r="O2255" i="1"/>
  <c r="N2255" i="1" a="1"/>
  <c r="N2255" i="1" s="1"/>
  <c r="M2255" i="1" a="1"/>
  <c r="M2255" i="1"/>
  <c r="L2255" i="1" a="1"/>
  <c r="L2255" i="1" s="1"/>
  <c r="K2252" i="1" a="1"/>
  <c r="K2252" i="1" s="1"/>
  <c r="K2255" i="1" a="1"/>
  <c r="K2255" i="1" s="1"/>
  <c r="J2255" i="1" a="1"/>
  <c r="J2255" i="1" s="1"/>
  <c r="M2252" i="1" a="1"/>
  <c r="M2252" i="1" s="1"/>
  <c r="I2255" i="1" a="1"/>
  <c r="I2255" i="1" s="1"/>
  <c r="H2255" i="1" a="1"/>
  <c r="H2255" i="1" s="1"/>
  <c r="G2255" i="1" a="1"/>
  <c r="G2255" i="1"/>
  <c r="Q2252" i="1" a="1"/>
  <c r="Q2252" i="1" s="1"/>
  <c r="F2255" i="1" a="1"/>
  <c r="F2255" i="1" s="1"/>
  <c r="P2250" i="1" a="1"/>
  <c r="P2250" i="1"/>
  <c r="N2252" i="1" a="1"/>
  <c r="N2252" i="1" s="1"/>
  <c r="J2246" i="1" a="1"/>
  <c r="J2246" i="1"/>
  <c r="H2250" i="1" a="1"/>
  <c r="H2250" i="1" s="1"/>
  <c r="P2241" i="1" a="1"/>
  <c r="P2241" i="1" s="1"/>
  <c r="Q2248" i="1" a="1"/>
  <c r="Q2248" i="1"/>
  <c r="P2248" i="1" a="1"/>
  <c r="P2248" i="1"/>
  <c r="F2246" i="1" a="1"/>
  <c r="F2246" i="1"/>
  <c r="M2248" i="1" a="1"/>
  <c r="M2248" i="1" s="1"/>
  <c r="L2248" i="1" a="1"/>
  <c r="L2248" i="1"/>
  <c r="H2244" i="1" a="1"/>
  <c r="H2244" i="1"/>
  <c r="I2242" i="1" a="1"/>
  <c r="I2242" i="1"/>
  <c r="I2248" i="1" a="1"/>
  <c r="I2248" i="1" s="1"/>
  <c r="G2248" i="1" a="1"/>
  <c r="G2248" i="1" s="1"/>
  <c r="O2246" i="1" a="1"/>
  <c r="O2246" i="1" s="1"/>
  <c r="K2246" i="1" a="1"/>
  <c r="K2246" i="1" s="1"/>
  <c r="J2244" i="1" a="1"/>
  <c r="J2244" i="1" s="1"/>
  <c r="F2242" i="1" a="1"/>
  <c r="F2242" i="1" s="1"/>
  <c r="N2241" i="1" a="1"/>
  <c r="N2241" i="1"/>
  <c r="O2248" i="1" a="1"/>
  <c r="O2248" i="1" s="1"/>
  <c r="H2242" i="1" a="1"/>
  <c r="H2242" i="1" s="1"/>
  <c r="M2244" i="1" a="1"/>
  <c r="M2244" i="1"/>
  <c r="N2244" i="1" a="1"/>
  <c r="N2244" i="1"/>
  <c r="J2248" i="1" a="1"/>
  <c r="J2248" i="1"/>
  <c r="P2246" i="1" a="1"/>
  <c r="P2246" i="1" s="1"/>
  <c r="N2246" i="1" a="1"/>
  <c r="N2246" i="1"/>
  <c r="G2244" i="1" a="1"/>
  <c r="G2244" i="1" s="1"/>
  <c r="L2246" i="1" a="1"/>
  <c r="L2246" i="1" s="1"/>
  <c r="N2242" i="1" a="1"/>
  <c r="N2242" i="1" s="1"/>
  <c r="G2242" i="1" a="1"/>
  <c r="G2242" i="1" s="1"/>
  <c r="P2242" i="1" a="1"/>
  <c r="P2242" i="1" s="1"/>
  <c r="O2241" i="1" a="1"/>
  <c r="O2241" i="1" s="1"/>
  <c r="I2246" i="1" a="1"/>
  <c r="I2246" i="1" s="1"/>
  <c r="J2242" i="1" a="1"/>
  <c r="J2242" i="1" s="1"/>
  <c r="Q2244" i="1" a="1"/>
  <c r="Q2244" i="1"/>
  <c r="G2246" i="1" a="1"/>
  <c r="G2246" i="1"/>
  <c r="P2244" i="1" a="1"/>
  <c r="P2244" i="1" s="1"/>
  <c r="O2242" i="1" a="1"/>
  <c r="O2242" i="1"/>
  <c r="H2246" i="1" a="1"/>
  <c r="H2246" i="1" s="1"/>
  <c r="K2250" i="1" a="1"/>
  <c r="K2250" i="1" s="1"/>
  <c r="Q2242" i="1" a="1"/>
  <c r="Q2242" i="1" s="1"/>
  <c r="F2250" i="1" a="1"/>
  <c r="F2250" i="1"/>
  <c r="F2248" i="1" a="1"/>
  <c r="F2248" i="1" s="1"/>
  <c r="K2244" i="1" a="1"/>
  <c r="K2244" i="1"/>
  <c r="I2244" i="1" a="1"/>
  <c r="I2244" i="1"/>
  <c r="L2242" i="1" a="1"/>
  <c r="L2242" i="1"/>
  <c r="K2242" i="1" a="1"/>
  <c r="K2242" i="1" s="1"/>
  <c r="M2242" i="1" a="1"/>
  <c r="M2242" i="1"/>
  <c r="Q2241" i="1" a="1"/>
  <c r="Q2241" i="1" s="1"/>
  <c r="G2250" i="1" a="1"/>
  <c r="G2250" i="1" s="1"/>
  <c r="Q2246" i="1" a="1"/>
  <c r="Q2246" i="1"/>
  <c r="M2246" i="1" a="1"/>
  <c r="M2246" i="1" s="1"/>
  <c r="O2244" i="1" a="1"/>
  <c r="O2244" i="1" s="1"/>
  <c r="M2250" i="1" a="1"/>
  <c r="M2250" i="1"/>
  <c r="N2248" i="1" a="1"/>
  <c r="N2248" i="1" s="1"/>
  <c r="L2250" i="1" a="1"/>
  <c r="L2250" i="1"/>
  <c r="J2250" i="1" a="1"/>
  <c r="J2250" i="1" s="1"/>
  <c r="L2244" i="1" a="1"/>
  <c r="L2244" i="1"/>
  <c r="F2244" i="1" a="1"/>
  <c r="F2244" i="1" s="1"/>
  <c r="K2248" i="1" a="1"/>
  <c r="K2248" i="1"/>
  <c r="I2250" i="1" a="1"/>
  <c r="I2250" i="1"/>
  <c r="H2248" i="1" a="1"/>
  <c r="H2248" i="1" s="1"/>
  <c r="P1041" i="1" a="1"/>
  <c r="P1041" i="1" s="1"/>
  <c r="O1041" i="1" a="1"/>
  <c r="O1041" i="1"/>
  <c r="L1053" i="1" a="1"/>
  <c r="L1053" i="1" s="1"/>
  <c r="M1041" i="1" a="1"/>
  <c r="M1041" i="1" s="1"/>
  <c r="I1041" i="1" a="1"/>
  <c r="I1041" i="1" s="1"/>
  <c r="N1054" i="1" a="1"/>
  <c r="N1054" i="1" s="1"/>
  <c r="L1054" i="1" a="1"/>
  <c r="L1054" i="1" s="1"/>
  <c r="Q1041" i="1" a="1"/>
  <c r="Q1041" i="1"/>
  <c r="M1054" i="1" a="1"/>
  <c r="M1054" i="1" s="1"/>
  <c r="J1041" i="1" a="1"/>
  <c r="J1041" i="1"/>
  <c r="N1041" i="1" a="1"/>
  <c r="N1041" i="1"/>
  <c r="L1041" i="1" a="1"/>
  <c r="L1041" i="1" s="1"/>
  <c r="G1051" i="1" a="1"/>
  <c r="G1051" i="1"/>
  <c r="H1054" i="1" a="1"/>
  <c r="H1054" i="1" s="1"/>
  <c r="Q1053" i="1" a="1"/>
  <c r="Q1053" i="1" s="1"/>
  <c r="M1053" i="1" a="1"/>
  <c r="M1053" i="1" s="1"/>
  <c r="J1053" i="1" a="1"/>
  <c r="J1053" i="1" s="1"/>
  <c r="P1051" i="1" a="1"/>
  <c r="P1051" i="1" s="1"/>
  <c r="G1053" i="1" a="1"/>
  <c r="G1053" i="1"/>
  <c r="K1041" i="1" a="1"/>
  <c r="K1041" i="1" s="1"/>
  <c r="F1039" i="1" a="1"/>
  <c r="F1039" i="1" s="1"/>
  <c r="H1041" i="1" a="1"/>
  <c r="H1041" i="1" s="1"/>
  <c r="G1041" i="1" a="1"/>
  <c r="G1041" i="1"/>
  <c r="O1039" i="1" a="1"/>
  <c r="O1039" i="1" s="1"/>
  <c r="K1039" i="1" a="1"/>
  <c r="K1039" i="1" s="1"/>
  <c r="J1039" i="1" a="1"/>
  <c r="J1039" i="1" s="1"/>
  <c r="I1039" i="1" a="1"/>
  <c r="I1039" i="1" s="1"/>
  <c r="H1039" i="1" a="1"/>
  <c r="H1039" i="1" s="1"/>
  <c r="F1041" i="1" a="1"/>
  <c r="F1041" i="1"/>
  <c r="Q1039" i="1" a="1"/>
  <c r="Q1039" i="1"/>
  <c r="P1039" i="1" a="1"/>
  <c r="P1039" i="1"/>
  <c r="N1039" i="1" a="1"/>
  <c r="N1039" i="1" s="1"/>
  <c r="M1039" i="1" a="1"/>
  <c r="M1039" i="1" s="1"/>
  <c r="L1039" i="1" a="1"/>
  <c r="L1039" i="1" s="1"/>
  <c r="G1039" i="1" a="1"/>
  <c r="G1039" i="1"/>
  <c r="M1032" i="1" a="1"/>
  <c r="M1032" i="1"/>
  <c r="H1032" i="1" a="1"/>
  <c r="H1032" i="1"/>
  <c r="Q1029" i="1" a="1"/>
  <c r="Q1029" i="1" s="1"/>
  <c r="P1029" i="1" a="1"/>
  <c r="P1029" i="1"/>
  <c r="N1029" i="1" a="1"/>
  <c r="N1029" i="1"/>
  <c r="J1032" i="1" a="1"/>
  <c r="J1032" i="1" s="1"/>
  <c r="K1032" i="1" a="1"/>
  <c r="K1032" i="1"/>
  <c r="J1029" i="1" a="1"/>
  <c r="J1029" i="1"/>
  <c r="O1029" i="1" a="1"/>
  <c r="O1029" i="1"/>
  <c r="F1032" i="1" a="1"/>
  <c r="F1032" i="1"/>
  <c r="N1032" i="1" a="1"/>
  <c r="N1032" i="1" s="1"/>
  <c r="L1029" i="1" a="1"/>
  <c r="L1029" i="1" s="1"/>
  <c r="I1029" i="1" a="1"/>
  <c r="I1029" i="1"/>
  <c r="Q1032" i="1" a="1"/>
  <c r="Q1032" i="1" s="1"/>
  <c r="P1032" i="1" a="1"/>
  <c r="P1032" i="1" s="1"/>
  <c r="O1032" i="1" a="1"/>
  <c r="O1032" i="1" s="1"/>
  <c r="M1029" i="1" a="1"/>
  <c r="M1029" i="1" s="1"/>
  <c r="K1029" i="1" a="1"/>
  <c r="K1029" i="1" s="1"/>
  <c r="I1032" i="1" a="1"/>
  <c r="I1032" i="1" s="1"/>
  <c r="L1032" i="1" a="1"/>
  <c r="L1032" i="1"/>
  <c r="G1032" i="1" a="1"/>
  <c r="G1032" i="1" s="1"/>
  <c r="G1027" i="1" a="1"/>
  <c r="G1027" i="1" s="1"/>
  <c r="F1027" i="1" a="1"/>
  <c r="F1027" i="1"/>
  <c r="Q1024" i="1" a="1"/>
  <c r="Q1024" i="1" s="1"/>
  <c r="L1024" i="1" a="1"/>
  <c r="L1024" i="1" s="1"/>
  <c r="K1024" i="1" a="1"/>
  <c r="K1024" i="1" s="1"/>
  <c r="F1024" i="1" a="1"/>
  <c r="F1024" i="1" s="1"/>
  <c r="I1024" i="1" a="1"/>
  <c r="I1024" i="1" s="1"/>
  <c r="Q1027" i="1" a="1"/>
  <c r="Q1027" i="1"/>
  <c r="O1024" i="1" a="1"/>
  <c r="O1024" i="1"/>
  <c r="P1008" i="1" a="1"/>
  <c r="P1008" i="1" s="1"/>
  <c r="P1054" i="1" s="1" a="1"/>
  <c r="P1054" i="1" s="1"/>
  <c r="G1029" i="1" a="1"/>
  <c r="G1029" i="1" s="1"/>
  <c r="L1027" i="1" a="1"/>
  <c r="L1027" i="1"/>
  <c r="I1027" i="1" a="1"/>
  <c r="I1027" i="1"/>
  <c r="N1027" i="1" a="1"/>
  <c r="N1027" i="1"/>
  <c r="H1024" i="1" a="1"/>
  <c r="H1024" i="1" s="1"/>
  <c r="J1027" i="1" a="1"/>
  <c r="J1027" i="1"/>
  <c r="H1027" i="1" a="1"/>
  <c r="H1027" i="1" s="1"/>
  <c r="G1024" i="1" a="1"/>
  <c r="G1024" i="1"/>
  <c r="Q1008" i="1" a="1"/>
  <c r="Q1008" i="1" s="1"/>
  <c r="Q1054" i="1" s="1" a="1"/>
  <c r="Q1054" i="1" s="1"/>
  <c r="K1027" i="1" a="1"/>
  <c r="K1027" i="1" s="1"/>
  <c r="H1029" i="1" a="1"/>
  <c r="H1029" i="1"/>
  <c r="F1029" i="1" a="1"/>
  <c r="F1029" i="1" s="1"/>
  <c r="M1027" i="1" a="1"/>
  <c r="M1027" i="1" s="1"/>
  <c r="P1027" i="1" a="1"/>
  <c r="P1027" i="1" s="1"/>
  <c r="P1024" i="1" a="1"/>
  <c r="P1024" i="1"/>
  <c r="N1024" i="1" a="1"/>
  <c r="N1024" i="1"/>
  <c r="J1024" i="1" a="1"/>
  <c r="J1024" i="1" s="1"/>
  <c r="M1008" i="1" a="1"/>
  <c r="M1008" i="1"/>
  <c r="M1024" i="1" a="1"/>
  <c r="M1024" i="1"/>
  <c r="N1008" i="1" a="1"/>
  <c r="N1008" i="1"/>
  <c r="O1008" i="1" a="1"/>
  <c r="O1008" i="1" s="1"/>
  <c r="O1054" i="1" s="1" a="1"/>
  <c r="O1054" i="1" s="1"/>
  <c r="O1027" i="1" a="1"/>
  <c r="O1027" i="1" s="1"/>
  <c r="J999" i="1" a="1"/>
  <c r="J999" i="1"/>
  <c r="J1051" i="1" s="1" a="1"/>
  <c r="J1051" i="1" s="1"/>
  <c r="F999" i="1" a="1"/>
  <c r="F999" i="1" s="1"/>
  <c r="F1051" i="1" s="1" a="1"/>
  <c r="F1051" i="1" s="1"/>
  <c r="O999" i="1" a="1"/>
  <c r="O999" i="1" s="1"/>
  <c r="O1051" i="1" s="1" a="1"/>
  <c r="O1051" i="1" s="1"/>
  <c r="J1008" i="1" a="1"/>
  <c r="J1008" i="1" s="1"/>
  <c r="J1054" i="1" s="1" a="1"/>
  <c r="J1054" i="1" s="1"/>
  <c r="J998" i="1" a="1"/>
  <c r="J998" i="1"/>
  <c r="H1008" i="1" a="1"/>
  <c r="H1008" i="1" s="1"/>
  <c r="N991" i="1" a="1"/>
  <c r="N991" i="1" s="1"/>
  <c r="F1008" i="1" a="1"/>
  <c r="F1008" i="1" s="1"/>
  <c r="F1054" i="1" s="1" a="1"/>
  <c r="F1054" i="1" s="1"/>
  <c r="N999" i="1" a="1"/>
  <c r="N999" i="1"/>
  <c r="N1051" i="1" s="1" a="1"/>
  <c r="N1051" i="1" s="1"/>
  <c r="H999" i="1" a="1"/>
  <c r="H999" i="1"/>
  <c r="H1051" i="1" s="1" a="1"/>
  <c r="H1051" i="1" s="1"/>
  <c r="G999" i="1" a="1"/>
  <c r="G999" i="1"/>
  <c r="P998" i="1" a="1"/>
  <c r="P998" i="1" s="1"/>
  <c r="K998" i="1" a="1"/>
  <c r="K998" i="1" s="1"/>
  <c r="N998" i="1" a="1"/>
  <c r="N998" i="1"/>
  <c r="M998" i="1" a="1"/>
  <c r="M998" i="1"/>
  <c r="P991" i="1" a="1"/>
  <c r="P991" i="1"/>
  <c r="I998" i="1" a="1"/>
  <c r="I998" i="1" s="1"/>
  <c r="P999" i="1" a="1"/>
  <c r="P999" i="1"/>
  <c r="I999" i="1" a="1"/>
  <c r="I999" i="1" s="1"/>
  <c r="I1051" i="1" s="1" a="1"/>
  <c r="I1051" i="1" s="1"/>
  <c r="L998" i="1" a="1"/>
  <c r="L998" i="1" s="1"/>
  <c r="L1008" i="1" a="1"/>
  <c r="L1008" i="1"/>
  <c r="Q991" i="1" a="1"/>
  <c r="Q991" i="1"/>
  <c r="K1008" i="1" a="1"/>
  <c r="K1008" i="1"/>
  <c r="K1054" i="1" s="1" a="1"/>
  <c r="K1054" i="1" s="1"/>
  <c r="I1008" i="1" a="1"/>
  <c r="I1008" i="1"/>
  <c r="I1054" i="1" s="1" a="1"/>
  <c r="I1054" i="1" s="1"/>
  <c r="G1008" i="1" a="1"/>
  <c r="G1008" i="1"/>
  <c r="G1054" i="1" s="1" a="1"/>
  <c r="G1054" i="1" s="1"/>
  <c r="Q999" i="1" a="1"/>
  <c r="Q999" i="1" s="1"/>
  <c r="Q1051" i="1" s="1" a="1"/>
  <c r="Q1051" i="1" s="1"/>
  <c r="G998" i="1" a="1"/>
  <c r="G998" i="1"/>
  <c r="O998" i="1" a="1"/>
  <c r="O998" i="1"/>
  <c r="F998" i="1" a="1"/>
  <c r="F998" i="1"/>
  <c r="K999" i="1" a="1"/>
  <c r="K999" i="1" s="1"/>
  <c r="K1051" i="1" s="1" a="1"/>
  <c r="K1051" i="1" s="1"/>
  <c r="M999" i="1" a="1"/>
  <c r="M999" i="1" s="1"/>
  <c r="M1051" i="1" s="1" a="1"/>
  <c r="M1051" i="1" s="1"/>
  <c r="L999" i="1" a="1"/>
  <c r="L999" i="1" s="1"/>
  <c r="L1051" i="1" s="1" a="1"/>
  <c r="L1051" i="1" s="1"/>
  <c r="H998" i="1" a="1"/>
  <c r="H998" i="1" s="1"/>
  <c r="Q998" i="1" a="1"/>
  <c r="Q998" i="1" s="1"/>
  <c r="O991" i="1" a="1"/>
  <c r="O991" i="1" s="1"/>
  <c r="M985" i="1" a="1"/>
  <c r="M985" i="1"/>
  <c r="L985" i="1" a="1"/>
  <c r="L985" i="1"/>
  <c r="H985" i="1" a="1"/>
  <c r="H985" i="1" s="1"/>
  <c r="K985" i="1" a="1"/>
  <c r="K985" i="1" s="1"/>
  <c r="M991" i="1" a="1"/>
  <c r="M991" i="1" s="1"/>
  <c r="I991" i="1" a="1"/>
  <c r="I991" i="1" s="1"/>
  <c r="L991" i="1" a="1"/>
  <c r="L991" i="1" s="1"/>
  <c r="K991" i="1" a="1"/>
  <c r="K991" i="1"/>
  <c r="I985" i="1" a="1"/>
  <c r="I985" i="1" s="1"/>
  <c r="F991" i="1" a="1"/>
  <c r="F991" i="1"/>
  <c r="N985" i="1" a="1"/>
  <c r="N985" i="1" s="1"/>
  <c r="J985" i="1" a="1"/>
  <c r="J985" i="1"/>
  <c r="J991" i="1" a="1"/>
  <c r="J991" i="1" s="1"/>
  <c r="H991" i="1" a="1"/>
  <c r="H991" i="1"/>
  <c r="G991" i="1" a="1"/>
  <c r="G991" i="1"/>
  <c r="G985" i="1" a="1"/>
  <c r="G985" i="1" s="1"/>
  <c r="Q985" i="1" a="1"/>
  <c r="Q985" i="1"/>
  <c r="P985" i="1" a="1"/>
  <c r="P985" i="1"/>
  <c r="O985" i="1" a="1"/>
  <c r="O985" i="1" s="1"/>
  <c r="J979" i="1" a="1"/>
  <c r="J979" i="1" s="1"/>
  <c r="N978" i="1" a="1"/>
  <c r="N978" i="1" s="1"/>
  <c r="F985" i="1" a="1"/>
  <c r="F985" i="1" s="1"/>
  <c r="I978" i="1" a="1"/>
  <c r="I978" i="1" s="1"/>
  <c r="I979" i="1" a="1"/>
  <c r="I979" i="1" s="1"/>
  <c r="I1053" i="1" s="1" a="1"/>
  <c r="I1053" i="1" s="1"/>
  <c r="P979" i="1" a="1"/>
  <c r="P979" i="1"/>
  <c r="P1053" i="1" s="1" a="1"/>
  <c r="P1053" i="1" s="1"/>
  <c r="F979" i="1" a="1"/>
  <c r="F979" i="1" s="1"/>
  <c r="F1053" i="1" s="1" a="1"/>
  <c r="F1053" i="1" s="1"/>
  <c r="O978" i="1" a="1"/>
  <c r="O978" i="1" s="1"/>
  <c r="M975" i="1" a="1"/>
  <c r="M975" i="1" s="1"/>
  <c r="N976" i="1" a="1"/>
  <c r="N976" i="1" s="1"/>
  <c r="H978" i="1" a="1"/>
  <c r="H978" i="1" s="1"/>
  <c r="F978" i="1" a="1"/>
  <c r="F978" i="1" s="1"/>
  <c r="I976" i="1" a="1"/>
  <c r="I976" i="1" s="1"/>
  <c r="G976" i="1" a="1"/>
  <c r="G976" i="1" s="1"/>
  <c r="L975" i="1" a="1"/>
  <c r="L975" i="1" s="1"/>
  <c r="L978" i="1" a="1"/>
  <c r="L978" i="1" s="1"/>
  <c r="J978" i="1" a="1"/>
  <c r="J978" i="1" s="1"/>
  <c r="K979" i="1" a="1"/>
  <c r="K979" i="1"/>
  <c r="K1053" i="1" s="1" a="1"/>
  <c r="K1053" i="1" s="1"/>
  <c r="Q979" i="1" a="1"/>
  <c r="Q979" i="1" s="1"/>
  <c r="O979" i="1" a="1"/>
  <c r="O979" i="1" s="1"/>
  <c r="O1053" i="1" s="1" a="1"/>
  <c r="O1053" i="1" s="1"/>
  <c r="G979" i="1" a="1"/>
  <c r="G979" i="1" s="1"/>
  <c r="G978" i="1" a="1"/>
  <c r="G978" i="1" s="1"/>
  <c r="K975" i="1" a="1"/>
  <c r="K975" i="1" s="1"/>
  <c r="J976" i="1" a="1"/>
  <c r="J976" i="1"/>
  <c r="K978" i="1" a="1"/>
  <c r="K978" i="1"/>
  <c r="I975" i="1" a="1"/>
  <c r="I975" i="1" s="1"/>
  <c r="Q976" i="1" a="1"/>
  <c r="Q976" i="1" s="1"/>
  <c r="H976" i="1" a="1"/>
  <c r="H976" i="1" s="1"/>
  <c r="M976" i="1" a="1"/>
  <c r="M976" i="1" s="1"/>
  <c r="Q975" i="1" a="1"/>
  <c r="Q975" i="1" s="1"/>
  <c r="P978" i="1" a="1"/>
  <c r="P978" i="1"/>
  <c r="J975" i="1" a="1"/>
  <c r="J975" i="1" s="1"/>
  <c r="N979" i="1" a="1"/>
  <c r="N979" i="1" s="1"/>
  <c r="N1053" i="1" s="1" a="1"/>
  <c r="N1053" i="1" s="1"/>
  <c r="N975" i="1" a="1"/>
  <c r="N975" i="1" s="1"/>
  <c r="M979" i="1" a="1"/>
  <c r="M979" i="1"/>
  <c r="M978" i="1" a="1"/>
  <c r="M978" i="1" s="1"/>
  <c r="O975" i="1" a="1"/>
  <c r="O975" i="1"/>
  <c r="L979" i="1" a="1"/>
  <c r="L979" i="1" s="1"/>
  <c r="H979" i="1" a="1"/>
  <c r="H979" i="1" s="1"/>
  <c r="H1053" i="1" s="1" a="1"/>
  <c r="H1053" i="1" s="1"/>
  <c r="Q978" i="1" a="1"/>
  <c r="Q978" i="1" s="1"/>
  <c r="P976" i="1" a="1"/>
  <c r="P976" i="1"/>
  <c r="K976" i="1" a="1"/>
  <c r="K976" i="1"/>
  <c r="L976" i="1" a="1"/>
  <c r="L976" i="1"/>
  <c r="F976" i="1" a="1"/>
  <c r="F976" i="1" s="1"/>
  <c r="P975" i="1" a="1"/>
  <c r="P975" i="1" s="1"/>
  <c r="O976" i="1" a="1"/>
  <c r="O976" i="1" s="1"/>
  <c r="H975" i="1" a="1"/>
  <c r="H975" i="1"/>
  <c r="G975" i="1" a="1"/>
  <c r="G975" i="1" s="1"/>
  <c r="F975" i="1" a="1"/>
  <c r="F975" i="1" s="1"/>
  <c r="N928" i="1" a="1"/>
  <c r="N928" i="1" s="1"/>
  <c r="L928" i="1" a="1"/>
  <c r="L928" i="1" s="1"/>
  <c r="M928" i="1" a="1"/>
  <c r="M928" i="1" s="1"/>
  <c r="Q928" i="1" a="1"/>
  <c r="Q928" i="1"/>
  <c r="K928" i="1" a="1"/>
  <c r="K928" i="1"/>
  <c r="P928" i="1" a="1"/>
  <c r="P928" i="1"/>
  <c r="O928" i="1" a="1"/>
  <c r="O928" i="1"/>
  <c r="J928" i="1" a="1"/>
  <c r="J928" i="1" s="1"/>
  <c r="Q916" i="1" a="1"/>
  <c r="Q916" i="1" s="1"/>
  <c r="G928" i="1" a="1"/>
  <c r="G928" i="1"/>
  <c r="N914" i="1" a="1"/>
  <c r="N914" i="1" s="1"/>
  <c r="P916" i="1" a="1"/>
  <c r="P916" i="1" s="1"/>
  <c r="F916" i="1" a="1"/>
  <c r="F916" i="1" s="1"/>
  <c r="P914" i="1" a="1"/>
  <c r="P914" i="1"/>
  <c r="O914" i="1" a="1"/>
  <c r="O914" i="1" s="1"/>
  <c r="I916" i="1" a="1"/>
  <c r="I916" i="1" s="1"/>
  <c r="G916" i="1" a="1"/>
  <c r="G916" i="1"/>
  <c r="M914" i="1" a="1"/>
  <c r="M914" i="1" s="1"/>
  <c r="H928" i="1" a="1"/>
  <c r="H928" i="1" s="1"/>
  <c r="F928" i="1" a="1"/>
  <c r="F928" i="1"/>
  <c r="J916" i="1" a="1"/>
  <c r="J916" i="1"/>
  <c r="H916" i="1" a="1"/>
  <c r="H916" i="1"/>
  <c r="K916" i="1" a="1"/>
  <c r="K916" i="1"/>
  <c r="O916" i="1" a="1"/>
  <c r="O916" i="1" s="1"/>
  <c r="K914" i="1" a="1"/>
  <c r="K914" i="1"/>
  <c r="L914" i="1" a="1"/>
  <c r="L914" i="1"/>
  <c r="J914" i="1" a="1"/>
  <c r="J914" i="1" s="1"/>
  <c r="N916" i="1" a="1"/>
  <c r="N916" i="1"/>
  <c r="Q914" i="1" a="1"/>
  <c r="Q914" i="1" s="1"/>
  <c r="I928" i="1" a="1"/>
  <c r="I928" i="1" s="1"/>
  <c r="M916" i="1" a="1"/>
  <c r="M916" i="1" s="1"/>
  <c r="L916" i="1" a="1"/>
  <c r="L916" i="1" s="1"/>
  <c r="P896" i="1" a="1"/>
  <c r="P896" i="1"/>
  <c r="I896" i="1" a="1"/>
  <c r="I896" i="1"/>
  <c r="G914" i="1" a="1"/>
  <c r="G914" i="1" s="1"/>
  <c r="F914" i="1" a="1"/>
  <c r="F914" i="1" s="1"/>
  <c r="L896" i="1" a="1"/>
  <c r="L896" i="1"/>
  <c r="G896" i="1" a="1"/>
  <c r="G896" i="1"/>
  <c r="K896" i="1" a="1"/>
  <c r="K896" i="1"/>
  <c r="Q896" i="1" a="1"/>
  <c r="Q896" i="1" s="1"/>
  <c r="H896" i="1" a="1"/>
  <c r="H896" i="1"/>
  <c r="N896" i="1" a="1"/>
  <c r="N896" i="1" s="1"/>
  <c r="O896" i="1" a="1"/>
  <c r="O896" i="1" s="1"/>
  <c r="F896" i="1" a="1"/>
  <c r="F896" i="1"/>
  <c r="M896" i="1" a="1"/>
  <c r="M896" i="1" s="1"/>
  <c r="I914" i="1" a="1"/>
  <c r="I914" i="1"/>
  <c r="H914" i="1" a="1"/>
  <c r="H914" i="1" s="1"/>
  <c r="J896" i="1" a="1"/>
  <c r="J896" i="1" s="1"/>
  <c r="Q885" i="1" a="1"/>
  <c r="Q885" i="1" s="1"/>
  <c r="O885" i="1" a="1"/>
  <c r="O885" i="1"/>
  <c r="G885" i="1" a="1"/>
  <c r="G885" i="1"/>
  <c r="L884" i="1" a="1"/>
  <c r="L884" i="1"/>
  <c r="Q884" i="1" a="1"/>
  <c r="Q884" i="1"/>
  <c r="I884" i="1" a="1"/>
  <c r="I884" i="1"/>
  <c r="P884" i="1" a="1"/>
  <c r="P884" i="1"/>
  <c r="H884" i="1" a="1"/>
  <c r="H884" i="1" s="1"/>
  <c r="M885" i="1" a="1"/>
  <c r="M885" i="1" s="1"/>
  <c r="N884" i="1" a="1"/>
  <c r="N884" i="1"/>
  <c r="K885" i="1" a="1"/>
  <c r="K885" i="1"/>
  <c r="J885" i="1" a="1"/>
  <c r="J885" i="1" s="1"/>
  <c r="I885" i="1" a="1"/>
  <c r="I885" i="1" s="1"/>
  <c r="P885" i="1" a="1"/>
  <c r="P885" i="1"/>
  <c r="M884" i="1" a="1"/>
  <c r="M884" i="1"/>
  <c r="O884" i="1" a="1"/>
  <c r="O884" i="1"/>
  <c r="G884" i="1" a="1"/>
  <c r="G884" i="1"/>
  <c r="K884" i="1" a="1"/>
  <c r="K884" i="1" s="1"/>
  <c r="F885" i="1" a="1"/>
  <c r="F885" i="1" s="1"/>
  <c r="N885" i="1" a="1"/>
  <c r="N885" i="1"/>
  <c r="F884" i="1" a="1"/>
  <c r="F884" i="1"/>
  <c r="J884" i="1" a="1"/>
  <c r="J884" i="1" s="1"/>
  <c r="L885" i="1" a="1"/>
  <c r="L885" i="1" s="1"/>
  <c r="H885" i="1" a="1"/>
  <c r="H885" i="1"/>
  <c r="Q856" i="1"/>
  <c r="P856" i="1"/>
  <c r="P855" i="1" s="1"/>
  <c r="O856" i="1"/>
  <c r="O855" i="1" s="1"/>
  <c r="N856" i="1"/>
  <c r="N855" i="1" s="1"/>
  <c r="M856" i="1"/>
  <c r="M855" i="1" s="1"/>
  <c r="L856" i="1"/>
  <c r="L855" i="1" s="1"/>
  <c r="K856" i="1"/>
  <c r="J856" i="1"/>
  <c r="J855" i="1" s="1"/>
  <c r="I856" i="1"/>
  <c r="H856" i="1"/>
  <c r="G856" i="1"/>
  <c r="G855" i="1" s="1"/>
  <c r="F856" i="1"/>
  <c r="Q855" i="1"/>
  <c r="K855" i="1"/>
  <c r="I855" i="1"/>
  <c r="H855" i="1"/>
  <c r="F855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P787" i="1"/>
  <c r="P786" i="1"/>
  <c r="G786" i="1"/>
  <c r="G787" i="1" s="1"/>
  <c r="F786" i="1"/>
  <c r="F787" i="1" s="1"/>
  <c r="P783" i="1"/>
  <c r="O783" i="1"/>
  <c r="K783" i="1"/>
  <c r="H783" i="1"/>
  <c r="F783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O779" i="1"/>
  <c r="O786" i="1" s="1"/>
  <c r="O787" i="1" s="1"/>
  <c r="N779" i="1"/>
  <c r="L779" i="1"/>
  <c r="K779" i="1"/>
  <c r="K786" i="1" s="1"/>
  <c r="K787" i="1" s="1"/>
  <c r="J779" i="1"/>
  <c r="J783" i="1" s="1"/>
  <c r="I779" i="1"/>
  <c r="I783" i="1" s="1"/>
  <c r="H779" i="1"/>
  <c r="H786" i="1" s="1"/>
  <c r="H787" i="1" s="1"/>
  <c r="G779" i="1"/>
  <c r="G783" i="1" s="1"/>
  <c r="Q778" i="1"/>
  <c r="P778" i="1"/>
  <c r="O778" i="1"/>
  <c r="N778" i="1"/>
  <c r="M778" i="1"/>
  <c r="L778" i="1"/>
  <c r="K778" i="1"/>
  <c r="J778" i="1"/>
  <c r="I778" i="1"/>
  <c r="H778" i="1"/>
  <c r="G778" i="1"/>
  <c r="F778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P675" i="1"/>
  <c r="N675" i="1"/>
  <c r="M675" i="1"/>
  <c r="K675" i="1"/>
  <c r="J675" i="1"/>
  <c r="I675" i="1"/>
  <c r="H675" i="1"/>
  <c r="G675" i="1"/>
  <c r="F675" i="1"/>
  <c r="N674" i="1"/>
  <c r="M674" i="1"/>
  <c r="K674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Q669" i="1"/>
  <c r="Q675" i="1" s="1"/>
  <c r="P669" i="1"/>
  <c r="O669" i="1"/>
  <c r="O675" i="1" s="1"/>
  <c r="N669" i="1"/>
  <c r="M669" i="1"/>
  <c r="L669" i="1"/>
  <c r="L675" i="1" s="1"/>
  <c r="K669" i="1"/>
  <c r="J669" i="1"/>
  <c r="I669" i="1"/>
  <c r="H669" i="1"/>
  <c r="G669" i="1"/>
  <c r="F669" i="1"/>
  <c r="Q668" i="1"/>
  <c r="Q674" i="1" s="1"/>
  <c r="P668" i="1"/>
  <c r="P674" i="1" s="1"/>
  <c r="O668" i="1"/>
  <c r="O674" i="1" s="1"/>
  <c r="N668" i="1"/>
  <c r="M668" i="1"/>
  <c r="L668" i="1"/>
  <c r="L674" i="1" s="1"/>
  <c r="K668" i="1"/>
  <c r="J668" i="1"/>
  <c r="J674" i="1" s="1"/>
  <c r="I668" i="1"/>
  <c r="I674" i="1" s="1"/>
  <c r="H668" i="1"/>
  <c r="H674" i="1" s="1"/>
  <c r="G668" i="1"/>
  <c r="G674" i="1" s="1"/>
  <c r="F668" i="1"/>
  <c r="F674" i="1" s="1"/>
  <c r="Q667" i="1"/>
  <c r="P667" i="1"/>
  <c r="O667" i="1"/>
  <c r="N667" i="1"/>
  <c r="M667" i="1"/>
  <c r="L667" i="1"/>
  <c r="K667" i="1"/>
  <c r="J667" i="1"/>
  <c r="I667" i="1"/>
  <c r="H667" i="1"/>
  <c r="G667" i="1"/>
  <c r="F667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P520" i="1"/>
  <c r="O520" i="1"/>
  <c r="K520" i="1"/>
  <c r="Q517" i="1"/>
  <c r="N517" i="1"/>
  <c r="M517" i="1"/>
  <c r="L517" i="1"/>
  <c r="I517" i="1"/>
  <c r="G517" i="1"/>
  <c r="F517" i="1"/>
  <c r="H515" i="1"/>
  <c r="G513" i="1"/>
  <c r="F513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Q479" i="1"/>
  <c r="P479" i="1"/>
  <c r="O479" i="1"/>
  <c r="N479" i="1"/>
  <c r="M479" i="1"/>
  <c r="L479" i="1"/>
  <c r="K479" i="1"/>
  <c r="M477" i="1"/>
  <c r="L477" i="1"/>
  <c r="J477" i="1"/>
  <c r="M476" i="1"/>
  <c r="J475" i="1"/>
  <c r="I475" i="1"/>
  <c r="H475" i="1"/>
  <c r="G475" i="1"/>
  <c r="K465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F439" i="1"/>
  <c r="K437" i="1"/>
  <c r="J437" i="1"/>
  <c r="G437" i="1"/>
  <c r="I420" i="1"/>
  <c r="M419" i="1"/>
  <c r="P413" i="1"/>
  <c r="O413" i="1"/>
  <c r="G413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Q400" i="1"/>
  <c r="Q520" i="1" s="1"/>
  <c r="P400" i="1"/>
  <c r="N400" i="1"/>
  <c r="N520" i="1" s="1"/>
  <c r="M400" i="1"/>
  <c r="M520" i="1" s="1"/>
  <c r="J400" i="1"/>
  <c r="J520" i="1" s="1"/>
  <c r="H400" i="1"/>
  <c r="H520" i="1" s="1"/>
  <c r="G400" i="1"/>
  <c r="G520" i="1" s="1"/>
  <c r="F400" i="1"/>
  <c r="F520" i="1" s="1"/>
  <c r="Q399" i="1"/>
  <c r="Q519" i="1" s="1"/>
  <c r="I399" i="1"/>
  <c r="I519" i="1" s="1"/>
  <c r="P398" i="1"/>
  <c r="P439" i="1" s="1"/>
  <c r="O398" i="1"/>
  <c r="O439" i="1" s="1"/>
  <c r="M398" i="1"/>
  <c r="M439" i="1" s="1"/>
  <c r="L398" i="1"/>
  <c r="L439" i="1" s="1"/>
  <c r="K398" i="1"/>
  <c r="K439" i="1" s="1"/>
  <c r="Q396" i="1"/>
  <c r="P396" i="1"/>
  <c r="O396" i="1"/>
  <c r="N396" i="1"/>
  <c r="M396" i="1"/>
  <c r="L396" i="1"/>
  <c r="K396" i="1"/>
  <c r="J396" i="1"/>
  <c r="I396" i="1"/>
  <c r="H396" i="1"/>
  <c r="G396" i="1"/>
  <c r="F396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Q386" i="1"/>
  <c r="N386" i="1"/>
  <c r="M386" i="1"/>
  <c r="L386" i="1"/>
  <c r="K386" i="1"/>
  <c r="K517" i="1" s="1"/>
  <c r="K385" i="1"/>
  <c r="K516" i="1" s="1"/>
  <c r="F385" i="1"/>
  <c r="F516" i="1" s="1"/>
  <c r="J384" i="1"/>
  <c r="J515" i="1" s="1"/>
  <c r="H384" i="1"/>
  <c r="G384" i="1"/>
  <c r="G515" i="1" s="1"/>
  <c r="F384" i="1"/>
  <c r="F515" i="1" s="1"/>
  <c r="P383" i="1"/>
  <c r="P514" i="1" s="1"/>
  <c r="O383" i="1"/>
  <c r="O514" i="1" s="1"/>
  <c r="G383" i="1"/>
  <c r="G514" i="1" s="1"/>
  <c r="F383" i="1"/>
  <c r="F514" i="1" s="1"/>
  <c r="F382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K380" i="1"/>
  <c r="J380" i="1"/>
  <c r="I380" i="1"/>
  <c r="I437" i="1" s="1"/>
  <c r="G380" i="1"/>
  <c r="Q364" i="1"/>
  <c r="P364" i="1"/>
  <c r="M364" i="1"/>
  <c r="Q362" i="1"/>
  <c r="Q429" i="1" s="1"/>
  <c r="H362" i="1"/>
  <c r="H429" i="1" s="1"/>
  <c r="G362" i="1"/>
  <c r="G429" i="1" s="1"/>
  <c r="M361" i="1"/>
  <c r="M428" i="1" s="1"/>
  <c r="Q360" i="1"/>
  <c r="P360" i="1"/>
  <c r="O360" i="1"/>
  <c r="N360" i="1"/>
  <c r="M360" i="1"/>
  <c r="L360" i="1"/>
  <c r="K360" i="1"/>
  <c r="J360" i="1"/>
  <c r="I360" i="1"/>
  <c r="H360" i="1"/>
  <c r="G360" i="1"/>
  <c r="F360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Q325" i="1"/>
  <c r="Q480" i="1" s="1"/>
  <c r="Q324" i="1"/>
  <c r="O324" i="1"/>
  <c r="N324" i="1"/>
  <c r="L324" i="1"/>
  <c r="H324" i="1"/>
  <c r="H479" i="1" s="1"/>
  <c r="F324" i="1"/>
  <c r="F479" i="1" s="1"/>
  <c r="Q323" i="1"/>
  <c r="Q478" i="1" s="1"/>
  <c r="K323" i="1"/>
  <c r="K478" i="1" s="1"/>
  <c r="J323" i="1"/>
  <c r="J478" i="1" s="1"/>
  <c r="I323" i="1"/>
  <c r="I478" i="1" s="1"/>
  <c r="J322" i="1"/>
  <c r="I322" i="1"/>
  <c r="I477" i="1" s="1"/>
  <c r="G322" i="1"/>
  <c r="G477" i="1" s="1"/>
  <c r="F322" i="1"/>
  <c r="F477" i="1" s="1"/>
  <c r="Q321" i="1"/>
  <c r="Q476" i="1" s="1"/>
  <c r="P321" i="1"/>
  <c r="P476" i="1" s="1"/>
  <c r="M321" i="1"/>
  <c r="Q320" i="1"/>
  <c r="Q475" i="1" s="1"/>
  <c r="K320" i="1"/>
  <c r="K475" i="1" s="1"/>
  <c r="L319" i="1"/>
  <c r="L474" i="1" s="1"/>
  <c r="J319" i="1"/>
  <c r="J474" i="1" s="1"/>
  <c r="I319" i="1"/>
  <c r="I474" i="1" s="1"/>
  <c r="N318" i="1"/>
  <c r="N473" i="1" s="1"/>
  <c r="M318" i="1"/>
  <c r="M473" i="1" s="1"/>
  <c r="I318" i="1"/>
  <c r="I473" i="1" s="1"/>
  <c r="F318" i="1"/>
  <c r="F473" i="1" s="1"/>
  <c r="L315" i="1"/>
  <c r="L420" i="1" s="1"/>
  <c r="K315" i="1"/>
  <c r="K420" i="1" s="1"/>
  <c r="J315" i="1"/>
  <c r="J420" i="1" s="1"/>
  <c r="M314" i="1"/>
  <c r="H314" i="1"/>
  <c r="H419" i="1" s="1"/>
  <c r="G314" i="1"/>
  <c r="G419" i="1" s="1"/>
  <c r="F314" i="1"/>
  <c r="F419" i="1" s="1"/>
  <c r="Q313" i="1"/>
  <c r="P313" i="1"/>
  <c r="O313" i="1"/>
  <c r="N313" i="1"/>
  <c r="M313" i="1"/>
  <c r="L313" i="1"/>
  <c r="K313" i="1"/>
  <c r="J313" i="1"/>
  <c r="I313" i="1"/>
  <c r="H313" i="1"/>
  <c r="G313" i="1"/>
  <c r="F313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N301" i="1"/>
  <c r="N465" i="1" s="1"/>
  <c r="M301" i="1"/>
  <c r="M465" i="1" s="1"/>
  <c r="K301" i="1"/>
  <c r="J301" i="1"/>
  <c r="J465" i="1" s="1"/>
  <c r="P300" i="1"/>
  <c r="M300" i="1"/>
  <c r="M413" i="1" s="1"/>
  <c r="H300" i="1"/>
  <c r="H413" i="1" s="1"/>
  <c r="F300" i="1"/>
  <c r="F413" i="1" s="1"/>
  <c r="Q299" i="1"/>
  <c r="P299" i="1"/>
  <c r="O299" i="1"/>
  <c r="N299" i="1"/>
  <c r="M299" i="1"/>
  <c r="L299" i="1"/>
  <c r="K299" i="1"/>
  <c r="J299" i="1"/>
  <c r="I299" i="1"/>
  <c r="H299" i="1"/>
  <c r="G299" i="1"/>
  <c r="F299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I241" i="1"/>
  <c r="I316" i="1" s="1"/>
  <c r="I471" i="1" s="1"/>
  <c r="H241" i="1"/>
  <c r="H316" i="1" s="1"/>
  <c r="H471" i="1" s="1"/>
  <c r="G241" i="1"/>
  <c r="G316" i="1" s="1"/>
  <c r="G471" i="1" s="1"/>
  <c r="F241" i="1"/>
  <c r="F316" i="1" s="1"/>
  <c r="F471" i="1" s="1"/>
  <c r="O129" i="1"/>
  <c r="N129" i="1"/>
  <c r="L129" i="1"/>
  <c r="Q128" i="1"/>
  <c r="P128" i="1"/>
  <c r="O128" i="1"/>
  <c r="N128" i="1"/>
  <c r="M128" i="1"/>
  <c r="L128" i="1"/>
  <c r="K128" i="1"/>
  <c r="G128" i="1"/>
  <c r="P126" i="1"/>
  <c r="N126" i="1"/>
  <c r="M126" i="1"/>
  <c r="L126" i="1"/>
  <c r="J126" i="1"/>
  <c r="I126" i="1"/>
  <c r="G126" i="1"/>
  <c r="P125" i="1"/>
  <c r="M125" i="1"/>
  <c r="H125" i="1"/>
  <c r="G125" i="1"/>
  <c r="F125" i="1"/>
  <c r="N124" i="1"/>
  <c r="J124" i="1"/>
  <c r="I124" i="1"/>
  <c r="H124" i="1"/>
  <c r="G124" i="1"/>
  <c r="Q123" i="1"/>
  <c r="P123" i="1"/>
  <c r="L123" i="1"/>
  <c r="K123" i="1"/>
  <c r="I123" i="1"/>
  <c r="M122" i="1"/>
  <c r="K122" i="1"/>
  <c r="J122" i="1"/>
  <c r="I122" i="1"/>
  <c r="Q121" i="1"/>
  <c r="P121" i="1"/>
  <c r="O121" i="1"/>
  <c r="N121" i="1"/>
  <c r="L121" i="1"/>
  <c r="K121" i="1"/>
  <c r="H121" i="1"/>
  <c r="Q120" i="1"/>
  <c r="Q119" i="1"/>
  <c r="M119" i="1"/>
  <c r="L119" i="1"/>
  <c r="K119" i="1"/>
  <c r="J119" i="1"/>
  <c r="I119" i="1"/>
  <c r="G119" i="1"/>
  <c r="P118" i="1"/>
  <c r="O118" i="1"/>
  <c r="M118" i="1"/>
  <c r="I118" i="1"/>
  <c r="H118" i="1"/>
  <c r="G118" i="1"/>
  <c r="K117" i="1"/>
  <c r="I117" i="1"/>
  <c r="H117" i="1"/>
  <c r="G117" i="1"/>
  <c r="F117" i="1"/>
  <c r="Q116" i="1"/>
  <c r="O116" i="1"/>
  <c r="L116" i="1"/>
  <c r="J116" i="1"/>
  <c r="I116" i="1"/>
  <c r="P115" i="1"/>
  <c r="O115" i="1"/>
  <c r="N11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Q290" i="1"/>
  <c r="P290" i="1"/>
  <c r="O290" i="1"/>
  <c r="N290" i="1"/>
  <c r="M290" i="1"/>
  <c r="L290" i="1"/>
  <c r="K290" i="1"/>
  <c r="J290" i="1"/>
  <c r="I290" i="1"/>
  <c r="I400" i="1" s="1"/>
  <c r="I520" i="1" s="1"/>
  <c r="H290" i="1"/>
  <c r="G290" i="1"/>
  <c r="F290" i="1"/>
  <c r="Q289" i="1"/>
  <c r="P289" i="1"/>
  <c r="O289" i="1"/>
  <c r="N289" i="1"/>
  <c r="M289" i="1"/>
  <c r="L289" i="1"/>
  <c r="L399" i="1" s="1"/>
  <c r="L519" i="1" s="1"/>
  <c r="K289" i="1"/>
  <c r="J289" i="1"/>
  <c r="I289" i="1"/>
  <c r="H289" i="1"/>
  <c r="G289" i="1"/>
  <c r="F289" i="1"/>
  <c r="Q287" i="1"/>
  <c r="P287" i="1"/>
  <c r="P386" i="1" s="1"/>
  <c r="P517" i="1" s="1"/>
  <c r="O287" i="1"/>
  <c r="O386" i="1" s="1"/>
  <c r="O517" i="1" s="1"/>
  <c r="N287" i="1"/>
  <c r="M287" i="1"/>
  <c r="L287" i="1"/>
  <c r="K287" i="1"/>
  <c r="J287" i="1"/>
  <c r="I287" i="1"/>
  <c r="H287" i="1"/>
  <c r="H386" i="1" s="1"/>
  <c r="H517" i="1" s="1"/>
  <c r="G287" i="1"/>
  <c r="F287" i="1"/>
  <c r="Q286" i="1"/>
  <c r="Q385" i="1" s="1"/>
  <c r="Q516" i="1" s="1"/>
  <c r="P286" i="1"/>
  <c r="O286" i="1"/>
  <c r="N286" i="1"/>
  <c r="M286" i="1"/>
  <c r="L286" i="1"/>
  <c r="K286" i="1"/>
  <c r="J286" i="1"/>
  <c r="I286" i="1"/>
  <c r="I385" i="1" s="1"/>
  <c r="I516" i="1" s="1"/>
  <c r="H286" i="1"/>
  <c r="G286" i="1"/>
  <c r="G385" i="1" s="1"/>
  <c r="G516" i="1" s="1"/>
  <c r="F286" i="1"/>
  <c r="Q285" i="1"/>
  <c r="P285" i="1"/>
  <c r="O285" i="1"/>
  <c r="O384" i="1" s="1"/>
  <c r="O515" i="1" s="1"/>
  <c r="N285" i="1"/>
  <c r="N384" i="1" s="1"/>
  <c r="N515" i="1" s="1"/>
  <c r="M285" i="1"/>
  <c r="L285" i="1"/>
  <c r="L384" i="1" s="1"/>
  <c r="L515" i="1" s="1"/>
  <c r="K285" i="1"/>
  <c r="K384" i="1" s="1"/>
  <c r="K515" i="1" s="1"/>
  <c r="J285" i="1"/>
  <c r="I285" i="1"/>
  <c r="I384" i="1" s="1"/>
  <c r="I515" i="1" s="1"/>
  <c r="H285" i="1"/>
  <c r="G285" i="1"/>
  <c r="F285" i="1"/>
  <c r="F283" i="1"/>
  <c r="P274" i="1"/>
  <c r="O274" i="1"/>
  <c r="M274" i="1"/>
  <c r="F274" i="1"/>
  <c r="Q250" i="1"/>
  <c r="P250" i="1"/>
  <c r="P325" i="1" s="1"/>
  <c r="P480" i="1" s="1"/>
  <c r="O250" i="1"/>
  <c r="N250" i="1"/>
  <c r="N325" i="1" s="1"/>
  <c r="N480" i="1" s="1"/>
  <c r="M250" i="1"/>
  <c r="L250" i="1"/>
  <c r="K250" i="1"/>
  <c r="J250" i="1"/>
  <c r="I250" i="1"/>
  <c r="H250" i="1"/>
  <c r="G250" i="1"/>
  <c r="F250" i="1"/>
  <c r="Q249" i="1"/>
  <c r="P249" i="1"/>
  <c r="O249" i="1"/>
  <c r="N249" i="1"/>
  <c r="M249" i="1"/>
  <c r="L249" i="1"/>
  <c r="K249" i="1"/>
  <c r="K324" i="1" s="1"/>
  <c r="J249" i="1"/>
  <c r="I249" i="1"/>
  <c r="H249" i="1"/>
  <c r="G249" i="1"/>
  <c r="F249" i="1"/>
  <c r="Q248" i="1"/>
  <c r="P248" i="1"/>
  <c r="O248" i="1"/>
  <c r="N248" i="1"/>
  <c r="M248" i="1"/>
  <c r="L248" i="1"/>
  <c r="L323" i="1" s="1"/>
  <c r="L478" i="1" s="1"/>
  <c r="K248" i="1"/>
  <c r="J248" i="1"/>
  <c r="I248" i="1"/>
  <c r="H248" i="1"/>
  <c r="H323" i="1" s="1"/>
  <c r="H478" i="1" s="1"/>
  <c r="G248" i="1"/>
  <c r="G323" i="1" s="1"/>
  <c r="G478" i="1" s="1"/>
  <c r="F248" i="1"/>
  <c r="Q247" i="1"/>
  <c r="P247" i="1"/>
  <c r="O247" i="1"/>
  <c r="N247" i="1"/>
  <c r="M247" i="1"/>
  <c r="M322" i="1" s="1"/>
  <c r="L247" i="1"/>
  <c r="K247" i="1"/>
  <c r="J247" i="1"/>
  <c r="I247" i="1"/>
  <c r="H247" i="1"/>
  <c r="G247" i="1"/>
  <c r="F247" i="1"/>
  <c r="Q246" i="1"/>
  <c r="P246" i="1"/>
  <c r="O246" i="1"/>
  <c r="N246" i="1"/>
  <c r="M246" i="1"/>
  <c r="L246" i="1"/>
  <c r="K246" i="1"/>
  <c r="J246" i="1"/>
  <c r="I246" i="1"/>
  <c r="H246" i="1"/>
  <c r="H321" i="1" s="1"/>
  <c r="H476" i="1" s="1"/>
  <c r="G246" i="1"/>
  <c r="G321" i="1" s="1"/>
  <c r="G476" i="1" s="1"/>
  <c r="F246" i="1"/>
  <c r="F321" i="1" s="1"/>
  <c r="F476" i="1" s="1"/>
  <c r="Q245" i="1"/>
  <c r="P245" i="1"/>
  <c r="P320" i="1" s="1"/>
  <c r="P475" i="1" s="1"/>
  <c r="O245" i="1"/>
  <c r="O320" i="1" s="1"/>
  <c r="O475" i="1" s="1"/>
  <c r="N245" i="1"/>
  <c r="M245" i="1"/>
  <c r="L245" i="1"/>
  <c r="K245" i="1"/>
  <c r="J245" i="1"/>
  <c r="I245" i="1"/>
  <c r="I320" i="1" s="1"/>
  <c r="H245" i="1"/>
  <c r="G245" i="1"/>
  <c r="F245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Q243" i="1"/>
  <c r="P243" i="1"/>
  <c r="P318" i="1" s="1"/>
  <c r="P473" i="1" s="1"/>
  <c r="O243" i="1"/>
  <c r="O318" i="1" s="1"/>
  <c r="O473" i="1" s="1"/>
  <c r="N243" i="1"/>
  <c r="M243" i="1"/>
  <c r="L243" i="1"/>
  <c r="L318" i="1" s="1"/>
  <c r="L473" i="1" s="1"/>
  <c r="K243" i="1"/>
  <c r="K318" i="1" s="1"/>
  <c r="K473" i="1" s="1"/>
  <c r="J243" i="1"/>
  <c r="I243" i="1"/>
  <c r="H243" i="1"/>
  <c r="G243" i="1"/>
  <c r="F243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Q216" i="1"/>
  <c r="P216" i="1"/>
  <c r="O216" i="1"/>
  <c r="N216" i="1"/>
  <c r="M216" i="1"/>
  <c r="L216" i="1"/>
  <c r="L212" i="1" s="1"/>
  <c r="K216" i="1"/>
  <c r="K212" i="1" s="1"/>
  <c r="J216" i="1"/>
  <c r="J212" i="1" s="1"/>
  <c r="I216" i="1"/>
  <c r="I212" i="1" s="1"/>
  <c r="H216" i="1"/>
  <c r="H212" i="1" s="1"/>
  <c r="G216" i="1"/>
  <c r="G212" i="1" s="1"/>
  <c r="F216" i="1"/>
  <c r="F212" i="1" s="1"/>
  <c r="Q212" i="1"/>
  <c r="P212" i="1"/>
  <c r="O212" i="1"/>
  <c r="N212" i="1"/>
  <c r="M212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Q207" i="1"/>
  <c r="P207" i="1"/>
  <c r="O207" i="1"/>
  <c r="N207" i="1"/>
  <c r="M207" i="1"/>
  <c r="L207" i="1"/>
  <c r="L380" i="1" s="1"/>
  <c r="L437" i="1" s="1"/>
  <c r="K207" i="1"/>
  <c r="J207" i="1"/>
  <c r="I207" i="1"/>
  <c r="H207" i="1"/>
  <c r="G207" i="1"/>
  <c r="F207" i="1"/>
  <c r="J198" i="1"/>
  <c r="G198" i="1"/>
  <c r="Q190" i="1"/>
  <c r="P190" i="1"/>
  <c r="O190" i="1"/>
  <c r="O315" i="1" s="1"/>
  <c r="O420" i="1" s="1"/>
  <c r="N190" i="1"/>
  <c r="N315" i="1" s="1"/>
  <c r="N420" i="1" s="1"/>
  <c r="M190" i="1"/>
  <c r="M315" i="1" s="1"/>
  <c r="M420" i="1" s="1"/>
  <c r="L190" i="1"/>
  <c r="K190" i="1"/>
  <c r="J190" i="1"/>
  <c r="I190" i="1"/>
  <c r="I315" i="1" s="1"/>
  <c r="H190" i="1"/>
  <c r="G190" i="1"/>
  <c r="F190" i="1"/>
  <c r="Q189" i="1"/>
  <c r="P189" i="1"/>
  <c r="P314" i="1" s="1"/>
  <c r="P419" i="1" s="1"/>
  <c r="O189" i="1"/>
  <c r="N189" i="1"/>
  <c r="M189" i="1"/>
  <c r="L189" i="1"/>
  <c r="K189" i="1"/>
  <c r="J189" i="1"/>
  <c r="I189" i="1"/>
  <c r="H189" i="1"/>
  <c r="G189" i="1"/>
  <c r="F189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Q172" i="1"/>
  <c r="P172" i="1"/>
  <c r="O172" i="1"/>
  <c r="O400" i="1" s="1"/>
  <c r="N172" i="1"/>
  <c r="M172" i="1"/>
  <c r="L172" i="1"/>
  <c r="L400" i="1" s="1"/>
  <c r="L520" i="1" s="1"/>
  <c r="K172" i="1"/>
  <c r="K400" i="1" s="1"/>
  <c r="J172" i="1"/>
  <c r="I172" i="1"/>
  <c r="H172" i="1"/>
  <c r="G172" i="1"/>
  <c r="F172" i="1"/>
  <c r="Q171" i="1"/>
  <c r="P171" i="1"/>
  <c r="P399" i="1" s="1"/>
  <c r="P519" i="1" s="1"/>
  <c r="O171" i="1"/>
  <c r="O399" i="1" s="1"/>
  <c r="O519" i="1" s="1"/>
  <c r="N171" i="1"/>
  <c r="N399" i="1" s="1"/>
  <c r="N519" i="1" s="1"/>
  <c r="M171" i="1"/>
  <c r="M399" i="1" s="1"/>
  <c r="M519" i="1" s="1"/>
  <c r="L171" i="1"/>
  <c r="K171" i="1"/>
  <c r="J171" i="1"/>
  <c r="I171" i="1"/>
  <c r="H171" i="1"/>
  <c r="H399" i="1" s="1"/>
  <c r="H519" i="1" s="1"/>
  <c r="G171" i="1"/>
  <c r="G399" i="1" s="1"/>
  <c r="G519" i="1" s="1"/>
  <c r="F171" i="1"/>
  <c r="F399" i="1" s="1"/>
  <c r="F519" i="1" s="1"/>
  <c r="Q170" i="1"/>
  <c r="Q398" i="1" s="1"/>
  <c r="Q439" i="1" s="1"/>
  <c r="P170" i="1"/>
  <c r="O170" i="1"/>
  <c r="N170" i="1"/>
  <c r="M170" i="1"/>
  <c r="L170" i="1"/>
  <c r="K170" i="1"/>
  <c r="J170" i="1"/>
  <c r="J398" i="1" s="1"/>
  <c r="J439" i="1" s="1"/>
  <c r="I170" i="1"/>
  <c r="I398" i="1" s="1"/>
  <c r="I439" i="1" s="1"/>
  <c r="H170" i="1"/>
  <c r="H398" i="1" s="1"/>
  <c r="H439" i="1" s="1"/>
  <c r="G170" i="1"/>
  <c r="G398" i="1" s="1"/>
  <c r="G439" i="1" s="1"/>
  <c r="F170" i="1"/>
  <c r="F398" i="1" s="1"/>
  <c r="Q167" i="1"/>
  <c r="P167" i="1"/>
  <c r="O167" i="1"/>
  <c r="N167" i="1"/>
  <c r="M167" i="1"/>
  <c r="L167" i="1"/>
  <c r="K167" i="1"/>
  <c r="J167" i="1"/>
  <c r="I167" i="1"/>
  <c r="H167" i="1"/>
  <c r="G167" i="1"/>
  <c r="F167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Q158" i="1"/>
  <c r="P158" i="1"/>
  <c r="O158" i="1"/>
  <c r="N158" i="1"/>
  <c r="M158" i="1"/>
  <c r="L158" i="1"/>
  <c r="K158" i="1"/>
  <c r="J158" i="1"/>
  <c r="J386" i="1" s="1"/>
  <c r="J517" i="1" s="1"/>
  <c r="I158" i="1"/>
  <c r="I386" i="1" s="1"/>
  <c r="H158" i="1"/>
  <c r="G158" i="1"/>
  <c r="G386" i="1" s="1"/>
  <c r="F158" i="1"/>
  <c r="F386" i="1" s="1"/>
  <c r="Q157" i="1"/>
  <c r="P157" i="1"/>
  <c r="P385" i="1" s="1"/>
  <c r="P516" i="1" s="1"/>
  <c r="O157" i="1"/>
  <c r="O385" i="1" s="1"/>
  <c r="O516" i="1" s="1"/>
  <c r="N157" i="1"/>
  <c r="N385" i="1" s="1"/>
  <c r="N516" i="1" s="1"/>
  <c r="M157" i="1"/>
  <c r="M385" i="1" s="1"/>
  <c r="M516" i="1" s="1"/>
  <c r="L157" i="1"/>
  <c r="L385" i="1" s="1"/>
  <c r="L516" i="1" s="1"/>
  <c r="K157" i="1"/>
  <c r="J157" i="1"/>
  <c r="J385" i="1" s="1"/>
  <c r="J516" i="1" s="1"/>
  <c r="I157" i="1"/>
  <c r="H157" i="1"/>
  <c r="G157" i="1"/>
  <c r="F157" i="1"/>
  <c r="Q156" i="1"/>
  <c r="P156" i="1"/>
  <c r="P384" i="1" s="1"/>
  <c r="P515" i="1" s="1"/>
  <c r="O156" i="1"/>
  <c r="N156" i="1"/>
  <c r="M156" i="1"/>
  <c r="M384" i="1" s="1"/>
  <c r="M515" i="1" s="1"/>
  <c r="L156" i="1"/>
  <c r="K156" i="1"/>
  <c r="J156" i="1"/>
  <c r="I156" i="1"/>
  <c r="H156" i="1"/>
  <c r="G156" i="1"/>
  <c r="F156" i="1"/>
  <c r="Q155" i="1"/>
  <c r="P155" i="1"/>
  <c r="O155" i="1"/>
  <c r="N155" i="1"/>
  <c r="M155" i="1"/>
  <c r="L155" i="1"/>
  <c r="L383" i="1" s="1"/>
  <c r="L514" i="1" s="1"/>
  <c r="K155" i="1"/>
  <c r="K383" i="1" s="1"/>
  <c r="K514" i="1" s="1"/>
  <c r="J155" i="1"/>
  <c r="J383" i="1" s="1"/>
  <c r="J514" i="1" s="1"/>
  <c r="I155" i="1"/>
  <c r="I383" i="1" s="1"/>
  <c r="I514" i="1" s="1"/>
  <c r="H155" i="1"/>
  <c r="G155" i="1"/>
  <c r="F155" i="1"/>
  <c r="Q154" i="1"/>
  <c r="P154" i="1"/>
  <c r="O154" i="1"/>
  <c r="N154" i="1"/>
  <c r="M154" i="1"/>
  <c r="L154" i="1"/>
  <c r="K154" i="1"/>
  <c r="K382" i="1" s="1"/>
  <c r="K513" i="1" s="1"/>
  <c r="J154" i="1"/>
  <c r="J382" i="1" s="1"/>
  <c r="J513" i="1" s="1"/>
  <c r="I154" i="1"/>
  <c r="H154" i="1"/>
  <c r="G154" i="1"/>
  <c r="F154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Q152" i="1"/>
  <c r="Q380" i="1" s="1"/>
  <c r="Q437" i="1" s="1"/>
  <c r="P152" i="1"/>
  <c r="O152" i="1"/>
  <c r="N152" i="1"/>
  <c r="M152" i="1"/>
  <c r="L152" i="1"/>
  <c r="K152" i="1"/>
  <c r="J152" i="1"/>
  <c r="I152" i="1"/>
  <c r="H152" i="1"/>
  <c r="G152" i="1"/>
  <c r="F152" i="1"/>
  <c r="F380" i="1" s="1"/>
  <c r="F437" i="1" s="1"/>
  <c r="Q136" i="1"/>
  <c r="P136" i="1"/>
  <c r="O136" i="1"/>
  <c r="N136" i="1"/>
  <c r="M136" i="1"/>
  <c r="L136" i="1"/>
  <c r="K136" i="1"/>
  <c r="J136" i="1"/>
  <c r="J364" i="1" s="1"/>
  <c r="I136" i="1"/>
  <c r="I364" i="1" s="1"/>
  <c r="H136" i="1"/>
  <c r="G136" i="1"/>
  <c r="F136" i="1"/>
  <c r="Q135" i="1"/>
  <c r="P135" i="1"/>
  <c r="O135" i="1"/>
  <c r="N135" i="1"/>
  <c r="M135" i="1"/>
  <c r="M363" i="1" s="1"/>
  <c r="M504" i="1" s="1"/>
  <c r="L135" i="1"/>
  <c r="K135" i="1"/>
  <c r="J135" i="1"/>
  <c r="I135" i="1"/>
  <c r="H135" i="1"/>
  <c r="G135" i="1"/>
  <c r="F135" i="1"/>
  <c r="Q134" i="1"/>
  <c r="Q141" i="1" s="1" a="1"/>
  <c r="Q141" i="1" s="1"/>
  <c r="P134" i="1"/>
  <c r="O134" i="1"/>
  <c r="N134" i="1"/>
  <c r="N141" i="1" s="1" a="1"/>
  <c r="N141" i="1" s="1"/>
  <c r="M134" i="1"/>
  <c r="L134" i="1"/>
  <c r="K134" i="1"/>
  <c r="J134" i="1"/>
  <c r="I134" i="1"/>
  <c r="H134" i="1"/>
  <c r="G134" i="1"/>
  <c r="G141" i="1" s="1" a="1"/>
  <c r="G141" i="1" s="1"/>
  <c r="F134" i="1"/>
  <c r="F141" i="1" s="1" a="1"/>
  <c r="F141" i="1" s="1"/>
  <c r="Q133" i="1"/>
  <c r="Q130" i="1" s="1"/>
  <c r="P133" i="1"/>
  <c r="O133" i="1"/>
  <c r="O140" i="1" s="1" a="1"/>
  <c r="O140" i="1" s="1"/>
  <c r="N133" i="1"/>
  <c r="M133" i="1"/>
  <c r="L133" i="1"/>
  <c r="L140" i="1" s="1" a="1"/>
  <c r="L140" i="1" s="1"/>
  <c r="K133" i="1"/>
  <c r="K140" i="1" s="1" a="1"/>
  <c r="K140" i="1" s="1"/>
  <c r="J133" i="1"/>
  <c r="J140" i="1" s="1" a="1"/>
  <c r="J140" i="1" s="1"/>
  <c r="I133" i="1"/>
  <c r="H133" i="1"/>
  <c r="G133" i="1"/>
  <c r="G361" i="1" s="1"/>
  <c r="G428" i="1" s="1"/>
  <c r="F133" i="1"/>
  <c r="Q132" i="1"/>
  <c r="P132" i="1"/>
  <c r="O132" i="1"/>
  <c r="N132" i="1"/>
  <c r="N139" i="1" s="1" a="1"/>
  <c r="N139" i="1" s="1"/>
  <c r="M132" i="1"/>
  <c r="M139" i="1" s="1" a="1"/>
  <c r="M139" i="1" s="1"/>
  <c r="L132" i="1"/>
  <c r="K132" i="1"/>
  <c r="J132" i="1"/>
  <c r="I132" i="1"/>
  <c r="H132" i="1"/>
  <c r="G132" i="1"/>
  <c r="F132" i="1"/>
  <c r="Q131" i="1"/>
  <c r="P131" i="1"/>
  <c r="O131" i="1"/>
  <c r="N131" i="1"/>
  <c r="M131" i="1"/>
  <c r="M138" i="1" s="1" a="1"/>
  <c r="M138" i="1" s="1"/>
  <c r="L131" i="1"/>
  <c r="K131" i="1"/>
  <c r="K138" i="1" s="1" a="1"/>
  <c r="K138" i="1" s="1"/>
  <c r="J131" i="1"/>
  <c r="I131" i="1"/>
  <c r="H131" i="1"/>
  <c r="G131" i="1"/>
  <c r="F131" i="1"/>
  <c r="F138" i="1" s="1" a="1"/>
  <c r="F138" i="1" s="1"/>
  <c r="Q97" i="1"/>
  <c r="Q129" i="1" s="1"/>
  <c r="P97" i="1"/>
  <c r="P129" i="1" s="1"/>
  <c r="O97" i="1"/>
  <c r="O325" i="1" s="1"/>
  <c r="O480" i="1" s="1"/>
  <c r="N97" i="1"/>
  <c r="M97" i="1"/>
  <c r="L97" i="1"/>
  <c r="K97" i="1"/>
  <c r="J97" i="1"/>
  <c r="I97" i="1"/>
  <c r="H97" i="1"/>
  <c r="G97" i="1"/>
  <c r="F97" i="1"/>
  <c r="Q96" i="1"/>
  <c r="P96" i="1"/>
  <c r="P324" i="1" s="1"/>
  <c r="O96" i="1"/>
  <c r="N96" i="1"/>
  <c r="M96" i="1"/>
  <c r="M324" i="1" s="1"/>
  <c r="L96" i="1"/>
  <c r="K96" i="1"/>
  <c r="J96" i="1"/>
  <c r="J128" i="1" s="1"/>
  <c r="I96" i="1"/>
  <c r="I324" i="1" s="1"/>
  <c r="I479" i="1" s="1"/>
  <c r="H96" i="1"/>
  <c r="H128" i="1" s="1"/>
  <c r="G96" i="1"/>
  <c r="G324" i="1" s="1"/>
  <c r="G479" i="1" s="1"/>
  <c r="F96" i="1"/>
  <c r="F128" i="1" s="1"/>
  <c r="Q95" i="1"/>
  <c r="P95" i="1"/>
  <c r="O95" i="1"/>
  <c r="N95" i="1"/>
  <c r="M95" i="1"/>
  <c r="L95" i="1"/>
  <c r="K95" i="1"/>
  <c r="J95" i="1"/>
  <c r="I95" i="1"/>
  <c r="H95" i="1"/>
  <c r="G95" i="1"/>
  <c r="F95" i="1"/>
  <c r="Q94" i="1"/>
  <c r="P94" i="1"/>
  <c r="O94" i="1"/>
  <c r="N94" i="1"/>
  <c r="N322" i="1" s="1"/>
  <c r="N477" i="1" s="1"/>
  <c r="M94" i="1"/>
  <c r="L94" i="1"/>
  <c r="L322" i="1" s="1"/>
  <c r="K94" i="1"/>
  <c r="J94" i="1"/>
  <c r="I94" i="1"/>
  <c r="H94" i="1"/>
  <c r="G94" i="1"/>
  <c r="F94" i="1"/>
  <c r="F126" i="1" s="1"/>
  <c r="Q93" i="1"/>
  <c r="Q125" i="1" s="1"/>
  <c r="P93" i="1"/>
  <c r="O93" i="1"/>
  <c r="O125" i="1" s="1"/>
  <c r="N93" i="1"/>
  <c r="M93" i="1"/>
  <c r="L93" i="1"/>
  <c r="K93" i="1"/>
  <c r="J93" i="1"/>
  <c r="I93" i="1"/>
  <c r="H93" i="1"/>
  <c r="G93" i="1"/>
  <c r="F93" i="1"/>
  <c r="Q92" i="1"/>
  <c r="Q124" i="1" s="1"/>
  <c r="P92" i="1"/>
  <c r="P124" i="1" s="1"/>
  <c r="O92" i="1"/>
  <c r="O124" i="1" s="1"/>
  <c r="N92" i="1"/>
  <c r="M92" i="1"/>
  <c r="M124" i="1" s="1"/>
  <c r="L92" i="1"/>
  <c r="L124" i="1" s="1"/>
  <c r="K92" i="1"/>
  <c r="K124" i="1" s="1"/>
  <c r="J92" i="1"/>
  <c r="J320" i="1" s="1"/>
  <c r="I92" i="1"/>
  <c r="H92" i="1"/>
  <c r="H320" i="1" s="1"/>
  <c r="G92" i="1"/>
  <c r="G320" i="1" s="1"/>
  <c r="F92" i="1"/>
  <c r="Q91" i="1"/>
  <c r="Q319" i="1" s="1"/>
  <c r="Q474" i="1" s="1"/>
  <c r="P91" i="1"/>
  <c r="P319" i="1" s="1"/>
  <c r="P474" i="1" s="1"/>
  <c r="O91" i="1"/>
  <c r="N91" i="1"/>
  <c r="M91" i="1"/>
  <c r="M123" i="1" s="1"/>
  <c r="L91" i="1"/>
  <c r="K91" i="1"/>
  <c r="K319" i="1" s="1"/>
  <c r="K474" i="1" s="1"/>
  <c r="J91" i="1"/>
  <c r="J123" i="1" s="1"/>
  <c r="I91" i="1"/>
  <c r="H91" i="1"/>
  <c r="G91" i="1"/>
  <c r="F91" i="1"/>
  <c r="Q90" i="1"/>
  <c r="P90" i="1"/>
  <c r="P122" i="1" s="1"/>
  <c r="O90" i="1"/>
  <c r="O122" i="1" s="1"/>
  <c r="N90" i="1"/>
  <c r="N122" i="1" s="1"/>
  <c r="M90" i="1"/>
  <c r="L90" i="1"/>
  <c r="L122" i="1" s="1"/>
  <c r="K90" i="1"/>
  <c r="J90" i="1"/>
  <c r="I90" i="1"/>
  <c r="H90" i="1"/>
  <c r="H122" i="1" s="1"/>
  <c r="G90" i="1"/>
  <c r="G318" i="1" s="1"/>
  <c r="G473" i="1" s="1"/>
  <c r="F90" i="1"/>
  <c r="F122" i="1" s="1"/>
  <c r="Q89" i="1"/>
  <c r="P89" i="1"/>
  <c r="O89" i="1"/>
  <c r="N89" i="1"/>
  <c r="M89" i="1"/>
  <c r="L89" i="1"/>
  <c r="K89" i="1"/>
  <c r="K317" i="1" s="1"/>
  <c r="K472" i="1" s="1"/>
  <c r="J89" i="1"/>
  <c r="I89" i="1"/>
  <c r="I317" i="1" s="1"/>
  <c r="I472" i="1" s="1"/>
  <c r="H89" i="1"/>
  <c r="G89" i="1"/>
  <c r="F89" i="1"/>
  <c r="F317" i="1" s="1"/>
  <c r="F472" i="1" s="1"/>
  <c r="Q88" i="1"/>
  <c r="P88" i="1"/>
  <c r="O88" i="1"/>
  <c r="N88" i="1"/>
  <c r="M88" i="1"/>
  <c r="L88" i="1"/>
  <c r="L120" i="1" s="1"/>
  <c r="K88" i="1"/>
  <c r="K120" i="1" s="1"/>
  <c r="J88" i="1"/>
  <c r="J120" i="1" s="1"/>
  <c r="I88" i="1"/>
  <c r="I120" i="1" s="1"/>
  <c r="H88" i="1"/>
  <c r="H120" i="1" s="1"/>
  <c r="G88" i="1"/>
  <c r="G120" i="1" s="1"/>
  <c r="F88" i="1"/>
  <c r="F120" i="1" s="1"/>
  <c r="Q87" i="1"/>
  <c r="Q315" i="1" s="1"/>
  <c r="Q420" i="1" s="1"/>
  <c r="P87" i="1"/>
  <c r="O87" i="1"/>
  <c r="O119" i="1" s="1"/>
  <c r="N87" i="1"/>
  <c r="N119" i="1" s="1"/>
  <c r="M87" i="1"/>
  <c r="L87" i="1"/>
  <c r="K87" i="1"/>
  <c r="J87" i="1"/>
  <c r="I87" i="1"/>
  <c r="H87" i="1"/>
  <c r="G87" i="1"/>
  <c r="G315" i="1" s="1"/>
  <c r="G420" i="1" s="1"/>
  <c r="F87" i="1"/>
  <c r="F315" i="1" s="1"/>
  <c r="F420" i="1" s="1"/>
  <c r="Q86" i="1"/>
  <c r="P86" i="1"/>
  <c r="O86" i="1"/>
  <c r="N86" i="1"/>
  <c r="M86" i="1"/>
  <c r="L86" i="1"/>
  <c r="K86" i="1"/>
  <c r="J86" i="1"/>
  <c r="I86" i="1"/>
  <c r="I314" i="1" s="1"/>
  <c r="I419" i="1" s="1"/>
  <c r="H86" i="1"/>
  <c r="G86" i="1"/>
  <c r="F86" i="1"/>
  <c r="F118" i="1" s="1"/>
  <c r="Q85" i="1"/>
  <c r="Q117" i="1" s="1"/>
  <c r="P85" i="1"/>
  <c r="P117" i="1" s="1"/>
  <c r="O85" i="1"/>
  <c r="O117" i="1" s="1"/>
  <c r="N85" i="1"/>
  <c r="N117" i="1" s="1"/>
  <c r="M85" i="1"/>
  <c r="M117" i="1" s="1"/>
  <c r="L85" i="1"/>
  <c r="L117" i="1" s="1"/>
  <c r="K85" i="1"/>
  <c r="J85" i="1"/>
  <c r="J117" i="1" s="1"/>
  <c r="I85" i="1"/>
  <c r="H85" i="1"/>
  <c r="G85" i="1"/>
  <c r="F85" i="1"/>
  <c r="Q84" i="1"/>
  <c r="P84" i="1"/>
  <c r="P116" i="1" s="1"/>
  <c r="O84" i="1"/>
  <c r="N84" i="1"/>
  <c r="N116" i="1" s="1"/>
  <c r="M84" i="1"/>
  <c r="M116" i="1" s="1"/>
  <c r="L84" i="1"/>
  <c r="K84" i="1"/>
  <c r="K116" i="1" s="1"/>
  <c r="J84" i="1"/>
  <c r="I84" i="1"/>
  <c r="H84" i="1"/>
  <c r="H116" i="1" s="1"/>
  <c r="G84" i="1"/>
  <c r="G116" i="1" s="1"/>
  <c r="F84" i="1"/>
  <c r="F116" i="1" s="1"/>
  <c r="Q83" i="1"/>
  <c r="Q115" i="1" s="1"/>
  <c r="P83" i="1"/>
  <c r="O83" i="1"/>
  <c r="N83" i="1"/>
  <c r="M83" i="1"/>
  <c r="M115" i="1" s="1"/>
  <c r="L83" i="1"/>
  <c r="L115" i="1" s="1"/>
  <c r="K83" i="1"/>
  <c r="K115" i="1" s="1"/>
  <c r="J83" i="1"/>
  <c r="J115" i="1" s="1"/>
  <c r="I83" i="1"/>
  <c r="I115" i="1" s="1"/>
  <c r="H83" i="1"/>
  <c r="H115" i="1" s="1"/>
  <c r="G83" i="1"/>
  <c r="G115" i="1" s="1"/>
  <c r="F83" i="1"/>
  <c r="F115" i="1" s="1"/>
  <c r="Q77" i="1"/>
  <c r="P77" i="1"/>
  <c r="O77" i="1"/>
  <c r="N77" i="1"/>
  <c r="M77" i="1"/>
  <c r="L77" i="1"/>
  <c r="K77" i="1"/>
  <c r="J77" i="1"/>
  <c r="I77" i="1"/>
  <c r="H77" i="1"/>
  <c r="G77" i="1"/>
  <c r="F77" i="1"/>
  <c r="Q76" i="1"/>
  <c r="P76" i="1"/>
  <c r="O76" i="1"/>
  <c r="N76" i="1"/>
  <c r="M76" i="1"/>
  <c r="L76" i="1"/>
  <c r="K76" i="1"/>
  <c r="J76" i="1"/>
  <c r="I76" i="1"/>
  <c r="H76" i="1"/>
  <c r="G76" i="1"/>
  <c r="F76" i="1"/>
  <c r="Q73" i="1"/>
  <c r="Q301" i="1" s="1"/>
  <c r="Q465" i="1" s="1"/>
  <c r="P73" i="1"/>
  <c r="P301" i="1" s="1"/>
  <c r="P465" i="1" s="1"/>
  <c r="O73" i="1"/>
  <c r="O301" i="1" s="1"/>
  <c r="O465" i="1" s="1"/>
  <c r="N73" i="1"/>
  <c r="M73" i="1"/>
  <c r="L73" i="1"/>
  <c r="K73" i="1"/>
  <c r="J73" i="1"/>
  <c r="I73" i="1"/>
  <c r="H73" i="1"/>
  <c r="H301" i="1" s="1"/>
  <c r="H465" i="1" s="1"/>
  <c r="G73" i="1"/>
  <c r="G301" i="1" s="1"/>
  <c r="G465" i="1" s="1"/>
  <c r="F73" i="1"/>
  <c r="F301" i="1" s="1"/>
  <c r="F465" i="1" s="1"/>
  <c r="Q72" i="1"/>
  <c r="Q300" i="1" s="1"/>
  <c r="Q413" i="1" s="1"/>
  <c r="P72" i="1"/>
  <c r="O72" i="1"/>
  <c r="O300" i="1" s="1"/>
  <c r="N72" i="1"/>
  <c r="N300" i="1" s="1"/>
  <c r="N413" i="1" s="1"/>
  <c r="M72" i="1"/>
  <c r="L72" i="1"/>
  <c r="L300" i="1" s="1"/>
  <c r="L413" i="1" s="1"/>
  <c r="K72" i="1"/>
  <c r="K300" i="1" s="1"/>
  <c r="K413" i="1" s="1"/>
  <c r="J72" i="1"/>
  <c r="J300" i="1" s="1"/>
  <c r="J413" i="1" s="1"/>
  <c r="I72" i="1"/>
  <c r="I300" i="1" s="1"/>
  <c r="I413" i="1" s="1"/>
  <c r="H72" i="1"/>
  <c r="G72" i="1"/>
  <c r="G300" i="1" s="1"/>
  <c r="F72" i="1"/>
  <c r="Q71" i="1"/>
  <c r="P71" i="1"/>
  <c r="O71" i="1"/>
  <c r="N71" i="1"/>
  <c r="M71" i="1"/>
  <c r="L71" i="1"/>
  <c r="K71" i="1"/>
  <c r="J71" i="1"/>
  <c r="I71" i="1"/>
  <c r="H71" i="1"/>
  <c r="G71" i="1"/>
  <c r="F71" i="1"/>
  <c r="Q69" i="1"/>
  <c r="P69" i="1"/>
  <c r="O69" i="1"/>
  <c r="N69" i="1"/>
  <c r="M69" i="1"/>
  <c r="L69" i="1"/>
  <c r="K69" i="1"/>
  <c r="J69" i="1"/>
  <c r="I69" i="1"/>
  <c r="H69" i="1"/>
  <c r="G69" i="1"/>
  <c r="F69" i="1"/>
  <c r="Q68" i="1"/>
  <c r="P68" i="1"/>
  <c r="O68" i="1"/>
  <c r="N68" i="1"/>
  <c r="M68" i="1"/>
  <c r="L68" i="1"/>
  <c r="K68" i="1"/>
  <c r="J68" i="1"/>
  <c r="I68" i="1"/>
  <c r="H68" i="1"/>
  <c r="G68" i="1"/>
  <c r="F68" i="1"/>
  <c r="Q67" i="1"/>
  <c r="P67" i="1"/>
  <c r="O67" i="1"/>
  <c r="N67" i="1"/>
  <c r="M67" i="1"/>
  <c r="L67" i="1"/>
  <c r="K67" i="1"/>
  <c r="J67" i="1"/>
  <c r="I67" i="1"/>
  <c r="H67" i="1"/>
  <c r="G67" i="1"/>
  <c r="F67" i="1"/>
  <c r="Q65" i="1"/>
  <c r="P65" i="1"/>
  <c r="O65" i="1"/>
  <c r="N65" i="1"/>
  <c r="M65" i="1"/>
  <c r="L65" i="1"/>
  <c r="K65" i="1"/>
  <c r="J65" i="1"/>
  <c r="I65" i="1"/>
  <c r="H65" i="1"/>
  <c r="G65" i="1"/>
  <c r="F65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O1648" i="1" a="1"/>
  <c r="O1648" i="1"/>
  <c r="L1648" i="1" a="1"/>
  <c r="L1648" i="1" s="1"/>
  <c r="M1648" i="1" a="1"/>
  <c r="M1648" i="1" s="1"/>
  <c r="K1648" i="1" a="1"/>
  <c r="K1648" i="1"/>
  <c r="P1648" i="1" a="1"/>
  <c r="P1648" i="1" s="1"/>
  <c r="Q1648" i="1" a="1"/>
  <c r="Q1648" i="1" s="1"/>
  <c r="N1648" i="1" a="1"/>
  <c r="N1648" i="1"/>
  <c r="L1644" i="1" a="1"/>
  <c r="L1644" i="1" s="1"/>
  <c r="K1644" i="1" a="1"/>
  <c r="K1644" i="1"/>
  <c r="F1644" i="1" a="1"/>
  <c r="F1644" i="1" s="1"/>
  <c r="H1644" i="1" a="1"/>
  <c r="H1644" i="1"/>
  <c r="J1648" i="1" a="1"/>
  <c r="J1648" i="1" s="1"/>
  <c r="I1648" i="1" a="1"/>
  <c r="I1648" i="1"/>
  <c r="F1648" i="1" a="1"/>
  <c r="F1648" i="1" s="1"/>
  <c r="H1648" i="1" a="1"/>
  <c r="H1648" i="1" s="1"/>
  <c r="M1644" i="1" a="1"/>
  <c r="M1644" i="1" s="1"/>
  <c r="J1644" i="1" a="1"/>
  <c r="J1644" i="1" s="1"/>
  <c r="G1648" i="1" a="1"/>
  <c r="G1648" i="1"/>
  <c r="P1644" i="1" a="1"/>
  <c r="P1644" i="1" s="1"/>
  <c r="Q1644" i="1" a="1"/>
  <c r="Q1644" i="1" s="1"/>
  <c r="I1644" i="1" a="1"/>
  <c r="I1644" i="1"/>
  <c r="G1644" i="1" a="1"/>
  <c r="G1644" i="1" s="1"/>
  <c r="O1644" i="1" a="1"/>
  <c r="O1644" i="1"/>
  <c r="N1644" i="1" a="1"/>
  <c r="N1644" i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I36" i="1"/>
  <c r="H36" i="1"/>
  <c r="G36" i="1"/>
  <c r="F36" i="1"/>
  <c r="Q32" i="1"/>
  <c r="P32" i="1"/>
  <c r="O32" i="1"/>
  <c r="O30" i="1" s="1" a="1"/>
  <c r="O30" i="1" s="1"/>
  <c r="N32" i="1"/>
  <c r="M32" i="1"/>
  <c r="M30" i="1" s="1" a="1"/>
  <c r="M30" i="1" s="1"/>
  <c r="L32" i="1"/>
  <c r="L30" i="1" s="1" a="1"/>
  <c r="L30" i="1" s="1"/>
  <c r="K32" i="1"/>
  <c r="K30" i="1" s="1" a="1"/>
  <c r="K30" i="1" s="1"/>
  <c r="J32" i="1"/>
  <c r="J30" i="1" s="1" a="1"/>
  <c r="J30" i="1" s="1"/>
  <c r="I32" i="1"/>
  <c r="I30" i="1" s="1" a="1"/>
  <c r="I30" i="1" s="1"/>
  <c r="H32" i="1"/>
  <c r="H30" i="1" s="1" a="1"/>
  <c r="G32" i="1"/>
  <c r="G30" i="1" s="1" a="1"/>
  <c r="F32" i="1"/>
  <c r="M2040" i="1" a="1"/>
  <c r="M2040" i="1" s="1"/>
  <c r="L2040" i="1" a="1"/>
  <c r="L2040" i="1"/>
  <c r="J2038" i="1" a="1"/>
  <c r="J2038" i="1" s="1"/>
  <c r="L2039" i="1" a="1"/>
  <c r="L2039" i="1"/>
  <c r="N2039" i="1" a="1"/>
  <c r="N2039" i="1" s="1"/>
  <c r="I2040" i="1" a="1"/>
  <c r="I2040" i="1"/>
  <c r="J2040" i="1" a="1"/>
  <c r="J2040" i="1" s="1"/>
  <c r="K2039" i="1" a="1"/>
  <c r="K2039" i="1" s="1"/>
  <c r="I2039" i="1" a="1"/>
  <c r="I2039" i="1" s="1"/>
  <c r="K2038" i="1" a="1"/>
  <c r="K2038" i="1"/>
  <c r="O2042" i="1" a="1"/>
  <c r="O2042" i="1"/>
  <c r="N2042" i="1" a="1"/>
  <c r="N2042" i="1"/>
  <c r="H2040" i="1" a="1"/>
  <c r="H2040" i="1" s="1"/>
  <c r="L2042" i="1" a="1"/>
  <c r="L2042" i="1"/>
  <c r="H2041" i="1" a="1"/>
  <c r="H2041" i="1" s="1"/>
  <c r="H2042" i="1" a="1"/>
  <c r="H2042" i="1"/>
  <c r="P2038" i="1" a="1"/>
  <c r="P2038" i="1"/>
  <c r="G2040" i="1" a="1"/>
  <c r="G2040" i="1"/>
  <c r="F2040" i="1" a="1"/>
  <c r="F2040" i="1"/>
  <c r="M2042" i="1" a="1"/>
  <c r="M2042" i="1" s="1"/>
  <c r="F2041" i="1" a="1"/>
  <c r="F2041" i="1" s="1"/>
  <c r="L2038" i="1" a="1"/>
  <c r="L2038" i="1" s="1"/>
  <c r="O2038" i="1" a="1"/>
  <c r="O2038" i="1" s="1"/>
  <c r="O2041" i="1" a="1"/>
  <c r="O2041" i="1"/>
  <c r="Q2038" i="1" a="1"/>
  <c r="Q2038" i="1"/>
  <c r="H2039" i="1" a="1"/>
  <c r="H2039" i="1"/>
  <c r="K2042" i="1" a="1"/>
  <c r="K2042" i="1"/>
  <c r="J2042" i="1" a="1"/>
  <c r="J2042" i="1"/>
  <c r="M2038" i="1" a="1"/>
  <c r="M2038" i="1" s="1"/>
  <c r="I2042" i="1" a="1"/>
  <c r="I2042" i="1"/>
  <c r="Q2040" i="1" a="1"/>
  <c r="Q2040" i="1" s="1"/>
  <c r="G2042" i="1" a="1"/>
  <c r="G2042" i="1"/>
  <c r="F2042" i="1" a="1"/>
  <c r="F2042" i="1"/>
  <c r="Q2039" i="1" a="1"/>
  <c r="Q2039" i="1"/>
  <c r="G2038" i="1" a="1"/>
  <c r="G2038" i="1"/>
  <c r="Q2041" i="1" a="1"/>
  <c r="Q2041" i="1" s="1"/>
  <c r="P2041" i="1" a="1"/>
  <c r="P2041" i="1" s="1"/>
  <c r="N2041" i="1" a="1"/>
  <c r="N2041" i="1"/>
  <c r="M2041" i="1" a="1"/>
  <c r="M2041" i="1"/>
  <c r="L2041" i="1" a="1"/>
  <c r="L2041" i="1"/>
  <c r="F2038" i="1" a="1"/>
  <c r="F2038" i="1"/>
  <c r="K2041" i="1" a="1"/>
  <c r="K2041" i="1"/>
  <c r="I2038" i="1" a="1"/>
  <c r="I2038" i="1"/>
  <c r="I2041" i="1" a="1"/>
  <c r="I2041" i="1"/>
  <c r="J2041" i="1" a="1"/>
  <c r="J2041" i="1"/>
  <c r="K2040" i="1" a="1"/>
  <c r="K2040" i="1" s="1"/>
  <c r="P2040" i="1" a="1"/>
  <c r="P2040" i="1"/>
  <c r="G2039" i="1" a="1"/>
  <c r="G2039" i="1"/>
  <c r="J2039" i="1" a="1"/>
  <c r="J2039" i="1" s="1"/>
  <c r="O2040" i="1" a="1"/>
  <c r="O2040" i="1" s="1"/>
  <c r="P2039" i="1" a="1"/>
  <c r="P2039" i="1" s="1"/>
  <c r="F2039" i="1" a="1"/>
  <c r="F2039" i="1" s="1"/>
  <c r="H2038" i="1" a="1"/>
  <c r="H2038" i="1"/>
  <c r="G2041" i="1" a="1"/>
  <c r="G2041" i="1"/>
  <c r="N2038" i="1" a="1"/>
  <c r="N2038" i="1"/>
  <c r="O2039" i="1" a="1"/>
  <c r="O2039" i="1"/>
  <c r="M2039" i="1" a="1"/>
  <c r="M2039" i="1"/>
  <c r="N2040" i="1" a="1"/>
  <c r="N2040" i="1"/>
  <c r="L2032" i="1" a="1"/>
  <c r="L2032" i="1"/>
  <c r="L2031" i="1" s="1" a="1"/>
  <c r="L2031" i="1" s="1"/>
  <c r="K2037" i="1" a="1"/>
  <c r="K2037" i="1"/>
  <c r="H2037" i="1" a="1"/>
  <c r="H2037" i="1"/>
  <c r="L2035" i="1" a="1"/>
  <c r="L2035" i="1" s="1"/>
  <c r="N2034" i="1" a="1"/>
  <c r="N2034" i="1"/>
  <c r="F2034" i="1" a="1"/>
  <c r="F2034" i="1"/>
  <c r="O2036" i="1" a="1"/>
  <c r="O2036" i="1" s="1"/>
  <c r="L2036" i="1" a="1"/>
  <c r="L2036" i="1" s="1"/>
  <c r="M2035" i="1" a="1"/>
  <c r="M2035" i="1"/>
  <c r="H2036" i="1" a="1"/>
  <c r="H2036" i="1"/>
  <c r="H2035" i="1" a="1"/>
  <c r="H2035" i="1" s="1"/>
  <c r="G2035" i="1" a="1"/>
  <c r="G2035" i="1"/>
  <c r="F2036" i="1" a="1"/>
  <c r="F2036" i="1"/>
  <c r="K2035" i="1" a="1"/>
  <c r="K2035" i="1"/>
  <c r="J2032" i="1" a="1"/>
  <c r="J2032" i="1"/>
  <c r="J2031" i="1" s="1" a="1"/>
  <c r="J2031" i="1" s="1"/>
  <c r="N2032" i="1" a="1"/>
  <c r="N2032" i="1"/>
  <c r="N2031" i="1" s="1" a="1"/>
  <c r="N2031" i="1" s="1"/>
  <c r="J2037" i="1" a="1"/>
  <c r="J2037" i="1"/>
  <c r="J2035" i="1" a="1"/>
  <c r="J2035" i="1"/>
  <c r="I2035" i="1" a="1"/>
  <c r="I2035" i="1" s="1"/>
  <c r="I2032" i="1" a="1"/>
  <c r="I2032" i="1" s="1"/>
  <c r="I2031" i="1" s="1" a="1"/>
  <c r="I2031" i="1" s="1"/>
  <c r="P2032" i="1" a="1"/>
  <c r="P2032" i="1" s="1"/>
  <c r="P2036" i="1" a="1"/>
  <c r="P2036" i="1" s="1"/>
  <c r="M2034" i="1" a="1"/>
  <c r="M2034" i="1" s="1"/>
  <c r="P2035" i="1" a="1"/>
  <c r="P2035" i="1"/>
  <c r="H2032" i="1" a="1"/>
  <c r="H2032" i="1"/>
  <c r="H2031" i="1" s="1" a="1"/>
  <c r="H2031" i="1" s="1"/>
  <c r="F2032" i="1" a="1"/>
  <c r="F2032" i="1"/>
  <c r="J2034" i="1" a="1"/>
  <c r="J2034" i="1"/>
  <c r="H2034" i="1" a="1"/>
  <c r="H2034" i="1"/>
  <c r="I2037" i="1" a="1"/>
  <c r="I2037" i="1"/>
  <c r="G2037" i="1" a="1"/>
  <c r="G2037" i="1"/>
  <c r="Q2036" i="1" a="1"/>
  <c r="Q2036" i="1"/>
  <c r="N2036" i="1" a="1"/>
  <c r="N2036" i="1"/>
  <c r="M2036" i="1" a="1"/>
  <c r="M2036" i="1"/>
  <c r="G2036" i="1" a="1"/>
  <c r="G2036" i="1" s="1"/>
  <c r="K2036" i="1" a="1"/>
  <c r="K2036" i="1" s="1"/>
  <c r="I2036" i="1" a="1"/>
  <c r="I2036" i="1" s="1"/>
  <c r="G2032" i="1" a="1"/>
  <c r="G2032" i="1"/>
  <c r="G2031" i="1" s="1" a="1"/>
  <c r="G2031" i="1" s="1"/>
  <c r="O2035" i="1" a="1"/>
  <c r="O2035" i="1"/>
  <c r="K2034" i="1" a="1"/>
  <c r="K2034" i="1" s="1"/>
  <c r="G2034" i="1" a="1"/>
  <c r="G2034" i="1"/>
  <c r="Q2035" i="1" a="1"/>
  <c r="Q2035" i="1"/>
  <c r="O2034" i="1" a="1"/>
  <c r="O2034" i="1" s="1"/>
  <c r="I2034" i="1" a="1"/>
  <c r="I2034" i="1" s="1"/>
  <c r="Q2032" i="1" a="1"/>
  <c r="Q2032" i="1" s="1"/>
  <c r="Q2031" i="1" s="1" a="1"/>
  <c r="Q2031" i="1" s="1"/>
  <c r="P2031" i="1" a="1"/>
  <c r="P2031" i="1"/>
  <c r="N2035" i="1" a="1"/>
  <c r="N2035" i="1"/>
  <c r="M2032" i="1" a="1"/>
  <c r="M2032" i="1"/>
  <c r="M2031" i="1" s="1" a="1"/>
  <c r="M2031" i="1" s="1"/>
  <c r="Q2034" i="1" a="1"/>
  <c r="Q2034" i="1" s="1"/>
  <c r="J2036" i="1" a="1"/>
  <c r="J2036" i="1"/>
  <c r="Q2037" i="1" a="1"/>
  <c r="Q2037" i="1" s="1"/>
  <c r="P2037" i="1" a="1"/>
  <c r="P2037" i="1" s="1"/>
  <c r="O2037" i="1" a="1"/>
  <c r="O2037" i="1"/>
  <c r="O2032" i="1" a="1"/>
  <c r="O2032" i="1"/>
  <c r="O2031" i="1" s="1" a="1"/>
  <c r="O2031" i="1" s="1"/>
  <c r="M2037" i="1" a="1"/>
  <c r="M2037" i="1" s="1"/>
  <c r="L2034" i="1" a="1"/>
  <c r="L2034" i="1"/>
  <c r="P2034" i="1" a="1"/>
  <c r="P2034" i="1" s="1"/>
  <c r="K2032" i="1" a="1"/>
  <c r="K2032" i="1"/>
  <c r="K2031" i="1" s="1" a="1"/>
  <c r="K2031" i="1" s="1"/>
  <c r="N2037" i="1" a="1"/>
  <c r="N2037" i="1"/>
  <c r="L2037" i="1" a="1"/>
  <c r="L2037" i="1"/>
  <c r="F2037" i="1" a="1"/>
  <c r="F2037" i="1"/>
  <c r="F2035" i="1" a="1"/>
  <c r="F2035" i="1" s="1"/>
  <c r="L2029" i="1" a="1"/>
  <c r="L2029" i="1"/>
  <c r="L2028" i="1" s="1" a="1"/>
  <c r="L2028" i="1" s="1"/>
  <c r="O2026" i="1" a="1"/>
  <c r="O2026" i="1"/>
  <c r="F2031" i="1" a="1"/>
  <c r="F2031" i="1" s="1"/>
  <c r="Q2025" i="1" a="1"/>
  <c r="Q2025" i="1"/>
  <c r="H2029" i="1" a="1"/>
  <c r="H2029" i="1" s="1"/>
  <c r="H2028" i="1" s="1" a="1"/>
  <c r="H2028" i="1" s="1"/>
  <c r="F2029" i="1" a="1"/>
  <c r="F2029" i="1" s="1"/>
  <c r="F2028" i="1" s="1" a="1"/>
  <c r="F2028" i="1" s="1"/>
  <c r="I2026" i="1" a="1"/>
  <c r="I2026" i="1"/>
  <c r="O2028" i="1"/>
  <c r="F2026" i="1" a="1"/>
  <c r="F2026" i="1" s="1"/>
  <c r="P2025" i="1" a="1"/>
  <c r="P2025" i="1" s="1"/>
  <c r="K2026" i="1" a="1"/>
  <c r="K2026" i="1"/>
  <c r="G2026" i="1" a="1"/>
  <c r="G2026" i="1" s="1"/>
  <c r="H2026" i="1" a="1"/>
  <c r="H2026" i="1" s="1"/>
  <c r="I2029" i="1" a="1"/>
  <c r="I2029" i="1"/>
  <c r="Q2026" i="1" a="1"/>
  <c r="Q2026" i="1" s="1"/>
  <c r="Q2029" i="1" a="1"/>
  <c r="Q2029" i="1" s="1"/>
  <c r="Q2028" i="1" s="1" a="1"/>
  <c r="Q2028" i="1" s="1"/>
  <c r="P2029" i="1" a="1"/>
  <c r="P2029" i="1" s="1"/>
  <c r="P2028" i="1" s="1" a="1"/>
  <c r="P2028" i="1" s="1"/>
  <c r="O2029" i="1" a="1"/>
  <c r="O2029" i="1"/>
  <c r="O2028" i="1" s="1" a="1"/>
  <c r="N2029" i="1" a="1"/>
  <c r="N2029" i="1"/>
  <c r="N2028" i="1" s="1" a="1"/>
  <c r="N2028" i="1" s="1"/>
  <c r="M2029" i="1" a="1"/>
  <c r="M2029" i="1" s="1"/>
  <c r="M2028" i="1" s="1" a="1"/>
  <c r="M2028" i="1" s="1"/>
  <c r="J2029" i="1" a="1"/>
  <c r="J2029" i="1"/>
  <c r="G2029" i="1" a="1"/>
  <c r="G2029" i="1"/>
  <c r="G2028" i="1" s="1" a="1"/>
  <c r="G2028" i="1" s="1"/>
  <c r="P2026" i="1" a="1"/>
  <c r="P2026" i="1" s="1"/>
  <c r="M2026" i="1" a="1"/>
  <c r="M2026" i="1" s="1"/>
  <c r="N2025" i="1" a="1"/>
  <c r="N2025" i="1"/>
  <c r="L2026" i="1" a="1"/>
  <c r="L2026" i="1"/>
  <c r="J2028" i="1" a="1"/>
  <c r="J2028" i="1"/>
  <c r="K2029" i="1" a="1"/>
  <c r="K2029" i="1"/>
  <c r="K2028" i="1" s="1" a="1"/>
  <c r="K2028" i="1" s="1"/>
  <c r="I2028" i="1" a="1"/>
  <c r="I2028" i="1" s="1"/>
  <c r="J2026" i="1" a="1"/>
  <c r="J2026" i="1" s="1"/>
  <c r="N2026" i="1" a="1"/>
  <c r="N2026" i="1"/>
  <c r="O2025" i="1" a="1"/>
  <c r="O2025" i="1" s="1"/>
  <c r="F2023" i="1" a="1"/>
  <c r="F2023" i="1" s="1"/>
  <c r="H2025" i="1" a="1"/>
  <c r="H2025" i="1"/>
  <c r="G2025" i="1" a="1"/>
  <c r="G2025" i="1"/>
  <c r="G2023" i="1" a="1"/>
  <c r="G2023" i="1"/>
  <c r="Q2023" i="1" a="1"/>
  <c r="Q2023" i="1" s="1"/>
  <c r="I2023" i="1" a="1"/>
  <c r="I2023" i="1"/>
  <c r="K2023" i="1" a="1"/>
  <c r="K2023" i="1" s="1"/>
  <c r="P2023" i="1" a="1"/>
  <c r="P2023" i="1" s="1"/>
  <c r="O2023" i="1" a="1"/>
  <c r="O2023" i="1"/>
  <c r="M2023" i="1" a="1"/>
  <c r="M2023" i="1" s="1"/>
  <c r="M2025" i="1" a="1"/>
  <c r="M2025" i="1" s="1"/>
  <c r="L2025" i="1" a="1"/>
  <c r="L2025" i="1" s="1"/>
  <c r="N2023" i="1" a="1"/>
  <c r="N2023" i="1"/>
  <c r="K2025" i="1" a="1"/>
  <c r="K2025" i="1" s="1"/>
  <c r="H2023" i="1" a="1"/>
  <c r="H2023" i="1" s="1"/>
  <c r="J2025" i="1" a="1"/>
  <c r="J2025" i="1" s="1"/>
  <c r="L2023" i="1" a="1"/>
  <c r="L2023" i="1" s="1"/>
  <c r="I2025" i="1" a="1"/>
  <c r="I2025" i="1"/>
  <c r="F2025" i="1" a="1"/>
  <c r="F2025" i="1" s="1"/>
  <c r="J2023" i="1" a="1"/>
  <c r="J2023" i="1"/>
  <c r="O2049" i="1" a="1"/>
  <c r="O2049" i="1" s="1"/>
  <c r="J2049" i="1" a="1"/>
  <c r="J2049" i="1"/>
  <c r="M2048" i="1" a="1"/>
  <c r="M2048" i="1"/>
  <c r="H2048" i="1" a="1"/>
  <c r="H2048" i="1"/>
  <c r="L2048" i="1" a="1"/>
  <c r="L2048" i="1"/>
  <c r="J2048" i="1" a="1"/>
  <c r="J2048" i="1" s="1"/>
  <c r="I2049" i="1" a="1"/>
  <c r="I2049" i="1" s="1"/>
  <c r="K2048" i="1" a="1"/>
  <c r="K2048" i="1"/>
  <c r="I2048" i="1" a="1"/>
  <c r="I2048" i="1"/>
  <c r="P2049" i="1" a="1"/>
  <c r="P2049" i="1" s="1"/>
  <c r="N2048" i="1" a="1"/>
  <c r="N2048" i="1"/>
  <c r="G2049" i="1" a="1"/>
  <c r="G2049" i="1"/>
  <c r="K2049" i="1" a="1"/>
  <c r="K2049" i="1"/>
  <c r="O2048" i="1" a="1"/>
  <c r="O2048" i="1"/>
  <c r="M2049" i="1" a="1"/>
  <c r="M2049" i="1" s="1"/>
  <c r="Q2048" i="1" a="1"/>
  <c r="Q2048" i="1"/>
  <c r="P2048" i="1" a="1"/>
  <c r="P2048" i="1" s="1"/>
  <c r="Q2049" i="1" a="1"/>
  <c r="Q2049" i="1"/>
  <c r="H2049" i="1" a="1"/>
  <c r="H2049" i="1" s="1"/>
  <c r="N2049" i="1" a="1"/>
  <c r="N2049" i="1" s="1"/>
  <c r="L2049" i="1" a="1"/>
  <c r="L2049" i="1" s="1"/>
  <c r="F2049" i="1" a="1"/>
  <c r="F2049" i="1"/>
  <c r="N2043" i="1" a="1"/>
  <c r="N2043" i="1" s="1"/>
  <c r="Q2042" i="1" a="1"/>
  <c r="Q2042" i="1"/>
  <c r="Q2046" i="1" a="1"/>
  <c r="Q2046" i="1"/>
  <c r="G2048" i="1" a="1"/>
  <c r="G2048" i="1" s="1"/>
  <c r="F2048" i="1" a="1"/>
  <c r="F2048" i="1"/>
  <c r="L2045" i="1" a="1"/>
  <c r="L2045" i="1"/>
  <c r="Q2047" i="1" a="1"/>
  <c r="Q2047" i="1" s="1"/>
  <c r="P2047" i="1" a="1"/>
  <c r="P2047" i="1"/>
  <c r="N2047" i="1" a="1"/>
  <c r="N2047" i="1"/>
  <c r="M2044" i="1" a="1"/>
  <c r="M2044" i="1"/>
  <c r="M2043" i="1" a="1"/>
  <c r="M2043" i="1" s="1"/>
  <c r="K2044" i="1" a="1"/>
  <c r="K2044" i="1"/>
  <c r="K2043" i="1" a="1"/>
  <c r="K2043" i="1" s="1"/>
  <c r="I2043" i="1" a="1"/>
  <c r="I2043" i="1" s="1"/>
  <c r="O2047" i="1" a="1"/>
  <c r="O2047" i="1"/>
  <c r="O2043" i="1" a="1"/>
  <c r="O2043" i="1" s="1"/>
  <c r="M2047" i="1" a="1"/>
  <c r="M2047" i="1" s="1"/>
  <c r="O2044" i="1" a="1"/>
  <c r="O2044" i="1"/>
  <c r="N2044" i="1" a="1"/>
  <c r="N2044" i="1"/>
  <c r="M2046" i="1" a="1"/>
  <c r="M2046" i="1" s="1"/>
  <c r="L2046" i="1" a="1"/>
  <c r="L2046" i="1" s="1"/>
  <c r="P2045" i="1" a="1"/>
  <c r="P2045" i="1"/>
  <c r="L2047" i="1" a="1"/>
  <c r="L2047" i="1"/>
  <c r="K2047" i="1" a="1"/>
  <c r="K2047" i="1" s="1"/>
  <c r="J2047" i="1" a="1"/>
  <c r="J2047" i="1"/>
  <c r="H2047" i="1" a="1"/>
  <c r="H2047" i="1" s="1"/>
  <c r="I2044" i="1" a="1"/>
  <c r="I2044" i="1" s="1"/>
  <c r="G2043" i="1" a="1"/>
  <c r="G2043" i="1" s="1"/>
  <c r="I2046" i="1" a="1"/>
  <c r="I2046" i="1"/>
  <c r="G2047" i="1" a="1"/>
  <c r="G2047" i="1"/>
  <c r="F2047" i="1" a="1"/>
  <c r="F2047" i="1"/>
  <c r="P2046" i="1" a="1"/>
  <c r="P2046" i="1"/>
  <c r="P2044" i="1" a="1"/>
  <c r="P2044" i="1"/>
  <c r="H2044" i="1" a="1"/>
  <c r="H2044" i="1"/>
  <c r="F2043" i="1" a="1"/>
  <c r="F2043" i="1" s="1"/>
  <c r="O2046" i="1" a="1"/>
  <c r="O2046" i="1"/>
  <c r="N2046" i="1" a="1"/>
  <c r="N2046" i="1"/>
  <c r="G2045" i="1" a="1"/>
  <c r="G2045" i="1"/>
  <c r="F2045" i="1" a="1"/>
  <c r="F2045" i="1"/>
  <c r="J2046" i="1" a="1"/>
  <c r="J2046" i="1" s="1"/>
  <c r="N2045" i="1" a="1"/>
  <c r="N2045" i="1"/>
  <c r="I2045" i="1" a="1"/>
  <c r="I2045" i="1" s="1"/>
  <c r="L2044" i="1" a="1"/>
  <c r="L2044" i="1" s="1"/>
  <c r="J2043" i="1" a="1"/>
  <c r="J2043" i="1"/>
  <c r="F2044" i="1" a="1"/>
  <c r="F2044" i="1"/>
  <c r="Q2043" i="1" a="1"/>
  <c r="Q2043" i="1"/>
  <c r="Q2044" i="1" a="1"/>
  <c r="Q2044" i="1"/>
  <c r="J2044" i="1" a="1"/>
  <c r="J2044" i="1" s="1"/>
  <c r="H2043" i="1" a="1"/>
  <c r="H2043" i="1" s="1"/>
  <c r="L2043" i="1" a="1"/>
  <c r="L2043" i="1"/>
  <c r="K2045" i="1" a="1"/>
  <c r="K2045" i="1" s="1"/>
  <c r="G2044" i="1" a="1"/>
  <c r="G2044" i="1" s="1"/>
  <c r="K2046" i="1" a="1"/>
  <c r="K2046" i="1" s="1"/>
  <c r="H2046" i="1" a="1"/>
  <c r="H2046" i="1" s="1"/>
  <c r="Q2045" i="1" a="1"/>
  <c r="Q2045" i="1" s="1"/>
  <c r="J2045" i="1" a="1"/>
  <c r="J2045" i="1" s="1"/>
  <c r="M2045" i="1" a="1"/>
  <c r="M2045" i="1" s="1"/>
  <c r="P2043" i="1" a="1"/>
  <c r="P2043" i="1"/>
  <c r="O2045" i="1" a="1"/>
  <c r="O2045" i="1"/>
  <c r="P2042" i="1" a="1"/>
  <c r="P2042" i="1"/>
  <c r="F2046" i="1" a="1"/>
  <c r="F2046" i="1"/>
  <c r="I2047" i="1" a="1"/>
  <c r="I2047" i="1"/>
  <c r="G2046" i="1" a="1"/>
  <c r="G2046" i="1" s="1"/>
  <c r="H2045" i="1" a="1"/>
  <c r="H2045" i="1"/>
  <c r="Q31" i="1" a="1"/>
  <c r="Q31" i="1"/>
  <c r="M31" i="1" a="1"/>
  <c r="M31" i="1" s="1"/>
  <c r="N31" i="1" a="1"/>
  <c r="N31" i="1" s="1"/>
  <c r="P31" i="1" a="1"/>
  <c r="P31" i="1" s="1"/>
  <c r="O31" i="1" a="1"/>
  <c r="O31" i="1" s="1"/>
  <c r="L31" i="1" a="1"/>
  <c r="L31" i="1"/>
  <c r="K31" i="1" a="1"/>
  <c r="K31" i="1" s="1"/>
  <c r="J31" i="1" a="1"/>
  <c r="J31" i="1" s="1"/>
  <c r="I31" i="1" a="1"/>
  <c r="I31" i="1"/>
  <c r="G31" i="1" a="1"/>
  <c r="G31" i="1" s="1"/>
  <c r="F31" i="1" a="1"/>
  <c r="F31" i="1"/>
  <c r="F30" i="1" a="1"/>
  <c r="F30" i="1" s="1"/>
  <c r="Q30" i="1" a="1"/>
  <c r="Q30" i="1" s="1"/>
  <c r="H31" i="1" a="1"/>
  <c r="H31" i="1"/>
  <c r="P30" i="1" a="1"/>
  <c r="P30" i="1"/>
  <c r="N30" i="1" a="1"/>
  <c r="N30" i="1" s="1"/>
  <c r="H30" i="1"/>
  <c r="G30" i="1"/>
  <c r="H1708" i="1" a="1"/>
  <c r="H1708" i="1"/>
  <c r="G1708" i="1" a="1"/>
  <c r="G1708" i="1" s="1"/>
  <c r="F1708" i="1" a="1"/>
  <c r="F1708" i="1" s="1"/>
  <c r="N1708" i="1" a="1"/>
  <c r="N1708" i="1" s="1"/>
  <c r="J1708" i="1" a="1"/>
  <c r="J1708" i="1" s="1"/>
  <c r="L1709" i="1" a="1"/>
  <c r="L1709" i="1"/>
  <c r="J1709" i="1" a="1"/>
  <c r="J1709" i="1" s="1"/>
  <c r="Q1708" i="1" a="1"/>
  <c r="Q1708" i="1"/>
  <c r="K1708" i="1" a="1"/>
  <c r="K1708" i="1" s="1"/>
  <c r="O1708" i="1" a="1"/>
  <c r="O1708" i="1"/>
  <c r="O1709" i="1" a="1"/>
  <c r="O1709" i="1"/>
  <c r="I1708" i="1" a="1"/>
  <c r="I1708" i="1" s="1"/>
  <c r="G1709" i="1" a="1"/>
  <c r="G1709" i="1" s="1"/>
  <c r="Q1709" i="1" a="1"/>
  <c r="Q1709" i="1" s="1"/>
  <c r="F1709" i="1" a="1"/>
  <c r="F1709" i="1" s="1"/>
  <c r="L1708" i="1" a="1"/>
  <c r="L1708" i="1" s="1"/>
  <c r="M1709" i="1" a="1"/>
  <c r="M1709" i="1" s="1"/>
  <c r="N1709" i="1" a="1"/>
  <c r="N1709" i="1" s="1"/>
  <c r="M1708" i="1" a="1"/>
  <c r="M1708" i="1"/>
  <c r="P1709" i="1" a="1"/>
  <c r="P1709" i="1"/>
  <c r="K1709" i="1" a="1"/>
  <c r="K1709" i="1"/>
  <c r="I1709" i="1" a="1"/>
  <c r="I1709" i="1"/>
  <c r="P1708" i="1" a="1"/>
  <c r="P1708" i="1"/>
  <c r="H1709" i="1" a="1"/>
  <c r="H1709" i="1" s="1"/>
  <c r="N740" i="1" a="1"/>
  <c r="N740" i="1" s="1"/>
  <c r="O743" i="1" a="1"/>
  <c r="O743" i="1"/>
  <c r="N743" i="1" a="1"/>
  <c r="N743" i="1"/>
  <c r="Q743" i="1" a="1"/>
  <c r="Q743" i="1"/>
  <c r="P743" i="1" a="1"/>
  <c r="P743" i="1"/>
  <c r="L743" i="1" a="1"/>
  <c r="L743" i="1"/>
  <c r="I743" i="1" a="1"/>
  <c r="I743" i="1"/>
  <c r="H743" i="1" a="1"/>
  <c r="H743" i="1" s="1"/>
  <c r="P740" i="1" a="1"/>
  <c r="P740" i="1"/>
  <c r="F740" i="1" a="1"/>
  <c r="F740" i="1" s="1"/>
  <c r="H740" i="1" a="1"/>
  <c r="H740" i="1" s="1"/>
  <c r="J740" i="1" a="1"/>
  <c r="J740" i="1" s="1"/>
  <c r="K743" i="1" a="1"/>
  <c r="K743" i="1" s="1"/>
  <c r="G743" i="1" a="1"/>
  <c r="G743" i="1" s="1"/>
  <c r="M742" i="1" a="1"/>
  <c r="M742" i="1"/>
  <c r="G740" i="1" a="1"/>
  <c r="G740" i="1" s="1"/>
  <c r="O740" i="1" a="1"/>
  <c r="O740" i="1" s="1"/>
  <c r="M744" i="1" a="1"/>
  <c r="M744" i="1" s="1"/>
  <c r="J743" i="1" a="1"/>
  <c r="J743" i="1"/>
  <c r="Q740" i="1" a="1"/>
  <c r="Q740" i="1"/>
  <c r="F743" i="1" a="1"/>
  <c r="F743" i="1" s="1"/>
  <c r="K740" i="1" a="1"/>
  <c r="K740" i="1"/>
  <c r="I740" i="1" a="1"/>
  <c r="I740" i="1"/>
  <c r="L740" i="1" a="1"/>
  <c r="L740" i="1"/>
  <c r="M743" i="1" a="1"/>
  <c r="M743" i="1" s="1"/>
  <c r="M740" i="1" a="1"/>
  <c r="M740" i="1"/>
  <c r="P727" i="1" a="1"/>
  <c r="P727" i="1" s="1"/>
  <c r="L727" i="1" a="1"/>
  <c r="L727" i="1"/>
  <c r="Q727" i="1" a="1"/>
  <c r="Q727" i="1"/>
  <c r="N727" i="1" a="1"/>
  <c r="N727" i="1" s="1"/>
  <c r="M727" i="1" a="1"/>
  <c r="M727" i="1"/>
  <c r="K727" i="1" a="1"/>
  <c r="K727" i="1" s="1"/>
  <c r="O727" i="1" a="1"/>
  <c r="O727" i="1" s="1"/>
  <c r="N724" i="1" a="1"/>
  <c r="N724" i="1" s="1"/>
  <c r="K720" i="1" a="1"/>
  <c r="K720" i="1"/>
  <c r="K726" i="1" s="1" a="1"/>
  <c r="K726" i="1" s="1"/>
  <c r="K728" i="1" s="1" a="1"/>
  <c r="K728" i="1" s="1"/>
  <c r="P726" i="1" a="1"/>
  <c r="P726" i="1"/>
  <c r="P728" i="1" s="1" a="1"/>
  <c r="P728" i="1" s="1"/>
  <c r="M726" i="1" a="1"/>
  <c r="M726" i="1" s="1"/>
  <c r="M728" i="1" s="1" a="1"/>
  <c r="M728" i="1" s="1"/>
  <c r="L724" i="1" a="1"/>
  <c r="L724" i="1"/>
  <c r="Q720" i="1" a="1"/>
  <c r="Q720" i="1" s="1"/>
  <c r="I719" i="1" a="1"/>
  <c r="I719" i="1" s="1"/>
  <c r="J724" i="1" a="1"/>
  <c r="J724" i="1" s="1"/>
  <c r="G720" i="1" a="1"/>
  <c r="G720" i="1"/>
  <c r="N719" i="1" a="1"/>
  <c r="N719" i="1"/>
  <c r="K724" i="1" a="1"/>
  <c r="K724" i="1" s="1"/>
  <c r="H719" i="1" a="1"/>
  <c r="H719" i="1" s="1"/>
  <c r="N720" i="1" a="1"/>
  <c r="N720" i="1"/>
  <c r="L720" i="1" a="1"/>
  <c r="L720" i="1" s="1"/>
  <c r="L726" i="1" s="1" a="1"/>
  <c r="L726" i="1" s="1"/>
  <c r="L728" i="1" s="1" a="1"/>
  <c r="L728" i="1" s="1"/>
  <c r="O724" i="1" a="1"/>
  <c r="O724" i="1" s="1"/>
  <c r="L719" i="1" a="1"/>
  <c r="L719" i="1" s="1"/>
  <c r="H724" i="1" a="1"/>
  <c r="H724" i="1" s="1"/>
  <c r="M720" i="1" a="1"/>
  <c r="M720" i="1" s="1"/>
  <c r="J727" i="1" a="1"/>
  <c r="J727" i="1" s="1"/>
  <c r="I727" i="1" a="1"/>
  <c r="I727" i="1" s="1"/>
  <c r="F727" i="1" a="1"/>
  <c r="F727" i="1"/>
  <c r="G719" i="1" a="1"/>
  <c r="G719" i="1"/>
  <c r="I724" i="1" a="1"/>
  <c r="I724" i="1" s="1"/>
  <c r="F724" i="1" a="1"/>
  <c r="F724" i="1"/>
  <c r="Q724" i="1" a="1"/>
  <c r="Q724" i="1"/>
  <c r="H720" i="1" a="1"/>
  <c r="H720" i="1"/>
  <c r="H726" i="1" s="1" a="1"/>
  <c r="H726" i="1" s="1"/>
  <c r="H728" i="1" s="1" a="1"/>
  <c r="H728" i="1" s="1"/>
  <c r="I720" i="1" a="1"/>
  <c r="I720" i="1"/>
  <c r="P724" i="1" a="1"/>
  <c r="P724" i="1"/>
  <c r="P719" i="1" a="1"/>
  <c r="P719" i="1" s="1"/>
  <c r="M724" i="1" a="1"/>
  <c r="M724" i="1" s="1"/>
  <c r="G724" i="1" a="1"/>
  <c r="G724" i="1"/>
  <c r="J719" i="1" a="1"/>
  <c r="J719" i="1" s="1"/>
  <c r="J720" i="1" a="1"/>
  <c r="J720" i="1" s="1"/>
  <c r="Q719" i="1" a="1"/>
  <c r="Q719" i="1" s="1"/>
  <c r="G727" i="1" a="1"/>
  <c r="G727" i="1" s="1"/>
  <c r="M719" i="1" a="1"/>
  <c r="M719" i="1" s="1"/>
  <c r="K719" i="1" a="1"/>
  <c r="K719" i="1" s="1"/>
  <c r="F720" i="1" a="1"/>
  <c r="F720" i="1" s="1"/>
  <c r="P720" i="1" a="1"/>
  <c r="P720" i="1"/>
  <c r="O719" i="1" a="1"/>
  <c r="O719" i="1" s="1"/>
  <c r="O720" i="1" a="1"/>
  <c r="O720" i="1" s="1"/>
  <c r="O726" i="1" s="1" a="1"/>
  <c r="O726" i="1" s="1"/>
  <c r="O728" i="1" s="1" a="1"/>
  <c r="O728" i="1" s="1"/>
  <c r="H727" i="1" a="1"/>
  <c r="H727" i="1" s="1"/>
  <c r="I718" i="1" a="1"/>
  <c r="I718" i="1" s="1"/>
  <c r="F711" i="1" a="1"/>
  <c r="F711" i="1"/>
  <c r="G718" i="1" a="1"/>
  <c r="G718" i="1" s="1"/>
  <c r="M716" i="1" a="1"/>
  <c r="M716" i="1" s="1"/>
  <c r="F719" i="1" a="1"/>
  <c r="F719" i="1" s="1"/>
  <c r="Q716" i="1" a="1"/>
  <c r="Q716" i="1" s="1"/>
  <c r="G716" i="1" a="1"/>
  <c r="G716" i="1"/>
  <c r="F716" i="1" a="1"/>
  <c r="F716" i="1"/>
  <c r="J711" i="1" a="1"/>
  <c r="J711" i="1" s="1"/>
  <c r="M711" i="1" a="1"/>
  <c r="M711" i="1" s="1"/>
  <c r="L711" i="1" a="1"/>
  <c r="L711" i="1"/>
  <c r="Q718" i="1" a="1"/>
  <c r="Q718" i="1" s="1"/>
  <c r="N709" i="1" a="1"/>
  <c r="N709" i="1"/>
  <c r="O718" i="1" a="1"/>
  <c r="O718" i="1" s="1"/>
  <c r="M718" i="1" a="1"/>
  <c r="M718" i="1" s="1"/>
  <c r="L718" i="1" a="1"/>
  <c r="L718" i="1"/>
  <c r="Q709" i="1" a="1"/>
  <c r="Q709" i="1"/>
  <c r="M709" i="1" a="1"/>
  <c r="M709" i="1"/>
  <c r="K718" i="1" a="1"/>
  <c r="K718" i="1" s="1"/>
  <c r="F718" i="1" a="1"/>
  <c r="F718" i="1" s="1"/>
  <c r="F726" i="1" s="1" a="1"/>
  <c r="F726" i="1" s="1"/>
  <c r="F728" i="1" s="1" a="1"/>
  <c r="F728" i="1" s="1"/>
  <c r="J718" i="1" a="1"/>
  <c r="J718" i="1" s="1"/>
  <c r="L716" i="1" a="1"/>
  <c r="L716" i="1"/>
  <c r="H711" i="1" a="1"/>
  <c r="H711" i="1"/>
  <c r="P716" i="1" a="1"/>
  <c r="P716" i="1"/>
  <c r="I716" i="1" a="1"/>
  <c r="I716" i="1" s="1"/>
  <c r="O711" i="1" a="1"/>
  <c r="O711" i="1" s="1"/>
  <c r="N711" i="1" a="1"/>
  <c r="N711" i="1" s="1"/>
  <c r="G711" i="1" a="1"/>
  <c r="G711" i="1" s="1"/>
  <c r="Q711" i="1" a="1"/>
  <c r="Q711" i="1" s="1"/>
  <c r="N716" i="1" a="1"/>
  <c r="N716" i="1" s="1"/>
  <c r="K716" i="1" a="1"/>
  <c r="K716" i="1" s="1"/>
  <c r="H718" i="1" a="1"/>
  <c r="H718" i="1"/>
  <c r="O716" i="1" a="1"/>
  <c r="O716" i="1" s="1"/>
  <c r="J716" i="1" a="1"/>
  <c r="J716" i="1"/>
  <c r="H716" i="1" a="1"/>
  <c r="H716" i="1" s="1"/>
  <c r="O709" i="1" a="1"/>
  <c r="O709" i="1" s="1"/>
  <c r="P711" i="1" a="1"/>
  <c r="P711" i="1" s="1"/>
  <c r="K711" i="1" a="1"/>
  <c r="K711" i="1"/>
  <c r="P709" i="1" a="1"/>
  <c r="P709" i="1"/>
  <c r="I711" i="1" a="1"/>
  <c r="I711" i="1"/>
  <c r="P718" i="1" a="1"/>
  <c r="P718" i="1" s="1"/>
  <c r="N718" i="1" a="1"/>
  <c r="N718" i="1" s="1"/>
  <c r="G709" i="1" a="1"/>
  <c r="G709" i="1" s="1"/>
  <c r="I709" i="1" a="1"/>
  <c r="I709" i="1" s="1"/>
  <c r="H709" i="1" a="1"/>
  <c r="H709" i="1"/>
  <c r="F709" i="1" a="1"/>
  <c r="F709" i="1" s="1"/>
  <c r="O696" i="1" a="1"/>
  <c r="O696" i="1" s="1"/>
  <c r="I697" i="1" a="1"/>
  <c r="I697" i="1"/>
  <c r="F697" i="1" a="1"/>
  <c r="F697" i="1"/>
  <c r="Q696" i="1" a="1"/>
  <c r="Q696" i="1"/>
  <c r="M697" i="1" a="1"/>
  <c r="M697" i="1"/>
  <c r="O697" i="1" a="1"/>
  <c r="O697" i="1"/>
  <c r="H697" i="1" a="1"/>
  <c r="H697" i="1"/>
  <c r="J697" i="1" a="1"/>
  <c r="J697" i="1"/>
  <c r="G697" i="1" a="1"/>
  <c r="G697" i="1"/>
  <c r="F696" i="1" a="1"/>
  <c r="F696" i="1" s="1"/>
  <c r="L696" i="1" a="1"/>
  <c r="L696" i="1"/>
  <c r="N697" i="1" a="1"/>
  <c r="N697" i="1" s="1"/>
  <c r="G696" i="1" a="1"/>
  <c r="G696" i="1" s="1"/>
  <c r="K696" i="1" a="1"/>
  <c r="K696" i="1" s="1"/>
  <c r="J696" i="1" a="1"/>
  <c r="J696" i="1" s="1"/>
  <c r="Q697" i="1" a="1"/>
  <c r="Q697" i="1"/>
  <c r="I696" i="1" a="1"/>
  <c r="I696" i="1"/>
  <c r="P697" i="1" a="1"/>
  <c r="P697" i="1" s="1"/>
  <c r="L697" i="1" a="1"/>
  <c r="L697" i="1"/>
  <c r="N696" i="1" a="1"/>
  <c r="N696" i="1" s="1"/>
  <c r="M696" i="1" a="1"/>
  <c r="M696" i="1" s="1"/>
  <c r="H696" i="1" a="1"/>
  <c r="H696" i="1" s="1"/>
  <c r="L709" i="1" a="1"/>
  <c r="L709" i="1"/>
  <c r="K709" i="1" a="1"/>
  <c r="K709" i="1" s="1"/>
  <c r="P696" i="1" a="1"/>
  <c r="P696" i="1" s="1"/>
  <c r="K697" i="1" a="1"/>
  <c r="K697" i="1" s="1"/>
  <c r="J709" i="1" a="1"/>
  <c r="J709" i="1" s="1"/>
  <c r="H688" i="1" a="1"/>
  <c r="H688" i="1"/>
  <c r="I683" i="1" a="1"/>
  <c r="I683" i="1"/>
  <c r="M687" i="1" a="1"/>
  <c r="M687" i="1"/>
  <c r="K683" i="1" a="1"/>
  <c r="K683" i="1"/>
  <c r="I687" i="1" a="1"/>
  <c r="I687" i="1"/>
  <c r="N685" i="1" a="1"/>
  <c r="N685" i="1" s="1"/>
  <c r="M682" i="1" a="1"/>
  <c r="M682" i="1" s="1"/>
  <c r="L683" i="1" a="1"/>
  <c r="L683" i="1"/>
  <c r="I682" i="1" a="1"/>
  <c r="I682" i="1" s="1"/>
  <c r="G683" i="1" a="1"/>
  <c r="G683" i="1" s="1"/>
  <c r="G687" i="1" a="1"/>
  <c r="G687" i="1" s="1"/>
  <c r="H685" i="1" a="1"/>
  <c r="H685" i="1"/>
  <c r="F683" i="1" a="1"/>
  <c r="F683" i="1"/>
  <c r="M683" i="1" a="1"/>
  <c r="M683" i="1" s="1"/>
  <c r="N683" i="1" a="1"/>
  <c r="N683" i="1" s="1"/>
  <c r="J688" i="1" a="1"/>
  <c r="J688" i="1"/>
  <c r="I688" i="1" a="1"/>
  <c r="I688" i="1"/>
  <c r="O683" i="1" a="1"/>
  <c r="O683" i="1" s="1"/>
  <c r="N687" i="1" a="1"/>
  <c r="N687" i="1" s="1"/>
  <c r="K685" i="1" a="1"/>
  <c r="K685" i="1"/>
  <c r="N682" i="1" a="1"/>
  <c r="N682" i="1" s="1"/>
  <c r="Q688" i="1" a="1"/>
  <c r="Q688" i="1" s="1"/>
  <c r="P688" i="1" a="1"/>
  <c r="P688" i="1"/>
  <c r="O688" i="1" a="1"/>
  <c r="O688" i="1"/>
  <c r="M688" i="1" a="1"/>
  <c r="M688" i="1" s="1"/>
  <c r="Q687" i="1" a="1"/>
  <c r="Q687" i="1" s="1"/>
  <c r="L685" i="1" a="1"/>
  <c r="L685" i="1" s="1"/>
  <c r="P687" i="1" a="1"/>
  <c r="P687" i="1" s="1"/>
  <c r="O687" i="1" a="1"/>
  <c r="O687" i="1" s="1"/>
  <c r="J685" i="1" a="1"/>
  <c r="J685" i="1"/>
  <c r="L687" i="1" a="1"/>
  <c r="L687" i="1"/>
  <c r="K687" i="1" a="1"/>
  <c r="K687" i="1"/>
  <c r="P685" i="1" a="1"/>
  <c r="P685" i="1"/>
  <c r="Q683" i="1" a="1"/>
  <c r="Q683" i="1"/>
  <c r="H683" i="1" a="1"/>
  <c r="H683" i="1"/>
  <c r="J683" i="1" a="1"/>
  <c r="J683" i="1"/>
  <c r="Q682" i="1" a="1"/>
  <c r="Q682" i="1"/>
  <c r="O685" i="1" a="1"/>
  <c r="O685" i="1" s="1"/>
  <c r="M685" i="1" a="1"/>
  <c r="M685" i="1" s="1"/>
  <c r="K688" i="1" a="1"/>
  <c r="K688" i="1"/>
  <c r="H687" i="1" a="1"/>
  <c r="H687" i="1"/>
  <c r="J682" i="1" a="1"/>
  <c r="J682" i="1"/>
  <c r="G688" i="1" a="1"/>
  <c r="G688" i="1" s="1"/>
  <c r="Q685" i="1" a="1"/>
  <c r="Q685" i="1" s="1"/>
  <c r="K682" i="1" a="1"/>
  <c r="K682" i="1" s="1"/>
  <c r="F688" i="1" a="1"/>
  <c r="F688" i="1"/>
  <c r="I685" i="1" a="1"/>
  <c r="I685" i="1"/>
  <c r="G685" i="1" a="1"/>
  <c r="G685" i="1" s="1"/>
  <c r="P683" i="1" a="1"/>
  <c r="P683" i="1"/>
  <c r="N688" i="1" a="1"/>
  <c r="N688" i="1"/>
  <c r="L688" i="1" a="1"/>
  <c r="L688" i="1"/>
  <c r="F685" i="1" a="1"/>
  <c r="F685" i="1"/>
  <c r="O682" i="1" a="1"/>
  <c r="O682" i="1" s="1"/>
  <c r="P682" i="1" a="1"/>
  <c r="P682" i="1"/>
  <c r="J687" i="1" a="1"/>
  <c r="J687" i="1" s="1"/>
  <c r="L682" i="1" a="1"/>
  <c r="L682" i="1" s="1"/>
  <c r="F687" i="1" a="1"/>
  <c r="F687" i="1" s="1"/>
  <c r="H681" i="1" a="1"/>
  <c r="H681" i="1" s="1"/>
  <c r="P666" i="1" a="1"/>
  <c r="P666" i="1"/>
  <c r="H682" i="1" a="1"/>
  <c r="H682" i="1" s="1"/>
  <c r="G681" i="1" a="1"/>
  <c r="G681" i="1"/>
  <c r="Q666" i="1" a="1"/>
  <c r="Q666" i="1" s="1"/>
  <c r="F682" i="1" a="1"/>
  <c r="F682" i="1"/>
  <c r="N681" i="1" a="1"/>
  <c r="N681" i="1" s="1"/>
  <c r="P681" i="1" a="1"/>
  <c r="P681" i="1"/>
  <c r="G682" i="1" a="1"/>
  <c r="G682" i="1"/>
  <c r="O681" i="1" a="1"/>
  <c r="O681" i="1" s="1"/>
  <c r="M681" i="1" a="1"/>
  <c r="M681" i="1" s="1"/>
  <c r="J681" i="1" a="1"/>
  <c r="J681" i="1" s="1"/>
  <c r="L681" i="1" a="1"/>
  <c r="L681" i="1"/>
  <c r="K681" i="1" a="1"/>
  <c r="K681" i="1"/>
  <c r="I681" i="1" a="1"/>
  <c r="I681" i="1" s="1"/>
  <c r="F681" i="1" a="1"/>
  <c r="F681" i="1" s="1"/>
  <c r="N666" i="1" a="1"/>
  <c r="N666" i="1"/>
  <c r="O666" i="1" a="1"/>
  <c r="O666" i="1"/>
  <c r="Q681" i="1" a="1"/>
  <c r="Q681" i="1"/>
  <c r="J665" i="1" a="1"/>
  <c r="J665" i="1"/>
  <c r="N664" i="1" a="1"/>
  <c r="N664" i="1" s="1"/>
  <c r="M664" i="1" a="1"/>
  <c r="M664" i="1"/>
  <c r="F664" i="1" a="1"/>
  <c r="F664" i="1"/>
  <c r="M666" i="1" a="1"/>
  <c r="M666" i="1" s="1"/>
  <c r="G664" i="1" a="1"/>
  <c r="G664" i="1"/>
  <c r="L666" i="1" a="1"/>
  <c r="L666" i="1"/>
  <c r="K666" i="1" a="1"/>
  <c r="K666" i="1"/>
  <c r="J666" i="1" a="1"/>
  <c r="J666" i="1" s="1"/>
  <c r="M665" i="1" a="1"/>
  <c r="M665" i="1" s="1"/>
  <c r="K665" i="1" a="1"/>
  <c r="K665" i="1" s="1"/>
  <c r="I666" i="1" a="1"/>
  <c r="I666" i="1"/>
  <c r="H666" i="1" a="1"/>
  <c r="H666" i="1" s="1"/>
  <c r="G666" i="1" a="1"/>
  <c r="G666" i="1"/>
  <c r="F666" i="1" a="1"/>
  <c r="F666" i="1"/>
  <c r="N665" i="1" a="1"/>
  <c r="N665" i="1"/>
  <c r="H665" i="1" a="1"/>
  <c r="H665" i="1"/>
  <c r="Q665" i="1" a="1"/>
  <c r="Q665" i="1" s="1"/>
  <c r="P665" i="1" a="1"/>
  <c r="P665" i="1" s="1"/>
  <c r="P664" i="1" a="1"/>
  <c r="P664" i="1" s="1"/>
  <c r="O665" i="1" a="1"/>
  <c r="O665" i="1"/>
  <c r="K664" i="1" a="1"/>
  <c r="K664" i="1"/>
  <c r="L665" i="1" a="1"/>
  <c r="L665" i="1"/>
  <c r="I665" i="1" a="1"/>
  <c r="I665" i="1"/>
  <c r="G665" i="1" a="1"/>
  <c r="G665" i="1" s="1"/>
  <c r="F665" i="1" a="1"/>
  <c r="F665" i="1" s="1"/>
  <c r="O664" i="1" a="1"/>
  <c r="O664" i="1"/>
  <c r="L664" i="1" a="1"/>
  <c r="L664" i="1"/>
  <c r="I664" i="1" a="1"/>
  <c r="I664" i="1" s="1"/>
  <c r="J664" i="1" a="1"/>
  <c r="J664" i="1" s="1"/>
  <c r="H664" i="1" a="1"/>
  <c r="H664" i="1" s="1"/>
  <c r="Q664" i="1" a="1"/>
  <c r="Q664" i="1"/>
  <c r="G653" i="1" a="1"/>
  <c r="G653" i="1" s="1"/>
  <c r="F652" i="1" a="1"/>
  <c r="F652" i="1"/>
  <c r="H650" i="1" a="1"/>
  <c r="H650" i="1"/>
  <c r="N650" i="1" a="1"/>
  <c r="N650" i="1"/>
  <c r="P649" i="1" a="1"/>
  <c r="P649" i="1"/>
  <c r="P653" i="1" a="1"/>
  <c r="P653" i="1" s="1"/>
  <c r="J653" i="1" a="1"/>
  <c r="J653" i="1" s="1"/>
  <c r="I652" i="1" a="1"/>
  <c r="I652" i="1" s="1"/>
  <c r="G652" i="1" a="1"/>
  <c r="G652" i="1"/>
  <c r="K649" i="1" a="1"/>
  <c r="K649" i="1" s="1"/>
  <c r="H649" i="1" a="1"/>
  <c r="H649" i="1" s="1"/>
  <c r="N653" i="1" a="1"/>
  <c r="N653" i="1"/>
  <c r="P652" i="1" a="1"/>
  <c r="P652" i="1"/>
  <c r="O652" i="1" a="1"/>
  <c r="O652" i="1" s="1"/>
  <c r="H652" i="1" a="1"/>
  <c r="H652" i="1" s="1"/>
  <c r="N652" i="1" a="1"/>
  <c r="N652" i="1"/>
  <c r="K653" i="1" a="1"/>
  <c r="K653" i="1"/>
  <c r="H653" i="1" a="1"/>
  <c r="H653" i="1" s="1"/>
  <c r="L650" i="1" a="1"/>
  <c r="L650" i="1" s="1"/>
  <c r="Q649" i="1" a="1"/>
  <c r="Q649" i="1"/>
  <c r="Q652" i="1" a="1"/>
  <c r="Q652" i="1"/>
  <c r="O650" i="1" a="1"/>
  <c r="O650" i="1" s="1"/>
  <c r="K650" i="1" a="1"/>
  <c r="K650" i="1" s="1"/>
  <c r="P650" i="1" a="1"/>
  <c r="P650" i="1"/>
  <c r="O649" i="1" a="1"/>
  <c r="O649" i="1"/>
  <c r="F650" i="1" a="1"/>
  <c r="F650" i="1" s="1"/>
  <c r="L649" i="1" a="1"/>
  <c r="L649" i="1" s="1"/>
  <c r="O653" i="1" a="1"/>
  <c r="O653" i="1"/>
  <c r="M653" i="1" a="1"/>
  <c r="M653" i="1" s="1"/>
  <c r="M652" i="1" a="1"/>
  <c r="M652" i="1" s="1"/>
  <c r="M650" i="1" a="1"/>
  <c r="M650" i="1" s="1"/>
  <c r="K652" i="1" a="1"/>
  <c r="K652" i="1" s="1"/>
  <c r="J652" i="1" a="1"/>
  <c r="J652" i="1" s="1"/>
  <c r="Q650" i="1" a="1"/>
  <c r="Q650" i="1"/>
  <c r="N649" i="1" a="1"/>
  <c r="N649" i="1" s="1"/>
  <c r="I649" i="1" a="1"/>
  <c r="I649" i="1" s="1"/>
  <c r="Q653" i="1" a="1"/>
  <c r="Q653" i="1" s="1"/>
  <c r="F653" i="1" a="1"/>
  <c r="F653" i="1"/>
  <c r="J649" i="1" a="1"/>
  <c r="J649" i="1"/>
  <c r="L653" i="1" a="1"/>
  <c r="L653" i="1"/>
  <c r="J650" i="1" a="1"/>
  <c r="J650" i="1"/>
  <c r="I650" i="1" a="1"/>
  <c r="I650" i="1"/>
  <c r="I653" i="1" a="1"/>
  <c r="I653" i="1" s="1"/>
  <c r="M649" i="1" a="1"/>
  <c r="M649" i="1"/>
  <c r="L652" i="1" a="1"/>
  <c r="L652" i="1"/>
  <c r="G650" i="1" a="1"/>
  <c r="G650" i="1" s="1"/>
  <c r="J648" i="1" a="1"/>
  <c r="J648" i="1" s="1"/>
  <c r="H648" i="1" a="1"/>
  <c r="H648" i="1"/>
  <c r="P647" i="1" a="1"/>
  <c r="P647" i="1" s="1"/>
  <c r="Q647" i="1" a="1"/>
  <c r="Q647" i="1"/>
  <c r="H645" i="1" a="1"/>
  <c r="H645" i="1" s="1"/>
  <c r="F643" i="1" a="1"/>
  <c r="F643" i="1" s="1"/>
  <c r="P643" i="1" a="1"/>
  <c r="P643" i="1"/>
  <c r="O647" i="1" a="1"/>
  <c r="O647" i="1"/>
  <c r="I643" i="1" a="1"/>
  <c r="I643" i="1"/>
  <c r="M645" i="1" a="1"/>
  <c r="M645" i="1"/>
  <c r="H647" i="1" a="1"/>
  <c r="H647" i="1" s="1"/>
  <c r="G647" i="1" a="1"/>
  <c r="G647" i="1"/>
  <c r="Q645" i="1" a="1"/>
  <c r="Q645" i="1"/>
  <c r="L645" i="1" a="1"/>
  <c r="L645" i="1" s="1"/>
  <c r="N643" i="1" a="1"/>
  <c r="N643" i="1" s="1"/>
  <c r="M643" i="1" a="1"/>
  <c r="M643" i="1"/>
  <c r="K648" i="1" a="1"/>
  <c r="K648" i="1"/>
  <c r="O645" i="1" a="1"/>
  <c r="O645" i="1" s="1"/>
  <c r="I648" i="1" a="1"/>
  <c r="I648" i="1" s="1"/>
  <c r="P645" i="1" a="1"/>
  <c r="P645" i="1" s="1"/>
  <c r="N647" i="1" a="1"/>
  <c r="N647" i="1"/>
  <c r="K643" i="1" a="1"/>
  <c r="K643" i="1" s="1"/>
  <c r="G643" i="1" a="1"/>
  <c r="G643" i="1" s="1"/>
  <c r="I647" i="1" a="1"/>
  <c r="I647" i="1"/>
  <c r="N645" i="1" a="1"/>
  <c r="N645" i="1" s="1"/>
  <c r="F647" i="1" a="1"/>
  <c r="F647" i="1"/>
  <c r="F645" i="1" a="1"/>
  <c r="F645" i="1"/>
  <c r="G649" i="1" a="1"/>
  <c r="G649" i="1"/>
  <c r="F649" i="1" a="1"/>
  <c r="F649" i="1"/>
  <c r="Q648" i="1" a="1"/>
  <c r="Q648" i="1"/>
  <c r="P648" i="1" a="1"/>
  <c r="P648" i="1"/>
  <c r="L647" i="1" a="1"/>
  <c r="L647" i="1"/>
  <c r="K647" i="1" a="1"/>
  <c r="K647" i="1"/>
  <c r="J645" i="1" a="1"/>
  <c r="J645" i="1" s="1"/>
  <c r="Q642" i="1" a="1"/>
  <c r="Q642" i="1" s="1"/>
  <c r="G645" i="1" a="1"/>
  <c r="G645" i="1" s="1"/>
  <c r="Q643" i="1" a="1"/>
  <c r="Q643" i="1" s="1"/>
  <c r="P642" i="1" a="1"/>
  <c r="P642" i="1"/>
  <c r="F648" i="1" a="1"/>
  <c r="F648" i="1" s="1"/>
  <c r="N648" i="1" a="1"/>
  <c r="N648" i="1"/>
  <c r="M647" i="1" a="1"/>
  <c r="M647" i="1" s="1"/>
  <c r="J643" i="1" a="1"/>
  <c r="J643" i="1"/>
  <c r="O648" i="1" a="1"/>
  <c r="O648" i="1"/>
  <c r="M648" i="1" a="1"/>
  <c r="M648" i="1"/>
  <c r="I645" i="1" a="1"/>
  <c r="I645" i="1"/>
  <c r="G648" i="1" a="1"/>
  <c r="G648" i="1" s="1"/>
  <c r="O643" i="1" a="1"/>
  <c r="O643" i="1" s="1"/>
  <c r="L648" i="1" a="1"/>
  <c r="L648" i="1" s="1"/>
  <c r="J647" i="1" a="1"/>
  <c r="J647" i="1" s="1"/>
  <c r="K645" i="1" a="1"/>
  <c r="K645" i="1"/>
  <c r="H643" i="1" a="1"/>
  <c r="H643" i="1"/>
  <c r="L643" i="1" a="1"/>
  <c r="L643" i="1" s="1"/>
  <c r="I640" i="1" a="1"/>
  <c r="I640" i="1" s="1"/>
  <c r="O639" i="1" a="1"/>
  <c r="O639" i="1" s="1"/>
  <c r="N638" i="1" a="1"/>
  <c r="N638" i="1"/>
  <c r="J639" i="1" a="1"/>
  <c r="J639" i="1"/>
  <c r="P638" i="1" a="1"/>
  <c r="P638" i="1"/>
  <c r="J637" i="1" a="1"/>
  <c r="J637" i="1"/>
  <c r="H640" i="1" a="1"/>
  <c r="H640" i="1"/>
  <c r="H639" i="1" a="1"/>
  <c r="H639" i="1"/>
  <c r="O637" i="1" a="1"/>
  <c r="O637" i="1"/>
  <c r="G639" i="1" a="1"/>
  <c r="G639" i="1"/>
  <c r="F638" i="1" a="1"/>
  <c r="F638" i="1" s="1"/>
  <c r="Q639" i="1" a="1"/>
  <c r="Q639" i="1" s="1"/>
  <c r="G638" i="1" a="1"/>
  <c r="G638" i="1" s="1"/>
  <c r="O638" i="1" a="1"/>
  <c r="O638" i="1"/>
  <c r="I637" i="1" a="1"/>
  <c r="I637" i="1" s="1"/>
  <c r="M639" i="1" a="1"/>
  <c r="M639" i="1"/>
  <c r="I638" i="1" a="1"/>
  <c r="I638" i="1" s="1"/>
  <c r="M638" i="1" a="1"/>
  <c r="M638" i="1"/>
  <c r="O642" i="1" a="1"/>
  <c r="O642" i="1"/>
  <c r="N642" i="1" a="1"/>
  <c r="N642" i="1"/>
  <c r="M642" i="1" a="1"/>
  <c r="M642" i="1"/>
  <c r="P637" i="1" a="1"/>
  <c r="P637" i="1"/>
  <c r="L642" i="1" a="1"/>
  <c r="L642" i="1"/>
  <c r="K642" i="1" a="1"/>
  <c r="K642" i="1" s="1"/>
  <c r="J642" i="1" a="1"/>
  <c r="J642" i="1" s="1"/>
  <c r="G637" i="1" a="1"/>
  <c r="G637" i="1" s="1"/>
  <c r="I642" i="1" a="1"/>
  <c r="I642" i="1"/>
  <c r="Q638" i="1" a="1"/>
  <c r="Q638" i="1" s="1"/>
  <c r="H642" i="1" a="1"/>
  <c r="H642" i="1" s="1"/>
  <c r="L640" i="1" a="1"/>
  <c r="L640" i="1"/>
  <c r="H638" i="1" a="1"/>
  <c r="H638" i="1"/>
  <c r="N640" i="1" a="1"/>
  <c r="N640" i="1" s="1"/>
  <c r="F639" i="1" a="1"/>
  <c r="F639" i="1" s="1"/>
  <c r="P639" i="1" a="1"/>
  <c r="P639" i="1"/>
  <c r="G642" i="1" a="1"/>
  <c r="G642" i="1"/>
  <c r="G640" i="1" a="1"/>
  <c r="G640" i="1"/>
  <c r="L637" i="1" a="1"/>
  <c r="L637" i="1"/>
  <c r="L639" i="1" a="1"/>
  <c r="L639" i="1"/>
  <c r="M640" i="1" a="1"/>
  <c r="M640" i="1"/>
  <c r="H637" i="1" a="1"/>
  <c r="H637" i="1" s="1"/>
  <c r="F642" i="1" a="1"/>
  <c r="F642" i="1" s="1"/>
  <c r="J638" i="1" a="1"/>
  <c r="J638" i="1"/>
  <c r="I639" i="1" a="1"/>
  <c r="I639" i="1" s="1"/>
  <c r="L638" i="1" a="1"/>
  <c r="L638" i="1" s="1"/>
  <c r="M637" i="1" a="1"/>
  <c r="M637" i="1" s="1"/>
  <c r="K638" i="1" a="1"/>
  <c r="K638" i="1"/>
  <c r="Q637" i="1" a="1"/>
  <c r="Q637" i="1" s="1"/>
  <c r="N637" i="1" a="1"/>
  <c r="N637" i="1"/>
  <c r="F640" i="1" a="1"/>
  <c r="F640" i="1" s="1"/>
  <c r="Q640" i="1" a="1"/>
  <c r="Q640" i="1"/>
  <c r="K637" i="1" a="1"/>
  <c r="K637" i="1"/>
  <c r="P640" i="1" a="1"/>
  <c r="P640" i="1" s="1"/>
  <c r="O640" i="1" a="1"/>
  <c r="O640" i="1" s="1"/>
  <c r="K640" i="1" a="1"/>
  <c r="K640" i="1" s="1"/>
  <c r="K639" i="1" a="1"/>
  <c r="K639" i="1" s="1"/>
  <c r="J640" i="1" a="1"/>
  <c r="J640" i="1"/>
  <c r="N639" i="1" a="1"/>
  <c r="N639" i="1" s="1"/>
  <c r="F637" i="1" a="1"/>
  <c r="F637" i="1"/>
  <c r="O635" i="1" a="1"/>
  <c r="O635" i="1"/>
  <c r="L630" i="1" a="1"/>
  <c r="L630" i="1"/>
  <c r="H630" i="1" a="1"/>
  <c r="H630" i="1" s="1"/>
  <c r="J635" i="1" a="1"/>
  <c r="J635" i="1"/>
  <c r="J630" i="1" a="1"/>
  <c r="J630" i="1"/>
  <c r="O633" i="1" a="1"/>
  <c r="O633" i="1" s="1"/>
  <c r="J633" i="1" a="1"/>
  <c r="J633" i="1" s="1"/>
  <c r="Q632" i="1" a="1"/>
  <c r="Q632" i="1" s="1"/>
  <c r="P635" i="1" a="1"/>
  <c r="P635" i="1"/>
  <c r="Q629" i="1" a="1"/>
  <c r="Q629" i="1"/>
  <c r="Q630" i="1" a="1"/>
  <c r="Q630" i="1" s="1"/>
  <c r="P632" i="1" a="1"/>
  <c r="P632" i="1" s="1"/>
  <c r="M635" i="1" a="1"/>
  <c r="M635" i="1" s="1"/>
  <c r="N632" i="1" a="1"/>
  <c r="N632" i="1"/>
  <c r="M632" i="1" a="1"/>
  <c r="M632" i="1"/>
  <c r="I630" i="1" a="1"/>
  <c r="I630" i="1"/>
  <c r="O630" i="1" a="1"/>
  <c r="O630" i="1"/>
  <c r="H635" i="1" a="1"/>
  <c r="H635" i="1"/>
  <c r="N635" i="1" a="1"/>
  <c r="N635" i="1"/>
  <c r="M630" i="1" a="1"/>
  <c r="M630" i="1"/>
  <c r="G635" i="1" a="1"/>
  <c r="G635" i="1"/>
  <c r="I635" i="1" a="1"/>
  <c r="I635" i="1"/>
  <c r="K633" i="1" a="1"/>
  <c r="K633" i="1"/>
  <c r="G630" i="1" a="1"/>
  <c r="G630" i="1" s="1"/>
  <c r="I632" i="1" a="1"/>
  <c r="I632" i="1" s="1"/>
  <c r="F635" i="1" a="1"/>
  <c r="F635" i="1" s="1"/>
  <c r="F630" i="1" a="1"/>
  <c r="F630" i="1" s="1"/>
  <c r="L632" i="1" a="1"/>
  <c r="L632" i="1"/>
  <c r="P629" i="1" a="1"/>
  <c r="P629" i="1"/>
  <c r="N633" i="1" a="1"/>
  <c r="N633" i="1"/>
  <c r="K632" i="1" a="1"/>
  <c r="K632" i="1"/>
  <c r="F633" i="1" a="1"/>
  <c r="F633" i="1"/>
  <c r="Q635" i="1" a="1"/>
  <c r="Q635" i="1"/>
  <c r="L635" i="1" a="1"/>
  <c r="L635" i="1"/>
  <c r="P633" i="1" a="1"/>
  <c r="P633" i="1"/>
  <c r="M633" i="1" a="1"/>
  <c r="M633" i="1"/>
  <c r="H633" i="1" a="1"/>
  <c r="H633" i="1"/>
  <c r="G632" i="1" a="1"/>
  <c r="G632" i="1"/>
  <c r="O632" i="1" a="1"/>
  <c r="O632" i="1"/>
  <c r="F632" i="1" a="1"/>
  <c r="F632" i="1" s="1"/>
  <c r="K635" i="1" a="1"/>
  <c r="K635" i="1" s="1"/>
  <c r="N630" i="1" a="1"/>
  <c r="N630" i="1"/>
  <c r="Q633" i="1" a="1"/>
  <c r="Q633" i="1"/>
  <c r="J632" i="1" a="1"/>
  <c r="J632" i="1"/>
  <c r="L633" i="1" a="1"/>
  <c r="L633" i="1"/>
  <c r="I633" i="1" a="1"/>
  <c r="I633" i="1"/>
  <c r="G633" i="1" a="1"/>
  <c r="G633" i="1"/>
  <c r="K630" i="1" a="1"/>
  <c r="K630" i="1"/>
  <c r="P630" i="1" a="1"/>
  <c r="P630" i="1"/>
  <c r="H632" i="1" a="1"/>
  <c r="H632" i="1"/>
  <c r="H628" i="1" a="1"/>
  <c r="H628" i="1"/>
  <c r="I629" i="1" a="1"/>
  <c r="I629" i="1"/>
  <c r="N628" i="1" a="1"/>
  <c r="N628" i="1" s="1"/>
  <c r="G628" i="1" a="1"/>
  <c r="G628" i="1" s="1"/>
  <c r="P623" i="1" a="1"/>
  <c r="P623" i="1" s="1"/>
  <c r="P627" i="1" a="1"/>
  <c r="P627" i="1" s="1"/>
  <c r="N625" i="1" a="1"/>
  <c r="N625" i="1" s="1"/>
  <c r="L628" i="1" a="1"/>
  <c r="L628" i="1" s="1"/>
  <c r="O629" i="1" a="1"/>
  <c r="O629" i="1"/>
  <c r="N629" i="1" a="1"/>
  <c r="N629" i="1"/>
  <c r="J623" i="1" a="1"/>
  <c r="J623" i="1"/>
  <c r="M629" i="1" a="1"/>
  <c r="M629" i="1"/>
  <c r="O627" i="1" a="1"/>
  <c r="O627" i="1"/>
  <c r="I623" i="1" a="1"/>
  <c r="I623" i="1"/>
  <c r="F625" i="1" a="1"/>
  <c r="F625" i="1"/>
  <c r="L629" i="1" a="1"/>
  <c r="L629" i="1"/>
  <c r="J629" i="1" a="1"/>
  <c r="J629" i="1"/>
  <c r="K625" i="1" a="1"/>
  <c r="K625" i="1"/>
  <c r="G629" i="1" a="1"/>
  <c r="G629" i="1" s="1"/>
  <c r="F629" i="1" a="1"/>
  <c r="F629" i="1" s="1"/>
  <c r="P628" i="1" a="1"/>
  <c r="P628" i="1"/>
  <c r="Q623" i="1" a="1"/>
  <c r="Q623" i="1" s="1"/>
  <c r="L623" i="1" a="1"/>
  <c r="L623" i="1" s="1"/>
  <c r="O628" i="1" a="1"/>
  <c r="O628" i="1"/>
  <c r="K627" i="1" a="1"/>
  <c r="K627" i="1"/>
  <c r="M628" i="1" a="1"/>
  <c r="M628" i="1"/>
  <c r="F628" i="1" a="1"/>
  <c r="F628" i="1"/>
  <c r="L627" i="1" a="1"/>
  <c r="L627" i="1"/>
  <c r="N623" i="1" a="1"/>
  <c r="N623" i="1"/>
  <c r="O625" i="1" a="1"/>
  <c r="O625" i="1"/>
  <c r="M625" i="1" a="1"/>
  <c r="M625" i="1"/>
  <c r="G627" i="1" a="1"/>
  <c r="G627" i="1" s="1"/>
  <c r="Q627" i="1" a="1"/>
  <c r="Q627" i="1" s="1"/>
  <c r="H625" i="1" a="1"/>
  <c r="H625" i="1" s="1"/>
  <c r="I628" i="1" a="1"/>
  <c r="I628" i="1" s="1"/>
  <c r="H629" i="1" a="1"/>
  <c r="H629" i="1"/>
  <c r="N627" i="1" a="1"/>
  <c r="N627" i="1"/>
  <c r="O623" i="1" a="1"/>
  <c r="O623" i="1" s="1"/>
  <c r="J628" i="1" a="1"/>
  <c r="J628" i="1" s="1"/>
  <c r="I625" i="1" a="1"/>
  <c r="I625" i="1"/>
  <c r="K623" i="1" a="1"/>
  <c r="K623" i="1"/>
  <c r="J627" i="1" a="1"/>
  <c r="J627" i="1"/>
  <c r="F627" i="1" a="1"/>
  <c r="F627" i="1"/>
  <c r="Q625" i="1" a="1"/>
  <c r="Q625" i="1"/>
  <c r="L625" i="1" a="1"/>
  <c r="L625" i="1"/>
  <c r="J625" i="1" a="1"/>
  <c r="J625" i="1"/>
  <c r="M623" i="1" a="1"/>
  <c r="M623" i="1" s="1"/>
  <c r="Q628" i="1" a="1"/>
  <c r="Q628" i="1" s="1"/>
  <c r="H627" i="1" a="1"/>
  <c r="H627" i="1" s="1"/>
  <c r="K628" i="1" a="1"/>
  <c r="K628" i="1"/>
  <c r="P625" i="1" a="1"/>
  <c r="P625" i="1"/>
  <c r="H623" i="1" a="1"/>
  <c r="H623" i="1" s="1"/>
  <c r="G625" i="1" a="1"/>
  <c r="G625" i="1"/>
  <c r="K629" i="1" a="1"/>
  <c r="K629" i="1" s="1"/>
  <c r="M627" i="1" a="1"/>
  <c r="M627" i="1" s="1"/>
  <c r="I627" i="1" a="1"/>
  <c r="I627" i="1"/>
  <c r="H617" i="1" a="1"/>
  <c r="H617" i="1"/>
  <c r="H619" i="1" a="1"/>
  <c r="H619" i="1"/>
  <c r="K620" i="1" a="1"/>
  <c r="K620" i="1"/>
  <c r="Q622" i="1" a="1"/>
  <c r="Q622" i="1"/>
  <c r="P622" i="1" a="1"/>
  <c r="P622" i="1" s="1"/>
  <c r="J622" i="1" a="1"/>
  <c r="J622" i="1"/>
  <c r="H620" i="1" a="1"/>
  <c r="H620" i="1" s="1"/>
  <c r="Q617" i="1" a="1"/>
  <c r="Q617" i="1" s="1"/>
  <c r="O622" i="1" a="1"/>
  <c r="O622" i="1" s="1"/>
  <c r="L622" i="1" a="1"/>
  <c r="L622" i="1" s="1"/>
  <c r="N617" i="1" a="1"/>
  <c r="N617" i="1"/>
  <c r="J619" i="1" a="1"/>
  <c r="J619" i="1"/>
  <c r="L620" i="1" a="1"/>
  <c r="L620" i="1" s="1"/>
  <c r="J620" i="1" a="1"/>
  <c r="J620" i="1"/>
  <c r="K619" i="1" a="1"/>
  <c r="K619" i="1"/>
  <c r="I618" i="1" a="1"/>
  <c r="I618" i="1" s="1"/>
  <c r="F620" i="1" a="1"/>
  <c r="F620" i="1"/>
  <c r="N619" i="1" a="1"/>
  <c r="N619" i="1" s="1"/>
  <c r="F618" i="1" a="1"/>
  <c r="F618" i="1" s="1"/>
  <c r="I622" i="1" a="1"/>
  <c r="I622" i="1" s="1"/>
  <c r="J618" i="1" a="1"/>
  <c r="J618" i="1" s="1"/>
  <c r="O620" i="1" a="1"/>
  <c r="O620" i="1" s="1"/>
  <c r="L619" i="1" a="1"/>
  <c r="L619" i="1"/>
  <c r="Q619" i="1" a="1"/>
  <c r="Q619" i="1"/>
  <c r="K622" i="1" a="1"/>
  <c r="K622" i="1" s="1"/>
  <c r="P617" i="1" a="1"/>
  <c r="P617" i="1" s="1"/>
  <c r="N622" i="1" a="1"/>
  <c r="N622" i="1" s="1"/>
  <c r="G622" i="1" a="1"/>
  <c r="G622" i="1"/>
  <c r="K618" i="1" a="1"/>
  <c r="K618" i="1" s="1"/>
  <c r="M617" i="1" a="1"/>
  <c r="M617" i="1"/>
  <c r="L617" i="1" a="1"/>
  <c r="L617" i="1"/>
  <c r="P620" i="1" a="1"/>
  <c r="P620" i="1" s="1"/>
  <c r="F619" i="1" a="1"/>
  <c r="F619" i="1" s="1"/>
  <c r="F617" i="1" a="1"/>
  <c r="F617" i="1"/>
  <c r="H622" i="1" a="1"/>
  <c r="H622" i="1"/>
  <c r="M622" i="1" a="1"/>
  <c r="M622" i="1" s="1"/>
  <c r="F622" i="1" a="1"/>
  <c r="F622" i="1" s="1"/>
  <c r="Q620" i="1" a="1"/>
  <c r="Q620" i="1"/>
  <c r="M620" i="1" a="1"/>
  <c r="M620" i="1" s="1"/>
  <c r="G618" i="1" a="1"/>
  <c r="G618" i="1"/>
  <c r="J617" i="1" a="1"/>
  <c r="J617" i="1" s="1"/>
  <c r="N620" i="1" a="1"/>
  <c r="N620" i="1" s="1"/>
  <c r="I620" i="1" a="1"/>
  <c r="I620" i="1" s="1"/>
  <c r="G620" i="1" a="1"/>
  <c r="G620" i="1"/>
  <c r="P619" i="1" a="1"/>
  <c r="P619" i="1"/>
  <c r="O619" i="1" a="1"/>
  <c r="O619" i="1" s="1"/>
  <c r="I619" i="1" a="1"/>
  <c r="I619" i="1" s="1"/>
  <c r="P618" i="1" a="1"/>
  <c r="P618" i="1"/>
  <c r="M618" i="1" a="1"/>
  <c r="M618" i="1" s="1"/>
  <c r="L618" i="1" a="1"/>
  <c r="L618" i="1" s="1"/>
  <c r="O617" i="1" a="1"/>
  <c r="O617" i="1" s="1"/>
  <c r="G617" i="1" a="1"/>
  <c r="G617" i="1"/>
  <c r="K617" i="1" a="1"/>
  <c r="K617" i="1"/>
  <c r="Q618" i="1" a="1"/>
  <c r="Q618" i="1"/>
  <c r="H618" i="1" a="1"/>
  <c r="H618" i="1" s="1"/>
  <c r="I617" i="1" a="1"/>
  <c r="I617" i="1"/>
  <c r="M619" i="1" a="1"/>
  <c r="M619" i="1"/>
  <c r="O618" i="1" a="1"/>
  <c r="O618" i="1" s="1"/>
  <c r="N618" i="1" a="1"/>
  <c r="N618" i="1" s="1"/>
  <c r="G623" i="1" a="1"/>
  <c r="G623" i="1"/>
  <c r="F623" i="1" a="1"/>
  <c r="F623" i="1" s="1"/>
  <c r="G619" i="1" a="1"/>
  <c r="G619" i="1"/>
  <c r="P610" i="1" a="1"/>
  <c r="P610" i="1" s="1"/>
  <c r="L610" i="1" a="1"/>
  <c r="L610" i="1"/>
  <c r="N606" i="1" a="1"/>
  <c r="N606" i="1" s="1"/>
  <c r="K610" i="1" a="1"/>
  <c r="K610" i="1" s="1"/>
  <c r="P609" i="1" a="1"/>
  <c r="P609" i="1" s="1"/>
  <c r="G610" i="1" a="1"/>
  <c r="G610" i="1"/>
  <c r="J610" i="1" a="1"/>
  <c r="J610" i="1" s="1"/>
  <c r="O609" i="1" a="1"/>
  <c r="O609" i="1"/>
  <c r="J609" i="1" a="1"/>
  <c r="J609" i="1"/>
  <c r="I610" i="1" a="1"/>
  <c r="I610" i="1"/>
  <c r="I607" i="1" a="1"/>
  <c r="I607" i="1"/>
  <c r="I606" i="1" a="1"/>
  <c r="I606" i="1" s="1"/>
  <c r="M609" i="1" a="1"/>
  <c r="M609" i="1" s="1"/>
  <c r="F609" i="1" a="1"/>
  <c r="F609" i="1"/>
  <c r="F607" i="1" a="1"/>
  <c r="F607" i="1" s="1"/>
  <c r="Q610" i="1" a="1"/>
  <c r="Q610" i="1" s="1"/>
  <c r="O610" i="1" a="1"/>
  <c r="O610" i="1" s="1"/>
  <c r="H609" i="1" a="1"/>
  <c r="H609" i="1" s="1"/>
  <c r="N610" i="1" a="1"/>
  <c r="N610" i="1"/>
  <c r="M610" i="1" a="1"/>
  <c r="M610" i="1"/>
  <c r="G609" i="1" a="1"/>
  <c r="G609" i="1" s="1"/>
  <c r="P607" i="1" a="1"/>
  <c r="P607" i="1"/>
  <c r="O606" i="1" a="1"/>
  <c r="O606" i="1" s="1"/>
  <c r="M607" i="1" a="1"/>
  <c r="M607" i="1"/>
  <c r="L609" i="1" a="1"/>
  <c r="L609" i="1"/>
  <c r="Q609" i="1" a="1"/>
  <c r="Q609" i="1"/>
  <c r="N609" i="1" a="1"/>
  <c r="N609" i="1" s="1"/>
  <c r="K609" i="1" a="1"/>
  <c r="K609" i="1"/>
  <c r="L607" i="1" a="1"/>
  <c r="L607" i="1" s="1"/>
  <c r="L606" i="1" a="1"/>
  <c r="L606" i="1" s="1"/>
  <c r="G607" i="1" a="1"/>
  <c r="G607" i="1"/>
  <c r="I609" i="1" a="1"/>
  <c r="I609" i="1" s="1"/>
  <c r="P606" i="1" a="1"/>
  <c r="P606" i="1" s="1"/>
  <c r="Q607" i="1" a="1"/>
  <c r="Q607" i="1" s="1"/>
  <c r="J607" i="1" a="1"/>
  <c r="J607" i="1"/>
  <c r="H606" i="1" a="1"/>
  <c r="H606" i="1"/>
  <c r="N607" i="1" a="1"/>
  <c r="N607" i="1" s="1"/>
  <c r="O607" i="1" a="1"/>
  <c r="O607" i="1"/>
  <c r="K606" i="1" a="1"/>
  <c r="K606" i="1" s="1"/>
  <c r="F610" i="1" a="1"/>
  <c r="F610" i="1" s="1"/>
  <c r="H610" i="1" a="1"/>
  <c r="H610" i="1"/>
  <c r="K607" i="1" a="1"/>
  <c r="K607" i="1"/>
  <c r="H607" i="1" a="1"/>
  <c r="H607" i="1"/>
  <c r="Q606" i="1" a="1"/>
  <c r="Q606" i="1" s="1"/>
  <c r="J606" i="1" a="1"/>
  <c r="J606" i="1"/>
  <c r="M606" i="1" a="1"/>
  <c r="M606" i="1" s="1"/>
  <c r="I596" i="1" a="1"/>
  <c r="I596" i="1" s="1"/>
  <c r="I602" i="1" a="1"/>
  <c r="I602" i="1"/>
  <c r="N595" i="1" a="1"/>
  <c r="N595" i="1"/>
  <c r="L595" i="1" a="1"/>
  <c r="L595" i="1" s="1"/>
  <c r="G606" i="1" a="1"/>
  <c r="G606" i="1"/>
  <c r="F606" i="1" a="1"/>
  <c r="F606" i="1"/>
  <c r="P603" i="1" a="1"/>
  <c r="P603" i="1" s="1"/>
  <c r="G596" i="1" a="1"/>
  <c r="G596" i="1"/>
  <c r="Q595" i="1" a="1"/>
  <c r="Q595" i="1" s="1"/>
  <c r="K603" i="1" a="1"/>
  <c r="K603" i="1"/>
  <c r="O596" i="1" a="1"/>
  <c r="O596" i="1"/>
  <c r="J603" i="1" a="1"/>
  <c r="J603" i="1"/>
  <c r="F602" i="1" a="1"/>
  <c r="F602" i="1"/>
  <c r="L596" i="1" a="1"/>
  <c r="L596" i="1" s="1"/>
  <c r="Q603" i="1" a="1"/>
  <c r="Q603" i="1" s="1"/>
  <c r="M603" i="1" a="1"/>
  <c r="M603" i="1"/>
  <c r="O603" i="1" a="1"/>
  <c r="O603" i="1"/>
  <c r="N603" i="1" a="1"/>
  <c r="N603" i="1"/>
  <c r="K596" i="1" a="1"/>
  <c r="K596" i="1"/>
  <c r="I603" i="1" a="1"/>
  <c r="I603" i="1" s="1"/>
  <c r="H603" i="1" a="1"/>
  <c r="H603" i="1" s="1"/>
  <c r="H602" i="1" a="1"/>
  <c r="H602" i="1"/>
  <c r="P596" i="1" a="1"/>
  <c r="P596" i="1"/>
  <c r="G603" i="1" a="1"/>
  <c r="G603" i="1" s="1"/>
  <c r="P602" i="1" a="1"/>
  <c r="P602" i="1" s="1"/>
  <c r="F603" i="1" a="1"/>
  <c r="F603" i="1"/>
  <c r="N602" i="1" a="1"/>
  <c r="N602" i="1"/>
  <c r="M602" i="1" a="1"/>
  <c r="M602" i="1" s="1"/>
  <c r="Q596" i="1" a="1"/>
  <c r="Q596" i="1" s="1"/>
  <c r="M596" i="1" a="1"/>
  <c r="M596" i="1"/>
  <c r="F596" i="1" a="1"/>
  <c r="F596" i="1" s="1"/>
  <c r="O595" i="1" a="1"/>
  <c r="O595" i="1" s="1"/>
  <c r="L602" i="1" a="1"/>
  <c r="L602" i="1"/>
  <c r="J602" i="1" a="1"/>
  <c r="J602" i="1"/>
  <c r="K602" i="1" a="1"/>
  <c r="K602" i="1" s="1"/>
  <c r="G602" i="1" a="1"/>
  <c r="G602" i="1"/>
  <c r="J596" i="1" a="1"/>
  <c r="J596" i="1"/>
  <c r="L603" i="1" a="1"/>
  <c r="L603" i="1" s="1"/>
  <c r="H596" i="1" a="1"/>
  <c r="H596" i="1" s="1"/>
  <c r="Q602" i="1" a="1"/>
  <c r="Q602" i="1"/>
  <c r="O602" i="1" a="1"/>
  <c r="O602" i="1"/>
  <c r="N596" i="1" a="1"/>
  <c r="N596" i="1" s="1"/>
  <c r="P595" i="1" a="1"/>
  <c r="P595" i="1" s="1"/>
  <c r="K595" i="1" a="1"/>
  <c r="K595" i="1" s="1"/>
  <c r="M595" i="1" a="1"/>
  <c r="M595" i="1"/>
  <c r="M593" i="1" a="1"/>
  <c r="M593" i="1"/>
  <c r="K593" i="1" a="1"/>
  <c r="K593" i="1" s="1"/>
  <c r="J593" i="1" a="1"/>
  <c r="J593" i="1" s="1"/>
  <c r="N592" i="1" a="1"/>
  <c r="N592" i="1"/>
  <c r="P588" i="1" a="1"/>
  <c r="P588" i="1"/>
  <c r="I593" i="1" a="1"/>
  <c r="I593" i="1" s="1"/>
  <c r="J589" i="1" a="1"/>
  <c r="J589" i="1"/>
  <c r="M588" i="1" a="1"/>
  <c r="M588" i="1"/>
  <c r="O592" i="1" a="1"/>
  <c r="O592" i="1" s="1"/>
  <c r="N589" i="1" a="1"/>
  <c r="N589" i="1"/>
  <c r="I588" i="1" a="1"/>
  <c r="I588" i="1" s="1"/>
  <c r="F589" i="1" a="1"/>
  <c r="F589" i="1" s="1"/>
  <c r="H588" i="1" a="1"/>
  <c r="H588" i="1"/>
  <c r="G592" i="1" a="1"/>
  <c r="G592" i="1" s="1"/>
  <c r="O589" i="1" a="1"/>
  <c r="O589" i="1"/>
  <c r="O588" i="1" a="1"/>
  <c r="O588" i="1"/>
  <c r="M592" i="1" a="1"/>
  <c r="M592" i="1"/>
  <c r="F593" i="1" a="1"/>
  <c r="F593" i="1" s="1"/>
  <c r="G588" i="1" a="1"/>
  <c r="G588" i="1" s="1"/>
  <c r="J592" i="1" a="1"/>
  <c r="J592" i="1" s="1"/>
  <c r="Q588" i="1" a="1"/>
  <c r="Q588" i="1" s="1"/>
  <c r="I589" i="1" a="1"/>
  <c r="I589" i="1" s="1"/>
  <c r="F588" i="1" a="1"/>
  <c r="F588" i="1"/>
  <c r="G589" i="1" a="1"/>
  <c r="G589" i="1"/>
  <c r="I592" i="1" a="1"/>
  <c r="I592" i="1" s="1"/>
  <c r="H589" i="1" a="1"/>
  <c r="H589" i="1" s="1"/>
  <c r="O593" i="1" a="1"/>
  <c r="O593" i="1"/>
  <c r="G593" i="1" a="1"/>
  <c r="G593" i="1" s="1"/>
  <c r="M589" i="1" a="1"/>
  <c r="M589" i="1" s="1"/>
  <c r="L589" i="1" a="1"/>
  <c r="L589" i="1"/>
  <c r="N588" i="1" a="1"/>
  <c r="N588" i="1"/>
  <c r="J588" i="1" a="1"/>
  <c r="J588" i="1"/>
  <c r="F592" i="1" a="1"/>
  <c r="F592" i="1"/>
  <c r="J595" i="1" a="1"/>
  <c r="J595" i="1"/>
  <c r="L592" i="1" a="1"/>
  <c r="L592" i="1"/>
  <c r="P592" i="1" a="1"/>
  <c r="P592" i="1"/>
  <c r="Q589" i="1" a="1"/>
  <c r="Q589" i="1"/>
  <c r="I595" i="1" a="1"/>
  <c r="I595" i="1"/>
  <c r="H595" i="1" a="1"/>
  <c r="H595" i="1" s="1"/>
  <c r="G595" i="1" a="1"/>
  <c r="G595" i="1" s="1"/>
  <c r="K592" i="1" a="1"/>
  <c r="K592" i="1"/>
  <c r="K589" i="1" a="1"/>
  <c r="K589" i="1"/>
  <c r="Q592" i="1" a="1"/>
  <c r="Q592" i="1"/>
  <c r="K588" i="1" a="1"/>
  <c r="K588" i="1" s="1"/>
  <c r="F595" i="1" a="1"/>
  <c r="F595" i="1"/>
  <c r="H592" i="1" a="1"/>
  <c r="H592" i="1"/>
  <c r="Q585" i="1" a="1"/>
  <c r="Q585" i="1"/>
  <c r="Q593" i="1" a="1"/>
  <c r="Q593" i="1"/>
  <c r="P589" i="1" a="1"/>
  <c r="P589" i="1" s="1"/>
  <c r="L588" i="1" a="1"/>
  <c r="L588" i="1" s="1"/>
  <c r="P593" i="1" a="1"/>
  <c r="P593" i="1" s="1"/>
  <c r="H593" i="1" a="1"/>
  <c r="H593" i="1"/>
  <c r="L593" i="1" a="1"/>
  <c r="L593" i="1" s="1"/>
  <c r="N593" i="1" a="1"/>
  <c r="N593" i="1" s="1"/>
  <c r="F585" i="1" a="1"/>
  <c r="F585" i="1" s="1"/>
  <c r="J584" i="1" a="1"/>
  <c r="J584" i="1" s="1"/>
  <c r="L584" i="1" a="1"/>
  <c r="L584" i="1"/>
  <c r="G585" i="1" a="1"/>
  <c r="G585" i="1"/>
  <c r="K584" i="1" a="1"/>
  <c r="K584" i="1" s="1"/>
  <c r="F584" i="1" a="1"/>
  <c r="F584" i="1" s="1"/>
  <c r="P584" i="1" a="1"/>
  <c r="P584" i="1"/>
  <c r="I584" i="1" a="1"/>
  <c r="I584" i="1"/>
  <c r="P585" i="1" a="1"/>
  <c r="P585" i="1"/>
  <c r="N585" i="1" a="1"/>
  <c r="N585" i="1"/>
  <c r="G584" i="1" a="1"/>
  <c r="G584" i="1" s="1"/>
  <c r="O585" i="1" a="1"/>
  <c r="O585" i="1"/>
  <c r="H584" i="1" a="1"/>
  <c r="H584" i="1" s="1"/>
  <c r="M585" i="1" a="1"/>
  <c r="M585" i="1" s="1"/>
  <c r="M584" i="1" a="1"/>
  <c r="M584" i="1"/>
  <c r="L585" i="1" a="1"/>
  <c r="L585" i="1" s="1"/>
  <c r="K585" i="1" a="1"/>
  <c r="K585" i="1" s="1"/>
  <c r="J585" i="1" a="1"/>
  <c r="J585" i="1" s="1"/>
  <c r="I585" i="1" a="1"/>
  <c r="I585" i="1"/>
  <c r="H585" i="1" a="1"/>
  <c r="H585" i="1" s="1"/>
  <c r="O584" i="1" a="1"/>
  <c r="O584" i="1"/>
  <c r="Q584" i="1" a="1"/>
  <c r="Q584" i="1" s="1"/>
  <c r="N584" i="1" a="1"/>
  <c r="N584" i="1"/>
  <c r="G2340" i="1" a="1"/>
  <c r="G2340" i="1"/>
  <c r="H2339" i="1" a="1"/>
  <c r="H2339" i="1"/>
  <c r="Q2340" i="1" a="1"/>
  <c r="Q2340" i="1"/>
  <c r="Q2339" i="1" a="1"/>
  <c r="Q2339" i="1" s="1"/>
  <c r="M2339" i="1" a="1"/>
  <c r="M2339" i="1" s="1"/>
  <c r="N2338" i="1" a="1"/>
  <c r="N2338" i="1" s="1"/>
  <c r="L2338" i="1" a="1"/>
  <c r="L2338" i="1"/>
  <c r="H2340" i="1" a="1"/>
  <c r="H2340" i="1" s="1"/>
  <c r="N2340" i="1" a="1"/>
  <c r="N2340" i="1" s="1"/>
  <c r="P2338" i="1" a="1"/>
  <c r="P2338" i="1" s="1"/>
  <c r="J2338" i="1" a="1"/>
  <c r="J2338" i="1" s="1"/>
  <c r="J2339" i="1" a="1"/>
  <c r="J2339" i="1" s="1"/>
  <c r="I2340" i="1" a="1"/>
  <c r="I2340" i="1" s="1"/>
  <c r="F2339" i="1" a="1"/>
  <c r="F2339" i="1"/>
  <c r="M2340" i="1" a="1"/>
  <c r="M2340" i="1" s="1"/>
  <c r="O2339" i="1" a="1"/>
  <c r="O2339" i="1"/>
  <c r="I2339" i="1" a="1"/>
  <c r="I2339" i="1"/>
  <c r="O2338" i="1" a="1"/>
  <c r="O2338" i="1" s="1"/>
  <c r="K2339" i="1" a="1"/>
  <c r="K2339" i="1" s="1"/>
  <c r="J2340" i="1" a="1"/>
  <c r="J2340" i="1"/>
  <c r="O2340" i="1" a="1"/>
  <c r="O2340" i="1" s="1"/>
  <c r="Q2338" i="1" a="1"/>
  <c r="Q2338" i="1" s="1"/>
  <c r="H2338" i="1" a="1"/>
  <c r="H2338" i="1" s="1"/>
  <c r="K2340" i="1" a="1"/>
  <c r="K2340" i="1"/>
  <c r="L2340" i="1" a="1"/>
  <c r="L2340" i="1"/>
  <c r="F2340" i="1" a="1"/>
  <c r="F2340" i="1" s="1"/>
  <c r="P2340" i="1" a="1"/>
  <c r="P2340" i="1" s="1"/>
  <c r="P2339" i="1" a="1"/>
  <c r="P2339" i="1"/>
  <c r="N2339" i="1" a="1"/>
  <c r="N2339" i="1" s="1"/>
  <c r="G2339" i="1" a="1"/>
  <c r="G2339" i="1"/>
  <c r="G2338" i="1" a="1"/>
  <c r="G2338" i="1"/>
  <c r="K2338" i="1" a="1"/>
  <c r="K2338" i="1" s="1"/>
  <c r="I2338" i="1" a="1"/>
  <c r="I2338" i="1" s="1"/>
  <c r="L2339" i="1" a="1"/>
  <c r="L2339" i="1"/>
  <c r="M2338" i="1" a="1"/>
  <c r="M2338" i="1"/>
  <c r="F2334" i="1" a="1"/>
  <c r="F2334" i="1"/>
  <c r="J2333" i="1" a="1"/>
  <c r="J2333" i="1" s="1"/>
  <c r="Q2337" i="1" a="1"/>
  <c r="Q2337" i="1" s="1"/>
  <c r="P2337" i="1" a="1"/>
  <c r="P2337" i="1"/>
  <c r="N2337" i="1" a="1"/>
  <c r="N2337" i="1"/>
  <c r="J2336" i="1" a="1"/>
  <c r="J2336" i="1"/>
  <c r="L2336" i="1" a="1"/>
  <c r="L2336" i="1" s="1"/>
  <c r="M2337" i="1" a="1"/>
  <c r="M2337" i="1"/>
  <c r="K2337" i="1" a="1"/>
  <c r="K2337" i="1"/>
  <c r="N2333" i="1" a="1"/>
  <c r="N2333" i="1"/>
  <c r="K2336" i="1" a="1"/>
  <c r="K2336" i="1" s="1"/>
  <c r="I2336" i="1" a="1"/>
  <c r="I2336" i="1" s="1"/>
  <c r="F2336" i="1" a="1"/>
  <c r="F2336" i="1" s="1"/>
  <c r="J2334" i="1" a="1"/>
  <c r="J2334" i="1"/>
  <c r="F2337" i="1" a="1"/>
  <c r="F2337" i="1"/>
  <c r="H2335" i="1" a="1"/>
  <c r="H2335" i="1"/>
  <c r="H2336" i="1" a="1"/>
  <c r="H2336" i="1"/>
  <c r="G2336" i="1" a="1"/>
  <c r="G2336" i="1" s="1"/>
  <c r="M2333" i="1" a="1"/>
  <c r="M2333" i="1"/>
  <c r="J2335" i="1" a="1"/>
  <c r="J2335" i="1"/>
  <c r="L2333" i="1" a="1"/>
  <c r="L2333" i="1"/>
  <c r="H2337" i="1" a="1"/>
  <c r="H2337" i="1" s="1"/>
  <c r="O2337" i="1" a="1"/>
  <c r="O2337" i="1" s="1"/>
  <c r="I2333" i="1" a="1"/>
  <c r="I2333" i="1"/>
  <c r="L2337" i="1" a="1"/>
  <c r="L2337" i="1" s="1"/>
  <c r="J2337" i="1" a="1"/>
  <c r="J2337" i="1" s="1"/>
  <c r="I2337" i="1" a="1"/>
  <c r="I2337" i="1" s="1"/>
  <c r="N2334" i="1" a="1"/>
  <c r="N2334" i="1"/>
  <c r="O2336" i="1" a="1"/>
  <c r="O2336" i="1" s="1"/>
  <c r="P2334" i="1" a="1"/>
  <c r="P2334" i="1"/>
  <c r="P2336" i="1" a="1"/>
  <c r="P2336" i="1"/>
  <c r="O2333" i="1" a="1"/>
  <c r="O2333" i="1"/>
  <c r="O2332" i="1" a="1"/>
  <c r="O2332" i="1" s="1"/>
  <c r="Q2335" i="1" a="1"/>
  <c r="Q2335" i="1"/>
  <c r="P2335" i="1" a="1"/>
  <c r="P2335" i="1"/>
  <c r="F2335" i="1" a="1"/>
  <c r="F2335" i="1"/>
  <c r="N2335" i="1" a="1"/>
  <c r="N2335" i="1" s="1"/>
  <c r="O2334" i="1" a="1"/>
  <c r="O2334" i="1"/>
  <c r="L2335" i="1" a="1"/>
  <c r="L2335" i="1" s="1"/>
  <c r="I2335" i="1" a="1"/>
  <c r="I2335" i="1" s="1"/>
  <c r="G2335" i="1" a="1"/>
  <c r="G2335" i="1"/>
  <c r="Q2334" i="1" a="1"/>
  <c r="Q2334" i="1"/>
  <c r="Q2332" i="1" a="1"/>
  <c r="Q2332" i="1" s="1"/>
  <c r="M2334" i="1" a="1"/>
  <c r="M2334" i="1"/>
  <c r="Q2333" i="1" a="1"/>
  <c r="Q2333" i="1" s="1"/>
  <c r="F2333" i="1" a="1"/>
  <c r="F2333" i="1"/>
  <c r="P2333" i="1" a="1"/>
  <c r="P2333" i="1"/>
  <c r="P2332" i="1" a="1"/>
  <c r="P2332" i="1" s="1"/>
  <c r="G2334" i="1" a="1"/>
  <c r="G2334" i="1"/>
  <c r="H2333" i="1" a="1"/>
  <c r="H2333" i="1"/>
  <c r="K2334" i="1" a="1"/>
  <c r="K2334" i="1"/>
  <c r="N2336" i="1" a="1"/>
  <c r="N2336" i="1"/>
  <c r="I2334" i="1" a="1"/>
  <c r="I2334" i="1" s="1"/>
  <c r="H2334" i="1" a="1"/>
  <c r="H2334" i="1" s="1"/>
  <c r="G2337" i="1" a="1"/>
  <c r="G2337" i="1"/>
  <c r="M2335" i="1" a="1"/>
  <c r="M2335" i="1" s="1"/>
  <c r="M2336" i="1" a="1"/>
  <c r="M2336" i="1" s="1"/>
  <c r="O2335" i="1" a="1"/>
  <c r="O2335" i="1"/>
  <c r="K2333" i="1" a="1"/>
  <c r="K2333" i="1"/>
  <c r="G2333" i="1" a="1"/>
  <c r="G2333" i="1"/>
  <c r="F2338" i="1" a="1"/>
  <c r="F2338" i="1"/>
  <c r="Q2336" i="1" a="1"/>
  <c r="Q2336" i="1"/>
  <c r="K2335" i="1" a="1"/>
  <c r="K2335" i="1" s="1"/>
  <c r="L2334" i="1" a="1"/>
  <c r="L2334" i="1"/>
  <c r="M2327" i="1" a="1"/>
  <c r="M2327" i="1"/>
  <c r="N2332" i="1" a="1"/>
  <c r="N2332" i="1"/>
  <c r="Q2330" i="1" a="1"/>
  <c r="Q2330" i="1" s="1"/>
  <c r="M2332" i="1" a="1"/>
  <c r="M2332" i="1" s="1"/>
  <c r="L2332" i="1" a="1"/>
  <c r="L2332" i="1" s="1"/>
  <c r="G2329" i="1" a="1"/>
  <c r="G2329" i="1" s="1"/>
  <c r="K2332" i="1" a="1"/>
  <c r="K2332" i="1" s="1"/>
  <c r="J2332" i="1" a="1"/>
  <c r="J2332" i="1"/>
  <c r="I2332" i="1" a="1"/>
  <c r="I2332" i="1"/>
  <c r="P2331" i="1" a="1"/>
  <c r="P2331" i="1" s="1"/>
  <c r="H2331" i="1" a="1"/>
  <c r="H2331" i="1"/>
  <c r="K2329" i="1" a="1"/>
  <c r="K2329" i="1" s="1"/>
  <c r="H2328" i="1" a="1"/>
  <c r="H2328" i="1"/>
  <c r="F2328" i="1" a="1"/>
  <c r="F2328" i="1" s="1"/>
  <c r="F2332" i="1" a="1"/>
  <c r="F2332" i="1"/>
  <c r="H2332" i="1" a="1"/>
  <c r="H2332" i="1"/>
  <c r="M2331" i="1" a="1"/>
  <c r="M2331" i="1" s="1"/>
  <c r="P2330" i="1" a="1"/>
  <c r="P2330" i="1" s="1"/>
  <c r="O2331" i="1" a="1"/>
  <c r="O2331" i="1" s="1"/>
  <c r="Q2331" i="1" a="1"/>
  <c r="Q2331" i="1" s="1"/>
  <c r="N2331" i="1" a="1"/>
  <c r="N2331" i="1" s="1"/>
  <c r="J2331" i="1" a="1"/>
  <c r="J2331" i="1"/>
  <c r="M2330" i="1" a="1"/>
  <c r="M2330" i="1" s="1"/>
  <c r="L2330" i="1" a="1"/>
  <c r="L2330" i="1"/>
  <c r="J2330" i="1" a="1"/>
  <c r="J2330" i="1"/>
  <c r="O2328" i="1" a="1"/>
  <c r="O2328" i="1" s="1"/>
  <c r="H2330" i="1" a="1"/>
  <c r="H2330" i="1"/>
  <c r="O2329" i="1" a="1"/>
  <c r="O2329" i="1" s="1"/>
  <c r="M2328" i="1" a="1"/>
  <c r="M2328" i="1" s="1"/>
  <c r="Q2329" i="1" a="1"/>
  <c r="Q2329" i="1"/>
  <c r="F2330" i="1" a="1"/>
  <c r="F2330" i="1" s="1"/>
  <c r="O2330" i="1" a="1"/>
  <c r="O2330" i="1" s="1"/>
  <c r="I2330" i="1" a="1"/>
  <c r="I2330" i="1"/>
  <c r="Q2327" i="1" a="1"/>
  <c r="Q2327" i="1" s="1"/>
  <c r="N2330" i="1" a="1"/>
  <c r="N2330" i="1" s="1"/>
  <c r="H2329" i="1" a="1"/>
  <c r="H2329" i="1" s="1"/>
  <c r="F2331" i="1" a="1"/>
  <c r="F2331" i="1" s="1"/>
  <c r="P2329" i="1" a="1"/>
  <c r="P2329" i="1" s="1"/>
  <c r="Q2328" i="1" a="1"/>
  <c r="Q2328" i="1" s="1"/>
  <c r="I2329" i="1" a="1"/>
  <c r="I2329" i="1"/>
  <c r="G2332" i="1" a="1"/>
  <c r="G2332" i="1"/>
  <c r="I2328" i="1" a="1"/>
  <c r="I2328" i="1" s="1"/>
  <c r="L2331" i="1" a="1"/>
  <c r="L2331" i="1"/>
  <c r="P2328" i="1" a="1"/>
  <c r="P2328" i="1"/>
  <c r="G2328" i="1" a="1"/>
  <c r="G2328" i="1" s="1"/>
  <c r="N2329" i="1" a="1"/>
  <c r="N2329" i="1" s="1"/>
  <c r="L2329" i="1" a="1"/>
  <c r="L2329" i="1"/>
  <c r="N2328" i="1" a="1"/>
  <c r="N2328" i="1"/>
  <c r="N2327" i="1" a="1"/>
  <c r="N2327" i="1" s="1"/>
  <c r="P2327" i="1" a="1"/>
  <c r="P2327" i="1"/>
  <c r="F2329" i="1" a="1"/>
  <c r="F2329" i="1"/>
  <c r="K2331" i="1" a="1"/>
  <c r="K2331" i="1"/>
  <c r="J2329" i="1" a="1"/>
  <c r="J2329" i="1"/>
  <c r="O2327" i="1" a="1"/>
  <c r="O2327" i="1" s="1"/>
  <c r="I2331" i="1" a="1"/>
  <c r="I2331" i="1" s="1"/>
  <c r="K2330" i="1" a="1"/>
  <c r="K2330" i="1" s="1"/>
  <c r="G2331" i="1" a="1"/>
  <c r="G2331" i="1"/>
  <c r="G2330" i="1" a="1"/>
  <c r="G2330" i="1"/>
  <c r="L2328" i="1" a="1"/>
  <c r="L2328" i="1" s="1"/>
  <c r="L2327" i="1" a="1"/>
  <c r="L2327" i="1" s="1"/>
  <c r="J2328" i="1" a="1"/>
  <c r="J2328" i="1"/>
  <c r="M2329" i="1" a="1"/>
  <c r="M2329" i="1"/>
  <c r="K2328" i="1" a="1"/>
  <c r="K2328" i="1"/>
  <c r="Q2323" i="1" a="1"/>
  <c r="Q2323" i="1" s="1"/>
  <c r="Q2322" i="1" s="1" a="1"/>
  <c r="Q2322" i="1" s="1"/>
  <c r="K2323" i="1" a="1"/>
  <c r="K2323" i="1"/>
  <c r="K2322" i="1" s="1" a="1"/>
  <c r="K2322" i="1" s="1"/>
  <c r="J2323" i="1" a="1"/>
  <c r="J2323" i="1" s="1"/>
  <c r="J2322" i="1" s="1" a="1"/>
  <c r="J2322" i="1" s="1"/>
  <c r="I2326" i="1" a="1"/>
  <c r="I2326" i="1"/>
  <c r="L2325" i="1" a="1"/>
  <c r="L2325" i="1"/>
  <c r="H2326" i="1" a="1"/>
  <c r="H2326" i="1" s="1"/>
  <c r="G2326" i="1" a="1"/>
  <c r="G2326" i="1"/>
  <c r="M2325" i="1" a="1"/>
  <c r="M2325" i="1"/>
  <c r="Q2325" i="1" a="1"/>
  <c r="Q2325" i="1" s="1"/>
  <c r="O2325" i="1" a="1"/>
  <c r="O2325" i="1" s="1"/>
  <c r="K2325" i="1" a="1"/>
  <c r="K2325" i="1" s="1"/>
  <c r="H2325" i="1" a="1"/>
  <c r="H2325" i="1"/>
  <c r="N2323" i="1" a="1"/>
  <c r="N2323" i="1"/>
  <c r="N2322" i="1" s="1" a="1"/>
  <c r="N2322" i="1" s="1"/>
  <c r="G2323" i="1" a="1"/>
  <c r="G2323" i="1"/>
  <c r="G2322" i="1" s="1" a="1"/>
  <c r="G2322" i="1" s="1"/>
  <c r="J2325" i="1" a="1"/>
  <c r="J2325" i="1" s="1"/>
  <c r="I2325" i="1" a="1"/>
  <c r="I2325" i="1"/>
  <c r="G2325" i="1" a="1"/>
  <c r="G2325" i="1"/>
  <c r="P2323" i="1" a="1"/>
  <c r="P2323" i="1" s="1"/>
  <c r="P2322" i="1" s="1" a="1"/>
  <c r="P2322" i="1" s="1"/>
  <c r="Q2326" i="1" a="1"/>
  <c r="Q2326" i="1" s="1"/>
  <c r="P2326" i="1" a="1"/>
  <c r="P2326" i="1"/>
  <c r="N2326" i="1" a="1"/>
  <c r="N2326" i="1"/>
  <c r="M2326" i="1" a="1"/>
  <c r="M2326" i="1"/>
  <c r="O2320" i="1" a="1"/>
  <c r="O2320" i="1" s="1"/>
  <c r="L2326" i="1" a="1"/>
  <c r="L2326" i="1" s="1"/>
  <c r="F2325" i="1" a="1"/>
  <c r="F2325" i="1"/>
  <c r="L2323" i="1" a="1"/>
  <c r="L2323" i="1"/>
  <c r="L2322" i="1" s="1" a="1"/>
  <c r="L2322" i="1" s="1"/>
  <c r="F2323" i="1" a="1"/>
  <c r="F2323" i="1"/>
  <c r="F2322" i="1" a="1"/>
  <c r="F2322" i="1"/>
  <c r="F2326" i="1" a="1"/>
  <c r="F2326" i="1" s="1"/>
  <c r="P2325" i="1" a="1"/>
  <c r="P2325" i="1" s="1"/>
  <c r="Q2320" i="1" a="1"/>
  <c r="Q2320" i="1"/>
  <c r="N2325" i="1" a="1"/>
  <c r="N2325" i="1" s="1"/>
  <c r="O2323" i="1" a="1"/>
  <c r="O2323" i="1" s="1"/>
  <c r="O2322" i="1" s="1" a="1"/>
  <c r="O2322" i="1" s="1"/>
  <c r="M2323" i="1" a="1"/>
  <c r="M2323" i="1" s="1"/>
  <c r="M2322" i="1" s="1" a="1"/>
  <c r="M2322" i="1" s="1"/>
  <c r="H2323" i="1" a="1"/>
  <c r="H2323" i="1"/>
  <c r="H2322" i="1" s="1" a="1"/>
  <c r="H2322" i="1" s="1"/>
  <c r="P2320" i="1" a="1"/>
  <c r="P2320" i="1"/>
  <c r="P2319" i="1" s="1" a="1"/>
  <c r="P2319" i="1" s="1"/>
  <c r="M2320" i="1" a="1"/>
  <c r="M2320" i="1"/>
  <c r="M2319" i="1" s="1" a="1"/>
  <c r="M2319" i="1" s="1"/>
  <c r="L2320" i="1" a="1"/>
  <c r="L2320" i="1"/>
  <c r="N2320" i="1" a="1"/>
  <c r="N2320" i="1"/>
  <c r="N2319" i="1" s="1" a="1"/>
  <c r="N2319" i="1" s="1"/>
  <c r="I2323" i="1" a="1"/>
  <c r="I2323" i="1"/>
  <c r="I2322" i="1" s="1" a="1"/>
  <c r="I2322" i="1" s="1"/>
  <c r="K2327" i="1" a="1"/>
  <c r="K2327" i="1"/>
  <c r="J2327" i="1" a="1"/>
  <c r="J2327" i="1" s="1"/>
  <c r="I2327" i="1" a="1"/>
  <c r="I2327" i="1"/>
  <c r="H2327" i="1" a="1"/>
  <c r="H2327" i="1" s="1"/>
  <c r="K2320" i="1" a="1"/>
  <c r="K2320" i="1"/>
  <c r="K2319" i="1" s="1" a="1"/>
  <c r="K2319" i="1" s="1"/>
  <c r="G2327" i="1" a="1"/>
  <c r="G2327" i="1" s="1"/>
  <c r="F2327" i="1" a="1"/>
  <c r="F2327" i="1" s="1"/>
  <c r="O2326" i="1" a="1"/>
  <c r="O2326" i="1" s="1"/>
  <c r="K2326" i="1" a="1"/>
  <c r="K2326" i="1"/>
  <c r="J2326" i="1" a="1"/>
  <c r="J2326" i="1" s="1"/>
  <c r="G2314" i="1" a="1"/>
  <c r="G2314" i="1"/>
  <c r="Q2314" i="1" a="1"/>
  <c r="Q2314" i="1"/>
  <c r="K2314" i="1" a="1"/>
  <c r="K2314" i="1"/>
  <c r="G2317" i="1" a="1"/>
  <c r="G2317" i="1" s="1"/>
  <c r="H2317" i="1" a="1"/>
  <c r="H2317" i="1"/>
  <c r="K2317" i="1" a="1"/>
  <c r="K2317" i="1"/>
  <c r="F2317" i="1" a="1"/>
  <c r="F2317" i="1"/>
  <c r="P2316" i="1" a="1"/>
  <c r="P2316" i="1"/>
  <c r="I2316" i="1" a="1"/>
  <c r="I2316" i="1"/>
  <c r="H2314" i="1" a="1"/>
  <c r="H2314" i="1" s="1"/>
  <c r="O2314" i="1" a="1"/>
  <c r="O2314" i="1" s="1"/>
  <c r="N2314" i="1" a="1"/>
  <c r="N2314" i="1"/>
  <c r="Q2319" i="1" a="1"/>
  <c r="Q2319" i="1"/>
  <c r="J2314" i="1" a="1"/>
  <c r="J2314" i="1"/>
  <c r="J2320" i="1" a="1"/>
  <c r="J2320" i="1"/>
  <c r="J2319" i="1" s="1" a="1"/>
  <c r="J2319" i="1" s="1"/>
  <c r="K2316" i="1" a="1"/>
  <c r="K2316" i="1"/>
  <c r="I2320" i="1" a="1"/>
  <c r="I2320" i="1"/>
  <c r="I2319" i="1" s="1" a="1"/>
  <c r="I2319" i="1" s="1"/>
  <c r="H2320" i="1" a="1"/>
  <c r="H2320" i="1"/>
  <c r="H2319" i="1" s="1" a="1"/>
  <c r="H2319" i="1" s="1"/>
  <c r="G2320" i="1" a="1"/>
  <c r="G2320" i="1"/>
  <c r="G2319" i="1" s="1" a="1"/>
  <c r="G2319" i="1" s="1"/>
  <c r="P2317" i="1" a="1"/>
  <c r="P2317" i="1"/>
  <c r="L2314" i="1" a="1"/>
  <c r="L2314" i="1"/>
  <c r="O2319" i="1" a="1"/>
  <c r="O2319" i="1"/>
  <c r="L2319" i="1" a="1"/>
  <c r="L2319" i="1"/>
  <c r="Q2317" i="1" a="1"/>
  <c r="Q2317" i="1" s="1"/>
  <c r="I2314" i="1" a="1"/>
  <c r="I2314" i="1"/>
  <c r="G2316" i="1" a="1"/>
  <c r="G2316" i="1"/>
  <c r="F2320" i="1" a="1"/>
  <c r="F2320" i="1"/>
  <c r="F2319" i="1" s="1" a="1"/>
  <c r="F2319" i="1" s="1"/>
  <c r="L2317" i="1" a="1"/>
  <c r="L2317" i="1"/>
  <c r="J2317" i="1" a="1"/>
  <c r="J2317" i="1"/>
  <c r="N2316" i="1" a="1"/>
  <c r="N2316" i="1"/>
  <c r="H2316" i="1" a="1"/>
  <c r="H2316" i="1"/>
  <c r="I2317" i="1" a="1"/>
  <c r="I2317" i="1"/>
  <c r="Q2316" i="1" a="1"/>
  <c r="Q2316" i="1"/>
  <c r="J2316" i="1" a="1"/>
  <c r="J2316" i="1"/>
  <c r="F2314" i="1" a="1"/>
  <c r="F2314" i="1"/>
  <c r="M2316" i="1" a="1"/>
  <c r="M2316" i="1" s="1"/>
  <c r="O2316" i="1" a="1"/>
  <c r="O2316" i="1"/>
  <c r="O2317" i="1" a="1"/>
  <c r="O2317" i="1" s="1"/>
  <c r="P2314" i="1" a="1"/>
  <c r="P2314" i="1" s="1"/>
  <c r="N2317" i="1" a="1"/>
  <c r="N2317" i="1"/>
  <c r="M2317" i="1" a="1"/>
  <c r="M2317" i="1"/>
  <c r="L2316" i="1" a="1"/>
  <c r="L2316" i="1"/>
  <c r="M2314" i="1" a="1"/>
  <c r="M2314" i="1"/>
  <c r="F2316" i="1" a="1"/>
  <c r="F2316" i="1"/>
  <c r="Q19" i="1"/>
  <c r="Q18" i="1" s="1"/>
  <c r="P19" i="1"/>
  <c r="P18" i="1" s="1"/>
  <c r="O19" i="1"/>
  <c r="O18" i="1" s="1"/>
  <c r="N19" i="1"/>
  <c r="N18" i="1" s="1"/>
  <c r="M19" i="1"/>
  <c r="M18" i="1" s="1"/>
  <c r="L19" i="1"/>
  <c r="L18" i="1" s="1"/>
  <c r="K19" i="1"/>
  <c r="K18" i="1" s="1"/>
  <c r="J19" i="1"/>
  <c r="J18" i="1" s="1"/>
  <c r="I19" i="1"/>
  <c r="I18" i="1" s="1"/>
  <c r="H19" i="1"/>
  <c r="H18" i="1" s="1"/>
  <c r="G19" i="1"/>
  <c r="F19" i="1"/>
  <c r="G18" i="1"/>
  <c r="F18" i="1"/>
  <c r="K284" i="1" a="1"/>
  <c r="K284" i="1"/>
  <c r="K283" i="1" s="1"/>
  <c r="H275" i="1" a="1"/>
  <c r="H275" i="1" s="1"/>
  <c r="L284" i="1" a="1"/>
  <c r="L284" i="1"/>
  <c r="L283" i="1" s="1"/>
  <c r="P284" i="1" a="1"/>
  <c r="P284" i="1"/>
  <c r="P283" i="1" s="1"/>
  <c r="P382" i="1" s="1"/>
  <c r="P513" i="1" s="1"/>
  <c r="M284" i="1" a="1"/>
  <c r="M284" i="1"/>
  <c r="M383" i="1" s="1"/>
  <c r="M514" i="1" s="1"/>
  <c r="I284" i="1" a="1"/>
  <c r="I284" i="1"/>
  <c r="I283" i="1" s="1"/>
  <c r="I382" i="1" s="1"/>
  <c r="I513" i="1" s="1"/>
  <c r="N284" i="1" a="1"/>
  <c r="N284" i="1" s="1"/>
  <c r="N283" i="1" s="1"/>
  <c r="N382" i="1" s="1"/>
  <c r="N513" i="1" s="1"/>
  <c r="H284" i="1" a="1"/>
  <c r="H284" i="1" s="1"/>
  <c r="H283" i="1" s="1"/>
  <c r="F284" i="1" a="1"/>
  <c r="F284" i="1"/>
  <c r="J275" i="1" a="1"/>
  <c r="J275" i="1" s="1"/>
  <c r="J274" i="1" s="1"/>
  <c r="L275" i="1" a="1"/>
  <c r="L275" i="1" s="1"/>
  <c r="O284" i="1" a="1"/>
  <c r="O284" i="1" s="1"/>
  <c r="O283" i="1" s="1"/>
  <c r="O275" i="1" a="1"/>
  <c r="O275" i="1"/>
  <c r="P275" i="1" a="1"/>
  <c r="P275" i="1"/>
  <c r="Q284" i="1" a="1"/>
  <c r="Q284" i="1" s="1"/>
  <c r="Q283" i="1" s="1"/>
  <c r="J284" i="1" a="1"/>
  <c r="J284" i="1"/>
  <c r="J283" i="1" s="1"/>
  <c r="K275" i="1" a="1"/>
  <c r="K275" i="1" s="1"/>
  <c r="F275" i="1" a="1"/>
  <c r="F275" i="1"/>
  <c r="F364" i="1" s="1"/>
  <c r="Q275" i="1" a="1"/>
  <c r="Q275" i="1"/>
  <c r="Q274" i="1" s="1"/>
  <c r="Q363" i="1" s="1"/>
  <c r="Q504" i="1" s="1"/>
  <c r="G284" i="1" a="1"/>
  <c r="G284" i="1"/>
  <c r="G283" i="1" s="1"/>
  <c r="G382" i="1" s="1"/>
  <c r="N275" i="1" a="1"/>
  <c r="N275" i="1"/>
  <c r="N364" i="1" s="1"/>
  <c r="G275" i="1" a="1"/>
  <c r="G275" i="1" s="1"/>
  <c r="G274" i="1" s="1"/>
  <c r="M275" i="1" a="1"/>
  <c r="M275" i="1"/>
  <c r="I275" i="1" a="1"/>
  <c r="I275" i="1" s="1"/>
  <c r="I274" i="1" s="1"/>
  <c r="H242" i="1" a="1"/>
  <c r="H242" i="1" s="1"/>
  <c r="H317" i="1" s="1"/>
  <c r="H472" i="1" s="1"/>
  <c r="M242" i="1" a="1"/>
  <c r="M242" i="1" s="1"/>
  <c r="M241" i="1" s="1"/>
  <c r="Q242" i="1" a="1"/>
  <c r="Q242" i="1" s="1"/>
  <c r="P242" i="1" a="1"/>
  <c r="P242" i="1"/>
  <c r="P241" i="1" s="1"/>
  <c r="G242" i="1" a="1"/>
  <c r="G242" i="1" s="1"/>
  <c r="O242" i="1" a="1"/>
  <c r="O242" i="1" s="1"/>
  <c r="O241" i="1" s="1"/>
  <c r="N242" i="1" a="1"/>
  <c r="N242" i="1"/>
  <c r="L242" i="1" a="1"/>
  <c r="L242" i="1" s="1"/>
  <c r="K242" i="1" a="1"/>
  <c r="K242" i="1"/>
  <c r="K241" i="1" s="1"/>
  <c r="K316" i="1" s="1"/>
  <c r="K471" i="1" s="1"/>
  <c r="F242" i="1" a="1"/>
  <c r="F242" i="1"/>
  <c r="J242" i="1" a="1"/>
  <c r="J242" i="1"/>
  <c r="J241" i="1" s="1"/>
  <c r="J316" i="1" s="1"/>
  <c r="J471" i="1" s="1"/>
  <c r="I242" i="1" a="1"/>
  <c r="I242" i="1"/>
  <c r="M199" i="1" a="1"/>
  <c r="M199" i="1"/>
  <c r="M198" i="1" s="1"/>
  <c r="I199" i="1" a="1"/>
  <c r="I199" i="1" s="1"/>
  <c r="I362" i="1" s="1"/>
  <c r="I429" i="1" s="1"/>
  <c r="G199" i="1" a="1"/>
  <c r="G199" i="1" s="1"/>
  <c r="O199" i="1" a="1"/>
  <c r="O199" i="1" s="1"/>
  <c r="L199" i="1" a="1"/>
  <c r="L199" i="1" s="1"/>
  <c r="F199" i="1" a="1"/>
  <c r="F199" i="1" s="1"/>
  <c r="F198" i="1" s="1"/>
  <c r="F361" i="1" s="1"/>
  <c r="F428" i="1" s="1"/>
  <c r="Q199" i="1" a="1"/>
  <c r="Q199" i="1"/>
  <c r="Q198" i="1" s="1"/>
  <c r="P199" i="1" a="1"/>
  <c r="P199" i="1" s="1"/>
  <c r="P198" i="1" s="1"/>
  <c r="P361" i="1" s="1"/>
  <c r="P428" i="1" s="1"/>
  <c r="N199" i="1" a="1"/>
  <c r="N199" i="1" s="1"/>
  <c r="J199" i="1" a="1"/>
  <c r="J199" i="1"/>
  <c r="K199" i="1" a="1"/>
  <c r="K199" i="1" s="1"/>
  <c r="H199" i="1" a="1"/>
  <c r="H199" i="1"/>
  <c r="H198" i="1" s="1"/>
  <c r="H361" i="1" s="1"/>
  <c r="H428" i="1" s="1"/>
  <c r="H139" i="1" a="1"/>
  <c r="H139" i="1"/>
  <c r="P139" i="1" a="1"/>
  <c r="P139" i="1"/>
  <c r="I139" i="1" a="1"/>
  <c r="I139" i="1"/>
  <c r="F139" i="1" a="1"/>
  <c r="F139" i="1" s="1"/>
  <c r="O139" i="1" a="1"/>
  <c r="O139" i="1"/>
  <c r="L139" i="1" a="1"/>
  <c r="L139" i="1"/>
  <c r="G139" i="1" a="1"/>
  <c r="G139" i="1" s="1"/>
  <c r="I141" i="1" a="1"/>
  <c r="I141" i="1"/>
  <c r="N140" i="1" a="1"/>
  <c r="N140" i="1"/>
  <c r="J139" i="1" a="1"/>
  <c r="J139" i="1"/>
  <c r="Q139" i="1" a="1"/>
  <c r="Q139" i="1"/>
  <c r="P140" i="1" a="1"/>
  <c r="P140" i="1"/>
  <c r="M140" i="1" a="1"/>
  <c r="M140" i="1"/>
  <c r="P141" i="1" a="1"/>
  <c r="P141" i="1"/>
  <c r="H141" i="1" a="1"/>
  <c r="H141" i="1"/>
  <c r="O141" i="1" a="1"/>
  <c r="O141" i="1"/>
  <c r="M141" i="1" a="1"/>
  <c r="M141" i="1"/>
  <c r="L141" i="1" a="1"/>
  <c r="L141" i="1" s="1"/>
  <c r="F140" i="1" a="1"/>
  <c r="F140" i="1" s="1"/>
  <c r="K141" i="1" a="1"/>
  <c r="K141" i="1"/>
  <c r="J141" i="1" a="1"/>
  <c r="J141" i="1"/>
  <c r="H140" i="1" a="1"/>
  <c r="H140" i="1"/>
  <c r="G140" i="1" a="1"/>
  <c r="G140" i="1"/>
  <c r="Q138" i="1" a="1"/>
  <c r="Q138" i="1"/>
  <c r="P138" i="1" a="1"/>
  <c r="P138" i="1"/>
  <c r="O138" i="1" a="1"/>
  <c r="O138" i="1"/>
  <c r="N138" i="1" a="1"/>
  <c r="N138" i="1" s="1"/>
  <c r="J138" i="1" a="1"/>
  <c r="J138" i="1"/>
  <c r="L138" i="1" a="1"/>
  <c r="L138" i="1" s="1"/>
  <c r="I138" i="1" a="1"/>
  <c r="I138" i="1" s="1"/>
  <c r="Q62" i="1" a="1"/>
  <c r="Q62" i="1"/>
  <c r="O62" i="1" a="1"/>
  <c r="O62" i="1" s="1"/>
  <c r="P62" i="1" a="1"/>
  <c r="P62" i="1"/>
  <c r="N62" i="1" a="1"/>
  <c r="N62" i="1"/>
  <c r="K61" i="1" a="1"/>
  <c r="K61" i="1"/>
  <c r="J61" i="1" a="1"/>
  <c r="J61" i="1"/>
  <c r="F61" i="1" a="1"/>
  <c r="F61" i="1" s="1"/>
  <c r="O59" i="1" a="1"/>
  <c r="O59" i="1" s="1"/>
  <c r="I59" i="1" a="1"/>
  <c r="I59" i="1" s="1"/>
  <c r="P60" i="1" a="1"/>
  <c r="P60" i="1" s="1"/>
  <c r="Q60" i="1" a="1"/>
  <c r="Q60" i="1"/>
  <c r="N60" i="1" a="1"/>
  <c r="N60" i="1" s="1"/>
  <c r="M60" i="1" a="1"/>
  <c r="M60" i="1" s="1"/>
  <c r="L60" i="1" a="1"/>
  <c r="L60" i="1" s="1"/>
  <c r="L59" i="1" a="1"/>
  <c r="L59" i="1" s="1"/>
  <c r="F60" i="1" a="1"/>
  <c r="F60" i="1"/>
  <c r="N59" i="1" a="1"/>
  <c r="N59" i="1" s="1"/>
  <c r="M59" i="1" a="1"/>
  <c r="M59" i="1"/>
  <c r="K59" i="1" a="1"/>
  <c r="K59" i="1"/>
  <c r="J59" i="1" a="1"/>
  <c r="J59" i="1"/>
  <c r="F59" i="1" a="1"/>
  <c r="F59" i="1"/>
  <c r="H59" i="1" a="1"/>
  <c r="H59" i="1" s="1"/>
  <c r="N61" i="1" a="1"/>
  <c r="N61" i="1" s="1"/>
  <c r="I61" i="1" a="1"/>
  <c r="I61" i="1" s="1"/>
  <c r="J60" i="1" a="1"/>
  <c r="J60" i="1"/>
  <c r="M62" i="1" a="1"/>
  <c r="M62" i="1" s="1"/>
  <c r="L62" i="1" a="1"/>
  <c r="L62" i="1" s="1"/>
  <c r="K62" i="1" a="1"/>
  <c r="K62" i="1"/>
  <c r="J62" i="1" a="1"/>
  <c r="J62" i="1" s="1"/>
  <c r="I60" i="1" a="1"/>
  <c r="I60" i="1" s="1"/>
  <c r="I62" i="1" a="1"/>
  <c r="I62" i="1"/>
  <c r="G59" i="1" a="1"/>
  <c r="G59" i="1" s="1"/>
  <c r="H62" i="1" a="1"/>
  <c r="H62" i="1"/>
  <c r="O60" i="1" a="1"/>
  <c r="O60" i="1"/>
  <c r="G62" i="1" a="1"/>
  <c r="G62" i="1"/>
  <c r="F62" i="1" a="1"/>
  <c r="F62" i="1"/>
  <c r="M61" i="1" a="1"/>
  <c r="M61" i="1" s="1"/>
  <c r="L61" i="1" a="1"/>
  <c r="L61" i="1" s="1"/>
  <c r="K60" i="1" a="1"/>
  <c r="K60" i="1" s="1"/>
  <c r="P59" i="1" a="1"/>
  <c r="P59" i="1" s="1"/>
  <c r="G60" i="1" a="1"/>
  <c r="G60" i="1" s="1"/>
  <c r="Q61" i="1" a="1"/>
  <c r="Q61" i="1" s="1"/>
  <c r="P61" i="1" a="1"/>
  <c r="P61" i="1" s="1"/>
  <c r="H61" i="1" a="1"/>
  <c r="H61" i="1"/>
  <c r="G61" i="1" a="1"/>
  <c r="G61" i="1"/>
  <c r="O61" i="1" a="1"/>
  <c r="O61" i="1"/>
  <c r="H60" i="1" a="1"/>
  <c r="H60" i="1"/>
  <c r="Q59" i="1" a="1"/>
  <c r="Q59" i="1"/>
  <c r="M55" i="1" a="1"/>
  <c r="M55" i="1"/>
  <c r="L55" i="1" a="1"/>
  <c r="L55" i="1"/>
  <c r="Q54" i="1" a="1"/>
  <c r="Q54" i="1"/>
  <c r="O54" i="1" a="1"/>
  <c r="O54" i="1"/>
  <c r="P55" i="1" a="1"/>
  <c r="P55" i="1" s="1"/>
  <c r="J55" i="1" a="1"/>
  <c r="J55" i="1" s="1"/>
  <c r="F54" i="1" a="1"/>
  <c r="F54" i="1" s="1"/>
  <c r="K54" i="1" a="1"/>
  <c r="K54" i="1" s="1"/>
  <c r="N55" i="1" a="1"/>
  <c r="N55" i="1" s="1"/>
  <c r="I55" i="1" a="1"/>
  <c r="I55" i="1" s="1"/>
  <c r="N54" i="1" a="1"/>
  <c r="N54" i="1"/>
  <c r="L54" i="1" a="1"/>
  <c r="L54" i="1" s="1"/>
  <c r="O55" i="1" a="1"/>
  <c r="O55" i="1" s="1"/>
  <c r="H54" i="1" a="1"/>
  <c r="H54" i="1"/>
  <c r="K55" i="1" a="1"/>
  <c r="K55" i="1" s="1"/>
  <c r="M54" i="1" a="1"/>
  <c r="M54" i="1"/>
  <c r="J54" i="1" a="1"/>
  <c r="J54" i="1"/>
  <c r="H55" i="1" a="1"/>
  <c r="H55" i="1"/>
  <c r="P54" i="1" a="1"/>
  <c r="P54" i="1" s="1"/>
  <c r="F55" i="1" a="1"/>
  <c r="F55" i="1" s="1"/>
  <c r="G55" i="1" a="1"/>
  <c r="G55" i="1" s="1"/>
  <c r="Q55" i="1" a="1"/>
  <c r="Q55" i="1"/>
  <c r="I54" i="1" a="1"/>
  <c r="I54" i="1"/>
  <c r="G54" i="1" a="1"/>
  <c r="G54" i="1" s="1"/>
  <c r="H52" i="1" a="1"/>
  <c r="H52" i="1" s="1"/>
  <c r="N53" i="1" a="1"/>
  <c r="N53" i="1" s="1"/>
  <c r="M53" i="1" a="1"/>
  <c r="M53" i="1"/>
  <c r="L53" i="1" a="1"/>
  <c r="L53" i="1"/>
  <c r="G53" i="1" a="1"/>
  <c r="G53" i="1"/>
  <c r="K53" i="1" a="1"/>
  <c r="K53" i="1"/>
  <c r="J53" i="1" a="1"/>
  <c r="J53" i="1"/>
  <c r="H53" i="1" a="1"/>
  <c r="H53" i="1"/>
  <c r="O52" i="1" a="1"/>
  <c r="O52" i="1" s="1"/>
  <c r="F53" i="1" a="1"/>
  <c r="F53" i="1" s="1"/>
  <c r="Q52" i="1" a="1"/>
  <c r="Q52" i="1" s="1"/>
  <c r="P52" i="1" a="1"/>
  <c r="P52" i="1"/>
  <c r="N52" i="1" a="1"/>
  <c r="N52" i="1" s="1"/>
  <c r="M52" i="1" a="1"/>
  <c r="M52" i="1" s="1"/>
  <c r="F52" i="1" a="1"/>
  <c r="F52" i="1"/>
  <c r="K52" i="1" a="1"/>
  <c r="K52" i="1"/>
  <c r="G52" i="1" a="1"/>
  <c r="G52" i="1" s="1"/>
  <c r="L52" i="1" a="1"/>
  <c r="L52" i="1"/>
  <c r="J52" i="1" a="1"/>
  <c r="J52" i="1" s="1"/>
  <c r="Q53" i="1" a="1"/>
  <c r="Q53" i="1" s="1"/>
  <c r="P53" i="1" a="1"/>
  <c r="P53" i="1"/>
  <c r="I53" i="1" a="1"/>
  <c r="I53" i="1" s="1"/>
  <c r="I52" i="1" a="1"/>
  <c r="I52" i="1" s="1"/>
  <c r="O53" i="1" a="1"/>
  <c r="O53" i="1" s="1"/>
  <c r="H15" i="1" a="1"/>
  <c r="H15" i="1" s="1"/>
  <c r="L14" i="1" a="1"/>
  <c r="L14" i="1" s="1"/>
  <c r="P15" i="1" a="1"/>
  <c r="P15" i="1"/>
  <c r="L15" i="1" a="1"/>
  <c r="L15" i="1"/>
  <c r="Q15" i="1" a="1"/>
  <c r="Q15" i="1"/>
  <c r="M15" i="1" a="1"/>
  <c r="M15" i="1"/>
  <c r="P14" i="1" a="1"/>
  <c r="P14" i="1" s="1"/>
  <c r="F15" i="1" a="1"/>
  <c r="F15" i="1" s="1"/>
  <c r="O15" i="1" a="1"/>
  <c r="O15" i="1" s="1"/>
  <c r="O14" i="1" a="1"/>
  <c r="O14" i="1"/>
  <c r="Q14" i="1" a="1"/>
  <c r="Q14" i="1"/>
  <c r="N14" i="1" a="1"/>
  <c r="N14" i="1"/>
  <c r="K14" i="1" a="1"/>
  <c r="K14" i="1" s="1"/>
  <c r="M14" i="1" a="1"/>
  <c r="M14" i="1" s="1"/>
  <c r="K15" i="1" a="1"/>
  <c r="K15" i="1" s="1"/>
  <c r="J15" i="1" a="1"/>
  <c r="J15" i="1"/>
  <c r="I15" i="1" a="1"/>
  <c r="I15" i="1"/>
  <c r="G15" i="1" a="1"/>
  <c r="G15" i="1"/>
  <c r="N15" i="1" a="1"/>
  <c r="N15" i="1"/>
  <c r="J13" i="1" a="1"/>
  <c r="J13" i="1" s="1"/>
  <c r="I13" i="1" a="1"/>
  <c r="I13" i="1" s="1"/>
  <c r="L13" i="1" a="1"/>
  <c r="L13" i="1"/>
  <c r="J14" i="1" a="1"/>
  <c r="J14" i="1" s="1"/>
  <c r="I14" i="1" a="1"/>
  <c r="I14" i="1" s="1"/>
  <c r="H14" i="1" a="1"/>
  <c r="H14" i="1"/>
  <c r="H13" i="1" a="1"/>
  <c r="H13" i="1" s="1"/>
  <c r="F13" i="1" a="1"/>
  <c r="F13" i="1" s="1"/>
  <c r="G14" i="1" a="1"/>
  <c r="G14" i="1" s="1"/>
  <c r="F14" i="1" a="1"/>
  <c r="F14" i="1" s="1"/>
  <c r="P13" i="1" a="1"/>
  <c r="P13" i="1"/>
  <c r="N13" i="1" a="1"/>
  <c r="N13" i="1" s="1"/>
  <c r="M13" i="1" a="1"/>
  <c r="M13" i="1"/>
  <c r="G13" i="1" a="1"/>
  <c r="G13" i="1"/>
  <c r="Q13" i="1" a="1"/>
  <c r="Q13" i="1" s="1"/>
  <c r="O13" i="1" a="1"/>
  <c r="O13" i="1"/>
  <c r="K13" i="1" a="1"/>
  <c r="K13" i="1" s="1"/>
  <c r="P56" i="1" a="1"/>
  <c r="P56" i="1"/>
  <c r="Q56" i="1" a="1"/>
  <c r="Q56" i="1" s="1"/>
  <c r="K56" i="1" a="1"/>
  <c r="K56" i="1" s="1"/>
  <c r="M56" i="1" a="1"/>
  <c r="M56" i="1" s="1"/>
  <c r="I56" i="1" a="1"/>
  <c r="I56" i="1" s="1"/>
  <c r="L56" i="1" a="1"/>
  <c r="L56" i="1" s="1"/>
  <c r="J56" i="1" a="1"/>
  <c r="J56" i="1" s="1"/>
  <c r="G56" i="1" a="1"/>
  <c r="G56" i="1" s="1"/>
  <c r="O56" i="1" a="1"/>
  <c r="O56" i="1"/>
  <c r="H56" i="1" a="1"/>
  <c r="H56" i="1"/>
  <c r="F56" i="1" a="1"/>
  <c r="F56" i="1"/>
  <c r="N56" i="1" a="1"/>
  <c r="N56" i="1"/>
  <c r="J50" i="1" a="1"/>
  <c r="J50" i="1"/>
  <c r="L50" i="1" a="1"/>
  <c r="L50" i="1"/>
  <c r="H50" i="1" a="1"/>
  <c r="H50" i="1"/>
  <c r="G50" i="1" a="1"/>
  <c r="G50" i="1" s="1"/>
  <c r="Q50" i="1" a="1"/>
  <c r="Q50" i="1" s="1"/>
  <c r="I50" i="1" a="1"/>
  <c r="I50" i="1"/>
  <c r="F50" i="1" a="1"/>
  <c r="F50" i="1" s="1"/>
  <c r="P50" i="1" a="1"/>
  <c r="P50" i="1" s="1"/>
  <c r="O50" i="1" a="1"/>
  <c r="O50" i="1" s="1"/>
  <c r="M50" i="1" a="1"/>
  <c r="M50" i="1"/>
  <c r="N50" i="1" a="1"/>
  <c r="N50" i="1"/>
  <c r="K50" i="1" a="1"/>
  <c r="K50" i="1"/>
  <c r="K45" i="1" a="1"/>
  <c r="K45" i="1"/>
  <c r="I45" i="1" a="1"/>
  <c r="I45" i="1"/>
  <c r="H45" i="1" a="1"/>
  <c r="H45" i="1"/>
  <c r="F45" i="1" a="1"/>
  <c r="F45" i="1"/>
  <c r="G45" i="1" a="1"/>
  <c r="G45" i="1"/>
  <c r="Q45" i="1" a="1"/>
  <c r="Q45" i="1"/>
  <c r="P45" i="1" a="1"/>
  <c r="P45" i="1" s="1"/>
  <c r="O45" i="1" a="1"/>
  <c r="O45" i="1"/>
  <c r="N45" i="1" a="1"/>
  <c r="N45" i="1" s="1"/>
  <c r="M45" i="1" a="1"/>
  <c r="M45" i="1" s="1"/>
  <c r="J45" i="1" a="1"/>
  <c r="J45" i="1" s="1"/>
  <c r="L45" i="1" a="1"/>
  <c r="L45" i="1" s="1"/>
  <c r="Q44" i="1" a="1"/>
  <c r="Q44" i="1"/>
  <c r="J43" i="1" a="1"/>
  <c r="J43" i="1"/>
  <c r="I43" i="1" a="1"/>
  <c r="I43" i="1" s="1"/>
  <c r="G43" i="1" a="1"/>
  <c r="G43" i="1"/>
  <c r="K43" i="1" a="1"/>
  <c r="K43" i="1"/>
  <c r="O43" i="1" a="1"/>
  <c r="O43" i="1"/>
  <c r="N43" i="1" a="1"/>
  <c r="N43" i="1"/>
  <c r="H44" i="1" a="1"/>
  <c r="H44" i="1"/>
  <c r="H43" i="1" a="1"/>
  <c r="H43" i="1"/>
  <c r="P44" i="1" a="1"/>
  <c r="P44" i="1"/>
  <c r="M44" i="1" a="1"/>
  <c r="M44" i="1" s="1"/>
  <c r="P43" i="1" a="1"/>
  <c r="P43" i="1" s="1"/>
  <c r="M43" i="1" a="1"/>
  <c r="M43" i="1" s="1"/>
  <c r="L44" i="1" a="1"/>
  <c r="L44" i="1" s="1"/>
  <c r="O44" i="1" a="1"/>
  <c r="O44" i="1"/>
  <c r="N44" i="1" a="1"/>
  <c r="N44" i="1" s="1"/>
  <c r="I44" i="1" a="1"/>
  <c r="I44" i="1"/>
  <c r="K44" i="1" a="1"/>
  <c r="K44" i="1"/>
  <c r="J44" i="1" a="1"/>
  <c r="J44" i="1"/>
  <c r="F44" i="1" a="1"/>
  <c r="F44" i="1"/>
  <c r="Q43" i="1" a="1"/>
  <c r="Q43" i="1"/>
  <c r="G44" i="1" a="1"/>
  <c r="G44" i="1"/>
  <c r="L43" i="1" a="1"/>
  <c r="L43" i="1"/>
  <c r="F43" i="1" a="1"/>
  <c r="F43" i="1"/>
  <c r="Q28" i="1" a="1"/>
  <c r="Q28" i="1" s="1"/>
  <c r="P28" i="1" a="1"/>
  <c r="P28" i="1" s="1"/>
  <c r="M28" i="1" a="1"/>
  <c r="M28" i="1" s="1"/>
  <c r="N28" i="1" a="1"/>
  <c r="N28" i="1" s="1"/>
  <c r="O28" i="1" a="1"/>
  <c r="O28" i="1"/>
  <c r="K28" i="1" a="1"/>
  <c r="K28" i="1"/>
  <c r="G28" i="1" a="1"/>
  <c r="G28" i="1" s="1"/>
  <c r="J27" i="1" a="1"/>
  <c r="J27" i="1"/>
  <c r="J28" i="1" a="1"/>
  <c r="J28" i="1"/>
  <c r="Q27" i="1" a="1"/>
  <c r="Q27" i="1" s="1"/>
  <c r="N27" i="1" a="1"/>
  <c r="N27" i="1"/>
  <c r="P27" i="1" a="1"/>
  <c r="P27" i="1"/>
  <c r="F28" i="1" a="1"/>
  <c r="F28" i="1"/>
  <c r="O27" i="1" a="1"/>
  <c r="O27" i="1"/>
  <c r="I28" i="1" a="1"/>
  <c r="I28" i="1" s="1"/>
  <c r="L27" i="1" a="1"/>
  <c r="L27" i="1" s="1"/>
  <c r="L28" i="1" a="1"/>
  <c r="L28" i="1" s="1"/>
  <c r="M27" i="1" a="1"/>
  <c r="M27" i="1"/>
  <c r="K27" i="1" a="1"/>
  <c r="K27" i="1"/>
  <c r="H28" i="1" a="1"/>
  <c r="H28" i="1"/>
  <c r="H26" i="1" a="1"/>
  <c r="H26" i="1"/>
  <c r="O25" i="1" a="1"/>
  <c r="O25" i="1"/>
  <c r="G27" i="1" a="1"/>
  <c r="G27" i="1" s="1"/>
  <c r="P26" i="1" a="1"/>
  <c r="P26" i="1"/>
  <c r="Q25" i="1" a="1"/>
  <c r="Q25" i="1"/>
  <c r="K26" i="1" a="1"/>
  <c r="K26" i="1"/>
  <c r="L26" i="1" a="1"/>
  <c r="L26" i="1"/>
  <c r="G26" i="1" a="1"/>
  <c r="G26" i="1"/>
  <c r="J26" i="1" a="1"/>
  <c r="J26" i="1" s="1"/>
  <c r="N26" i="1" a="1"/>
  <c r="N26" i="1" s="1"/>
  <c r="I26" i="1" a="1"/>
  <c r="I26" i="1" s="1"/>
  <c r="F26" i="1" a="1"/>
  <c r="F26" i="1"/>
  <c r="H27" i="1" a="1"/>
  <c r="H27" i="1"/>
  <c r="P25" i="1" a="1"/>
  <c r="P25" i="1"/>
  <c r="O26" i="1" a="1"/>
  <c r="O26" i="1"/>
  <c r="I27" i="1" a="1"/>
  <c r="I27" i="1"/>
  <c r="F27" i="1" a="1"/>
  <c r="F27" i="1"/>
  <c r="Q26" i="1" a="1"/>
  <c r="Q26" i="1" s="1"/>
  <c r="M26" i="1" a="1"/>
  <c r="M26" i="1"/>
  <c r="P21" i="1" a="1"/>
  <c r="P21" i="1"/>
  <c r="H25" i="1" a="1"/>
  <c r="H25" i="1" s="1"/>
  <c r="G25" i="1" a="1"/>
  <c r="G25" i="1"/>
  <c r="J25" i="1" a="1"/>
  <c r="J25" i="1" s="1"/>
  <c r="N24" i="1" a="1"/>
  <c r="N24" i="1" s="1"/>
  <c r="Q21" i="1" a="1"/>
  <c r="Q21" i="1" s="1"/>
  <c r="O21" i="1" a="1"/>
  <c r="O21" i="1"/>
  <c r="O24" i="1" a="1"/>
  <c r="O24" i="1"/>
  <c r="N25" i="1" a="1"/>
  <c r="N25" i="1"/>
  <c r="M25" i="1" a="1"/>
  <c r="M25" i="1"/>
  <c r="L25" i="1" a="1"/>
  <c r="L25" i="1"/>
  <c r="L24" i="1" a="1"/>
  <c r="L24" i="1"/>
  <c r="F24" i="1" a="1"/>
  <c r="F24" i="1"/>
  <c r="K25" i="1" a="1"/>
  <c r="K25" i="1" s="1"/>
  <c r="I25" i="1" a="1"/>
  <c r="I25" i="1" s="1"/>
  <c r="M24" i="1" a="1"/>
  <c r="M24" i="1"/>
  <c r="F25" i="1" a="1"/>
  <c r="F25" i="1"/>
  <c r="Q24" i="1" a="1"/>
  <c r="Q24" i="1" s="1"/>
  <c r="P24" i="1" a="1"/>
  <c r="P24" i="1" s="1"/>
  <c r="M21" i="1" a="1"/>
  <c r="M21" i="1" s="1"/>
  <c r="I24" i="1" a="1"/>
  <c r="I24" i="1"/>
  <c r="K24" i="1" a="1"/>
  <c r="K24" i="1"/>
  <c r="H24" i="1" a="1"/>
  <c r="H24" i="1"/>
  <c r="J24" i="1" a="1"/>
  <c r="J24" i="1"/>
  <c r="G24" i="1" a="1"/>
  <c r="G24" i="1"/>
  <c r="L21" i="1" a="1"/>
  <c r="L21" i="1"/>
  <c r="N21" i="1" a="1"/>
  <c r="N21" i="1"/>
  <c r="K21" i="1" a="1"/>
  <c r="K21" i="1"/>
  <c r="I16" i="1" a="1"/>
  <c r="I16" i="1"/>
  <c r="H17" i="1" a="1"/>
  <c r="H17" i="1" s="1"/>
  <c r="F17" i="1" a="1"/>
  <c r="F17" i="1"/>
  <c r="M16" i="1" a="1"/>
  <c r="M16" i="1" s="1"/>
  <c r="M17" i="1" a="1"/>
  <c r="M17" i="1" s="1"/>
  <c r="L17" i="1" a="1"/>
  <c r="L17" i="1" s="1"/>
  <c r="P17" i="1" a="1"/>
  <c r="P17" i="1"/>
  <c r="O17" i="1" a="1"/>
  <c r="O17" i="1"/>
  <c r="G17" i="1" a="1"/>
  <c r="G17" i="1"/>
  <c r="H16" i="1" a="1"/>
  <c r="H16" i="1"/>
  <c r="G21" i="1" a="1"/>
  <c r="G21" i="1"/>
  <c r="I21" i="1" a="1"/>
  <c r="I21" i="1"/>
  <c r="N17" i="1" a="1"/>
  <c r="N17" i="1"/>
  <c r="F16" i="1" a="1"/>
  <c r="F16" i="1"/>
  <c r="J16" i="1" a="1"/>
  <c r="J16" i="1"/>
  <c r="J21" i="1" a="1"/>
  <c r="J21" i="1"/>
  <c r="Q16" i="1" a="1"/>
  <c r="Q16" i="1"/>
  <c r="N16" i="1" a="1"/>
  <c r="N16" i="1" s="1"/>
  <c r="I17" i="1" a="1"/>
  <c r="I17" i="1" s="1"/>
  <c r="O16" i="1" a="1"/>
  <c r="O16" i="1" s="1"/>
  <c r="H21" i="1" a="1"/>
  <c r="H21" i="1"/>
  <c r="F21" i="1" a="1"/>
  <c r="F21" i="1" s="1"/>
  <c r="K17" i="1" a="1"/>
  <c r="K17" i="1"/>
  <c r="G16" i="1" a="1"/>
  <c r="G16" i="1"/>
  <c r="Q17" i="1" a="1"/>
  <c r="Q17" i="1"/>
  <c r="J17" i="1" a="1"/>
  <c r="J17" i="1"/>
  <c r="L16" i="1" a="1"/>
  <c r="L16" i="1"/>
  <c r="P16" i="1" a="1"/>
  <c r="P16" i="1"/>
  <c r="K16" i="1" a="1"/>
  <c r="K16" i="1"/>
  <c r="L11" i="1" a="1"/>
  <c r="L11" i="1"/>
  <c r="G11" i="1" a="1"/>
  <c r="G11" i="1"/>
  <c r="N11" i="1" a="1"/>
  <c r="N11" i="1" s="1"/>
  <c r="N10" i="1" a="1"/>
  <c r="N10" i="1" s="1"/>
  <c r="I11" i="1" a="1"/>
  <c r="I11" i="1" s="1"/>
  <c r="O10" i="1" a="1"/>
  <c r="O10" i="1" s="1"/>
  <c r="J11" i="1" a="1"/>
  <c r="J11" i="1"/>
  <c r="O11" i="1" a="1"/>
  <c r="O11" i="1"/>
  <c r="L10" i="1" a="1"/>
  <c r="L10" i="1"/>
  <c r="M10" i="1" a="1"/>
  <c r="M10" i="1"/>
  <c r="Q11" i="1" a="1"/>
  <c r="Q11" i="1"/>
  <c r="F11" i="1" a="1"/>
  <c r="F11" i="1"/>
  <c r="Q10" i="1" a="1"/>
  <c r="Q10" i="1"/>
  <c r="P10" i="1" a="1"/>
  <c r="P10" i="1"/>
  <c r="K11" i="1" a="1"/>
  <c r="K11" i="1"/>
  <c r="M11" i="1" a="1"/>
  <c r="M11" i="1"/>
  <c r="H11" i="1" a="1"/>
  <c r="H11" i="1" s="1"/>
  <c r="K10" i="1" a="1"/>
  <c r="K10" i="1" s="1"/>
  <c r="J10" i="1" a="1"/>
  <c r="J10" i="1" s="1"/>
  <c r="P11" i="1" a="1"/>
  <c r="P11" i="1"/>
  <c r="I5" i="1" a="1"/>
  <c r="I5" i="1" s="1"/>
  <c r="G6" i="1" a="1"/>
  <c r="G6" i="1"/>
  <c r="F10" i="1" a="1"/>
  <c r="F10" i="1"/>
  <c r="I9" i="1" a="1"/>
  <c r="I9" i="1" s="1"/>
  <c r="N9" i="1" a="1"/>
  <c r="N9" i="1"/>
  <c r="O5" i="1" a="1"/>
  <c r="O5" i="1"/>
  <c r="O9" i="1" a="1"/>
  <c r="O9" i="1"/>
  <c r="G5" i="1" a="1"/>
  <c r="G5" i="1"/>
  <c r="M9" i="1" a="1"/>
  <c r="M9" i="1"/>
  <c r="L9" i="1" a="1"/>
  <c r="L9" i="1"/>
  <c r="L7" i="1" a="1"/>
  <c r="L7" i="1" s="1"/>
  <c r="G9" i="1" a="1"/>
  <c r="G9" i="1" s="1"/>
  <c r="G7" i="1" a="1"/>
  <c r="G7" i="1" s="1"/>
  <c r="K6" i="1" a="1"/>
  <c r="K6" i="1"/>
  <c r="H6" i="1" a="1"/>
  <c r="H6" i="1"/>
  <c r="O4" i="1" a="1"/>
  <c r="O4" i="1"/>
  <c r="H9" i="1" a="1"/>
  <c r="H9" i="1" s="1"/>
  <c r="P6" i="1" a="1"/>
  <c r="P6" i="1"/>
  <c r="J7" i="1" a="1"/>
  <c r="J7" i="1"/>
  <c r="Q6" i="1" a="1"/>
  <c r="Q6" i="1"/>
  <c r="F9" i="1" a="1"/>
  <c r="F9" i="1"/>
  <c r="N7" i="1" a="1"/>
  <c r="N7" i="1"/>
  <c r="O6" i="1" a="1"/>
  <c r="O6" i="1"/>
  <c r="N6" i="1" a="1"/>
  <c r="N6" i="1"/>
  <c r="P4" i="1" a="1"/>
  <c r="P4" i="1" s="1"/>
  <c r="Q5" i="1" a="1"/>
  <c r="Q5" i="1" s="1"/>
  <c r="H5" i="1" a="1"/>
  <c r="H5" i="1" s="1"/>
  <c r="I10" i="1" a="1"/>
  <c r="I10" i="1"/>
  <c r="H10" i="1" a="1"/>
  <c r="H10" i="1" s="1"/>
  <c r="I7" i="1" a="1"/>
  <c r="I7" i="1"/>
  <c r="Q4" i="1" a="1"/>
  <c r="Q4" i="1"/>
  <c r="G10" i="1" a="1"/>
  <c r="G10" i="1" s="1"/>
  <c r="Q9" i="1" a="1"/>
  <c r="Q9" i="1"/>
  <c r="P9" i="1" a="1"/>
  <c r="P9" i="1"/>
  <c r="L6" i="1" a="1"/>
  <c r="L6" i="1" s="1"/>
  <c r="F5" i="1" a="1"/>
  <c r="F5" i="1"/>
  <c r="K9" i="1" a="1"/>
  <c r="K9" i="1"/>
  <c r="J9" i="1" a="1"/>
  <c r="J9" i="1"/>
  <c r="M7" i="1" a="1"/>
  <c r="M7" i="1" s="1"/>
  <c r="M6" i="1" a="1"/>
  <c r="M6" i="1" s="1"/>
  <c r="I6" i="1" a="1"/>
  <c r="I6" i="1" s="1"/>
  <c r="N5" i="1" a="1"/>
  <c r="N5" i="1"/>
  <c r="K5" i="1" a="1"/>
  <c r="K5" i="1"/>
  <c r="O7" i="1" a="1"/>
  <c r="O7" i="1"/>
  <c r="H7" i="1" a="1"/>
  <c r="H7" i="1"/>
  <c r="P5" i="1" a="1"/>
  <c r="P5" i="1"/>
  <c r="J5" i="1" a="1"/>
  <c r="J5" i="1" s="1"/>
  <c r="F7" i="1" a="1"/>
  <c r="F7" i="1" s="1"/>
  <c r="J6" i="1" a="1"/>
  <c r="J6" i="1"/>
  <c r="M5" i="1" a="1"/>
  <c r="M5" i="1"/>
  <c r="L5" i="1" a="1"/>
  <c r="L5" i="1"/>
  <c r="K7" i="1" a="1"/>
  <c r="K7" i="1"/>
  <c r="P7" i="1" a="1"/>
  <c r="P7" i="1" s="1"/>
  <c r="Q7" i="1" a="1"/>
  <c r="Q7" i="1" s="1"/>
  <c r="F6" i="1" a="1"/>
  <c r="F6" i="1" s="1"/>
  <c r="F4" i="1" a="1"/>
  <c r="F4" i="1"/>
  <c r="N4" i="1" a="1"/>
  <c r="N4" i="1"/>
  <c r="M4" i="1" a="1"/>
  <c r="M4" i="1"/>
  <c r="L4" i="1" a="1"/>
  <c r="L4" i="1"/>
  <c r="K4" i="1" a="1"/>
  <c r="K4" i="1"/>
  <c r="H4" i="1" a="1"/>
  <c r="H4" i="1"/>
  <c r="G4" i="1" a="1"/>
  <c r="G4" i="1"/>
  <c r="J4" i="1" a="1"/>
  <c r="J4" i="1" s="1"/>
  <c r="I4" i="1" a="1"/>
  <c r="I4" i="1"/>
  <c r="Q1688" i="1"/>
  <c r="M1688" i="1"/>
  <c r="L1283" i="1"/>
  <c r="K1283" i="1"/>
  <c r="L1282" i="1"/>
  <c r="N1203" i="1"/>
  <c r="L222" i="1"/>
  <c r="L221" i="1" s="1"/>
  <c r="G127" i="1"/>
  <c r="H127" i="1"/>
  <c r="I127" i="1"/>
  <c r="J127" i="1"/>
  <c r="K127" i="1"/>
  <c r="L127" i="1"/>
  <c r="Q127" i="1"/>
  <c r="L198" i="1" l="1"/>
  <c r="L362" i="1"/>
  <c r="L429" i="1" s="1"/>
  <c r="O198" i="1"/>
  <c r="O362" i="1"/>
  <c r="O429" i="1" s="1"/>
  <c r="O363" i="1"/>
  <c r="O504" i="1" s="1"/>
  <c r="O130" i="1"/>
  <c r="H364" i="1"/>
  <c r="H274" i="1"/>
  <c r="H363" i="1" s="1"/>
  <c r="H504" i="1" s="1"/>
  <c r="N130" i="1"/>
  <c r="N742" i="1" a="1"/>
  <c r="N742" i="1" s="1"/>
  <c r="N744" i="1" s="1" a="1"/>
  <c r="N744" i="1" s="1"/>
  <c r="N726" i="1" a="1"/>
  <c r="N726" i="1" s="1"/>
  <c r="N728" i="1" s="1" a="1"/>
  <c r="N728" i="1" s="1"/>
  <c r="Q742" i="1" a="1"/>
  <c r="Q742" i="1" s="1"/>
  <c r="Q744" i="1" s="1" a="1"/>
  <c r="Q744" i="1" s="1"/>
  <c r="Q726" i="1" a="1"/>
  <c r="Q726" i="1" s="1"/>
  <c r="Q728" i="1" s="1" a="1"/>
  <c r="Q728" i="1" s="1"/>
  <c r="G742" i="1" a="1"/>
  <c r="G742" i="1" s="1"/>
  <c r="G744" i="1" s="1" a="1"/>
  <c r="G744" i="1" s="1"/>
  <c r="G726" i="1" a="1"/>
  <c r="G726" i="1" s="1"/>
  <c r="G728" i="1" s="1" a="1"/>
  <c r="G728" i="1" s="1"/>
  <c r="M783" i="1"/>
  <c r="J314" i="1"/>
  <c r="J419" i="1" s="1"/>
  <c r="J118" i="1"/>
  <c r="J114" i="1" s="1"/>
  <c r="N120" i="1"/>
  <c r="F123" i="1"/>
  <c r="F319" i="1"/>
  <c r="F474" i="1" s="1"/>
  <c r="J125" i="1"/>
  <c r="J321" i="1"/>
  <c r="J476" i="1" s="1"/>
  <c r="N127" i="1"/>
  <c r="N323" i="1"/>
  <c r="N478" i="1" s="1"/>
  <c r="Q383" i="1"/>
  <c r="Q514" i="1" s="1"/>
  <c r="Q925" i="1"/>
  <c r="Q924" i="1" s="1"/>
  <c r="Q903" i="1"/>
  <c r="Q902" i="1"/>
  <c r="K362" i="1"/>
  <c r="K429" i="1" s="1"/>
  <c r="K198" i="1"/>
  <c r="K361" i="1" s="1"/>
  <c r="K428" i="1" s="1"/>
  <c r="L274" i="1"/>
  <c r="L363" i="1" s="1"/>
  <c r="L504" i="1" s="1"/>
  <c r="L364" i="1"/>
  <c r="L378" i="1" s="1"/>
  <c r="K130" i="1"/>
  <c r="J742" i="1" a="1"/>
  <c r="J742" i="1" s="1"/>
  <c r="J744" i="1" s="1" a="1"/>
  <c r="J744" i="1" s="1"/>
  <c r="J726" i="1" a="1"/>
  <c r="J726" i="1" s="1"/>
  <c r="J728" i="1" s="1" a="1"/>
  <c r="J728" i="1" s="1"/>
  <c r="L317" i="1"/>
  <c r="L472" i="1" s="1"/>
  <c r="L241" i="1"/>
  <c r="L316" i="1" s="1"/>
  <c r="L471" i="1" s="1"/>
  <c r="L125" i="1"/>
  <c r="L321" i="1"/>
  <c r="L476" i="1" s="1"/>
  <c r="K274" i="1"/>
  <c r="K364" i="1"/>
  <c r="L361" i="1"/>
  <c r="L428" i="1" s="1"/>
  <c r="Q241" i="1"/>
  <c r="Q316" i="1" s="1"/>
  <c r="Q471" i="1" s="1"/>
  <c r="Q317" i="1"/>
  <c r="Q472" i="1" s="1"/>
  <c r="K742" i="1" a="1"/>
  <c r="K742" i="1" s="1"/>
  <c r="K744" i="1" s="1" a="1"/>
  <c r="K744" i="1" s="1"/>
  <c r="J361" i="1"/>
  <c r="J428" i="1" s="1"/>
  <c r="N925" i="1"/>
  <c r="N924" i="1" s="1"/>
  <c r="N903" i="1"/>
  <c r="N902" i="1"/>
  <c r="N198" i="1"/>
  <c r="N201" i="1" s="1"/>
  <c r="N362" i="1"/>
  <c r="N429" i="1" s="1"/>
  <c r="O382" i="1"/>
  <c r="O513" i="1" s="1"/>
  <c r="K314" i="1"/>
  <c r="K419" i="1" s="1"/>
  <c r="K118" i="1"/>
  <c r="O316" i="1"/>
  <c r="O471" i="1" s="1"/>
  <c r="O120" i="1"/>
  <c r="O114" i="1" s="1"/>
  <c r="G123" i="1"/>
  <c r="G114" i="1" s="1"/>
  <c r="G319" i="1"/>
  <c r="G474" i="1" s="1"/>
  <c r="K125" i="1"/>
  <c r="K321" i="1"/>
  <c r="K476" i="1" s="1"/>
  <c r="O323" i="1"/>
  <c r="O478" i="1" s="1"/>
  <c r="O127" i="1"/>
  <c r="G138" i="1" a="1"/>
  <c r="G138" i="1" s="1"/>
  <c r="G130" i="1"/>
  <c r="L314" i="1"/>
  <c r="L419" i="1" s="1"/>
  <c r="L118" i="1"/>
  <c r="L114" i="1" s="1"/>
  <c r="H123" i="1"/>
  <c r="H319" i="1"/>
  <c r="H474" i="1" s="1"/>
  <c r="P323" i="1"/>
  <c r="P478" i="1" s="1"/>
  <c r="P127" i="1"/>
  <c r="P130" i="1"/>
  <c r="P363" i="1"/>
  <c r="P504" i="1" s="1"/>
  <c r="M925" i="1"/>
  <c r="M924" i="1" s="1"/>
  <c r="M899" i="1"/>
  <c r="M903" i="1"/>
  <c r="M902" i="1"/>
  <c r="Q382" i="1"/>
  <c r="Q513" i="1" s="1"/>
  <c r="P925" i="1"/>
  <c r="P924" i="1" s="1"/>
  <c r="P903" i="1"/>
  <c r="P902" i="1"/>
  <c r="P316" i="1"/>
  <c r="P471" i="1" s="1"/>
  <c r="P120" i="1"/>
  <c r="H130" i="1"/>
  <c r="H138" i="1" a="1"/>
  <c r="H138" i="1" s="1"/>
  <c r="M120" i="1"/>
  <c r="M114" i="1" s="1"/>
  <c r="M316" i="1"/>
  <c r="M471" i="1" s="1"/>
  <c r="Q122" i="1"/>
  <c r="Q318" i="1"/>
  <c r="Q473" i="1" s="1"/>
  <c r="I125" i="1"/>
  <c r="I321" i="1"/>
  <c r="I476" i="1" s="1"/>
  <c r="M127" i="1"/>
  <c r="M323" i="1"/>
  <c r="M478" i="1" s="1"/>
  <c r="I140" i="1" a="1"/>
  <c r="I140" i="1" s="1"/>
  <c r="I130" i="1"/>
  <c r="J925" i="1"/>
  <c r="J924" i="1" s="1"/>
  <c r="J902" i="1"/>
  <c r="J903" i="1"/>
  <c r="J899" i="1"/>
  <c r="K139" i="1" a="1"/>
  <c r="K139" i="1" s="1"/>
  <c r="P742" i="1" a="1"/>
  <c r="P742" i="1" s="1"/>
  <c r="P744" i="1" s="1" a="1"/>
  <c r="P744" i="1" s="1"/>
  <c r="N314" i="1"/>
  <c r="N419" i="1" s="1"/>
  <c r="N118" i="1"/>
  <c r="N125" i="1"/>
  <c r="N321" i="1"/>
  <c r="N476" i="1" s="1"/>
  <c r="J130" i="1"/>
  <c r="N383" i="1"/>
  <c r="N514" i="1" s="1"/>
  <c r="J399" i="1"/>
  <c r="J519" i="1" s="1"/>
  <c r="G122" i="1"/>
  <c r="O314" i="1"/>
  <c r="O419" i="1" s="1"/>
  <c r="G317" i="1"/>
  <c r="G472" i="1" s="1"/>
  <c r="G364" i="1"/>
  <c r="K399" i="1"/>
  <c r="K519" i="1" s="1"/>
  <c r="O361" i="1"/>
  <c r="O428" i="1" s="1"/>
  <c r="Q783" i="1"/>
  <c r="I198" i="1"/>
  <c r="I361" i="1" s="1"/>
  <c r="I428" i="1" s="1"/>
  <c r="N319" i="1"/>
  <c r="N474" i="1" s="1"/>
  <c r="N123" i="1"/>
  <c r="F362" i="1"/>
  <c r="F429" i="1" s="1"/>
  <c r="F119" i="1"/>
  <c r="J786" i="1"/>
  <c r="J787" i="1" s="1"/>
  <c r="F895" i="1"/>
  <c r="F925" i="1"/>
  <c r="F924" i="1" s="1"/>
  <c r="F903" i="1"/>
  <c r="L786" i="1"/>
  <c r="L787" i="1" s="1"/>
  <c r="L783" i="1"/>
  <c r="O925" i="1"/>
  <c r="O924" i="1" s="1"/>
  <c r="O903" i="1"/>
  <c r="O902" i="1"/>
  <c r="H742" i="1" a="1"/>
  <c r="H742" i="1" s="1"/>
  <c r="H744" i="1" s="1" a="1"/>
  <c r="H744" i="1" s="1"/>
  <c r="H925" i="1"/>
  <c r="H924" i="1" s="1"/>
  <c r="H902" i="1"/>
  <c r="H899" i="1"/>
  <c r="H903" i="1"/>
  <c r="Q314" i="1"/>
  <c r="Q419" i="1" s="1"/>
  <c r="Q118" i="1"/>
  <c r="Q361" i="1"/>
  <c r="Q428" i="1" s="1"/>
  <c r="O742" i="1" a="1"/>
  <c r="O742" i="1" s="1"/>
  <c r="O744" i="1" s="1" a="1"/>
  <c r="O744" i="1" s="1"/>
  <c r="F129" i="1"/>
  <c r="F325" i="1"/>
  <c r="F480" i="1" s="1"/>
  <c r="M320" i="1"/>
  <c r="M475" i="1" s="1"/>
  <c r="Q140" i="1" a="1"/>
  <c r="Q140" i="1" s="1"/>
  <c r="Q147" i="1" s="1"/>
  <c r="M130" i="1"/>
  <c r="Q384" i="1"/>
  <c r="Q515" i="1" s="1"/>
  <c r="M283" i="1"/>
  <c r="M382" i="1" s="1"/>
  <c r="M513" i="1" s="1"/>
  <c r="J324" i="1"/>
  <c r="J479" i="1" s="1"/>
  <c r="J318" i="1"/>
  <c r="J473" i="1" s="1"/>
  <c r="N320" i="1"/>
  <c r="N475" i="1" s="1"/>
  <c r="F323" i="1"/>
  <c r="F478" i="1" s="1"/>
  <c r="J129" i="1"/>
  <c r="J325" i="1"/>
  <c r="J480" i="1" s="1"/>
  <c r="F363" i="1"/>
  <c r="F504" i="1" s="1"/>
  <c r="G925" i="1"/>
  <c r="G924" i="1" s="1"/>
  <c r="G899" i="1"/>
  <c r="G903" i="1"/>
  <c r="I786" i="1"/>
  <c r="I787" i="1" s="1"/>
  <c r="K325" i="1"/>
  <c r="K480" i="1" s="1"/>
  <c r="G363" i="1"/>
  <c r="G504" i="1" s="1"/>
  <c r="I742" i="1" a="1"/>
  <c r="I742" i="1" s="1"/>
  <c r="I744" i="1" s="1" a="1"/>
  <c r="I744" i="1" s="1"/>
  <c r="I726" i="1" a="1"/>
  <c r="I726" i="1" s="1"/>
  <c r="I728" i="1" s="1" a="1"/>
  <c r="I728" i="1" s="1"/>
  <c r="N274" i="1"/>
  <c r="N280" i="1" s="1"/>
  <c r="I128" i="1"/>
  <c r="M319" i="1"/>
  <c r="M474" i="1" s="1"/>
  <c r="F742" i="1" a="1"/>
  <c r="F742" i="1" s="1"/>
  <c r="F744" i="1" s="1" a="1"/>
  <c r="F744" i="1" s="1"/>
  <c r="N317" i="1"/>
  <c r="N472" i="1" s="1"/>
  <c r="N241" i="1"/>
  <c r="N316" i="1" s="1"/>
  <c r="N471" i="1" s="1"/>
  <c r="H385" i="1"/>
  <c r="H516" i="1" s="1"/>
  <c r="F121" i="1"/>
  <c r="L742" i="1" a="1"/>
  <c r="L742" i="1" s="1"/>
  <c r="L744" i="1" s="1" a="1"/>
  <c r="L744" i="1" s="1"/>
  <c r="Q322" i="1"/>
  <c r="Q477" i="1" s="1"/>
  <c r="Q126" i="1"/>
  <c r="M129" i="1"/>
  <c r="M325" i="1"/>
  <c r="M480" i="1" s="1"/>
  <c r="I363" i="1"/>
  <c r="I504" i="1" s="1"/>
  <c r="M380" i="1"/>
  <c r="M437" i="1" s="1"/>
  <c r="G121" i="1"/>
  <c r="K129" i="1"/>
  <c r="J317" i="1"/>
  <c r="J472" i="1" s="1"/>
  <c r="J121" i="1"/>
  <c r="O322" i="1"/>
  <c r="O477" i="1" s="1"/>
  <c r="O126" i="1"/>
  <c r="O110" i="1" s="1"/>
  <c r="G129" i="1"/>
  <c r="G325" i="1"/>
  <c r="G480" i="1" s="1"/>
  <c r="P315" i="1"/>
  <c r="P420" i="1" s="1"/>
  <c r="P119" i="1"/>
  <c r="P114" i="1" s="1"/>
  <c r="H318" i="1"/>
  <c r="H473" i="1" s="1"/>
  <c r="L320" i="1"/>
  <c r="L475" i="1" s="1"/>
  <c r="P322" i="1"/>
  <c r="P477" i="1" s="1"/>
  <c r="H325" i="1"/>
  <c r="H480" i="1" s="1"/>
  <c r="H129" i="1"/>
  <c r="L130" i="1"/>
  <c r="P362" i="1"/>
  <c r="P429" i="1" s="1"/>
  <c r="H380" i="1"/>
  <c r="H437" i="1" s="1"/>
  <c r="L382" i="1"/>
  <c r="L513" i="1" s="1"/>
  <c r="I129" i="1"/>
  <c r="I325" i="1"/>
  <c r="I480" i="1" s="1"/>
  <c r="N398" i="1"/>
  <c r="N439" i="1" s="1"/>
  <c r="K363" i="1"/>
  <c r="K504" i="1" s="1"/>
  <c r="O380" i="1"/>
  <c r="O437" i="1" s="1"/>
  <c r="I121" i="1"/>
  <c r="I114" i="1" s="1"/>
  <c r="P317" i="1"/>
  <c r="P472" i="1" s="1"/>
  <c r="O317" i="1"/>
  <c r="O472" i="1" s="1"/>
  <c r="N786" i="1"/>
  <c r="N787" i="1" s="1"/>
  <c r="N783" i="1"/>
  <c r="K925" i="1"/>
  <c r="K924" i="1" s="1"/>
  <c r="K899" i="1"/>
  <c r="K903" i="1"/>
  <c r="K902" i="1"/>
  <c r="O321" i="1"/>
  <c r="O476" i="1" s="1"/>
  <c r="L325" i="1"/>
  <c r="L480" i="1" s="1"/>
  <c r="J363" i="1"/>
  <c r="J504" i="1" s="1"/>
  <c r="N380" i="1"/>
  <c r="N437" i="1" s="1"/>
  <c r="P380" i="1"/>
  <c r="P437" i="1" s="1"/>
  <c r="H383" i="1"/>
  <c r="H514" i="1" s="1"/>
  <c r="O319" i="1"/>
  <c r="O474" i="1" s="1"/>
  <c r="O123" i="1"/>
  <c r="L925" i="1"/>
  <c r="L924" i="1" s="1"/>
  <c r="L899" i="1"/>
  <c r="L903" i="1"/>
  <c r="L902" i="1"/>
  <c r="H315" i="1"/>
  <c r="H420" i="1" s="1"/>
  <c r="H119" i="1"/>
  <c r="H114" i="1" s="1"/>
  <c r="H322" i="1"/>
  <c r="H477" i="1" s="1"/>
  <c r="H126" i="1"/>
  <c r="I301" i="1"/>
  <c r="I465" i="1" s="1"/>
  <c r="M317" i="1"/>
  <c r="M472" i="1" s="1"/>
  <c r="M121" i="1"/>
  <c r="F320" i="1"/>
  <c r="F475" i="1" s="1"/>
  <c r="F124" i="1"/>
  <c r="J362" i="1"/>
  <c r="J429" i="1" s="1"/>
  <c r="K322" i="1"/>
  <c r="K477" i="1" s="1"/>
  <c r="K126" i="1"/>
  <c r="K114" i="1" s="1"/>
  <c r="O364" i="1"/>
  <c r="L301" i="1"/>
  <c r="L465" i="1" s="1"/>
  <c r="H382" i="1"/>
  <c r="H513" i="1" s="1"/>
  <c r="M362" i="1"/>
  <c r="M429" i="1" s="1"/>
  <c r="I925" i="1"/>
  <c r="I924" i="1" s="1"/>
  <c r="I903" i="1"/>
  <c r="I899" i="1"/>
  <c r="G902" i="1"/>
  <c r="I902" i="1"/>
  <c r="N899" i="1"/>
  <c r="O899" i="1"/>
  <c r="P899" i="1"/>
  <c r="Q899" i="1"/>
  <c r="Q1744" i="1"/>
  <c r="Q1745" i="1"/>
  <c r="Q1746" i="1"/>
  <c r="Q1748" i="1"/>
  <c r="Q8" i="1"/>
  <c r="Q1747" i="1" s="1"/>
  <c r="Q1750" i="1"/>
  <c r="Q1753" i="1"/>
  <c r="Q1754" i="1"/>
  <c r="Q1755" i="1"/>
  <c r="Q1756" i="1"/>
  <c r="Q1757" i="1"/>
  <c r="Q1716" i="1"/>
  <c r="Q1719" i="1"/>
  <c r="Q1733" i="1"/>
  <c r="Q1739" i="1"/>
  <c r="Q1741" i="1"/>
  <c r="Q64" i="1"/>
  <c r="Q525" i="1"/>
  <c r="Q75" i="1"/>
  <c r="Q78" i="1"/>
  <c r="Q100" i="1"/>
  <c r="Q328" i="1" s="1"/>
  <c r="Q344" i="1" s="1"/>
  <c r="Q103" i="1"/>
  <c r="Q109" i="1"/>
  <c r="Q269" i="1"/>
  <c r="Q258" i="1" s="1"/>
  <c r="Q111" i="1"/>
  <c r="Q105" i="1"/>
  <c r="Q159" i="1"/>
  <c r="Q168" i="1"/>
  <c r="Q572" i="1"/>
  <c r="Q573" i="1"/>
  <c r="Q188" i="1"/>
  <c r="Q206" i="1"/>
  <c r="Q208" i="1"/>
  <c r="Q215" i="1"/>
  <c r="Q222" i="1"/>
  <c r="Q221" i="1" s="1"/>
  <c r="Q223" i="1"/>
  <c r="Q225" i="1"/>
  <c r="Q227" i="1"/>
  <c r="Q229" i="1"/>
  <c r="Q581" i="1"/>
  <c r="Q793" i="1"/>
  <c r="Q500" i="1"/>
  <c r="Q908" i="1"/>
  <c r="Q909" i="1"/>
  <c r="Q941" i="1" s="1"/>
  <c r="Q964" i="1" s="1"/>
  <c r="Q276" i="1"/>
  <c r="Q522" i="1"/>
  <c r="Q305" i="1"/>
  <c r="Q530" i="1"/>
  <c r="Q387" i="1"/>
  <c r="Q389" i="1"/>
  <c r="Q570" i="1"/>
  <c r="Q445" i="1"/>
  <c r="Q447" i="1"/>
  <c r="Q449" i="1"/>
  <c r="Q453" i="1"/>
  <c r="Q455" i="1"/>
  <c r="Q457" i="1"/>
  <c r="Q459" i="1"/>
  <c r="Q461" i="1"/>
  <c r="Q511" i="1"/>
  <c r="Q506" i="1"/>
  <c r="Q524" i="1"/>
  <c r="Q526" i="1"/>
  <c r="Q563" i="1"/>
  <c r="Q567" i="1"/>
  <c r="Q568" i="1"/>
  <c r="Q569" i="1"/>
  <c r="Q580" i="1"/>
  <c r="Q583" i="1"/>
  <c r="Q614" i="1"/>
  <c r="Q626" i="1"/>
  <c r="Q659" i="1"/>
  <c r="Q684" i="1"/>
  <c r="Q686" i="1"/>
  <c r="Q708" i="1"/>
  <c r="Q712" i="1"/>
  <c r="Q723" i="1"/>
  <c r="Q739" i="1"/>
  <c r="Q773" i="1"/>
  <c r="Q775" i="1"/>
  <c r="Q770" i="1" s="1"/>
  <c r="Q862" i="1" s="1"/>
  <c r="Q777" i="1"/>
  <c r="Q790" i="1"/>
  <c r="Q801" i="1"/>
  <c r="Q876" i="1"/>
  <c r="Q877" i="1"/>
  <c r="Q805" i="1"/>
  <c r="Q808" i="1"/>
  <c r="Q812" i="1"/>
  <c r="Q880" i="1" s="1"/>
  <c r="Q814" i="1"/>
  <c r="Q819" i="1"/>
  <c r="Q823" i="1"/>
  <c r="Q826" i="1"/>
  <c r="Q830" i="1"/>
  <c r="Q844" i="1"/>
  <c r="Q846" i="1"/>
  <c r="Q848" i="1"/>
  <c r="Q850" i="1"/>
  <c r="Q852" i="1"/>
  <c r="Q854" i="1"/>
  <c r="Q866" i="1"/>
  <c r="Q889" i="1"/>
  <c r="Q892" i="1"/>
  <c r="Q912" i="1"/>
  <c r="Q910" i="1"/>
  <c r="Q942" i="1" s="1"/>
  <c r="Q965" i="1" s="1"/>
  <c r="Q911" i="1"/>
  <c r="Q913" i="1"/>
  <c r="Q968" i="1" s="1"/>
  <c r="Q970" i="1"/>
  <c r="Q971" i="1"/>
  <c r="Q957" i="1"/>
  <c r="Q931" i="1"/>
  <c r="Q961" i="1"/>
  <c r="Q945" i="1"/>
  <c r="Q947" i="1"/>
  <c r="Q949" i="1"/>
  <c r="Q951" i="1"/>
  <c r="Q990" i="1"/>
  <c r="Q994" i="1"/>
  <c r="Q1016" i="1"/>
  <c r="Q1017" i="1" s="1"/>
  <c r="Q1031" i="1"/>
  <c r="Q1040" i="1"/>
  <c r="Q1044" i="1"/>
  <c r="Q1046" i="1"/>
  <c r="Q1086" i="1"/>
  <c r="Q1065" i="1"/>
  <c r="Q1073" i="1"/>
  <c r="Q1075" i="1"/>
  <c r="Q1103" i="1"/>
  <c r="Q1079" i="1"/>
  <c r="Q1099" i="1"/>
  <c r="Q1101" i="1"/>
  <c r="Q1286" i="1"/>
  <c r="Q1267" i="1"/>
  <c r="Q1278" i="1"/>
  <c r="Q1288" i="1"/>
  <c r="Q1295" i="1"/>
  <c r="Q1304" i="1"/>
  <c r="Q1306" i="1"/>
  <c r="Q1308" i="1"/>
  <c r="Q1381" i="1"/>
  <c r="Q1390" i="1"/>
  <c r="Q1394" i="1"/>
  <c r="Q1472" i="1"/>
  <c r="Q1479" i="1"/>
  <c r="Q1468" i="1"/>
  <c r="Q1470" i="1"/>
  <c r="Q1471" i="1"/>
  <c r="Q1473" i="1"/>
  <c r="Q1474" i="1"/>
  <c r="Q1475" i="1"/>
  <c r="Q1484" i="1"/>
  <c r="Q1483" i="1" s="1"/>
  <c r="Q1486" i="1"/>
  <c r="Q1491" i="1"/>
  <c r="Q1490" i="1" s="1"/>
  <c r="Q1493" i="1"/>
  <c r="Q1539" i="1"/>
  <c r="Q1550" i="1"/>
  <c r="Q1567" i="1"/>
  <c r="Q1584" i="1"/>
  <c r="Q1585" i="1"/>
  <c r="Q1587" i="1"/>
  <c r="Q1590" i="1"/>
  <c r="Q1591" i="1"/>
  <c r="Q1597" i="1"/>
  <c r="Q1614" i="1"/>
  <c r="Q1632" i="1"/>
  <c r="Q1633" i="1"/>
  <c r="Q1634" i="1"/>
  <c r="Q1637" i="1"/>
  <c r="Q1638" i="1"/>
  <c r="Q1649" i="1"/>
  <c r="Q1680" i="1"/>
  <c r="Q1682" i="1"/>
  <c r="Q1683" i="1"/>
  <c r="Q1684" i="1"/>
  <c r="Q1692" i="1"/>
  <c r="Q1710" i="1"/>
  <c r="Q1707" i="1"/>
  <c r="Q1717" i="1"/>
  <c r="Q1718" i="1"/>
  <c r="Q1732" i="1"/>
  <c r="Q1758" i="1"/>
  <c r="Q1760" i="1"/>
  <c r="Q1762" i="1"/>
  <c r="Q1766" i="1"/>
  <c r="Q1786" i="1"/>
  <c r="Q1801" i="1"/>
  <c r="Q1810" i="1"/>
  <c r="Q1828" i="1"/>
  <c r="Q1833" i="1"/>
  <c r="Q1835" i="1"/>
  <c r="Q1837" i="1"/>
  <c r="Q1839" i="1"/>
  <c r="Q1841" i="1"/>
  <c r="Q1844" i="1"/>
  <c r="Q1847" i="1"/>
  <c r="Q1852" i="1"/>
  <c r="Q1854" i="1"/>
  <c r="Q1856" i="1"/>
  <c r="Q1858" i="1"/>
  <c r="Q1860" i="1"/>
  <c r="Q1873" i="1"/>
  <c r="Q1875" i="1"/>
  <c r="Q1877" i="1"/>
  <c r="Q1879" i="1"/>
  <c r="Q1881" i="1"/>
  <c r="Q1883" i="1"/>
  <c r="Q1889" i="1"/>
  <c r="Q1895" i="1"/>
  <c r="Q1897" i="1"/>
  <c r="Q1899" i="1"/>
  <c r="Q1901" i="1"/>
  <c r="Q2027" i="1"/>
  <c r="Q2030" i="1"/>
  <c r="Q2051" i="1"/>
  <c r="Q2053" i="1"/>
  <c r="Q2077" i="1"/>
  <c r="Q2084" i="1"/>
  <c r="Q2092" i="1"/>
  <c r="Q2101" i="1"/>
  <c r="Q2102" i="1"/>
  <c r="Q2106" i="1"/>
  <c r="Q2238" i="1"/>
  <c r="Q2243" i="1"/>
  <c r="Q2245" i="1"/>
  <c r="Q2247" i="1"/>
  <c r="Q2249" i="1"/>
  <c r="Q2251" i="1"/>
  <c r="Q2257" i="1"/>
  <c r="Q2262" i="1"/>
  <c r="Q2264" i="1"/>
  <c r="Q2266" i="1"/>
  <c r="Q2268" i="1"/>
  <c r="Q2270" i="1"/>
  <c r="Q2283" i="1"/>
  <c r="Q2285" i="1"/>
  <c r="Q2287" i="1"/>
  <c r="Q2289" i="1"/>
  <c r="Q2291" i="1"/>
  <c r="Q2293" i="1"/>
  <c r="Q2299" i="1"/>
  <c r="Q2305" i="1"/>
  <c r="Q2307" i="1"/>
  <c r="Q2309" i="1"/>
  <c r="Q2311" i="1"/>
  <c r="Q2318" i="1"/>
  <c r="Q2321" i="1"/>
  <c r="M1743" i="1"/>
  <c r="N1743" i="1"/>
  <c r="O1743" i="1"/>
  <c r="M1744" i="1"/>
  <c r="N1744" i="1"/>
  <c r="M1745" i="1"/>
  <c r="P1748" i="1"/>
  <c r="L1750" i="1"/>
  <c r="P1750" i="1"/>
  <c r="L1752" i="1"/>
  <c r="M12" i="1"/>
  <c r="M1751" i="1" s="1"/>
  <c r="L1756" i="1"/>
  <c r="M1756" i="1"/>
  <c r="N1756" i="1"/>
  <c r="O1756" i="1"/>
  <c r="P1756" i="1"/>
  <c r="L1757" i="1"/>
  <c r="P1757" i="1"/>
  <c r="L1716" i="1"/>
  <c r="O1716" i="1"/>
  <c r="P1716" i="1"/>
  <c r="L1717" i="1"/>
  <c r="M1717" i="1"/>
  <c r="N1717" i="1"/>
  <c r="M1719" i="1"/>
  <c r="N1719" i="1"/>
  <c r="P1722" i="1"/>
  <c r="L1721" i="1"/>
  <c r="N1721" i="1"/>
  <c r="L1732" i="1"/>
  <c r="O1739" i="1"/>
  <c r="N1741" i="1"/>
  <c r="L64" i="1"/>
  <c r="M64" i="1"/>
  <c r="M524" i="1"/>
  <c r="N524" i="1"/>
  <c r="L525" i="1"/>
  <c r="N66" i="1"/>
  <c r="M526" i="1"/>
  <c r="O75" i="1"/>
  <c r="P304" i="1"/>
  <c r="M239" i="1"/>
  <c r="M237" i="1" s="1"/>
  <c r="M236" i="1" s="1"/>
  <c r="O239" i="1"/>
  <c r="L78" i="1"/>
  <c r="M78" i="1"/>
  <c r="N78" i="1"/>
  <c r="O78" i="1"/>
  <c r="P78" i="1"/>
  <c r="M100" i="1"/>
  <c r="O530" i="1"/>
  <c r="P530" i="1"/>
  <c r="L531" i="1"/>
  <c r="M101" i="1"/>
  <c r="O103" i="1"/>
  <c r="L104" i="1"/>
  <c r="P105" i="1"/>
  <c r="M106" i="1"/>
  <c r="M107" i="1"/>
  <c r="P538" i="1"/>
  <c r="N109" i="1"/>
  <c r="P109" i="1"/>
  <c r="L110" i="1"/>
  <c r="P111" i="1"/>
  <c r="L100" i="1"/>
  <c r="L328" i="1" s="1"/>
  <c r="L344" i="1" s="1"/>
  <c r="N100" i="1"/>
  <c r="N328" i="1" s="1"/>
  <c r="M104" i="1"/>
  <c r="P106" i="1"/>
  <c r="N112" i="1"/>
  <c r="L145" i="1"/>
  <c r="M145" i="1"/>
  <c r="N545" i="1"/>
  <c r="N147" i="1"/>
  <c r="L148" i="1"/>
  <c r="P148" i="1"/>
  <c r="L149" i="1"/>
  <c r="N149" i="1"/>
  <c r="O149" i="1"/>
  <c r="M150" i="1"/>
  <c r="P150" i="1"/>
  <c r="O147" i="1"/>
  <c r="L150" i="1"/>
  <c r="O150" i="1"/>
  <c r="L551" i="1"/>
  <c r="M551" i="1"/>
  <c r="P551" i="1"/>
  <c r="N159" i="1"/>
  <c r="L159" i="1"/>
  <c r="M159" i="1"/>
  <c r="O159" i="1"/>
  <c r="P159" i="1"/>
  <c r="P161" i="1"/>
  <c r="L168" i="1"/>
  <c r="L563" i="1" s="1"/>
  <c r="M168" i="1"/>
  <c r="N168" i="1"/>
  <c r="N563" i="1" s="1"/>
  <c r="O168" i="1"/>
  <c r="O563" i="1" s="1"/>
  <c r="P168" i="1"/>
  <c r="M169" i="1"/>
  <c r="N567" i="1"/>
  <c r="O567" i="1"/>
  <c r="P567" i="1"/>
  <c r="N568" i="1"/>
  <c r="P568" i="1"/>
  <c r="L569" i="1"/>
  <c r="O571" i="1"/>
  <c r="P571" i="1"/>
  <c r="L573" i="1"/>
  <c r="M573" i="1"/>
  <c r="N573" i="1"/>
  <c r="P184" i="1"/>
  <c r="M412" i="1"/>
  <c r="L206" i="1"/>
  <c r="M206" i="1"/>
  <c r="N206" i="1"/>
  <c r="P206" i="1"/>
  <c r="L208" i="1"/>
  <c r="P208" i="1"/>
  <c r="N208" i="1"/>
  <c r="N215" i="1"/>
  <c r="P215" i="1"/>
  <c r="L211" i="1"/>
  <c r="O215" i="1"/>
  <c r="L217" i="1"/>
  <c r="M217" i="1"/>
  <c r="N217" i="1"/>
  <c r="O217" i="1"/>
  <c r="P217" i="1"/>
  <c r="M577" i="1"/>
  <c r="O222" i="1"/>
  <c r="O221" i="1" s="1"/>
  <c r="P219" i="1"/>
  <c r="L223" i="1"/>
  <c r="M223" i="1"/>
  <c r="N223" i="1"/>
  <c r="O223" i="1"/>
  <c r="P223" i="1"/>
  <c r="L225" i="1"/>
  <c r="M225" i="1"/>
  <c r="N225" i="1"/>
  <c r="O225" i="1"/>
  <c r="P225" i="1"/>
  <c r="M227" i="1"/>
  <c r="O227" i="1"/>
  <c r="P227" i="1"/>
  <c r="L229" i="1"/>
  <c r="M229" i="1"/>
  <c r="N229" i="1"/>
  <c r="O229" i="1"/>
  <c r="P229" i="1"/>
  <c r="N231" i="1"/>
  <c r="L231" i="1"/>
  <c r="O231" i="1"/>
  <c r="P231" i="1"/>
  <c r="L234" i="1"/>
  <c r="M234" i="1"/>
  <c r="N234" i="1"/>
  <c r="O234" i="1"/>
  <c r="P793" i="1"/>
  <c r="L795" i="1"/>
  <c r="P795" i="1"/>
  <c r="P796" i="1"/>
  <c r="L1044" i="1"/>
  <c r="M1044" i="1"/>
  <c r="O1044" i="1"/>
  <c r="P1044" i="1"/>
  <c r="L1045" i="1"/>
  <c r="M1045" i="1"/>
  <c r="N1045" i="1"/>
  <c r="P908" i="1"/>
  <c r="P940" i="1" s="1"/>
  <c r="P963" i="1" s="1"/>
  <c r="M281" i="1"/>
  <c r="L276" i="1"/>
  <c r="M276" i="1"/>
  <c r="N276" i="1"/>
  <c r="O276" i="1"/>
  <c r="P276" i="1"/>
  <c r="L281" i="1"/>
  <c r="N281" i="1"/>
  <c r="N799" i="1"/>
  <c r="P800" i="1"/>
  <c r="M1046" i="1"/>
  <c r="O1046" i="1"/>
  <c r="P1046" i="1"/>
  <c r="L288" i="1"/>
  <c r="M801" i="1"/>
  <c r="N801" i="1"/>
  <c r="O801" i="1"/>
  <c r="L292" i="1"/>
  <c r="N292" i="1"/>
  <c r="M292" i="1"/>
  <c r="O292" i="1"/>
  <c r="P292" i="1"/>
  <c r="L303" i="1"/>
  <c r="N303" i="1"/>
  <c r="O303" i="1"/>
  <c r="N304" i="1"/>
  <c r="M303" i="1"/>
  <c r="N544" i="1"/>
  <c r="P544" i="1"/>
  <c r="P555" i="1"/>
  <c r="L387" i="1"/>
  <c r="M387" i="1"/>
  <c r="N387" i="1"/>
  <c r="O387" i="1"/>
  <c r="P387" i="1"/>
  <c r="M569" i="1"/>
  <c r="N569" i="1"/>
  <c r="M570" i="1"/>
  <c r="N570" i="1"/>
  <c r="P570" i="1"/>
  <c r="N438" i="1"/>
  <c r="O438" i="1"/>
  <c r="L443" i="1"/>
  <c r="O443" i="1"/>
  <c r="L445" i="1"/>
  <c r="M445" i="1"/>
  <c r="N445" i="1"/>
  <c r="O445" i="1"/>
  <c r="P445" i="1"/>
  <c r="L447" i="1"/>
  <c r="M447" i="1"/>
  <c r="N447" i="1"/>
  <c r="O447" i="1"/>
  <c r="P447" i="1"/>
  <c r="N449" i="1"/>
  <c r="N452" i="1"/>
  <c r="N451" i="1" s="1"/>
  <c r="O449" i="1"/>
  <c r="L453" i="1"/>
  <c r="M453" i="1"/>
  <c r="N453" i="1"/>
  <c r="O453" i="1"/>
  <c r="P453" i="1"/>
  <c r="N455" i="1"/>
  <c r="M455" i="1"/>
  <c r="M457" i="1"/>
  <c r="O457" i="1"/>
  <c r="L457" i="1"/>
  <c r="N457" i="1"/>
  <c r="P457" i="1"/>
  <c r="L459" i="1"/>
  <c r="M459" i="1"/>
  <c r="O459" i="1"/>
  <c r="L461" i="1"/>
  <c r="M461" i="1"/>
  <c r="O461" i="1"/>
  <c r="P461" i="1"/>
  <c r="M511" i="1"/>
  <c r="O511" i="1"/>
  <c r="P511" i="1"/>
  <c r="L506" i="1"/>
  <c r="M506" i="1"/>
  <c r="N506" i="1"/>
  <c r="O506" i="1"/>
  <c r="P506" i="1"/>
  <c r="L511" i="1"/>
  <c r="N511" i="1"/>
  <c r="P523" i="1"/>
  <c r="N531" i="1"/>
  <c r="O544" i="1"/>
  <c r="M583" i="1"/>
  <c r="N583" i="1"/>
  <c r="O583" i="1"/>
  <c r="P583" i="1"/>
  <c r="L583" i="1"/>
  <c r="O599" i="1"/>
  <c r="M591" i="1"/>
  <c r="O594" i="1"/>
  <c r="P612" i="1"/>
  <c r="L605" i="1"/>
  <c r="N608" i="1"/>
  <c r="O608" i="1"/>
  <c r="L614" i="1"/>
  <c r="M631" i="1"/>
  <c r="N631" i="1"/>
  <c r="O641" i="1"/>
  <c r="L658" i="1"/>
  <c r="P651" i="1"/>
  <c r="N699" i="1"/>
  <c r="P699" i="1"/>
  <c r="L700" i="1"/>
  <c r="P671" i="1"/>
  <c r="N676" i="1"/>
  <c r="L680" i="1"/>
  <c r="O700" i="1"/>
  <c r="L684" i="1"/>
  <c r="M684" i="1"/>
  <c r="N684" i="1"/>
  <c r="O684" i="1"/>
  <c r="P684" i="1"/>
  <c r="M702" i="1"/>
  <c r="O704" i="1"/>
  <c r="P705" i="1"/>
  <c r="P710" i="1"/>
  <c r="L712" i="1"/>
  <c r="M712" i="1"/>
  <c r="N712" i="1"/>
  <c r="O712" i="1"/>
  <c r="N715" i="1"/>
  <c r="M715" i="1"/>
  <c r="O715" i="1"/>
  <c r="L723" i="1"/>
  <c r="O723" i="1"/>
  <c r="P723" i="1"/>
  <c r="P732" i="1"/>
  <c r="L739" i="1"/>
  <c r="M739" i="1"/>
  <c r="N739" i="1"/>
  <c r="O739" i="1"/>
  <c r="P739" i="1"/>
  <c r="P817" i="1"/>
  <c r="O773" i="1"/>
  <c r="M773" i="1"/>
  <c r="L775" i="1"/>
  <c r="L770" i="1" s="1"/>
  <c r="O775" i="1"/>
  <c r="O770" i="1" s="1"/>
  <c r="P775" i="1"/>
  <c r="P770" i="1" s="1"/>
  <c r="N775" i="1"/>
  <c r="N770" i="1" s="1"/>
  <c r="L777" i="1"/>
  <c r="M777" i="1"/>
  <c r="O777" i="1"/>
  <c r="P777" i="1"/>
  <c r="N777" i="1"/>
  <c r="N790" i="1"/>
  <c r="N866" i="1" s="1"/>
  <c r="P790" i="1"/>
  <c r="L790" i="1"/>
  <c r="M790" i="1"/>
  <c r="M866" i="1" s="1"/>
  <c r="O790" i="1"/>
  <c r="L793" i="1"/>
  <c r="M793" i="1"/>
  <c r="N793" i="1"/>
  <c r="O793" i="1"/>
  <c r="O794" i="1"/>
  <c r="L796" i="1"/>
  <c r="M796" i="1"/>
  <c r="N796" i="1"/>
  <c r="M798" i="1"/>
  <c r="L803" i="1"/>
  <c r="M803" i="1"/>
  <c r="N803" i="1"/>
  <c r="O803" i="1"/>
  <c r="P803" i="1"/>
  <c r="L805" i="1"/>
  <c r="M805" i="1"/>
  <c r="N805" i="1"/>
  <c r="O805" i="1"/>
  <c r="P805" i="1"/>
  <c r="L808" i="1"/>
  <c r="L810" i="1" s="1"/>
  <c r="M808" i="1"/>
  <c r="N808" i="1"/>
  <c r="N810" i="1" s="1"/>
  <c r="O808" i="1"/>
  <c r="O810" i="1" s="1"/>
  <c r="P808" i="1"/>
  <c r="L812" i="1"/>
  <c r="O812" i="1"/>
  <c r="P812" i="1"/>
  <c r="M812" i="1"/>
  <c r="N812" i="1"/>
  <c r="L814" i="1"/>
  <c r="L881" i="1" s="1"/>
  <c r="M814" i="1"/>
  <c r="M881" i="1" s="1"/>
  <c r="N814" i="1"/>
  <c r="N881" i="1" s="1"/>
  <c r="P814" i="1"/>
  <c r="O814" i="1"/>
  <c r="N817" i="1"/>
  <c r="L819" i="1"/>
  <c r="N819" i="1"/>
  <c r="L830" i="1"/>
  <c r="M830" i="1"/>
  <c r="N830" i="1"/>
  <c r="O830" i="1"/>
  <c r="P830" i="1"/>
  <c r="L832" i="1"/>
  <c r="O832" i="1"/>
  <c r="P832" i="1"/>
  <c r="N844" i="1"/>
  <c r="L844" i="1"/>
  <c r="M844" i="1"/>
  <c r="O844" i="1"/>
  <c r="O846" i="1"/>
  <c r="L846" i="1"/>
  <c r="M878" i="1"/>
  <c r="N846" i="1"/>
  <c r="L848" i="1"/>
  <c r="M848" i="1"/>
  <c r="N848" i="1"/>
  <c r="O848" i="1"/>
  <c r="P848" i="1"/>
  <c r="M850" i="1"/>
  <c r="L850" i="1"/>
  <c r="O850" i="1"/>
  <c r="P850" i="1"/>
  <c r="L852" i="1"/>
  <c r="M852" i="1"/>
  <c r="N852" i="1"/>
  <c r="L854" i="1"/>
  <c r="M854" i="1"/>
  <c r="N854" i="1"/>
  <c r="O854" i="1"/>
  <c r="P854" i="1"/>
  <c r="M860" i="1"/>
  <c r="P860" i="1"/>
  <c r="N889" i="1"/>
  <c r="L891" i="1"/>
  <c r="P889" i="1"/>
  <c r="N891" i="1"/>
  <c r="L892" i="1"/>
  <c r="M892" i="1"/>
  <c r="N892" i="1"/>
  <c r="O892" i="1"/>
  <c r="P892" i="1"/>
  <c r="L960" i="1"/>
  <c r="L912" i="1"/>
  <c r="N912" i="1"/>
  <c r="N967" i="1" s="1"/>
  <c r="P912" i="1"/>
  <c r="L911" i="1"/>
  <c r="L913" i="1"/>
  <c r="M913" i="1"/>
  <c r="N913" i="1"/>
  <c r="O913" i="1"/>
  <c r="P913" i="1"/>
  <c r="P968" i="1" s="1"/>
  <c r="L915" i="1"/>
  <c r="M915" i="1"/>
  <c r="N915" i="1"/>
  <c r="O915" i="1"/>
  <c r="P915" i="1"/>
  <c r="M917" i="1"/>
  <c r="O917" i="1"/>
  <c r="P917" i="1"/>
  <c r="O921" i="1"/>
  <c r="L921" i="1"/>
  <c r="M921" i="1"/>
  <c r="N921" i="1"/>
  <c r="P921" i="1"/>
  <c r="P920" i="1" s="1"/>
  <c r="N927" i="1"/>
  <c r="O927" i="1"/>
  <c r="L956" i="1"/>
  <c r="N957" i="1"/>
  <c r="O957" i="1"/>
  <c r="N931" i="1"/>
  <c r="O931" i="1"/>
  <c r="L931" i="1"/>
  <c r="M931" i="1"/>
  <c r="P931" i="1"/>
  <c r="N960" i="1"/>
  <c r="O960" i="1"/>
  <c r="L937" i="1"/>
  <c r="N937" i="1"/>
  <c r="P937" i="1"/>
  <c r="L945" i="1"/>
  <c r="M945" i="1"/>
  <c r="N945" i="1"/>
  <c r="O945" i="1"/>
  <c r="P945" i="1"/>
  <c r="L947" i="1"/>
  <c r="M947" i="1"/>
  <c r="P947" i="1"/>
  <c r="L949" i="1"/>
  <c r="N949" i="1"/>
  <c r="L951" i="1"/>
  <c r="N951" i="1"/>
  <c r="O951" i="1"/>
  <c r="L971" i="1"/>
  <c r="M951" i="1"/>
  <c r="O971" i="1"/>
  <c r="P951" i="1"/>
  <c r="M957" i="1"/>
  <c r="P957" i="1"/>
  <c r="N961" i="1"/>
  <c r="N971" i="1"/>
  <c r="P971" i="1"/>
  <c r="L977" i="1"/>
  <c r="L1111" i="1"/>
  <c r="O990" i="1"/>
  <c r="P990" i="1"/>
  <c r="M994" i="1"/>
  <c r="M1014" i="1" s="1"/>
  <c r="L1016" i="1"/>
  <c r="L1017" i="1" s="1"/>
  <c r="M1016" i="1"/>
  <c r="M1017" i="1" s="1"/>
  <c r="M1114" i="1" s="1"/>
  <c r="N1016" i="1"/>
  <c r="N1017" i="1" s="1"/>
  <c r="N1114" i="1" s="1"/>
  <c r="O1016" i="1"/>
  <c r="O1017" i="1" s="1"/>
  <c r="O1114" i="1" s="1"/>
  <c r="P1016" i="1"/>
  <c r="P1017" i="1" s="1"/>
  <c r="N1023" i="1"/>
  <c r="P1023" i="1"/>
  <c r="M1026" i="1"/>
  <c r="O1026" i="1"/>
  <c r="P1026" i="1"/>
  <c r="L1028" i="1"/>
  <c r="M1028" i="1"/>
  <c r="N1028" i="1"/>
  <c r="O1028" i="1"/>
  <c r="P1028" i="1"/>
  <c r="L1031" i="1"/>
  <c r="M1031" i="1"/>
  <c r="N1031" i="1"/>
  <c r="O1031" i="1"/>
  <c r="P1031" i="1"/>
  <c r="L1038" i="1"/>
  <c r="M1038" i="1"/>
  <c r="N1038" i="1"/>
  <c r="O1038" i="1"/>
  <c r="P1038" i="1"/>
  <c r="L1040" i="1"/>
  <c r="M1040" i="1"/>
  <c r="N1040" i="1"/>
  <c r="O1040" i="1"/>
  <c r="P1040" i="1"/>
  <c r="N1044" i="1"/>
  <c r="P1045" i="1"/>
  <c r="P1057" i="1"/>
  <c r="O1124" i="1"/>
  <c r="L1060" i="1"/>
  <c r="M1086" i="1"/>
  <c r="P1062" i="1"/>
  <c r="L1112" i="1"/>
  <c r="M1062" i="1"/>
  <c r="M1065" i="1"/>
  <c r="N1065" i="1"/>
  <c r="O1065" i="1"/>
  <c r="O1072" i="1"/>
  <c r="O1098" i="1" s="1"/>
  <c r="O1073" i="1"/>
  <c r="L1073" i="1"/>
  <c r="P1073" i="1"/>
  <c r="O1075" i="1"/>
  <c r="M1075" i="1"/>
  <c r="N1075" i="1"/>
  <c r="O1101" i="1"/>
  <c r="P1075" i="1"/>
  <c r="L1077" i="1"/>
  <c r="M1103" i="1"/>
  <c r="N1077" i="1"/>
  <c r="P1077" i="1"/>
  <c r="L1105" i="1"/>
  <c r="P1079" i="1"/>
  <c r="M1127" i="1"/>
  <c r="P1103" i="1"/>
  <c r="M1112" i="1"/>
  <c r="M1120" i="1"/>
  <c r="P1122" i="1"/>
  <c r="M1125" i="1"/>
  <c r="O1127" i="1"/>
  <c r="P1127" i="1"/>
  <c r="O1268" i="1"/>
  <c r="M1269" i="1"/>
  <c r="L1273" i="1"/>
  <c r="O1274" i="1"/>
  <c r="O1285" i="1"/>
  <c r="M1288" i="1"/>
  <c r="L1303" i="1"/>
  <c r="N1303" i="1"/>
  <c r="N1265" i="1"/>
  <c r="M1267" i="1"/>
  <c r="N1267" i="1"/>
  <c r="O1267" i="1"/>
  <c r="M1268" i="1"/>
  <c r="N1270" i="1"/>
  <c r="M1271" i="1"/>
  <c r="N1271" i="1"/>
  <c r="O1271" i="1"/>
  <c r="P1271" i="1"/>
  <c r="M1272" i="1"/>
  <c r="L1275" i="1"/>
  <c r="N1275" i="1"/>
  <c r="L1277" i="1"/>
  <c r="P1278" i="1"/>
  <c r="O1279" i="1"/>
  <c r="P1280" i="1"/>
  <c r="M1283" i="1"/>
  <c r="N1283" i="1"/>
  <c r="O1284" i="1"/>
  <c r="P1284" i="1"/>
  <c r="L1285" i="1"/>
  <c r="M1285" i="1"/>
  <c r="N1285" i="1"/>
  <c r="P1285" i="1"/>
  <c r="L1286" i="1"/>
  <c r="O1286" i="1"/>
  <c r="O1287" i="1"/>
  <c r="P1288" i="1"/>
  <c r="L1289" i="1"/>
  <c r="M1289" i="1"/>
  <c r="M1291" i="1"/>
  <c r="P1292" i="1"/>
  <c r="L1293" i="1"/>
  <c r="M1293" i="1"/>
  <c r="M1294" i="1"/>
  <c r="O1294" i="1"/>
  <c r="P1294" i="1"/>
  <c r="P1297" i="1"/>
  <c r="L1300" i="1"/>
  <c r="M1300" i="1"/>
  <c r="N1300" i="1"/>
  <c r="N1302" i="1"/>
  <c r="P1302" i="1"/>
  <c r="L1304" i="1"/>
  <c r="M1304" i="1"/>
  <c r="N1304" i="1"/>
  <c r="O1304" i="1"/>
  <c r="N1307" i="1"/>
  <c r="N1308" i="1"/>
  <c r="P1308" i="1"/>
  <c r="O1309" i="1"/>
  <c r="O1311" i="1"/>
  <c r="L1312" i="1"/>
  <c r="O1312" i="1"/>
  <c r="P1312" i="1"/>
  <c r="L1313" i="1"/>
  <c r="M1313" i="1"/>
  <c r="O1313" i="1"/>
  <c r="N1295" i="1"/>
  <c r="L1298" i="1"/>
  <c r="N1298" i="1"/>
  <c r="N1301" i="1"/>
  <c r="M1379" i="1"/>
  <c r="L1384" i="1"/>
  <c r="O1384" i="1"/>
  <c r="M1390" i="1"/>
  <c r="N1376" i="1"/>
  <c r="O1377" i="1"/>
  <c r="O1378" i="1"/>
  <c r="L1380" i="1"/>
  <c r="P1380" i="1"/>
  <c r="P1381" i="1"/>
  <c r="P1382" i="1"/>
  <c r="L1383" i="1"/>
  <c r="N1383" i="1"/>
  <c r="M1386" i="1"/>
  <c r="N1386" i="1"/>
  <c r="N1390" i="1"/>
  <c r="O1390" i="1"/>
  <c r="P1390" i="1"/>
  <c r="M1391" i="1"/>
  <c r="L1392" i="1"/>
  <c r="N1392" i="1"/>
  <c r="L1393" i="1"/>
  <c r="L1396" i="1"/>
  <c r="M1397" i="1"/>
  <c r="N1397" i="1"/>
  <c r="O1397" i="1"/>
  <c r="P1397" i="1"/>
  <c r="P1398" i="1"/>
  <c r="P1475" i="1"/>
  <c r="N1481" i="1"/>
  <c r="M1461" i="1"/>
  <c r="N1461" i="1"/>
  <c r="O1461" i="1"/>
  <c r="N1462" i="1"/>
  <c r="O1465" i="1"/>
  <c r="L1466" i="1"/>
  <c r="P1466" i="1"/>
  <c r="M1467" i="1"/>
  <c r="P1469" i="1"/>
  <c r="M1470" i="1"/>
  <c r="O1470" i="1"/>
  <c r="O1471" i="1"/>
  <c r="N1473" i="1"/>
  <c r="L1474" i="1"/>
  <c r="O1474" i="1"/>
  <c r="M1475" i="1"/>
  <c r="N1475" i="1"/>
  <c r="M1476" i="1"/>
  <c r="N1476" i="1"/>
  <c r="O1476" i="1"/>
  <c r="P1476" i="1"/>
  <c r="P1478" i="1"/>
  <c r="M1479" i="1"/>
  <c r="P1479" i="1"/>
  <c r="N1480" i="1"/>
  <c r="P1480" i="1"/>
  <c r="P1481" i="1"/>
  <c r="L1482" i="1"/>
  <c r="N1463" i="1"/>
  <c r="O1479" i="1"/>
  <c r="L1484" i="1"/>
  <c r="L1483" i="1" s="1"/>
  <c r="M1484" i="1"/>
  <c r="M1483" i="1" s="1"/>
  <c r="N1484" i="1"/>
  <c r="N1483" i="1" s="1"/>
  <c r="O1484" i="1"/>
  <c r="O1483" i="1" s="1"/>
  <c r="P1484" i="1"/>
  <c r="P1483" i="1" s="1"/>
  <c r="L1486" i="1"/>
  <c r="N1486" i="1"/>
  <c r="P1486" i="1"/>
  <c r="L1491" i="1"/>
  <c r="L1490" i="1" s="1"/>
  <c r="M1491" i="1"/>
  <c r="M1490" i="1" s="1"/>
  <c r="N1491" i="1"/>
  <c r="N1490" i="1" s="1"/>
  <c r="O1491" i="1"/>
  <c r="O1490" i="1" s="1"/>
  <c r="L1493" i="1"/>
  <c r="P1493" i="1"/>
  <c r="P1537" i="1"/>
  <c r="L1538" i="1"/>
  <c r="N1539" i="1"/>
  <c r="M1508" i="1"/>
  <c r="N1543" i="1"/>
  <c r="L1535" i="1"/>
  <c r="O1536" i="1"/>
  <c r="O1538" i="1"/>
  <c r="L1540" i="1"/>
  <c r="N1540" i="1"/>
  <c r="O1540" i="1"/>
  <c r="P1540" i="1"/>
  <c r="O1543" i="1"/>
  <c r="M1544" i="1"/>
  <c r="O1544" i="1"/>
  <c r="O1545" i="1"/>
  <c r="P1545" i="1"/>
  <c r="L1550" i="1"/>
  <c r="M1550" i="1"/>
  <c r="O1550" i="1"/>
  <c r="P1550" i="1"/>
  <c r="L1567" i="1"/>
  <c r="M1567" i="1"/>
  <c r="O1567" i="1"/>
  <c r="P1567" i="1"/>
  <c r="M1585" i="1"/>
  <c r="O1585" i="1"/>
  <c r="P1585" i="1"/>
  <c r="O1588" i="1"/>
  <c r="M1589" i="1"/>
  <c r="P1592" i="1"/>
  <c r="L1594" i="1"/>
  <c r="N1594" i="1"/>
  <c r="N1597" i="1"/>
  <c r="L1597" i="1"/>
  <c r="O1597" i="1"/>
  <c r="P1597" i="1"/>
  <c r="L1614" i="1"/>
  <c r="M1614" i="1"/>
  <c r="N1614" i="1"/>
  <c r="O1614" i="1"/>
  <c r="P1631" i="1"/>
  <c r="L1634" i="1"/>
  <c r="M1634" i="1"/>
  <c r="L1635" i="1"/>
  <c r="N1635" i="1"/>
  <c r="P1635" i="1"/>
  <c r="O1636" i="1"/>
  <c r="M1637" i="1"/>
  <c r="O1637" i="1"/>
  <c r="P1637" i="1"/>
  <c r="O1638" i="1"/>
  <c r="N1682" i="1"/>
  <c r="M1649" i="1"/>
  <c r="N1649" i="1"/>
  <c r="O1649" i="1"/>
  <c r="P1649" i="1"/>
  <c r="L1687" i="1"/>
  <c r="L1679" i="1"/>
  <c r="N1679" i="1"/>
  <c r="L1680" i="1"/>
  <c r="O1680" i="1"/>
  <c r="P1680" i="1"/>
  <c r="M1681" i="1"/>
  <c r="L1683" i="1"/>
  <c r="M1683" i="1"/>
  <c r="N1683" i="1"/>
  <c r="O1683" i="1"/>
  <c r="P1683" i="1"/>
  <c r="O1684" i="1"/>
  <c r="L1685" i="1"/>
  <c r="P1685" i="1"/>
  <c r="M1687" i="1"/>
  <c r="M1710" i="1"/>
  <c r="O1710" i="1"/>
  <c r="L1702" i="1"/>
  <c r="N1707" i="1"/>
  <c r="L1712" i="1"/>
  <c r="M1712" i="1"/>
  <c r="N1712" i="1"/>
  <c r="O1712" i="1"/>
  <c r="P1712" i="1"/>
  <c r="L1715" i="1"/>
  <c r="M1715" i="1"/>
  <c r="N1715" i="1"/>
  <c r="O1715" i="1"/>
  <c r="P1715" i="1"/>
  <c r="M1716" i="1"/>
  <c r="N1716" i="1"/>
  <c r="O1717" i="1"/>
  <c r="P1717" i="1"/>
  <c r="L1718" i="1"/>
  <c r="M1718" i="1"/>
  <c r="N1718" i="1"/>
  <c r="O1718" i="1"/>
  <c r="P1718" i="1"/>
  <c r="L1719" i="1"/>
  <c r="O1719" i="1"/>
  <c r="P1719" i="1"/>
  <c r="M1721" i="1"/>
  <c r="O1721" i="1"/>
  <c r="L1722" i="1"/>
  <c r="M1722" i="1"/>
  <c r="N1722" i="1"/>
  <c r="O1722" i="1"/>
  <c r="M1732" i="1"/>
  <c r="N1732" i="1"/>
  <c r="O1732" i="1"/>
  <c r="P1732" i="1"/>
  <c r="L1733" i="1"/>
  <c r="M1733" i="1"/>
  <c r="N1733" i="1"/>
  <c r="O1733" i="1"/>
  <c r="P1733" i="1"/>
  <c r="L1734" i="1"/>
  <c r="M1734" i="1"/>
  <c r="N1734" i="1"/>
  <c r="O1734" i="1"/>
  <c r="P1734" i="1"/>
  <c r="L1739" i="1"/>
  <c r="M1739" i="1"/>
  <c r="N1739" i="1"/>
  <c r="P1739" i="1"/>
  <c r="L1741" i="1"/>
  <c r="M1741" i="1"/>
  <c r="O1741" i="1"/>
  <c r="P1741" i="1"/>
  <c r="L1743" i="1"/>
  <c r="P1743" i="1"/>
  <c r="L1744" i="1"/>
  <c r="O1744" i="1"/>
  <c r="P1744" i="1"/>
  <c r="L1745" i="1"/>
  <c r="N1745" i="1"/>
  <c r="O1745" i="1"/>
  <c r="P1745" i="1"/>
  <c r="L1746" i="1"/>
  <c r="M1746" i="1"/>
  <c r="N1746" i="1"/>
  <c r="O1746" i="1"/>
  <c r="P1746" i="1"/>
  <c r="L1748" i="1"/>
  <c r="M1748" i="1"/>
  <c r="N1748" i="1"/>
  <c r="O1748" i="1"/>
  <c r="L1749" i="1"/>
  <c r="M1749" i="1"/>
  <c r="N1749" i="1"/>
  <c r="O1749" i="1"/>
  <c r="P1749" i="1"/>
  <c r="M1750" i="1"/>
  <c r="N1750" i="1"/>
  <c r="O1750" i="1"/>
  <c r="N1752" i="1"/>
  <c r="O1752" i="1"/>
  <c r="P1752" i="1"/>
  <c r="L1753" i="1"/>
  <c r="M1753" i="1"/>
  <c r="N1753" i="1"/>
  <c r="O1753" i="1"/>
  <c r="P1753" i="1"/>
  <c r="L1754" i="1"/>
  <c r="M1754" i="1"/>
  <c r="N1754" i="1"/>
  <c r="O1754" i="1"/>
  <c r="P1754" i="1"/>
  <c r="L1755" i="1"/>
  <c r="M1755" i="1"/>
  <c r="N1755" i="1"/>
  <c r="O1755" i="1"/>
  <c r="P1755" i="1"/>
  <c r="M1757" i="1"/>
  <c r="N1757" i="1"/>
  <c r="O1757" i="1"/>
  <c r="L1758" i="1"/>
  <c r="M1758" i="1"/>
  <c r="N1758" i="1"/>
  <c r="O1758" i="1"/>
  <c r="P1758" i="1"/>
  <c r="L1760" i="1"/>
  <c r="M1760" i="1"/>
  <c r="N1760" i="1"/>
  <c r="O1760" i="1"/>
  <c r="P1760" i="1"/>
  <c r="L1762" i="1"/>
  <c r="N1762" i="1"/>
  <c r="P1762" i="1"/>
  <c r="P1766" i="1"/>
  <c r="P1770" i="1"/>
  <c r="M1801" i="1"/>
  <c r="P1801" i="1"/>
  <c r="L1801" i="1"/>
  <c r="N1801" i="1"/>
  <c r="O1801" i="1"/>
  <c r="L1810" i="1"/>
  <c r="M1810" i="1"/>
  <c r="O1810" i="1"/>
  <c r="P1810" i="1"/>
  <c r="N1810" i="1"/>
  <c r="L1828" i="1"/>
  <c r="M1828" i="1"/>
  <c r="N1828" i="1"/>
  <c r="O1828" i="1"/>
  <c r="P1828" i="1"/>
  <c r="L1830" i="1"/>
  <c r="L1833" i="1"/>
  <c r="M1833" i="1"/>
  <c r="N1833" i="1"/>
  <c r="O1833" i="1"/>
  <c r="P1833" i="1"/>
  <c r="L1835" i="1"/>
  <c r="M1835" i="1"/>
  <c r="N1835" i="1"/>
  <c r="O1835" i="1"/>
  <c r="P1835" i="1"/>
  <c r="L1837" i="1"/>
  <c r="M1837" i="1"/>
  <c r="N1837" i="1"/>
  <c r="O1837" i="1"/>
  <c r="P1837" i="1"/>
  <c r="L1839" i="1"/>
  <c r="M1839" i="1"/>
  <c r="N1839" i="1"/>
  <c r="O1839" i="1"/>
  <c r="P1839" i="1"/>
  <c r="L1841" i="1"/>
  <c r="M1841" i="1"/>
  <c r="N1841" i="1"/>
  <c r="O1841" i="1"/>
  <c r="P1841" i="1"/>
  <c r="L1847" i="1"/>
  <c r="M1847" i="1"/>
  <c r="N1847" i="1"/>
  <c r="O1847" i="1"/>
  <c r="P1847" i="1"/>
  <c r="P1849" i="1"/>
  <c r="L1852" i="1"/>
  <c r="M1852" i="1"/>
  <c r="N1852" i="1"/>
  <c r="O1852" i="1"/>
  <c r="P1852" i="1"/>
  <c r="L1854" i="1"/>
  <c r="M1854" i="1"/>
  <c r="N1854" i="1"/>
  <c r="O1854" i="1"/>
  <c r="P1854" i="1"/>
  <c r="L1856" i="1"/>
  <c r="M1856" i="1"/>
  <c r="N1856" i="1"/>
  <c r="O1856" i="1"/>
  <c r="P1856" i="1"/>
  <c r="L1858" i="1"/>
  <c r="M1858" i="1"/>
  <c r="N1858" i="1"/>
  <c r="O1858" i="1"/>
  <c r="P1858" i="1"/>
  <c r="L1860" i="1"/>
  <c r="M1860" i="1"/>
  <c r="N1860" i="1"/>
  <c r="O1860" i="1"/>
  <c r="P1860" i="1"/>
  <c r="M1863" i="1"/>
  <c r="N1863" i="1"/>
  <c r="M1866" i="1"/>
  <c r="O1869" i="1"/>
  <c r="P1869" i="1"/>
  <c r="L1873" i="1"/>
  <c r="M1873" i="1"/>
  <c r="N1873" i="1"/>
  <c r="O1873" i="1"/>
  <c r="P1873" i="1"/>
  <c r="L1875" i="1"/>
  <c r="M1875" i="1"/>
  <c r="N1875" i="1"/>
  <c r="O1875" i="1"/>
  <c r="P1875" i="1"/>
  <c r="L1877" i="1"/>
  <c r="M1877" i="1"/>
  <c r="N1877" i="1"/>
  <c r="O1877" i="1"/>
  <c r="P1877" i="1"/>
  <c r="L1879" i="1"/>
  <c r="M1879" i="1"/>
  <c r="N1879" i="1"/>
  <c r="O1879" i="1"/>
  <c r="P1879" i="1"/>
  <c r="L1881" i="1"/>
  <c r="M1881" i="1"/>
  <c r="N1881" i="1"/>
  <c r="O1881" i="1"/>
  <c r="P1881" i="1"/>
  <c r="L1883" i="1"/>
  <c r="M1883" i="1"/>
  <c r="N1883" i="1"/>
  <c r="O1883" i="1"/>
  <c r="P1883" i="1"/>
  <c r="M1886" i="1"/>
  <c r="L1889" i="1"/>
  <c r="M1889" i="1"/>
  <c r="N1889" i="1"/>
  <c r="O1889" i="1"/>
  <c r="P1889" i="1"/>
  <c r="P1891" i="1"/>
  <c r="L1895" i="1"/>
  <c r="M1895" i="1"/>
  <c r="N1895" i="1"/>
  <c r="O1895" i="1"/>
  <c r="P1895" i="1"/>
  <c r="L1897" i="1"/>
  <c r="M1897" i="1"/>
  <c r="N1897" i="1"/>
  <c r="O1897" i="1"/>
  <c r="P1897" i="1"/>
  <c r="L1899" i="1"/>
  <c r="M1899" i="1"/>
  <c r="N1899" i="1"/>
  <c r="O1899" i="1"/>
  <c r="P1899" i="1"/>
  <c r="L1901" i="1"/>
  <c r="M1901" i="1"/>
  <c r="N1901" i="1"/>
  <c r="O1901" i="1"/>
  <c r="P1901" i="1"/>
  <c r="L2027" i="1"/>
  <c r="M2027" i="1"/>
  <c r="N2027" i="1"/>
  <c r="O2027" i="1"/>
  <c r="P2027" i="1"/>
  <c r="L2030" i="1"/>
  <c r="M2030" i="1"/>
  <c r="N2030" i="1"/>
  <c r="O2030" i="1"/>
  <c r="P2030" i="1"/>
  <c r="L2051" i="1"/>
  <c r="M2051" i="1"/>
  <c r="N2051" i="1"/>
  <c r="O2051" i="1"/>
  <c r="P2051" i="1"/>
  <c r="L2092" i="1"/>
  <c r="M2092" i="1"/>
  <c r="N2092" i="1"/>
  <c r="O2092" i="1"/>
  <c r="P2092" i="1"/>
  <c r="L2101" i="1"/>
  <c r="M2101" i="1"/>
  <c r="N2101" i="1"/>
  <c r="O2101" i="1"/>
  <c r="P2101" i="1"/>
  <c r="O2102" i="1"/>
  <c r="N2102" i="1"/>
  <c r="L2238" i="1"/>
  <c r="M2238" i="1"/>
  <c r="N2238" i="1"/>
  <c r="O2238" i="1"/>
  <c r="P2238" i="1"/>
  <c r="L2240" i="1"/>
  <c r="M2240" i="1"/>
  <c r="N2240" i="1"/>
  <c r="O2240" i="1"/>
  <c r="L2243" i="1"/>
  <c r="M2243" i="1"/>
  <c r="N2243" i="1"/>
  <c r="O2243" i="1"/>
  <c r="P2243" i="1"/>
  <c r="L2245" i="1"/>
  <c r="M2245" i="1"/>
  <c r="N2245" i="1"/>
  <c r="O2245" i="1"/>
  <c r="P2245" i="1"/>
  <c r="L2247" i="1"/>
  <c r="M2247" i="1"/>
  <c r="N2247" i="1"/>
  <c r="O2247" i="1"/>
  <c r="P2247" i="1"/>
  <c r="L2249" i="1"/>
  <c r="M2249" i="1"/>
  <c r="N2249" i="1"/>
  <c r="O2249" i="1"/>
  <c r="P2249" i="1"/>
  <c r="L2251" i="1"/>
  <c r="M2251" i="1"/>
  <c r="N2251" i="1"/>
  <c r="O2251" i="1"/>
  <c r="P2251" i="1"/>
  <c r="L2257" i="1"/>
  <c r="M2257" i="1"/>
  <c r="N2257" i="1"/>
  <c r="O2257" i="1"/>
  <c r="P2257" i="1"/>
  <c r="L2259" i="1"/>
  <c r="N2262" i="1"/>
  <c r="L2262" i="1"/>
  <c r="M2262" i="1"/>
  <c r="O2262" i="1"/>
  <c r="P2262" i="1"/>
  <c r="L2264" i="1"/>
  <c r="M2264" i="1"/>
  <c r="N2264" i="1"/>
  <c r="O2264" i="1"/>
  <c r="P2264" i="1"/>
  <c r="P2266" i="1"/>
  <c r="L2266" i="1"/>
  <c r="M2266" i="1"/>
  <c r="N2266" i="1"/>
  <c r="O2266" i="1"/>
  <c r="L2268" i="1"/>
  <c r="M2268" i="1"/>
  <c r="N2268" i="1"/>
  <c r="O2268" i="1"/>
  <c r="P2268" i="1"/>
  <c r="L2270" i="1"/>
  <c r="M2270" i="1"/>
  <c r="N2270" i="1"/>
  <c r="O2270" i="1"/>
  <c r="P2270" i="1"/>
  <c r="M2273" i="1"/>
  <c r="L2283" i="1"/>
  <c r="M2283" i="1"/>
  <c r="N2283" i="1"/>
  <c r="O2283" i="1"/>
  <c r="P2283" i="1"/>
  <c r="L2285" i="1"/>
  <c r="M2285" i="1"/>
  <c r="N2285" i="1"/>
  <c r="O2285" i="1"/>
  <c r="P2285" i="1"/>
  <c r="L2287" i="1"/>
  <c r="M2287" i="1"/>
  <c r="N2287" i="1"/>
  <c r="O2287" i="1"/>
  <c r="P2287" i="1"/>
  <c r="L2289" i="1"/>
  <c r="M2289" i="1"/>
  <c r="N2289" i="1"/>
  <c r="O2289" i="1"/>
  <c r="P2289" i="1"/>
  <c r="L2291" i="1"/>
  <c r="M2291" i="1"/>
  <c r="N2291" i="1"/>
  <c r="O2291" i="1"/>
  <c r="P2291" i="1"/>
  <c r="L2293" i="1"/>
  <c r="M2293" i="1"/>
  <c r="N2293" i="1"/>
  <c r="O2293" i="1"/>
  <c r="P2293" i="1"/>
  <c r="P2296" i="1"/>
  <c r="L2299" i="1"/>
  <c r="M2299" i="1"/>
  <c r="N2299" i="1"/>
  <c r="O2299" i="1"/>
  <c r="P2299" i="1"/>
  <c r="L2305" i="1"/>
  <c r="M2305" i="1"/>
  <c r="N2305" i="1"/>
  <c r="O2305" i="1"/>
  <c r="P2305" i="1"/>
  <c r="L2307" i="1"/>
  <c r="M2307" i="1"/>
  <c r="N2307" i="1"/>
  <c r="O2307" i="1"/>
  <c r="P2307" i="1"/>
  <c r="L2309" i="1"/>
  <c r="M2309" i="1"/>
  <c r="N2309" i="1"/>
  <c r="O2309" i="1"/>
  <c r="P2309" i="1"/>
  <c r="L2311" i="1"/>
  <c r="M2311" i="1"/>
  <c r="N2311" i="1"/>
  <c r="O2311" i="1"/>
  <c r="P2311" i="1"/>
  <c r="L2318" i="1"/>
  <c r="M2318" i="1"/>
  <c r="N2318" i="1"/>
  <c r="O2318" i="1"/>
  <c r="P2318" i="1"/>
  <c r="L2321" i="1"/>
  <c r="M2321" i="1"/>
  <c r="N2321" i="1"/>
  <c r="O2321" i="1"/>
  <c r="P2321" i="1"/>
  <c r="O47" i="1"/>
  <c r="N363" i="1" l="1"/>
  <c r="N504" i="1" s="1"/>
  <c r="N510" i="1" s="1"/>
  <c r="M769" i="1"/>
  <c r="M861" i="1" s="1"/>
  <c r="N361" i="1"/>
  <c r="N428" i="1" s="1"/>
  <c r="L797" i="1"/>
  <c r="L280" i="1"/>
  <c r="N114" i="1"/>
  <c r="Q114" i="1"/>
  <c r="F902" i="1"/>
  <c r="F899" i="1"/>
  <c r="M2061" i="1"/>
  <c r="I104" i="1"/>
  <c r="G109" i="1"/>
  <c r="N2235" i="1"/>
  <c r="L1633" i="1"/>
  <c r="G100" i="1"/>
  <c r="I109" i="1"/>
  <c r="Q987" i="1"/>
  <c r="Q986" i="1" s="1"/>
  <c r="H100" i="1"/>
  <c r="P2276" i="1"/>
  <c r="L2235" i="1"/>
  <c r="G104" i="1"/>
  <c r="I100" i="1"/>
  <c r="G105" i="1"/>
  <c r="H109" i="1"/>
  <c r="Q587" i="1"/>
  <c r="Q586" i="1" s="1"/>
  <c r="H105" i="1"/>
  <c r="I105" i="1"/>
  <c r="G110" i="1"/>
  <c r="P1678" i="1"/>
  <c r="I99" i="1"/>
  <c r="Q977" i="1"/>
  <c r="Q1052" i="1"/>
  <c r="Q1049" i="1" s="1"/>
  <c r="Q1050" i="1" s="1"/>
  <c r="Q598" i="1"/>
  <c r="G101" i="1"/>
  <c r="I110" i="1"/>
  <c r="P2273" i="1"/>
  <c r="H103" i="1"/>
  <c r="H101" i="1"/>
  <c r="Q1866" i="1"/>
  <c r="Q700" i="1"/>
  <c r="I101" i="1"/>
  <c r="Q281" i="1"/>
  <c r="Q907" i="1"/>
  <c r="Q939" i="1" s="1"/>
  <c r="Q962" i="1" s="1"/>
  <c r="Q940" i="1"/>
  <c r="Q963" i="1" s="1"/>
  <c r="H99" i="1"/>
  <c r="H113" i="1"/>
  <c r="G102" i="1"/>
  <c r="H102" i="1"/>
  <c r="Q1038" i="1"/>
  <c r="Q1037" i="1" s="1"/>
  <c r="Q1122" i="1"/>
  <c r="H104" i="1"/>
  <c r="N2094" i="1"/>
  <c r="H107" i="1"/>
  <c r="N2296" i="1"/>
  <c r="O2273" i="1"/>
  <c r="Q1466" i="1"/>
  <c r="Q339" i="1"/>
  <c r="Q355" i="1" s="1"/>
  <c r="I106" i="1"/>
  <c r="Q1028" i="1"/>
  <c r="Q1133" i="1"/>
  <c r="L2102" i="1"/>
  <c r="G108" i="1"/>
  <c r="L2315" i="1"/>
  <c r="G99" i="1"/>
  <c r="L1291" i="1"/>
  <c r="O1281" i="1"/>
  <c r="Q1476" i="1"/>
  <c r="Q1460" i="1"/>
  <c r="Q1289" i="1"/>
  <c r="M1770" i="1"/>
  <c r="O1685" i="1"/>
  <c r="L1681" i="1"/>
  <c r="L1637" i="1"/>
  <c r="M1088" i="1"/>
  <c r="Q1886" i="1"/>
  <c r="Q1310" i="1"/>
  <c r="Q1266" i="1"/>
  <c r="Q1300" i="1"/>
  <c r="Q196" i="1"/>
  <c r="Q193" i="1" s="1"/>
  <c r="Q551" i="1"/>
  <c r="P1461" i="1"/>
  <c r="L1388" i="1"/>
  <c r="L1322" i="1"/>
  <c r="O1290" i="1"/>
  <c r="N900" i="1"/>
  <c r="L536" i="1"/>
  <c r="Q937" i="1"/>
  <c r="Q860" i="1"/>
  <c r="N1466" i="1"/>
  <c r="N1290" i="1"/>
  <c r="N1276" i="1"/>
  <c r="L1288" i="1"/>
  <c r="N1033" i="1"/>
  <c r="N1034" i="1" s="1"/>
  <c r="M605" i="1"/>
  <c r="P367" i="1"/>
  <c r="M184" i="1"/>
  <c r="Q1384" i="1"/>
  <c r="Q1287" i="1"/>
  <c r="Q900" i="1"/>
  <c r="L1815" i="1"/>
  <c r="L1632" i="1"/>
  <c r="M1471" i="1"/>
  <c r="O1387" i="1"/>
  <c r="P1377" i="1"/>
  <c r="O1322" i="1"/>
  <c r="L1295" i="1"/>
  <c r="M1290" i="1"/>
  <c r="M1152" i="1"/>
  <c r="O1265" i="1"/>
  <c r="L1075" i="1"/>
  <c r="N1127" i="1"/>
  <c r="L717" i="1"/>
  <c r="L714" i="1" s="1"/>
  <c r="M676" i="1"/>
  <c r="L909" i="1"/>
  <c r="L941" i="1" s="1"/>
  <c r="L964" i="1" s="1"/>
  <c r="O219" i="1"/>
  <c r="Q1849" i="1"/>
  <c r="Q1843" i="1" s="1"/>
  <c r="Q1541" i="1"/>
  <c r="Q1464" i="1"/>
  <c r="Q1383" i="1"/>
  <c r="Q960" i="1"/>
  <c r="Q705" i="1"/>
  <c r="Q442" i="1"/>
  <c r="Q441" i="1" s="1"/>
  <c r="Q440" i="1" s="1"/>
  <c r="Q183" i="1"/>
  <c r="M1702" i="1"/>
  <c r="M1636" i="1"/>
  <c r="P1535" i="1"/>
  <c r="M1307" i="1"/>
  <c r="M708" i="1"/>
  <c r="P601" i="1"/>
  <c r="L530" i="1"/>
  <c r="Q2240" i="1"/>
  <c r="Q1180" i="1"/>
  <c r="Q959" i="1"/>
  <c r="Q676" i="1"/>
  <c r="Q662" i="1" s="1"/>
  <c r="Q579" i="1"/>
  <c r="Q443" i="1"/>
  <c r="Q184" i="1"/>
  <c r="P2102" i="1"/>
  <c r="M1793" i="1"/>
  <c r="P1465" i="1"/>
  <c r="N1377" i="1"/>
  <c r="O1308" i="1"/>
  <c r="P1275" i="1"/>
  <c r="N1266" i="1"/>
  <c r="P676" i="1"/>
  <c r="P662" i="1" s="1"/>
  <c r="O613" i="1"/>
  <c r="L599" i="1"/>
  <c r="O526" i="1"/>
  <c r="M579" i="1"/>
  <c r="O305" i="1"/>
  <c r="P334" i="1"/>
  <c r="P350" i="1" s="1"/>
  <c r="Q1811" i="1"/>
  <c r="Q1540" i="1"/>
  <c r="Q1534" i="1"/>
  <c r="Q1382" i="1"/>
  <c r="Q1285" i="1"/>
  <c r="Q636" i="1"/>
  <c r="M1830" i="1"/>
  <c r="P1786" i="1"/>
  <c r="P1688" i="1"/>
  <c r="L1636" i="1"/>
  <c r="L1589" i="1"/>
  <c r="N1382" i="1"/>
  <c r="O1327" i="1"/>
  <c r="P1112" i="1"/>
  <c r="N1052" i="1"/>
  <c r="N1049" i="1" s="1"/>
  <c r="N1050" i="1" s="1"/>
  <c r="M571" i="1"/>
  <c r="Q1635" i="1"/>
  <c r="Q1305" i="1"/>
  <c r="Q1284" i="1"/>
  <c r="Q1157" i="1"/>
  <c r="L1863" i="1"/>
  <c r="N1396" i="1"/>
  <c r="P1298" i="1"/>
  <c r="N1289" i="1"/>
  <c r="P1270" i="1"/>
  <c r="P1291" i="1"/>
  <c r="O1112" i="1"/>
  <c r="L522" i="1"/>
  <c r="Q1679" i="1"/>
  <c r="Q1586" i="1"/>
  <c r="Q1283" i="1"/>
  <c r="Q992" i="1"/>
  <c r="Q993" i="1" s="1"/>
  <c r="Q956" i="1"/>
  <c r="Q608" i="1"/>
  <c r="O1679" i="1"/>
  <c r="M1474" i="1"/>
  <c r="L1381" i="1"/>
  <c r="M1308" i="1"/>
  <c r="O1298" i="1"/>
  <c r="N104" i="1"/>
  <c r="Q631" i="1"/>
  <c r="Q624" i="1" s="1"/>
  <c r="Q271" i="1"/>
  <c r="Q260" i="1" s="1"/>
  <c r="M1465" i="1"/>
  <c r="O1037" i="1"/>
  <c r="O877" i="1"/>
  <c r="L730" i="1"/>
  <c r="Q2273" i="1"/>
  <c r="Q1379" i="1"/>
  <c r="Q1303" i="1"/>
  <c r="Q1279" i="1"/>
  <c r="Q531" i="1"/>
  <c r="M1588" i="1"/>
  <c r="O1534" i="1"/>
  <c r="N1391" i="1"/>
  <c r="M1072" i="1"/>
  <c r="M1098" i="1" s="1"/>
  <c r="M1093" i="1" s="1"/>
  <c r="O968" i="1"/>
  <c r="O500" i="1"/>
  <c r="N572" i="1"/>
  <c r="O109" i="1"/>
  <c r="L70" i="1"/>
  <c r="Q1702" i="1"/>
  <c r="Q1489" i="1"/>
  <c r="Q1280" i="1"/>
  <c r="Q1203" i="1"/>
  <c r="Q571" i="1"/>
  <c r="M1552" i="1"/>
  <c r="P1464" i="1"/>
  <c r="N1425" i="1"/>
  <c r="L1386" i="1"/>
  <c r="O1293" i="1"/>
  <c r="P1274" i="1"/>
  <c r="L366" i="1"/>
  <c r="L373" i="1" s="1"/>
  <c r="Q1537" i="1"/>
  <c r="Q921" i="1"/>
  <c r="Q920" i="1" s="1"/>
  <c r="N1544" i="1"/>
  <c r="N1474" i="1"/>
  <c r="M1376" i="1"/>
  <c r="N1312" i="1"/>
  <c r="O1120" i="1"/>
  <c r="P1111" i="1"/>
  <c r="L866" i="1"/>
  <c r="N860" i="1"/>
  <c r="M730" i="1"/>
  <c r="L695" i="1"/>
  <c r="P703" i="1"/>
  <c r="L641" i="1"/>
  <c r="M500" i="1"/>
  <c r="O525" i="1"/>
  <c r="Q2301" i="1"/>
  <c r="Q1803" i="1"/>
  <c r="Q1398" i="1"/>
  <c r="Q1377" i="1"/>
  <c r="Q1301" i="1"/>
  <c r="Q298" i="1"/>
  <c r="Q302" i="1" s="1"/>
  <c r="Q231" i="1"/>
  <c r="Q518" i="1"/>
  <c r="Q108" i="1"/>
  <c r="Q336" i="1" s="1"/>
  <c r="P1707" i="1"/>
  <c r="M1539" i="1"/>
  <c r="L1534" i="1"/>
  <c r="N1498" i="1"/>
  <c r="N1479" i="1"/>
  <c r="L1460" i="1"/>
  <c r="M1381" i="1"/>
  <c r="N1288" i="1"/>
  <c r="O866" i="1"/>
  <c r="O703" i="1"/>
  <c r="P288" i="1"/>
  <c r="Q2094" i="1"/>
  <c r="Q1770" i="1"/>
  <c r="Q803" i="1"/>
  <c r="Q187" i="1"/>
  <c r="Q186" i="1" s="1"/>
  <c r="M1592" i="1"/>
  <c r="P959" i="1"/>
  <c r="N598" i="1"/>
  <c r="Q1322" i="1"/>
  <c r="Q401" i="1"/>
  <c r="Q169" i="1"/>
  <c r="Q104" i="1"/>
  <c r="Q74" i="1"/>
  <c r="O1811" i="1"/>
  <c r="N1634" i="1"/>
  <c r="L1498" i="1"/>
  <c r="M1464" i="1"/>
  <c r="P1311" i="1"/>
  <c r="O1283" i="1"/>
  <c r="L1274" i="1"/>
  <c r="N968" i="1"/>
  <c r="O8" i="1"/>
  <c r="O1747" i="1" s="1"/>
  <c r="Q1396" i="1"/>
  <c r="Q1299" i="1"/>
  <c r="Q1293" i="1"/>
  <c r="Q974" i="1"/>
  <c r="Q917" i="1"/>
  <c r="Q661" i="1"/>
  <c r="Q294" i="1"/>
  <c r="M1766" i="1"/>
  <c r="L1587" i="1"/>
  <c r="L1469" i="1"/>
  <c r="M1385" i="1"/>
  <c r="N1297" i="1"/>
  <c r="L1279" i="1"/>
  <c r="N1122" i="1"/>
  <c r="L889" i="1"/>
  <c r="N876" i="1"/>
  <c r="P66" i="1"/>
  <c r="Q1467" i="1"/>
  <c r="Q1395" i="1"/>
  <c r="Q1380" i="1"/>
  <c r="Q464" i="1"/>
  <c r="Q102" i="1"/>
  <c r="P2077" i="1"/>
  <c r="L1766" i="1"/>
  <c r="M1752" i="1"/>
  <c r="P1638" i="1"/>
  <c r="M1599" i="1"/>
  <c r="O1591" i="1"/>
  <c r="P1586" i="1"/>
  <c r="P1394" i="1"/>
  <c r="L1385" i="1"/>
  <c r="N1311" i="1"/>
  <c r="M1302" i="1"/>
  <c r="O1093" i="1"/>
  <c r="M704" i="1"/>
  <c r="L215" i="1"/>
  <c r="Q591" i="1"/>
  <c r="Q292" i="1"/>
  <c r="Q101" i="1"/>
  <c r="Q329" i="1" s="1"/>
  <c r="Q345" i="1" s="1"/>
  <c r="Q70" i="1"/>
  <c r="M2053" i="1"/>
  <c r="P1682" i="1"/>
  <c r="O1586" i="1"/>
  <c r="M1538" i="1"/>
  <c r="O1473" i="1"/>
  <c r="O1468" i="1"/>
  <c r="M1380" i="1"/>
  <c r="L1302" i="1"/>
  <c r="N1292" i="1"/>
  <c r="N1287" i="1"/>
  <c r="N1280" i="1"/>
  <c r="P877" i="1"/>
  <c r="L876" i="1"/>
  <c r="O288" i="1"/>
  <c r="P554" i="1"/>
  <c r="Q1606" i="1"/>
  <c r="Q1588" i="1"/>
  <c r="Q1482" i="1"/>
  <c r="Q1307" i="1"/>
  <c r="L1869" i="1"/>
  <c r="N1844" i="1"/>
  <c r="N1843" i="1" s="1"/>
  <c r="P1686" i="1"/>
  <c r="O1508" i="1"/>
  <c r="L1503" i="1"/>
  <c r="L1497" i="1" s="1"/>
  <c r="L1297" i="1"/>
  <c r="O1278" i="1"/>
  <c r="L1269" i="1"/>
  <c r="N1124" i="1"/>
  <c r="O911" i="1"/>
  <c r="O880" i="1"/>
  <c r="O554" i="1"/>
  <c r="O148" i="1"/>
  <c r="Q2296" i="1"/>
  <c r="Q2295" i="1" s="1"/>
  <c r="Q1863" i="1"/>
  <c r="Q1552" i="1"/>
  <c r="Q1481" i="1"/>
  <c r="Q1393" i="1"/>
  <c r="Q1378" i="1"/>
  <c r="Q1272" i="1"/>
  <c r="Q943" i="1"/>
  <c r="Q966" i="1" s="1"/>
  <c r="Q288" i="1"/>
  <c r="Q576" i="1"/>
  <c r="P2084" i="1"/>
  <c r="P2053" i="1"/>
  <c r="O2024" i="1"/>
  <c r="M1844" i="1"/>
  <c r="P1825" i="1"/>
  <c r="P1824" i="1" s="1"/>
  <c r="L1678" i="1"/>
  <c r="M1591" i="1"/>
  <c r="P1542" i="1"/>
  <c r="M1496" i="1"/>
  <c r="M1478" i="1"/>
  <c r="M1473" i="1"/>
  <c r="O1389" i="1"/>
  <c r="L1292" i="1"/>
  <c r="M1124" i="1"/>
  <c r="P994" i="1"/>
  <c r="P1004" i="1" s="1"/>
  <c r="P1001" i="1" s="1"/>
  <c r="L961" i="1"/>
  <c r="M531" i="1"/>
  <c r="O524" i="1"/>
  <c r="L524" i="1"/>
  <c r="Q2061" i="1"/>
  <c r="Q1793" i="1"/>
  <c r="Q1294" i="1"/>
  <c r="Q1273" i="1"/>
  <c r="Q1072" i="1"/>
  <c r="Q695" i="1"/>
  <c r="Q658" i="1"/>
  <c r="Q217" i="1"/>
  <c r="Q66" i="1"/>
  <c r="L1844" i="1"/>
  <c r="N1692" i="1"/>
  <c r="M1638" i="1"/>
  <c r="N1633" i="1"/>
  <c r="O1537" i="1"/>
  <c r="P1482" i="1"/>
  <c r="L1478" i="1"/>
  <c r="L1473" i="1"/>
  <c r="L1468" i="1"/>
  <c r="L1472" i="1"/>
  <c r="M1463" i="1"/>
  <c r="O1379" i="1"/>
  <c r="L1287" i="1"/>
  <c r="N1133" i="1"/>
  <c r="P974" i="1"/>
  <c r="O819" i="1"/>
  <c r="O657" i="1"/>
  <c r="N188" i="1"/>
  <c r="O58" i="1"/>
  <c r="O57" i="1" s="1"/>
  <c r="Q1645" i="1"/>
  <c r="Q1114" i="1"/>
  <c r="Q832" i="1"/>
  <c r="Q161" i="1"/>
  <c r="N2053" i="1"/>
  <c r="N1825" i="1"/>
  <c r="L1591" i="1"/>
  <c r="M1586" i="1"/>
  <c r="N1542" i="1"/>
  <c r="P1467" i="1"/>
  <c r="P1471" i="1"/>
  <c r="L1394" i="1"/>
  <c r="L1306" i="1"/>
  <c r="M1301" i="1"/>
  <c r="N1282" i="1"/>
  <c r="L1278" i="1"/>
  <c r="N1313" i="1"/>
  <c r="O1299" i="1"/>
  <c r="P1279" i="1"/>
  <c r="M1101" i="1"/>
  <c r="M920" i="1"/>
  <c r="P956" i="1"/>
  <c r="L801" i="1"/>
  <c r="O862" i="1"/>
  <c r="N146" i="1"/>
  <c r="Q1599" i="1"/>
  <c r="N2273" i="1"/>
  <c r="O2077" i="1"/>
  <c r="O1815" i="1"/>
  <c r="L1682" i="1"/>
  <c r="L1586" i="1"/>
  <c r="M1542" i="1"/>
  <c r="M1536" i="1"/>
  <c r="N1482" i="1"/>
  <c r="O1472" i="1"/>
  <c r="O1398" i="1"/>
  <c r="N1387" i="1"/>
  <c r="P1305" i="1"/>
  <c r="O1291" i="1"/>
  <c r="M1282" i="1"/>
  <c r="L1294" i="1"/>
  <c r="P1132" i="1"/>
  <c r="P844" i="1"/>
  <c r="M819" i="1"/>
  <c r="N800" i="1"/>
  <c r="L713" i="1"/>
  <c r="O614" i="1"/>
  <c r="O1570" i="1" s="1"/>
  <c r="P587" i="1"/>
  <c r="P586" i="1" s="1"/>
  <c r="N551" i="1"/>
  <c r="M75" i="1"/>
  <c r="M74" i="1" s="1"/>
  <c r="Q2057" i="1"/>
  <c r="Q2050" i="1" s="1"/>
  <c r="Q1825" i="1"/>
  <c r="Q1463" i="1"/>
  <c r="Q1292" i="1"/>
  <c r="Q1271" i="1"/>
  <c r="Q1113" i="1"/>
  <c r="O2106" i="1"/>
  <c r="P1702" i="1"/>
  <c r="L1692" i="1"/>
  <c r="P1681" i="1"/>
  <c r="O1590" i="1"/>
  <c r="L1547" i="1"/>
  <c r="L1542" i="1"/>
  <c r="M1537" i="1"/>
  <c r="L1536" i="1"/>
  <c r="N1472" i="1"/>
  <c r="N1398" i="1"/>
  <c r="O1393" i="1"/>
  <c r="L1389" i="1"/>
  <c r="O1305" i="1"/>
  <c r="P1300" i="1"/>
  <c r="O1277" i="1"/>
  <c r="L1099" i="1"/>
  <c r="N909" i="1"/>
  <c r="N941" i="1" s="1"/>
  <c r="N964" i="1" s="1"/>
  <c r="O826" i="1"/>
  <c r="M732" i="1"/>
  <c r="N680" i="1"/>
  <c r="N614" i="1"/>
  <c r="N530" i="1"/>
  <c r="O569" i="1"/>
  <c r="Q1815" i="1"/>
  <c r="Q1462" i="1"/>
  <c r="Q864" i="1"/>
  <c r="Q555" i="1"/>
  <c r="M2296" i="1"/>
  <c r="M1815" i="1"/>
  <c r="O1762" i="1"/>
  <c r="O1702" i="1"/>
  <c r="P1632" i="1"/>
  <c r="N1590" i="1"/>
  <c r="L1537" i="1"/>
  <c r="N1477" i="1"/>
  <c r="M1398" i="1"/>
  <c r="L1310" i="1"/>
  <c r="N1286" i="1"/>
  <c r="L1268" i="1"/>
  <c r="L1109" i="1"/>
  <c r="P876" i="1"/>
  <c r="L732" i="1"/>
  <c r="O708" i="1"/>
  <c r="N548" i="1"/>
  <c r="L279" i="1"/>
  <c r="O1045" i="1"/>
  <c r="O1043" i="1" s="1"/>
  <c r="M271" i="1"/>
  <c r="M260" i="1" s="1"/>
  <c r="P36" i="1"/>
  <c r="Q1687" i="1"/>
  <c r="Q1641" i="1"/>
  <c r="Q1640" i="1" s="1"/>
  <c r="Q1461" i="1"/>
  <c r="Q1389" i="1"/>
  <c r="Q1392" i="1"/>
  <c r="Q1313" i="1"/>
  <c r="Q1269" i="1"/>
  <c r="Q1302" i="1"/>
  <c r="Q1111" i="1"/>
  <c r="Q452" i="1"/>
  <c r="Q451" i="1" s="1"/>
  <c r="Q112" i="1"/>
  <c r="Q340" i="1" s="1"/>
  <c r="O1770" i="1"/>
  <c r="N1637" i="1"/>
  <c r="P1536" i="1"/>
  <c r="L1398" i="1"/>
  <c r="P1383" i="1"/>
  <c r="M1305" i="1"/>
  <c r="O1300" i="1"/>
  <c r="M1286" i="1"/>
  <c r="P1281" i="1"/>
  <c r="P1267" i="1"/>
  <c r="P1283" i="1"/>
  <c r="M1275" i="1"/>
  <c r="L1046" i="1"/>
  <c r="N708" i="1"/>
  <c r="L577" i="1"/>
  <c r="M371" i="1"/>
  <c r="M280" i="1"/>
  <c r="M279" i="1" s="1"/>
  <c r="P563" i="1"/>
  <c r="L271" i="1"/>
  <c r="L260" i="1" s="1"/>
  <c r="N12" i="1"/>
  <c r="N1751" i="1" s="1"/>
  <c r="Q1686" i="1"/>
  <c r="Q1592" i="1"/>
  <c r="Q1477" i="1"/>
  <c r="Q1388" i="1"/>
  <c r="Q1014" i="1"/>
  <c r="Q1011" i="1" s="1"/>
  <c r="Q771" i="1"/>
  <c r="Q768" i="1" s="1"/>
  <c r="Q1400" i="1"/>
  <c r="Q1152" i="1"/>
  <c r="Q732" i="1"/>
  <c r="Q605" i="1"/>
  <c r="Q604" i="1" s="1"/>
  <c r="Q612" i="1"/>
  <c r="Q99" i="1"/>
  <c r="Q327" i="1" s="1"/>
  <c r="Q343" i="1" s="1"/>
  <c r="Q1620" i="1"/>
  <c r="Q717" i="1"/>
  <c r="Q601" i="1"/>
  <c r="Q613" i="1"/>
  <c r="Q1722" i="1"/>
  <c r="Q35" i="1"/>
  <c r="Q1725" i="1" s="1"/>
  <c r="Q1869" i="1"/>
  <c r="Q1536" i="1"/>
  <c r="Q1105" i="1"/>
  <c r="Q1135" i="1"/>
  <c r="Q730" i="1"/>
  <c r="Q715" i="1"/>
  <c r="Q1903" i="1"/>
  <c r="Q1535" i="1"/>
  <c r="Q1351" i="1"/>
  <c r="Q1277" i="1"/>
  <c r="Q1033" i="1"/>
  <c r="Q1034" i="1" s="1"/>
  <c r="Q1276" i="1"/>
  <c r="Q710" i="1"/>
  <c r="Q713" i="1"/>
  <c r="Q2279" i="1"/>
  <c r="Q2223" i="1"/>
  <c r="Q1298" i="1"/>
  <c r="Q1274" i="1"/>
  <c r="Q969" i="1"/>
  <c r="Q915" i="1"/>
  <c r="Q651" i="1"/>
  <c r="Q594" i="1"/>
  <c r="Q1559" i="1"/>
  <c r="Q1589" i="1"/>
  <c r="Q1518" i="1"/>
  <c r="Q1397" i="1"/>
  <c r="Q1341" i="1"/>
  <c r="Q1344" i="1" s="1"/>
  <c r="Q1297" i="1"/>
  <c r="Q1275" i="1"/>
  <c r="Q1026" i="1"/>
  <c r="Q1120" i="1"/>
  <c r="Q2002" i="1"/>
  <c r="Q1830" i="1"/>
  <c r="Q1296" i="1"/>
  <c r="Q1132" i="1"/>
  <c r="Q1023" i="1"/>
  <c r="Q23" i="1"/>
  <c r="Q1715" i="1"/>
  <c r="Q1978" i="1"/>
  <c r="Q1712" i="1"/>
  <c r="Q2259" i="1"/>
  <c r="Q1480" i="1"/>
  <c r="Q781" i="1"/>
  <c r="Q865" i="1" s="1"/>
  <c r="Q784" i="1"/>
  <c r="Q657" i="1"/>
  <c r="Q646" i="1"/>
  <c r="Q644" i="1" s="1"/>
  <c r="Q211" i="1"/>
  <c r="Q214" i="1"/>
  <c r="Q213" i="1" s="1"/>
  <c r="Q1391" i="1"/>
  <c r="Q1316" i="1"/>
  <c r="Q1376" i="1"/>
  <c r="Q656" i="1"/>
  <c r="Q2254" i="1"/>
  <c r="Q1891" i="1"/>
  <c r="Q1885" i="1" s="1"/>
  <c r="Q1547" i="1"/>
  <c r="Q1508" i="1"/>
  <c r="Q1411" i="1"/>
  <c r="Q1005" i="1"/>
  <c r="Q1002" i="1" s="1"/>
  <c r="Q800" i="1"/>
  <c r="Q438" i="1"/>
  <c r="Q564" i="1"/>
  <c r="Q2022" i="1"/>
  <c r="Q1954" i="1"/>
  <c r="Q1545" i="1"/>
  <c r="Q1478" i="1"/>
  <c r="Q1291" i="1"/>
  <c r="Q1270" i="1"/>
  <c r="Q1112" i="1"/>
  <c r="Q655" i="1"/>
  <c r="Q1631" i="1"/>
  <c r="Q1594" i="1"/>
  <c r="Q1544" i="1"/>
  <c r="Q1290" i="1"/>
  <c r="Q1004" i="1"/>
  <c r="Q997" i="1"/>
  <c r="Q554" i="1"/>
  <c r="Q1639" i="1"/>
  <c r="Q1312" i="1"/>
  <c r="Q1268" i="1"/>
  <c r="Q1110" i="1"/>
  <c r="Q599" i="1"/>
  <c r="Q197" i="1"/>
  <c r="Q201" i="1"/>
  <c r="Q200" i="1" s="1"/>
  <c r="Q358" i="1"/>
  <c r="Q58" i="1"/>
  <c r="Q1740" i="1" s="1"/>
  <c r="Q12" i="1"/>
  <c r="Q1751" i="1" s="1"/>
  <c r="Q1752" i="1"/>
  <c r="Q2213" i="1"/>
  <c r="Q2114" i="1"/>
  <c r="Q2024" i="1"/>
  <c r="Q1685" i="1"/>
  <c r="Q1543" i="1"/>
  <c r="Q1387" i="1"/>
  <c r="Q1311" i="1"/>
  <c r="Q1109" i="1"/>
  <c r="Q1007" i="1"/>
  <c r="Q1126" i="1" s="1"/>
  <c r="Q967" i="1"/>
  <c r="Q769" i="1"/>
  <c r="Q861" i="1" s="1"/>
  <c r="Q660" i="1"/>
  <c r="Q641" i="1"/>
  <c r="Q634" i="1" s="1"/>
  <c r="Q1386" i="1"/>
  <c r="Q1265" i="1"/>
  <c r="Q1137" i="1"/>
  <c r="Q367" i="1"/>
  <c r="Q2189" i="1"/>
  <c r="Q1542" i="1"/>
  <c r="Q1503" i="1"/>
  <c r="Q1385" i="1"/>
  <c r="Q1309" i="1"/>
  <c r="Q1213" i="1"/>
  <c r="Q923" i="1"/>
  <c r="Q366" i="1"/>
  <c r="Q1406" i="1"/>
  <c r="Q1465" i="1"/>
  <c r="Q817" i="1"/>
  <c r="Q859" i="1"/>
  <c r="Q699" i="1"/>
  <c r="Q680" i="1"/>
  <c r="Q679" i="1" s="1"/>
  <c r="Q1681" i="1"/>
  <c r="Q51" i="1"/>
  <c r="Q2315" i="1"/>
  <c r="Q2313" i="1"/>
  <c r="Q2276" i="1"/>
  <c r="Q1498" i="1"/>
  <c r="Q1533" i="1"/>
  <c r="Q693" i="1"/>
  <c r="Q1734" i="1"/>
  <c r="Q47" i="1"/>
  <c r="Q46" i="1" s="1"/>
  <c r="Q49" i="1"/>
  <c r="Q1617" i="1" s="1"/>
  <c r="Q145" i="1"/>
  <c r="Q137" i="1"/>
  <c r="Q2235" i="1"/>
  <c r="Q2234" i="1" s="1"/>
  <c r="Q1678" i="1"/>
  <c r="Q1282" i="1"/>
  <c r="Q927" i="1"/>
  <c r="Q955" i="1"/>
  <c r="Q701" i="1"/>
  <c r="Q42" i="1"/>
  <c r="Q2012" i="1"/>
  <c r="Q1425" i="1"/>
  <c r="Q1428" i="1" s="1"/>
  <c r="Q1327" i="1"/>
  <c r="Q2165" i="1"/>
  <c r="Q1538" i="1"/>
  <c r="Q1281" i="1"/>
  <c r="Q879" i="1"/>
  <c r="Q810" i="1"/>
  <c r="Q795" i="1"/>
  <c r="Q264" i="1"/>
  <c r="Q253" i="1" s="1"/>
  <c r="Q3" i="1"/>
  <c r="Q1743" i="1"/>
  <c r="Q671" i="1"/>
  <c r="Q537" i="1"/>
  <c r="Q549" i="1"/>
  <c r="Q894" i="1"/>
  <c r="Q303" i="1"/>
  <c r="Q219" i="1"/>
  <c r="Q110" i="1"/>
  <c r="Q82" i="1"/>
  <c r="Q63" i="1" s="1"/>
  <c r="Q36" i="1"/>
  <c r="Q1664" i="1" s="1"/>
  <c r="Q1045" i="1"/>
  <c r="Q1043" i="1" s="1"/>
  <c r="Q1096" i="1" s="1"/>
  <c r="Q1636" i="1"/>
  <c r="Q891" i="1"/>
  <c r="Q888" i="1" s="1"/>
  <c r="Q1496" i="1"/>
  <c r="Q863" i="1"/>
  <c r="Q565" i="1"/>
  <c r="Q270" i="1"/>
  <c r="Q259" i="1" s="1"/>
  <c r="Q1573" i="1"/>
  <c r="Q1469" i="1"/>
  <c r="Q1435" i="1"/>
  <c r="Q529" i="1"/>
  <c r="Q356" i="1"/>
  <c r="Q501" i="1" s="1"/>
  <c r="Q490" i="1" s="1"/>
  <c r="Q268" i="1"/>
  <c r="Q257" i="1" s="1"/>
  <c r="Q267" i="1"/>
  <c r="Q256" i="1" s="1"/>
  <c r="Q1749" i="1"/>
  <c r="Q1127" i="1"/>
  <c r="Q1062" i="1"/>
  <c r="Q239" i="1"/>
  <c r="Q272" i="1"/>
  <c r="Q261" i="1" s="1"/>
  <c r="Q1125" i="1"/>
  <c r="Q1060" i="1"/>
  <c r="Q933" i="1"/>
  <c r="Q523" i="1"/>
  <c r="Q151" i="1"/>
  <c r="Q1124" i="1"/>
  <c r="Q1057" i="1"/>
  <c r="Q234" i="1"/>
  <c r="Q205" i="1"/>
  <c r="Q150" i="1"/>
  <c r="Q881" i="1"/>
  <c r="Q704" i="1"/>
  <c r="Q149" i="1"/>
  <c r="Q107" i="1"/>
  <c r="Q335" i="1" s="1"/>
  <c r="Q351" i="1" s="1"/>
  <c r="Q496" i="1" s="1"/>
  <c r="Q798" i="1"/>
  <c r="Q703" i="1"/>
  <c r="Q148" i="1"/>
  <c r="Q797" i="1"/>
  <c r="Q702" i="1"/>
  <c r="Q202" i="1"/>
  <c r="Q878" i="1"/>
  <c r="Q796" i="1"/>
  <c r="Q146" i="1"/>
  <c r="Q545" i="1"/>
  <c r="Q173" i="1"/>
  <c r="Q544" i="1"/>
  <c r="Q331" i="1"/>
  <c r="Q578" i="1"/>
  <c r="Q543" i="1"/>
  <c r="Q1077" i="1"/>
  <c r="Q577" i="1"/>
  <c r="Q542" i="1"/>
  <c r="Q765" i="1"/>
  <c r="Q858" i="1" s="1"/>
  <c r="Q694" i="1"/>
  <c r="Q691" i="1" s="1"/>
  <c r="Q541" i="1"/>
  <c r="O46" i="1"/>
  <c r="O1735" i="1" s="1"/>
  <c r="O1736" i="1"/>
  <c r="N47" i="1"/>
  <c r="N46" i="1" s="1"/>
  <c r="N1735" i="1" s="1"/>
  <c r="H108" i="1"/>
  <c r="N34" i="1"/>
  <c r="N36" i="1"/>
  <c r="L34" i="1"/>
  <c r="O36" i="1"/>
  <c r="O40" i="1" s="1"/>
  <c r="G107" i="1"/>
  <c r="I108" i="1"/>
  <c r="G103" i="1"/>
  <c r="O2259" i="1"/>
  <c r="N2279" i="1"/>
  <c r="P2061" i="1"/>
  <c r="P1508" i="1"/>
  <c r="M2279" i="1"/>
  <c r="N2077" i="1"/>
  <c r="L2279" i="1"/>
  <c r="O2053" i="1"/>
  <c r="P1272" i="1"/>
  <c r="M2315" i="1"/>
  <c r="P1590" i="1"/>
  <c r="N1296" i="1"/>
  <c r="M1310" i="1"/>
  <c r="P2235" i="1"/>
  <c r="P1388" i="1"/>
  <c r="P2240" i="1"/>
  <c r="P2234" i="1" s="1"/>
  <c r="O2235" i="1"/>
  <c r="O2234" i="1" s="1"/>
  <c r="M2235" i="1"/>
  <c r="M2234" i="1" s="1"/>
  <c r="M2213" i="1"/>
  <c r="P2254" i="1"/>
  <c r="L2276" i="1"/>
  <c r="P1470" i="1"/>
  <c r="L1382" i="1"/>
  <c r="P2315" i="1"/>
  <c r="P1639" i="1"/>
  <c r="M1518" i="1"/>
  <c r="M1534" i="1"/>
  <c r="L1786" i="1"/>
  <c r="M1680" i="1"/>
  <c r="N1606" i="1"/>
  <c r="O1594" i="1"/>
  <c r="O1385" i="1"/>
  <c r="O1381" i="1"/>
  <c r="O1109" i="1"/>
  <c r="P2094" i="1"/>
  <c r="M2057" i="1"/>
  <c r="L1803" i="1"/>
  <c r="O1639" i="1"/>
  <c r="M1635" i="1"/>
  <c r="L1552" i="1"/>
  <c r="P1541" i="1"/>
  <c r="N1537" i="1"/>
  <c r="M1480" i="1"/>
  <c r="N1381" i="1"/>
  <c r="O1306" i="1"/>
  <c r="O1302" i="1"/>
  <c r="M1298" i="1"/>
  <c r="L1290" i="1"/>
  <c r="M1203" i="1"/>
  <c r="N1057" i="1"/>
  <c r="M927" i="1"/>
  <c r="M955" i="1"/>
  <c r="O660" i="1"/>
  <c r="O651" i="1"/>
  <c r="O113" i="1"/>
  <c r="N8" i="1"/>
  <c r="N1747" i="1" s="1"/>
  <c r="N1811" i="1"/>
  <c r="O1692" i="1"/>
  <c r="M1594" i="1"/>
  <c r="O1541" i="1"/>
  <c r="N1534" i="1"/>
  <c r="L1480" i="1"/>
  <c r="O1466" i="1"/>
  <c r="O1376" i="1"/>
  <c r="P1378" i="1"/>
  <c r="P1289" i="1"/>
  <c r="P1268" i="1"/>
  <c r="L1125" i="1"/>
  <c r="L1086" i="1"/>
  <c r="M1057" i="1"/>
  <c r="M1123" i="1"/>
  <c r="L927" i="1"/>
  <c r="L955" i="1"/>
  <c r="O587" i="1"/>
  <c r="O586" i="1" s="1"/>
  <c r="P268" i="1"/>
  <c r="P257" i="1" s="1"/>
  <c r="N211" i="1"/>
  <c r="N214" i="1"/>
  <c r="N213" i="1" s="1"/>
  <c r="P2057" i="1"/>
  <c r="O1863" i="1"/>
  <c r="O1862" i="1" s="1"/>
  <c r="M1811" i="1"/>
  <c r="O1687" i="1"/>
  <c r="P1679" i="1"/>
  <c r="N1639" i="1"/>
  <c r="P1634" i="1"/>
  <c r="L1606" i="1"/>
  <c r="N1306" i="1"/>
  <c r="O1289" i="1"/>
  <c r="P1301" i="1"/>
  <c r="L1057" i="1"/>
  <c r="L1123" i="1"/>
  <c r="P992" i="1"/>
  <c r="O974" i="1"/>
  <c r="O1110" i="1"/>
  <c r="P449" i="1"/>
  <c r="P452" i="1"/>
  <c r="P451" i="1" s="1"/>
  <c r="L1811" i="1"/>
  <c r="O1766" i="1"/>
  <c r="N1687" i="1"/>
  <c r="M1639" i="1"/>
  <c r="O1634" i="1"/>
  <c r="P1594" i="1"/>
  <c r="O1394" i="1"/>
  <c r="M1281" i="1"/>
  <c r="P1276" i="1"/>
  <c r="N1268" i="1"/>
  <c r="P1152" i="1"/>
  <c r="P1113" i="1"/>
  <c r="M701" i="1"/>
  <c r="L660" i="1"/>
  <c r="L651" i="1"/>
  <c r="N2057" i="1"/>
  <c r="O1891" i="1"/>
  <c r="M1803" i="1"/>
  <c r="N1766" i="1"/>
  <c r="L1639" i="1"/>
  <c r="M1541" i="1"/>
  <c r="P1498" i="1"/>
  <c r="L1475" i="1"/>
  <c r="M1462" i="1"/>
  <c r="O1464" i="1"/>
  <c r="P1389" i="1"/>
  <c r="O1380" i="1"/>
  <c r="M1382" i="1"/>
  <c r="M1306" i="1"/>
  <c r="N1113" i="1"/>
  <c r="O1057" i="1"/>
  <c r="N959" i="1"/>
  <c r="N655" i="1"/>
  <c r="M626" i="1"/>
  <c r="M624" i="1" s="1"/>
  <c r="O564" i="1"/>
  <c r="N564" i="1"/>
  <c r="M2102" i="1"/>
  <c r="M2024" i="1"/>
  <c r="N1869" i="1"/>
  <c r="N1862" i="1" s="1"/>
  <c r="O1498" i="1"/>
  <c r="P1474" i="1"/>
  <c r="L1462" i="1"/>
  <c r="M1394" i="1"/>
  <c r="P1384" i="1"/>
  <c r="P1327" i="1"/>
  <c r="L1281" i="1"/>
  <c r="N1152" i="1"/>
  <c r="L1113" i="1"/>
  <c r="O859" i="1"/>
  <c r="O817" i="1"/>
  <c r="M42" i="1"/>
  <c r="M41" i="1" s="1"/>
  <c r="M1730" i="1" s="1"/>
  <c r="L2057" i="1"/>
  <c r="P1886" i="1"/>
  <c r="P1803" i="1"/>
  <c r="M1679" i="1"/>
  <c r="M1590" i="1"/>
  <c r="N1470" i="1"/>
  <c r="O1411" i="1"/>
  <c r="P1309" i="1"/>
  <c r="M1309" i="1"/>
  <c r="L2077" i="1"/>
  <c r="O1886" i="1"/>
  <c r="O1803" i="1"/>
  <c r="N1638" i="1"/>
  <c r="N1503" i="1"/>
  <c r="P1393" i="1"/>
  <c r="N1384" i="1"/>
  <c r="M1276" i="1"/>
  <c r="L1152" i="1"/>
  <c r="N1849" i="1"/>
  <c r="L1825" i="1"/>
  <c r="L1824" i="1" s="1"/>
  <c r="N1803" i="1"/>
  <c r="P1692" i="1"/>
  <c r="P1559" i="1"/>
  <c r="L1479" i="1"/>
  <c r="N1468" i="1"/>
  <c r="N1309" i="1"/>
  <c r="N1305" i="1"/>
  <c r="L1276" i="1"/>
  <c r="M1277" i="1"/>
  <c r="L1157" i="1"/>
  <c r="P967" i="1"/>
  <c r="M700" i="1"/>
  <c r="M231" i="1"/>
  <c r="M581" i="1"/>
  <c r="N358" i="1"/>
  <c r="N150" i="1"/>
  <c r="L2061" i="1"/>
  <c r="L2050" i="1" s="1"/>
  <c r="M1849" i="1"/>
  <c r="P1815" i="1"/>
  <c r="P1599" i="1"/>
  <c r="N1585" i="1"/>
  <c r="M1400" i="1"/>
  <c r="P1313" i="1"/>
  <c r="O1288" i="1"/>
  <c r="M334" i="1"/>
  <c r="M350" i="1" s="1"/>
  <c r="M495" i="1" s="1"/>
  <c r="M484" i="1" s="1"/>
  <c r="O522" i="1"/>
  <c r="O64" i="1"/>
  <c r="P2106" i="1"/>
  <c r="L1886" i="1"/>
  <c r="L1849" i="1"/>
  <c r="L1843" i="1" s="1"/>
  <c r="L1823" i="1" s="1"/>
  <c r="O1682" i="1"/>
  <c r="L1638" i="1"/>
  <c r="N1545" i="1"/>
  <c r="M1540" i="1"/>
  <c r="N1465" i="1"/>
  <c r="L1400" i="1"/>
  <c r="M1110" i="1"/>
  <c r="M1033" i="1"/>
  <c r="M1034" i="1" s="1"/>
  <c r="P866" i="1"/>
  <c r="M723" i="1"/>
  <c r="O543" i="1"/>
  <c r="O272" i="1"/>
  <c r="O261" i="1" s="1"/>
  <c r="L2301" i="1"/>
  <c r="M2077" i="1"/>
  <c r="O2061" i="1"/>
  <c r="N1770" i="1"/>
  <c r="M1692" i="1"/>
  <c r="N1686" i="1"/>
  <c r="O1678" i="1"/>
  <c r="O1686" i="1"/>
  <c r="N1599" i="1"/>
  <c r="N1593" i="1" s="1"/>
  <c r="O1589" i="1"/>
  <c r="L1585" i="1"/>
  <c r="M1545" i="1"/>
  <c r="L1508" i="1"/>
  <c r="O1478" i="1"/>
  <c r="O1469" i="1"/>
  <c r="O1388" i="1"/>
  <c r="N1379" i="1"/>
  <c r="L1309" i="1"/>
  <c r="O1292" i="1"/>
  <c r="O1275" i="1"/>
  <c r="P1109" i="1"/>
  <c r="P923" i="1"/>
  <c r="M657" i="1"/>
  <c r="P1043" i="1"/>
  <c r="P1069" i="1" s="1"/>
  <c r="N111" i="1"/>
  <c r="N339" i="1" s="1"/>
  <c r="N355" i="1" s="1"/>
  <c r="N500" i="1"/>
  <c r="P2279" i="1"/>
  <c r="M2276" i="1"/>
  <c r="M2272" i="1" s="1"/>
  <c r="N2106" i="1"/>
  <c r="P1710" i="1"/>
  <c r="N1702" i="1"/>
  <c r="O1633" i="1"/>
  <c r="N1589" i="1"/>
  <c r="M1559" i="1"/>
  <c r="O1482" i="1"/>
  <c r="N1478" i="1"/>
  <c r="M1377" i="1"/>
  <c r="P1304" i="1"/>
  <c r="P1296" i="1"/>
  <c r="L1271" i="1"/>
  <c r="M1109" i="1"/>
  <c r="N1062" i="1"/>
  <c r="O658" i="1"/>
  <c r="N641" i="1"/>
  <c r="M909" i="1"/>
  <c r="M941" i="1" s="1"/>
  <c r="M964" i="1" s="1"/>
  <c r="N1815" i="1"/>
  <c r="M1686" i="1"/>
  <c r="M1682" i="1"/>
  <c r="N1469" i="1"/>
  <c r="M1388" i="1"/>
  <c r="O1296" i="1"/>
  <c r="P1287" i="1"/>
  <c r="M1266" i="1"/>
  <c r="L967" i="1"/>
  <c r="L2106" i="1"/>
  <c r="L1686" i="1"/>
  <c r="O1535" i="1"/>
  <c r="M1469" i="1"/>
  <c r="N389" i="1"/>
  <c r="O573" i="1"/>
  <c r="L568" i="1"/>
  <c r="L266" i="1"/>
  <c r="L255" i="1" s="1"/>
  <c r="N1830" i="1"/>
  <c r="M1678" i="1"/>
  <c r="P1641" i="1"/>
  <c r="P1640" i="1" s="1"/>
  <c r="M1482" i="1"/>
  <c r="L1397" i="1"/>
  <c r="P1392" i="1"/>
  <c r="N1279" i="1"/>
  <c r="M1295" i="1"/>
  <c r="O1033" i="1"/>
  <c r="O1034" i="1" s="1"/>
  <c r="M908" i="1"/>
  <c r="M910" i="1"/>
  <c r="M942" i="1" s="1"/>
  <c r="M965" i="1" s="1"/>
  <c r="N672" i="1"/>
  <c r="M1891" i="1"/>
  <c r="O1793" i="1"/>
  <c r="M1786" i="1"/>
  <c r="O1707" i="1"/>
  <c r="P1477" i="1"/>
  <c r="P1468" i="1"/>
  <c r="L1463" i="1"/>
  <c r="P1396" i="1"/>
  <c r="P1387" i="1"/>
  <c r="M1296" i="1"/>
  <c r="O1270" i="1"/>
  <c r="P1137" i="1"/>
  <c r="P1060" i="1"/>
  <c r="O937" i="1"/>
  <c r="L943" i="1"/>
  <c r="L966" i="1" s="1"/>
  <c r="N656" i="1"/>
  <c r="N2061" i="1"/>
  <c r="O1688" i="1"/>
  <c r="O1641" i="1"/>
  <c r="O1640" i="1" s="1"/>
  <c r="P1539" i="1"/>
  <c r="L1496" i="1"/>
  <c r="O1477" i="1"/>
  <c r="P1400" i="1"/>
  <c r="M1287" i="1"/>
  <c r="O1111" i="1"/>
  <c r="O1060" i="1"/>
  <c r="O732" i="1"/>
  <c r="O265" i="1"/>
  <c r="O254" i="1" s="1"/>
  <c r="O536" i="1"/>
  <c r="O796" i="1"/>
  <c r="M2106" i="1"/>
  <c r="N2084" i="1"/>
  <c r="P1866" i="1"/>
  <c r="L1770" i="1"/>
  <c r="N1688" i="1"/>
  <c r="N1685" i="1"/>
  <c r="P1636" i="1"/>
  <c r="O1632" i="1"/>
  <c r="N1588" i="1"/>
  <c r="P1543" i="1"/>
  <c r="P1534" i="1"/>
  <c r="N1378" i="1"/>
  <c r="N1291" i="1"/>
  <c r="L1266" i="1"/>
  <c r="N1111" i="1"/>
  <c r="N1060" i="1"/>
  <c r="O1052" i="1"/>
  <c r="O1049" i="1" s="1"/>
  <c r="O1050" i="1" s="1"/>
  <c r="M863" i="1"/>
  <c r="M771" i="1"/>
  <c r="M768" i="1" s="1"/>
  <c r="M763" i="1" s="1"/>
  <c r="M775" i="1"/>
  <c r="M770" i="1" s="1"/>
  <c r="M862" i="1" s="1"/>
  <c r="N662" i="1"/>
  <c r="O591" i="1"/>
  <c r="O590" i="1" s="1"/>
  <c r="N579" i="1"/>
  <c r="P173" i="1"/>
  <c r="M173" i="1"/>
  <c r="M567" i="1"/>
  <c r="O1866" i="1"/>
  <c r="M1641" i="1"/>
  <c r="N1547" i="1"/>
  <c r="P1282" i="1"/>
  <c r="N1079" i="1"/>
  <c r="N1105" i="1"/>
  <c r="L2084" i="1"/>
  <c r="N1866" i="1"/>
  <c r="N1793" i="1"/>
  <c r="P1793" i="1"/>
  <c r="N1786" i="1"/>
  <c r="L1688" i="1"/>
  <c r="N1636" i="1"/>
  <c r="N1632" i="1"/>
  <c r="L1588" i="1"/>
  <c r="M1547" i="1"/>
  <c r="M1546" i="1" s="1"/>
  <c r="L1539" i="1"/>
  <c r="O1481" i="1"/>
  <c r="L1464" i="1"/>
  <c r="M1396" i="1"/>
  <c r="O1382" i="1"/>
  <c r="M1312" i="1"/>
  <c r="L1308" i="1"/>
  <c r="P1286" i="1"/>
  <c r="M1274" i="1"/>
  <c r="M1280" i="1"/>
  <c r="N1101" i="1"/>
  <c r="M912" i="1"/>
  <c r="M967" i="1" s="1"/>
  <c r="M710" i="1"/>
  <c r="M713" i="1"/>
  <c r="N693" i="1"/>
  <c r="N690" i="1" s="1"/>
  <c r="L579" i="1"/>
  <c r="L227" i="1"/>
  <c r="L2053" i="1"/>
  <c r="P1645" i="1"/>
  <c r="M1543" i="1"/>
  <c r="L1477" i="1"/>
  <c r="P1463" i="1"/>
  <c r="O1303" i="1"/>
  <c r="M911" i="1"/>
  <c r="M943" i="1" s="1"/>
  <c r="M966" i="1" s="1"/>
  <c r="O2279" i="1"/>
  <c r="O2254" i="1"/>
  <c r="L2094" i="1"/>
  <c r="O2084" i="1"/>
  <c r="L1866" i="1"/>
  <c r="P1811" i="1"/>
  <c r="M1762" i="1"/>
  <c r="M1685" i="1"/>
  <c r="L1592" i="1"/>
  <c r="O1587" i="1"/>
  <c r="P1552" i="1"/>
  <c r="L1543" i="1"/>
  <c r="M1481" i="1"/>
  <c r="O1463" i="1"/>
  <c r="O1391" i="1"/>
  <c r="O1386" i="1"/>
  <c r="O1307" i="1"/>
  <c r="P1290" i="1"/>
  <c r="L1135" i="1"/>
  <c r="P771" i="1"/>
  <c r="P768" i="1" s="1"/>
  <c r="P773" i="1"/>
  <c r="P1844" i="1"/>
  <c r="P1843" i="1" s="1"/>
  <c r="M1606" i="1"/>
  <c r="P1591" i="1"/>
  <c r="N1538" i="1"/>
  <c r="L1481" i="1"/>
  <c r="L1425" i="1"/>
  <c r="M1406" i="1"/>
  <c r="L1299" i="1"/>
  <c r="O1273" i="1"/>
  <c r="L1079" i="1"/>
  <c r="M971" i="1"/>
  <c r="M961" i="1"/>
  <c r="N832" i="1"/>
  <c r="O661" i="1"/>
  <c r="N576" i="1"/>
  <c r="M211" i="1"/>
  <c r="M214" i="1"/>
  <c r="M213" i="1" s="1"/>
  <c r="L546" i="1"/>
  <c r="L202" i="1"/>
  <c r="L205" i="1" s="1"/>
  <c r="O2094" i="1"/>
  <c r="M2084" i="1"/>
  <c r="L1793" i="1"/>
  <c r="O1786" i="1"/>
  <c r="N1684" i="1"/>
  <c r="P1633" i="1"/>
  <c r="M1587" i="1"/>
  <c r="O1542" i="1"/>
  <c r="N1322" i="1"/>
  <c r="M1265" i="1"/>
  <c r="N773" i="1"/>
  <c r="N771" i="1"/>
  <c r="N768" i="1" s="1"/>
  <c r="M1684" i="1"/>
  <c r="P1606" i="1"/>
  <c r="L1411" i="1"/>
  <c r="L1341" i="1"/>
  <c r="O1103" i="1"/>
  <c r="O1077" i="1"/>
  <c r="L1110" i="1"/>
  <c r="L1124" i="1"/>
  <c r="P1025" i="1"/>
  <c r="P1022" i="1" s="1"/>
  <c r="M717" i="1"/>
  <c r="M555" i="1"/>
  <c r="M2094" i="1"/>
  <c r="O2057" i="1"/>
  <c r="M1869" i="1"/>
  <c r="M1862" i="1" s="1"/>
  <c r="N1680" i="1"/>
  <c r="O1635" i="1"/>
  <c r="L1467" i="1"/>
  <c r="P1395" i="1"/>
  <c r="L1311" i="1"/>
  <c r="N1294" i="1"/>
  <c r="P1123" i="1"/>
  <c r="M1498" i="1"/>
  <c r="O1383" i="1"/>
  <c r="N1316" i="1"/>
  <c r="M1311" i="1"/>
  <c r="P1299" i="1"/>
  <c r="M1292" i="1"/>
  <c r="P1293" i="1"/>
  <c r="M846" i="1"/>
  <c r="P708" i="1"/>
  <c r="O676" i="1"/>
  <c r="O662" i="1" s="1"/>
  <c r="N701" i="1"/>
  <c r="P657" i="1"/>
  <c r="L401" i="1"/>
  <c r="N227" i="1"/>
  <c r="O208" i="1"/>
  <c r="O271" i="1"/>
  <c r="O260" i="1" s="1"/>
  <c r="P100" i="1"/>
  <c r="P328" i="1" s="1"/>
  <c r="P344" i="1" s="1"/>
  <c r="M8" i="1"/>
  <c r="M1747" i="1" s="1"/>
  <c r="P1269" i="1"/>
  <c r="P1265" i="1"/>
  <c r="L1301" i="1"/>
  <c r="P1135" i="1"/>
  <c r="L860" i="1"/>
  <c r="N798" i="1"/>
  <c r="L715" i="1"/>
  <c r="N704" i="1"/>
  <c r="O442" i="1"/>
  <c r="O441" i="1" s="1"/>
  <c r="O570" i="1"/>
  <c r="L436" i="1"/>
  <c r="O100" i="1"/>
  <c r="O328" i="1" s="1"/>
  <c r="O344" i="1" s="1"/>
  <c r="P529" i="1"/>
  <c r="P42" i="1"/>
  <c r="P41" i="1" s="1"/>
  <c r="P1730" i="1" s="1"/>
  <c r="N1394" i="1"/>
  <c r="M1303" i="1"/>
  <c r="N1299" i="1"/>
  <c r="P1295" i="1"/>
  <c r="O1269" i="1"/>
  <c r="O1297" i="1"/>
  <c r="N1274" i="1"/>
  <c r="L1072" i="1"/>
  <c r="L1098" i="1" s="1"/>
  <c r="N955" i="1"/>
  <c r="P859" i="1"/>
  <c r="L661" i="1"/>
  <c r="P594" i="1"/>
  <c r="P524" i="1"/>
  <c r="N279" i="1"/>
  <c r="L151" i="1"/>
  <c r="O42" i="1"/>
  <c r="O41" i="1" s="1"/>
  <c r="O1730" i="1" s="1"/>
  <c r="L1544" i="1"/>
  <c r="N1535" i="1"/>
  <c r="L1476" i="1"/>
  <c r="N1471" i="1"/>
  <c r="O1467" i="1"/>
  <c r="M1383" i="1"/>
  <c r="P1310" i="1"/>
  <c r="L1307" i="1"/>
  <c r="M1299" i="1"/>
  <c r="O1295" i="1"/>
  <c r="P1277" i="1"/>
  <c r="L957" i="1"/>
  <c r="P911" i="1"/>
  <c r="P943" i="1" s="1"/>
  <c r="P966" i="1" s="1"/>
  <c r="L798" i="1"/>
  <c r="L676" i="1"/>
  <c r="L662" i="1" s="1"/>
  <c r="N657" i="1"/>
  <c r="P660" i="1"/>
  <c r="L578" i="1"/>
  <c r="N571" i="1"/>
  <c r="P294" i="1"/>
  <c r="N82" i="1"/>
  <c r="N42" i="1"/>
  <c r="N41" i="1" s="1"/>
  <c r="N1730" i="1" s="1"/>
  <c r="M1535" i="1"/>
  <c r="N1467" i="1"/>
  <c r="M1395" i="1"/>
  <c r="L1391" i="1"/>
  <c r="L1387" i="1"/>
  <c r="L1379" i="1"/>
  <c r="O1310" i="1"/>
  <c r="M1284" i="1"/>
  <c r="O1280" i="1"/>
  <c r="N1269" i="1"/>
  <c r="P1110" i="1"/>
  <c r="M997" i="1"/>
  <c r="O961" i="1"/>
  <c r="N859" i="1"/>
  <c r="N797" i="1"/>
  <c r="N732" i="1"/>
  <c r="L708" i="1"/>
  <c r="P700" i="1"/>
  <c r="N613" i="1"/>
  <c r="P389" i="1"/>
  <c r="M436" i="1"/>
  <c r="L570" i="1"/>
  <c r="P112" i="1"/>
  <c r="O1475" i="1"/>
  <c r="L1395" i="1"/>
  <c r="P1386" i="1"/>
  <c r="N1310" i="1"/>
  <c r="L1284" i="1"/>
  <c r="M1297" i="1"/>
  <c r="N1103" i="1"/>
  <c r="N888" i="1"/>
  <c r="N887" i="1" s="1"/>
  <c r="M705" i="1"/>
  <c r="O631" i="1"/>
  <c r="O389" i="1"/>
  <c r="M304" i="1"/>
  <c r="P569" i="1"/>
  <c r="N169" i="1"/>
  <c r="N340" i="1"/>
  <c r="O1272" i="1"/>
  <c r="L703" i="1"/>
  <c r="P646" i="1"/>
  <c r="L657" i="1"/>
  <c r="L580" i="1"/>
  <c r="L442" i="1"/>
  <c r="L575" i="1" s="1"/>
  <c r="M578" i="1"/>
  <c r="P1721" i="1"/>
  <c r="P636" i="1"/>
  <c r="L608" i="1"/>
  <c r="M613" i="1"/>
  <c r="P579" i="1"/>
  <c r="M522" i="1"/>
  <c r="O464" i="1"/>
  <c r="M389" i="1"/>
  <c r="L371" i="1"/>
  <c r="N273" i="1"/>
  <c r="M70" i="1"/>
  <c r="L878" i="1"/>
  <c r="M864" i="1"/>
  <c r="P693" i="1"/>
  <c r="P690" i="1" s="1"/>
  <c r="P608" i="1"/>
  <c r="M594" i="1"/>
  <c r="M590" i="1" s="1"/>
  <c r="O579" i="1"/>
  <c r="L1267" i="1"/>
  <c r="N987" i="1"/>
  <c r="N986" i="1" s="1"/>
  <c r="O876" i="1"/>
  <c r="L826" i="1"/>
  <c r="L631" i="1"/>
  <c r="N587" i="1"/>
  <c r="N586" i="1" s="1"/>
  <c r="M187" i="1"/>
  <c r="M186" i="1" s="1"/>
  <c r="N161" i="1"/>
  <c r="M656" i="1"/>
  <c r="O577" i="1"/>
  <c r="O101" i="1"/>
  <c r="O329" i="1" s="1"/>
  <c r="O795" i="1"/>
  <c r="O699" i="1"/>
  <c r="M608" i="1"/>
  <c r="O452" i="1"/>
  <c r="O451" i="1" s="1"/>
  <c r="M215" i="1"/>
  <c r="L161" i="1"/>
  <c r="M525" i="1"/>
  <c r="L699" i="1"/>
  <c r="N599" i="1"/>
  <c r="M545" i="1"/>
  <c r="M832" i="1"/>
  <c r="O769" i="1"/>
  <c r="O861" i="1" s="1"/>
  <c r="P680" i="1"/>
  <c r="O545" i="1"/>
  <c r="M58" i="1"/>
  <c r="M57" i="1" s="1"/>
  <c r="O680" i="1"/>
  <c r="M659" i="1"/>
  <c r="O568" i="1"/>
  <c r="N282" i="1"/>
  <c r="L1377" i="1"/>
  <c r="N1278" i="1"/>
  <c r="O994" i="1"/>
  <c r="O1007" i="1" s="1"/>
  <c r="O992" i="1"/>
  <c r="O993" i="1" s="1"/>
  <c r="N974" i="1"/>
  <c r="M876" i="1"/>
  <c r="O771" i="1"/>
  <c r="O768" i="1" s="1"/>
  <c r="P591" i="1"/>
  <c r="L572" i="1"/>
  <c r="P573" i="1"/>
  <c r="M298" i="1"/>
  <c r="M302" i="1" s="1"/>
  <c r="L282" i="1"/>
  <c r="O572" i="1"/>
  <c r="L974" i="1"/>
  <c r="P658" i="1"/>
  <c r="L655" i="1"/>
  <c r="O598" i="1"/>
  <c r="O151" i="1"/>
  <c r="M1477" i="1"/>
  <c r="P1472" i="1"/>
  <c r="L1465" i="1"/>
  <c r="O1396" i="1"/>
  <c r="O1392" i="1"/>
  <c r="N1388" i="1"/>
  <c r="N1380" i="1"/>
  <c r="M1384" i="1"/>
  <c r="P1266" i="1"/>
  <c r="L1272" i="1"/>
  <c r="N1046" i="1"/>
  <c r="L994" i="1"/>
  <c r="L1014" i="1" s="1"/>
  <c r="L1011" i="1" s="1"/>
  <c r="M970" i="1"/>
  <c r="P305" i="1"/>
  <c r="L23" i="1"/>
  <c r="L1714" i="1" s="1"/>
  <c r="M781" i="1"/>
  <c r="M865" i="1" s="1"/>
  <c r="O705" i="1"/>
  <c r="M614" i="1"/>
  <c r="P605" i="1"/>
  <c r="N525" i="1"/>
  <c r="M36" i="1"/>
  <c r="M658" i="1"/>
  <c r="L591" i="1"/>
  <c r="M401" i="1"/>
  <c r="L112" i="1"/>
  <c r="L340" i="1" s="1"/>
  <c r="L356" i="1" s="1"/>
  <c r="L501" i="1" s="1"/>
  <c r="L490" i="1" s="1"/>
  <c r="L36" i="1"/>
  <c r="M662" i="1"/>
  <c r="P661" i="1"/>
  <c r="N658" i="1"/>
  <c r="M530" i="1"/>
  <c r="P1684" i="1"/>
  <c r="L1645" i="1"/>
  <c r="L1641" i="1"/>
  <c r="O1592" i="1"/>
  <c r="P1588" i="1"/>
  <c r="L1545" i="1"/>
  <c r="N1508" i="1"/>
  <c r="O1480" i="1"/>
  <c r="M1472" i="1"/>
  <c r="N1464" i="1"/>
  <c r="N1460" i="1"/>
  <c r="P1307" i="1"/>
  <c r="P1303" i="1"/>
  <c r="N1281" i="1"/>
  <c r="P1273" i="1"/>
  <c r="M1270" i="1"/>
  <c r="L1305" i="1"/>
  <c r="P969" i="1"/>
  <c r="M937" i="1"/>
  <c r="L968" i="1"/>
  <c r="O860" i="1"/>
  <c r="O800" i="1"/>
  <c r="M695" i="1"/>
  <c r="L705" i="1"/>
  <c r="P701" i="1"/>
  <c r="N605" i="1"/>
  <c r="N604" i="1" s="1"/>
  <c r="L389" i="1"/>
  <c r="L397" i="1"/>
  <c r="M556" i="1"/>
  <c r="L106" i="1"/>
  <c r="L334" i="1" s="1"/>
  <c r="L350" i="1" s="1"/>
  <c r="L495" i="1" s="1"/>
  <c r="L484" i="1" s="1"/>
  <c r="O1025" i="1"/>
  <c r="O1022" i="1" s="1"/>
  <c r="O1021" i="1" s="1"/>
  <c r="P1114" i="1"/>
  <c r="L1114" i="1"/>
  <c r="P1099" i="1"/>
  <c r="L920" i="1"/>
  <c r="L1043" i="1"/>
  <c r="L1096" i="1" s="1"/>
  <c r="O920" i="1"/>
  <c r="N2234" i="1"/>
  <c r="P1047" i="1"/>
  <c r="M1731" i="1"/>
  <c r="M1043" i="1"/>
  <c r="M1069" i="1" s="1"/>
  <c r="M880" i="1"/>
  <c r="M563" i="1"/>
  <c r="N879" i="1"/>
  <c r="O1036" i="1"/>
  <c r="M1036" i="1"/>
  <c r="P270" i="1"/>
  <c r="P259" i="1" s="1"/>
  <c r="P1105" i="1"/>
  <c r="N1043" i="1"/>
  <c r="N1070" i="1" s="1"/>
  <c r="P1052" i="1"/>
  <c r="P1049" i="1" s="1"/>
  <c r="P1050" i="1" s="1"/>
  <c r="O2165" i="1"/>
  <c r="N2213" i="1"/>
  <c r="O2012" i="1"/>
  <c r="N2254" i="1"/>
  <c r="O2189" i="1"/>
  <c r="N2012" i="1"/>
  <c r="M2254" i="1"/>
  <c r="P2012" i="1"/>
  <c r="P2301" i="1"/>
  <c r="P2295" i="1" s="1"/>
  <c r="L2254" i="1"/>
  <c r="L2253" i="1" s="1"/>
  <c r="M2012" i="1"/>
  <c r="L2012" i="1"/>
  <c r="P1978" i="1"/>
  <c r="O1978" i="1"/>
  <c r="L1954" i="1"/>
  <c r="L2223" i="1"/>
  <c r="N1978" i="1"/>
  <c r="M1978" i="1"/>
  <c r="O2301" i="1"/>
  <c r="L1978" i="1"/>
  <c r="L2296" i="1"/>
  <c r="M2259" i="1"/>
  <c r="N2189" i="1"/>
  <c r="O2114" i="1"/>
  <c r="P1954" i="1"/>
  <c r="M2114" i="1"/>
  <c r="M2301" i="1"/>
  <c r="M2295" i="1" s="1"/>
  <c r="O2276" i="1"/>
  <c r="P2189" i="1"/>
  <c r="N2301" i="1"/>
  <c r="N2295" i="1" s="1"/>
  <c r="O2022" i="1"/>
  <c r="N2276" i="1"/>
  <c r="N2272" i="1" s="1"/>
  <c r="N2165" i="1"/>
  <c r="L2114" i="1"/>
  <c r="N2024" i="1"/>
  <c r="L2234" i="1"/>
  <c r="M2022" i="1"/>
  <c r="P2272" i="1"/>
  <c r="O2223" i="1"/>
  <c r="N1954" i="1"/>
  <c r="O2296" i="1"/>
  <c r="L2273" i="1"/>
  <c r="P2259" i="1"/>
  <c r="N2259" i="1"/>
  <c r="P2114" i="1"/>
  <c r="L2024" i="1"/>
  <c r="P2165" i="1"/>
  <c r="N2114" i="1"/>
  <c r="P2024" i="1"/>
  <c r="P2313" i="1"/>
  <c r="P2223" i="1"/>
  <c r="L2213" i="1"/>
  <c r="M2165" i="1"/>
  <c r="O2313" i="1"/>
  <c r="O2315" i="1"/>
  <c r="N2223" i="1"/>
  <c r="M2189" i="1"/>
  <c r="L2165" i="1"/>
  <c r="N2315" i="1"/>
  <c r="N2313" i="1"/>
  <c r="L2189" i="1"/>
  <c r="M2313" i="1"/>
  <c r="L2002" i="1"/>
  <c r="N1552" i="1"/>
  <c r="N1587" i="1"/>
  <c r="M2223" i="1"/>
  <c r="P2022" i="1"/>
  <c r="N2022" i="1"/>
  <c r="L1649" i="1"/>
  <c r="L1684" i="1"/>
  <c r="P1533" i="1"/>
  <c r="P1518" i="1"/>
  <c r="P2002" i="1"/>
  <c r="P1491" i="1"/>
  <c r="P1490" i="1" s="1"/>
  <c r="P1496" i="1"/>
  <c r="P2213" i="1"/>
  <c r="L2022" i="1"/>
  <c r="O1844" i="1"/>
  <c r="N1518" i="1"/>
  <c r="N1533" i="1"/>
  <c r="O2002" i="1"/>
  <c r="P1903" i="1"/>
  <c r="L2313" i="1"/>
  <c r="O2213" i="1"/>
  <c r="M1843" i="1"/>
  <c r="O1599" i="1"/>
  <c r="N1541" i="1"/>
  <c r="L1518" i="1"/>
  <c r="L1533" i="1"/>
  <c r="N2002" i="1"/>
  <c r="L1590" i="1"/>
  <c r="L1559" i="1"/>
  <c r="N1550" i="1"/>
  <c r="N1586" i="1"/>
  <c r="P1863" i="1"/>
  <c r="P1862" i="1" s="1"/>
  <c r="M2002" i="1"/>
  <c r="N1903" i="1"/>
  <c r="O1559" i="1"/>
  <c r="L1541" i="1"/>
  <c r="M1903" i="1"/>
  <c r="L1903" i="1"/>
  <c r="L1599" i="1"/>
  <c r="P1573" i="1"/>
  <c r="L1435" i="1"/>
  <c r="L1461" i="1"/>
  <c r="O1825" i="1"/>
  <c r="N1678" i="1"/>
  <c r="N1641" i="1"/>
  <c r="P1435" i="1"/>
  <c r="P1460" i="1"/>
  <c r="P1885" i="1"/>
  <c r="O1573" i="1"/>
  <c r="O1849" i="1"/>
  <c r="M1825" i="1"/>
  <c r="M1824" i="1" s="1"/>
  <c r="N1584" i="1"/>
  <c r="N1573" i="1"/>
  <c r="N1886" i="1"/>
  <c r="M1707" i="1"/>
  <c r="M1584" i="1"/>
  <c r="M1573" i="1"/>
  <c r="M1885" i="1"/>
  <c r="O1645" i="1"/>
  <c r="O1681" i="1"/>
  <c r="M1632" i="1"/>
  <c r="L1584" i="1"/>
  <c r="L1573" i="1"/>
  <c r="M1486" i="1"/>
  <c r="M1489" i="1"/>
  <c r="L1707" i="1"/>
  <c r="N1645" i="1"/>
  <c r="N1681" i="1"/>
  <c r="M1633" i="1"/>
  <c r="M1597" i="1"/>
  <c r="M1593" i="1" s="1"/>
  <c r="O1954" i="1"/>
  <c r="O1903" i="1"/>
  <c r="M1645" i="1"/>
  <c r="P1584" i="1"/>
  <c r="P1547" i="1"/>
  <c r="P1587" i="1"/>
  <c r="O1547" i="1"/>
  <c r="O1584" i="1"/>
  <c r="P1425" i="1"/>
  <c r="P1830" i="1"/>
  <c r="P1687" i="1"/>
  <c r="N1592" i="1"/>
  <c r="N1567" i="1"/>
  <c r="N1891" i="1"/>
  <c r="O1830" i="1"/>
  <c r="O1631" i="1"/>
  <c r="O1620" i="1"/>
  <c r="O1606" i="1"/>
  <c r="M1954" i="1"/>
  <c r="N1631" i="1"/>
  <c r="N1620" i="1"/>
  <c r="M1631" i="1"/>
  <c r="M1620" i="1"/>
  <c r="L1891" i="1"/>
  <c r="L1620" i="1"/>
  <c r="L1631" i="1"/>
  <c r="N1591" i="1"/>
  <c r="P1589" i="1"/>
  <c r="P1489" i="1"/>
  <c r="P1620" i="1"/>
  <c r="P1538" i="1"/>
  <c r="P1503" i="1"/>
  <c r="O1496" i="1"/>
  <c r="N1489" i="1"/>
  <c r="M1047" i="1"/>
  <c r="M1071" i="1"/>
  <c r="M1466" i="1"/>
  <c r="M1279" i="1"/>
  <c r="O1503" i="1"/>
  <c r="N1493" i="1"/>
  <c r="N1496" i="1"/>
  <c r="L1489" i="1"/>
  <c r="M1425" i="1"/>
  <c r="M1322" i="1"/>
  <c r="N1180" i="1"/>
  <c r="M1468" i="1"/>
  <c r="L1390" i="1"/>
  <c r="P1385" i="1"/>
  <c r="N1559" i="1"/>
  <c r="O1489" i="1"/>
  <c r="O1400" i="1"/>
  <c r="M1378" i="1"/>
  <c r="O1301" i="1"/>
  <c r="L1203" i="1"/>
  <c r="M1180" i="1"/>
  <c r="P1614" i="1"/>
  <c r="P1411" i="1"/>
  <c r="L1378" i="1"/>
  <c r="M1503" i="1"/>
  <c r="M1497" i="1" s="1"/>
  <c r="N1400" i="1"/>
  <c r="N1389" i="1"/>
  <c r="N1385" i="1"/>
  <c r="L1180" i="1"/>
  <c r="L1296" i="1"/>
  <c r="P1544" i="1"/>
  <c r="L1471" i="1"/>
  <c r="N1411" i="1"/>
  <c r="N1393" i="1"/>
  <c r="M1389" i="1"/>
  <c r="P1341" i="1"/>
  <c r="N1293" i="1"/>
  <c r="M1213" i="1"/>
  <c r="O1157" i="1"/>
  <c r="O1282" i="1"/>
  <c r="M1097" i="1"/>
  <c r="N1710" i="1"/>
  <c r="O1493" i="1"/>
  <c r="M1278" i="1"/>
  <c r="N1157" i="1"/>
  <c r="M1493" i="1"/>
  <c r="M1411" i="1"/>
  <c r="M1393" i="1"/>
  <c r="P1157" i="1"/>
  <c r="M1157" i="1"/>
  <c r="N1137" i="1"/>
  <c r="L1710" i="1"/>
  <c r="M1099" i="1"/>
  <c r="M1132" i="1"/>
  <c r="O1486" i="1"/>
  <c r="P1462" i="1"/>
  <c r="O1266" i="1"/>
  <c r="O1213" i="1"/>
  <c r="P1473" i="1"/>
  <c r="P1316" i="1"/>
  <c r="L1137" i="1"/>
  <c r="O1435" i="1"/>
  <c r="P1351" i="1"/>
  <c r="O1316" i="1"/>
  <c r="N1277" i="1"/>
  <c r="O1552" i="1"/>
  <c r="O1533" i="1"/>
  <c r="M1460" i="1"/>
  <c r="M1392" i="1"/>
  <c r="L1270" i="1"/>
  <c r="O1006" i="1"/>
  <c r="O1013" i="1"/>
  <c r="L1470" i="1"/>
  <c r="M1316" i="1"/>
  <c r="N1273" i="1"/>
  <c r="P1406" i="1"/>
  <c r="M1351" i="1"/>
  <c r="N1327" i="1"/>
  <c r="N1036" i="1"/>
  <c r="N1037" i="1"/>
  <c r="M1533" i="1"/>
  <c r="O1406" i="1"/>
  <c r="P1391" i="1"/>
  <c r="M1327" i="1"/>
  <c r="L1316" i="1"/>
  <c r="N1406" i="1"/>
  <c r="P1379" i="1"/>
  <c r="L1351" i="1"/>
  <c r="L1376" i="1"/>
  <c r="N1536" i="1"/>
  <c r="O1460" i="1"/>
  <c r="N1435" i="1"/>
  <c r="L1327" i="1"/>
  <c r="N1213" i="1"/>
  <c r="O1539" i="1"/>
  <c r="O1395" i="1"/>
  <c r="O1351" i="1"/>
  <c r="O1276" i="1"/>
  <c r="N1314" i="1"/>
  <c r="L1036" i="1"/>
  <c r="L1037" i="1"/>
  <c r="O1518" i="1"/>
  <c r="L1406" i="1"/>
  <c r="N1395" i="1"/>
  <c r="M1387" i="1"/>
  <c r="O1462" i="1"/>
  <c r="O1341" i="1"/>
  <c r="N1272" i="1"/>
  <c r="N1341" i="1"/>
  <c r="L1280" i="1"/>
  <c r="L1213" i="1"/>
  <c r="P1376" i="1"/>
  <c r="M1341" i="1"/>
  <c r="P1322" i="1"/>
  <c r="P1203" i="1"/>
  <c r="N1120" i="1"/>
  <c r="N1026" i="1"/>
  <c r="N1025" i="1" s="1"/>
  <c r="N1022" i="1" s="1"/>
  <c r="O1425" i="1"/>
  <c r="P1213" i="1"/>
  <c r="O1203" i="1"/>
  <c r="P1180" i="1"/>
  <c r="P997" i="1"/>
  <c r="P961" i="1"/>
  <c r="P933" i="1"/>
  <c r="L1265" i="1"/>
  <c r="N1112" i="1"/>
  <c r="L1062" i="1"/>
  <c r="O997" i="1"/>
  <c r="N997" i="1"/>
  <c r="N1351" i="1"/>
  <c r="L1103" i="1"/>
  <c r="M1070" i="1"/>
  <c r="O1062" i="1"/>
  <c r="M1025" i="1"/>
  <c r="M1022" i="1" s="1"/>
  <c r="L1088" i="1"/>
  <c r="M987" i="1"/>
  <c r="M986" i="1" s="1"/>
  <c r="L1120" i="1"/>
  <c r="L1026" i="1"/>
  <c r="L1025" i="1" s="1"/>
  <c r="L1022" i="1" s="1"/>
  <c r="L987" i="1"/>
  <c r="L986" i="1" s="1"/>
  <c r="P977" i="1"/>
  <c r="P927" i="1"/>
  <c r="P955" i="1"/>
  <c r="M1435" i="1"/>
  <c r="N1135" i="1"/>
  <c r="M1111" i="1"/>
  <c r="N1073" i="1"/>
  <c r="O977" i="1"/>
  <c r="O1079" i="1"/>
  <c r="O1122" i="1"/>
  <c r="N994" i="1"/>
  <c r="N1007" i="1" s="1"/>
  <c r="M1079" i="1"/>
  <c r="P1037" i="1"/>
  <c r="O1023" i="1"/>
  <c r="O1014" i="1"/>
  <c r="O1011" i="1" s="1"/>
  <c r="M977" i="1"/>
  <c r="M1273" i="1"/>
  <c r="O1133" i="1"/>
  <c r="M1122" i="1"/>
  <c r="L1101" i="1"/>
  <c r="L1133" i="1"/>
  <c r="M1073" i="1"/>
  <c r="L1122" i="1"/>
  <c r="P1072" i="1"/>
  <c r="P1098" i="1" s="1"/>
  <c r="M1011" i="1"/>
  <c r="M1052" i="1"/>
  <c r="M1049" i="1" s="1"/>
  <c r="M1050" i="1" s="1"/>
  <c r="P1120" i="1"/>
  <c r="N1109" i="1"/>
  <c r="M1060" i="1"/>
  <c r="P1033" i="1"/>
  <c r="P1034" i="1" s="1"/>
  <c r="L1093" i="1"/>
  <c r="N1072" i="1"/>
  <c r="N1098" i="1" s="1"/>
  <c r="L1052" i="1"/>
  <c r="L1049" i="1" s="1"/>
  <c r="L1050" i="1" s="1"/>
  <c r="N1284" i="1"/>
  <c r="P1065" i="1"/>
  <c r="M1037" i="1"/>
  <c r="L1132" i="1"/>
  <c r="L1007" i="1"/>
  <c r="L1126" i="1" s="1"/>
  <c r="N1110" i="1"/>
  <c r="L1033" i="1"/>
  <c r="L1034" i="1" s="1"/>
  <c r="M1007" i="1"/>
  <c r="L992" i="1"/>
  <c r="L993" i="1" s="1"/>
  <c r="M1023" i="1"/>
  <c r="O1137" i="1"/>
  <c r="L1065" i="1"/>
  <c r="L1023" i="1"/>
  <c r="P1036" i="1"/>
  <c r="M974" i="1"/>
  <c r="M1137" i="1"/>
  <c r="L1127" i="1"/>
  <c r="P1005" i="1"/>
  <c r="P1002" i="1" s="1"/>
  <c r="N990" i="1"/>
  <c r="P1306" i="1"/>
  <c r="O1180" i="1"/>
  <c r="M1077" i="1"/>
  <c r="M990" i="1"/>
  <c r="M1113" i="1"/>
  <c r="M1005" i="1"/>
  <c r="M1002" i="1" s="1"/>
  <c r="L990" i="1"/>
  <c r="O1152" i="1"/>
  <c r="O1113" i="1"/>
  <c r="N956" i="1"/>
  <c r="M823" i="1"/>
  <c r="O781" i="1"/>
  <c r="O865" i="1" s="1"/>
  <c r="O864" i="1"/>
  <c r="P769" i="1"/>
  <c r="P861" i="1" s="1"/>
  <c r="M765" i="1"/>
  <c r="M858" i="1" s="1"/>
  <c r="M956" i="1"/>
  <c r="O900" i="1"/>
  <c r="O923" i="1"/>
  <c r="O894" i="1"/>
  <c r="L862" i="1"/>
  <c r="L823" i="1"/>
  <c r="N863" i="1"/>
  <c r="N781" i="1"/>
  <c r="N865" i="1" s="1"/>
  <c r="N661" i="1"/>
  <c r="M661" i="1"/>
  <c r="M641" i="1"/>
  <c r="L604" i="1"/>
  <c r="M949" i="1"/>
  <c r="N923" i="1"/>
  <c r="N894" i="1"/>
  <c r="P823" i="1"/>
  <c r="M784" i="1"/>
  <c r="N877" i="1"/>
  <c r="M810" i="1"/>
  <c r="M879" i="1"/>
  <c r="P713" i="1"/>
  <c r="P712" i="1"/>
  <c r="M900" i="1"/>
  <c r="M923" i="1"/>
  <c r="L863" i="1"/>
  <c r="L781" i="1"/>
  <c r="L865" i="1" s="1"/>
  <c r="L784" i="1"/>
  <c r="N703" i="1"/>
  <c r="O947" i="1"/>
  <c r="O969" i="1"/>
  <c r="O959" i="1"/>
  <c r="O933" i="1"/>
  <c r="P810" i="1"/>
  <c r="P879" i="1"/>
  <c r="N769" i="1"/>
  <c r="N861" i="1" s="1"/>
  <c r="P281" i="1"/>
  <c r="P798" i="1"/>
  <c r="O955" i="1"/>
  <c r="N947" i="1"/>
  <c r="N969" i="1"/>
  <c r="L894" i="1"/>
  <c r="L900" i="1"/>
  <c r="L923" i="1"/>
  <c r="L701" i="1"/>
  <c r="N694" i="1"/>
  <c r="N691" i="1" s="1"/>
  <c r="N700" i="1"/>
  <c r="O626" i="1"/>
  <c r="M959" i="1"/>
  <c r="M933" i="1"/>
  <c r="N850" i="1"/>
  <c r="N880" i="1"/>
  <c r="L771" i="1"/>
  <c r="L768" i="1" s="1"/>
  <c r="L763" i="1" s="1"/>
  <c r="L773" i="1"/>
  <c r="L769" i="1" s="1"/>
  <c r="L861" i="1" s="1"/>
  <c r="P741" i="1"/>
  <c r="P735" i="1" s="1"/>
  <c r="L672" i="1"/>
  <c r="L694" i="1"/>
  <c r="L691" i="1" s="1"/>
  <c r="L959" i="1"/>
  <c r="L933" i="1"/>
  <c r="P894" i="1"/>
  <c r="P900" i="1"/>
  <c r="N660" i="1"/>
  <c r="N651" i="1"/>
  <c r="N795" i="1"/>
  <c r="M103" i="1"/>
  <c r="M196" i="1"/>
  <c r="M193" i="1" s="1"/>
  <c r="L1005" i="1"/>
  <c r="L1002" i="1" s="1"/>
  <c r="N977" i="1"/>
  <c r="O717" i="1"/>
  <c r="O714" i="1" s="1"/>
  <c r="O731" i="1"/>
  <c r="M673" i="1"/>
  <c r="M670" i="1" s="1"/>
  <c r="M671" i="1"/>
  <c r="M693" i="1"/>
  <c r="M660" i="1"/>
  <c r="M651" i="1"/>
  <c r="O646" i="1"/>
  <c r="O656" i="1"/>
  <c r="M795" i="1"/>
  <c r="N933" i="1"/>
  <c r="N920" i="1"/>
  <c r="M817" i="1"/>
  <c r="O269" i="1"/>
  <c r="O258" i="1" s="1"/>
  <c r="M1004" i="1"/>
  <c r="P993" i="1"/>
  <c r="L864" i="1"/>
  <c r="M538" i="1"/>
  <c r="N992" i="1"/>
  <c r="N993" i="1" s="1"/>
  <c r="L626" i="1"/>
  <c r="L624" i="1" s="1"/>
  <c r="L537" i="1"/>
  <c r="M992" i="1"/>
  <c r="M993" i="1" s="1"/>
  <c r="M968" i="1"/>
  <c r="N723" i="1"/>
  <c r="N730" i="1"/>
  <c r="O713" i="1"/>
  <c r="O710" i="1"/>
  <c r="N601" i="1"/>
  <c r="N612" i="1"/>
  <c r="N713" i="1"/>
  <c r="N710" i="1"/>
  <c r="M672" i="1"/>
  <c r="M694" i="1"/>
  <c r="M691" i="1" s="1"/>
  <c r="N970" i="1"/>
  <c r="N917" i="1"/>
  <c r="P864" i="1"/>
  <c r="M859" i="1"/>
  <c r="P644" i="1"/>
  <c r="M612" i="1"/>
  <c r="M601" i="1"/>
  <c r="L879" i="1"/>
  <c r="O659" i="1"/>
  <c r="O655" i="1"/>
  <c r="P599" i="1"/>
  <c r="L554" i="1"/>
  <c r="L917" i="1"/>
  <c r="L970" i="1"/>
  <c r="N864" i="1"/>
  <c r="N826" i="1"/>
  <c r="P730" i="1"/>
  <c r="P715" i="1"/>
  <c r="N624" i="1"/>
  <c r="P695" i="1"/>
  <c r="P704" i="1"/>
  <c r="P987" i="1"/>
  <c r="L888" i="1"/>
  <c r="L441" i="1"/>
  <c r="O282" i="1"/>
  <c r="O799" i="1"/>
  <c r="N70" i="1"/>
  <c r="N75" i="1"/>
  <c r="N74" i="1" s="1"/>
  <c r="N526" i="1"/>
  <c r="P717" i="1"/>
  <c r="L671" i="1"/>
  <c r="L702" i="1"/>
  <c r="O987" i="1"/>
  <c r="P960" i="1"/>
  <c r="P910" i="1"/>
  <c r="P942" i="1" s="1"/>
  <c r="P965" i="1" s="1"/>
  <c r="P909" i="1"/>
  <c r="P941" i="1" s="1"/>
  <c r="P964" i="1" s="1"/>
  <c r="O889" i="1"/>
  <c r="O891" i="1"/>
  <c r="O888" i="1" s="1"/>
  <c r="O887" i="1" s="1"/>
  <c r="P846" i="1"/>
  <c r="P878" i="1"/>
  <c r="N695" i="1"/>
  <c r="N911" i="1"/>
  <c r="N943" i="1" s="1"/>
  <c r="N966" i="1" s="1"/>
  <c r="N518" i="1"/>
  <c r="O910" i="1"/>
  <c r="O942" i="1" s="1"/>
  <c r="O965" i="1" s="1"/>
  <c r="O908" i="1"/>
  <c r="O940" i="1" s="1"/>
  <c r="O963" i="1" s="1"/>
  <c r="O909" i="1"/>
  <c r="O941" i="1" s="1"/>
  <c r="O964" i="1" s="1"/>
  <c r="P598" i="1"/>
  <c r="N442" i="1"/>
  <c r="N443" i="1"/>
  <c r="M566" i="1"/>
  <c r="M800" i="1"/>
  <c r="L997" i="1"/>
  <c r="N908" i="1"/>
  <c r="N940" i="1" s="1"/>
  <c r="N963" i="1" s="1"/>
  <c r="N910" i="1"/>
  <c r="N942" i="1" s="1"/>
  <c r="N965" i="1" s="1"/>
  <c r="M889" i="1"/>
  <c r="M891" i="1"/>
  <c r="M888" i="1" s="1"/>
  <c r="M887" i="1" s="1"/>
  <c r="M969" i="1"/>
  <c r="M960" i="1"/>
  <c r="P970" i="1"/>
  <c r="P949" i="1"/>
  <c r="N784" i="1"/>
  <c r="L765" i="1"/>
  <c r="L858" i="1" s="1"/>
  <c r="L859" i="1"/>
  <c r="L817" i="1"/>
  <c r="M741" i="1"/>
  <c r="M735" i="1" s="1"/>
  <c r="N705" i="1"/>
  <c r="L969" i="1"/>
  <c r="O970" i="1"/>
  <c r="O949" i="1"/>
  <c r="L908" i="1"/>
  <c r="L940" i="1" s="1"/>
  <c r="L963" i="1" s="1"/>
  <c r="L910" i="1"/>
  <c r="L942" i="1" s="1"/>
  <c r="L965" i="1" s="1"/>
  <c r="P862" i="1"/>
  <c r="P763" i="1"/>
  <c r="P656" i="1"/>
  <c r="P459" i="1"/>
  <c r="P580" i="1"/>
  <c r="O240" i="1"/>
  <c r="O943" i="1"/>
  <c r="O966" i="1" s="1"/>
  <c r="P881" i="1"/>
  <c r="P852" i="1"/>
  <c r="O763" i="1"/>
  <c r="M714" i="1"/>
  <c r="O956" i="1"/>
  <c r="O912" i="1"/>
  <c r="O967" i="1" s="1"/>
  <c r="O881" i="1"/>
  <c r="O852" i="1"/>
  <c r="N862" i="1"/>
  <c r="N823" i="1"/>
  <c r="P784" i="1"/>
  <c r="N763" i="1"/>
  <c r="O701" i="1"/>
  <c r="N459" i="1"/>
  <c r="N580" i="1"/>
  <c r="P781" i="1"/>
  <c r="P865" i="1" s="1"/>
  <c r="O730" i="1"/>
  <c r="N702" i="1"/>
  <c r="M580" i="1"/>
  <c r="N554" i="1"/>
  <c r="P110" i="1"/>
  <c r="M264" i="1"/>
  <c r="M253" i="1" s="1"/>
  <c r="O82" i="1"/>
  <c r="O529" i="1"/>
  <c r="N64" i="1"/>
  <c r="N522" i="1"/>
  <c r="M826" i="1"/>
  <c r="P672" i="1"/>
  <c r="N461" i="1"/>
  <c r="N581" i="1"/>
  <c r="O379" i="1"/>
  <c r="N145" i="1"/>
  <c r="M894" i="1"/>
  <c r="O694" i="1"/>
  <c r="O691" i="1" s="1"/>
  <c r="O693" i="1"/>
  <c r="L550" i="1"/>
  <c r="L526" i="1"/>
  <c r="O270" i="1"/>
  <c r="O259" i="1" s="1"/>
  <c r="P104" i="1"/>
  <c r="M82" i="1"/>
  <c r="M529" i="1"/>
  <c r="N23" i="1"/>
  <c r="O878" i="1"/>
  <c r="O695" i="1"/>
  <c r="N626" i="1"/>
  <c r="L613" i="1"/>
  <c r="P442" i="1"/>
  <c r="P441" i="1" s="1"/>
  <c r="P443" i="1"/>
  <c r="P539" i="1"/>
  <c r="P566" i="1"/>
  <c r="P103" i="1"/>
  <c r="P331" i="1" s="1"/>
  <c r="P347" i="1" s="1"/>
  <c r="P426" i="1" s="1"/>
  <c r="P196" i="1"/>
  <c r="P193" i="1" s="1"/>
  <c r="L82" i="1"/>
  <c r="L529" i="1"/>
  <c r="P70" i="1"/>
  <c r="P526" i="1"/>
  <c r="P75" i="1"/>
  <c r="P74" i="1" s="1"/>
  <c r="N878" i="1"/>
  <c r="P819" i="1"/>
  <c r="L800" i="1"/>
  <c r="M599" i="1"/>
  <c r="L549" i="1"/>
  <c r="N298" i="1"/>
  <c r="N302" i="1" s="1"/>
  <c r="M161" i="1"/>
  <c r="L58" i="1"/>
  <c r="M680" i="1"/>
  <c r="O612" i="1"/>
  <c r="L566" i="1"/>
  <c r="N536" i="1"/>
  <c r="M443" i="1"/>
  <c r="M442" i="1"/>
  <c r="M441" i="1" s="1"/>
  <c r="O401" i="1"/>
  <c r="O206" i="1"/>
  <c r="M151" i="1"/>
  <c r="M329" i="1"/>
  <c r="M345" i="1" s="1"/>
  <c r="P149" i="1"/>
  <c r="P659" i="1"/>
  <c r="O173" i="1"/>
  <c r="O823" i="1"/>
  <c r="L799" i="1"/>
  <c r="N646" i="1"/>
  <c r="O605" i="1"/>
  <c r="O604" i="1" s="1"/>
  <c r="N594" i="1"/>
  <c r="O576" i="1"/>
  <c r="M366" i="1"/>
  <c r="P35" i="1"/>
  <c r="P1725" i="1" s="1"/>
  <c r="M877" i="1"/>
  <c r="P401" i="1"/>
  <c r="N288" i="1"/>
  <c r="L269" i="1"/>
  <c r="L258" i="1" s="1"/>
  <c r="P572" i="1"/>
  <c r="M328" i="1"/>
  <c r="M344" i="1" s="1"/>
  <c r="O51" i="1"/>
  <c r="O1740" i="1" s="1"/>
  <c r="L877" i="1"/>
  <c r="P765" i="1"/>
  <c r="P858" i="1" s="1"/>
  <c r="P655" i="1"/>
  <c r="M646" i="1"/>
  <c r="L612" i="1"/>
  <c r="M576" i="1"/>
  <c r="N401" i="1"/>
  <c r="N377" i="1"/>
  <c r="M536" i="1"/>
  <c r="O237" i="1"/>
  <c r="O236" i="1" s="1"/>
  <c r="O238" i="1"/>
  <c r="P577" i="1"/>
  <c r="P222" i="1"/>
  <c r="P221" i="1" s="1"/>
  <c r="L567" i="1"/>
  <c r="L173" i="1"/>
  <c r="O765" i="1"/>
  <c r="O858" i="1" s="1"/>
  <c r="M699" i="1"/>
  <c r="N659" i="1"/>
  <c r="L646" i="1"/>
  <c r="L656" i="1"/>
  <c r="M598" i="1"/>
  <c r="O575" i="1"/>
  <c r="L452" i="1"/>
  <c r="L451" i="1" s="1"/>
  <c r="L449" i="1"/>
  <c r="O268" i="1"/>
  <c r="O257" i="1" s="1"/>
  <c r="P214" i="1"/>
  <c r="P213" i="1" s="1"/>
  <c r="O331" i="1"/>
  <c r="O196" i="1"/>
  <c r="O193" i="1" s="1"/>
  <c r="N267" i="1"/>
  <c r="N256" i="1" s="1"/>
  <c r="P195" i="1"/>
  <c r="N35" i="1"/>
  <c r="N1725" i="1" s="1"/>
  <c r="N765" i="1"/>
  <c r="N858" i="1" s="1"/>
  <c r="L594" i="1"/>
  <c r="P556" i="1"/>
  <c r="O566" i="1"/>
  <c r="M238" i="1"/>
  <c r="O211" i="1"/>
  <c r="O214" i="1"/>
  <c r="O213" i="1" s="1"/>
  <c r="N110" i="1"/>
  <c r="P891" i="1"/>
  <c r="P888" i="1" s="1"/>
  <c r="O686" i="1"/>
  <c r="M655" i="1"/>
  <c r="O601" i="1"/>
  <c r="L598" i="1"/>
  <c r="O556" i="1"/>
  <c r="M288" i="1"/>
  <c r="N268" i="1"/>
  <c r="N257" i="1" s="1"/>
  <c r="M222" i="1"/>
  <c r="M221" i="1" s="1"/>
  <c r="M219" i="1"/>
  <c r="N202" i="1"/>
  <c r="N205" i="1" s="1"/>
  <c r="M269" i="1"/>
  <c r="M258" i="1" s="1"/>
  <c r="M35" i="1"/>
  <c r="M1725" i="1" s="1"/>
  <c r="L710" i="1"/>
  <c r="L659" i="1"/>
  <c r="P641" i="1"/>
  <c r="N509" i="1"/>
  <c r="L219" i="1"/>
  <c r="L210" i="1" s="1"/>
  <c r="M148" i="1"/>
  <c r="N113" i="1"/>
  <c r="P107" i="1"/>
  <c r="M195" i="1"/>
  <c r="M547" i="1"/>
  <c r="M113" i="1"/>
  <c r="L195" i="1"/>
  <c r="N671" i="1"/>
  <c r="L601" i="1"/>
  <c r="O523" i="1"/>
  <c r="O294" i="1"/>
  <c r="P211" i="1"/>
  <c r="P210" i="1" s="1"/>
  <c r="O188" i="1"/>
  <c r="P147" i="1"/>
  <c r="L272" i="1"/>
  <c r="L261" i="1" s="1"/>
  <c r="N266" i="1"/>
  <c r="N255" i="1" s="1"/>
  <c r="N107" i="1"/>
  <c r="P101" i="1"/>
  <c r="P329" i="1" s="1"/>
  <c r="P345" i="1" s="1"/>
  <c r="P531" i="1"/>
  <c r="M686" i="1"/>
  <c r="P417" i="1"/>
  <c r="P416" i="1" s="1"/>
  <c r="N294" i="1"/>
  <c r="N523" i="1"/>
  <c r="P202" i="1"/>
  <c r="P205" i="1" s="1"/>
  <c r="P455" i="1"/>
  <c r="P578" i="1"/>
  <c r="O553" i="1"/>
  <c r="P533" i="1"/>
  <c r="M523" i="1"/>
  <c r="M294" i="1"/>
  <c r="M188" i="1"/>
  <c r="O169" i="1"/>
  <c r="O29" i="1"/>
  <c r="O1720" i="1" s="1"/>
  <c r="P541" i="1"/>
  <c r="P500" i="1"/>
  <c r="O578" i="1"/>
  <c r="O455" i="1"/>
  <c r="O440" i="1" s="1"/>
  <c r="N527" i="1"/>
  <c r="L294" i="1"/>
  <c r="L523" i="1"/>
  <c r="O202" i="1"/>
  <c r="O205" i="1" s="1"/>
  <c r="N565" i="1"/>
  <c r="P337" i="1"/>
  <c r="P353" i="1" s="1"/>
  <c r="L75" i="1"/>
  <c r="L74" i="1" s="1"/>
  <c r="P3" i="1"/>
  <c r="P880" i="1"/>
  <c r="P863" i="1"/>
  <c r="P686" i="1"/>
  <c r="L587" i="1"/>
  <c r="L586" i="1" s="1"/>
  <c r="L542" i="1"/>
  <c r="P436" i="1"/>
  <c r="P550" i="1"/>
  <c r="M417" i="1"/>
  <c r="M416" i="1" s="1"/>
  <c r="M415" i="1"/>
  <c r="M414" i="1" s="1"/>
  <c r="M265" i="1"/>
  <c r="M254" i="1" s="1"/>
  <c r="L368" i="1"/>
  <c r="P528" i="1"/>
  <c r="L704" i="1"/>
  <c r="N686" i="1"/>
  <c r="O636" i="1"/>
  <c r="O634" i="1" s="1"/>
  <c r="P614" i="1"/>
  <c r="P581" i="1"/>
  <c r="N503" i="1"/>
  <c r="N356" i="1"/>
  <c r="O345" i="1"/>
  <c r="O531" i="1"/>
  <c r="N305" i="1"/>
  <c r="N469" i="1"/>
  <c r="N468" i="1" s="1"/>
  <c r="P264" i="1"/>
  <c r="P253" i="1" s="1"/>
  <c r="O266" i="1"/>
  <c r="O255" i="1" s="1"/>
  <c r="L576" i="1"/>
  <c r="M208" i="1"/>
  <c r="L518" i="1"/>
  <c r="L169" i="1"/>
  <c r="P801" i="1"/>
  <c r="L686" i="1"/>
  <c r="P631" i="1"/>
  <c r="O581" i="1"/>
  <c r="O528" i="1"/>
  <c r="M367" i="1"/>
  <c r="M542" i="1"/>
  <c r="N151" i="1"/>
  <c r="N106" i="1"/>
  <c r="N334" i="1" s="1"/>
  <c r="N350" i="1" s="1"/>
  <c r="N495" i="1" s="1"/>
  <c r="N484" i="1" s="1"/>
  <c r="N265" i="1"/>
  <c r="N254" i="1" s="1"/>
  <c r="O49" i="1"/>
  <c r="L42" i="1"/>
  <c r="L880" i="1"/>
  <c r="N636" i="1"/>
  <c r="P613" i="1"/>
  <c r="P271" i="1"/>
  <c r="P260" i="1" s="1"/>
  <c r="P340" i="1"/>
  <c r="M266" i="1"/>
  <c r="M255" i="1" s="1"/>
  <c r="O187" i="1"/>
  <c r="O186" i="1" s="1"/>
  <c r="O184" i="1"/>
  <c r="N717" i="1"/>
  <c r="N714" i="1" s="1"/>
  <c r="M636" i="1"/>
  <c r="O281" i="1"/>
  <c r="O798" i="1"/>
  <c r="N183" i="1"/>
  <c r="N187" i="1"/>
  <c r="N186" i="1" s="1"/>
  <c r="N184" i="1"/>
  <c r="M146" i="1"/>
  <c r="O107" i="1"/>
  <c r="L305" i="1"/>
  <c r="M66" i="1"/>
  <c r="O879" i="1"/>
  <c r="P826" i="1"/>
  <c r="P702" i="1"/>
  <c r="N591" i="1"/>
  <c r="O580" i="1"/>
  <c r="O551" i="1"/>
  <c r="M527" i="1"/>
  <c r="L455" i="1"/>
  <c r="N370" i="1"/>
  <c r="N271" i="1"/>
  <c r="N260" i="1" s="1"/>
  <c r="P265" i="1"/>
  <c r="P254" i="1" s="1"/>
  <c r="N204" i="1"/>
  <c r="N197" i="1"/>
  <c r="L545" i="1"/>
  <c r="M541" i="1"/>
  <c r="M270" i="1"/>
  <c r="M259" i="1" s="1"/>
  <c r="O264" i="1"/>
  <c r="O253" i="1" s="1"/>
  <c r="O702" i="1"/>
  <c r="M703" i="1"/>
  <c r="L636" i="1"/>
  <c r="L634" i="1" s="1"/>
  <c r="P626" i="1"/>
  <c r="P298" i="1"/>
  <c r="P302" i="1" s="1"/>
  <c r="P303" i="1"/>
  <c r="L201" i="1"/>
  <c r="L197" i="1"/>
  <c r="L183" i="1"/>
  <c r="L184" i="1"/>
  <c r="L187" i="1"/>
  <c r="L186" i="1" s="1"/>
  <c r="O104" i="1"/>
  <c r="L270" i="1"/>
  <c r="L259" i="1" s="1"/>
  <c r="N264" i="1"/>
  <c r="N253" i="1" s="1"/>
  <c r="P82" i="1"/>
  <c r="P99" i="1"/>
  <c r="P327" i="1" s="1"/>
  <c r="P343" i="1" s="1"/>
  <c r="P58" i="1"/>
  <c r="M568" i="1"/>
  <c r="M149" i="1"/>
  <c r="O267" i="1"/>
  <c r="O256" i="1" s="1"/>
  <c r="L188" i="1"/>
  <c r="L103" i="1"/>
  <c r="L331" i="1" s="1"/>
  <c r="O70" i="1"/>
  <c r="N58" i="1"/>
  <c r="N222" i="1"/>
  <c r="N221" i="1" s="1"/>
  <c r="N577" i="1"/>
  <c r="L214" i="1"/>
  <c r="L213" i="1" s="1"/>
  <c r="P188" i="1"/>
  <c r="O161" i="1"/>
  <c r="N270" i="1"/>
  <c r="N259" i="1" s="1"/>
  <c r="N195" i="1"/>
  <c r="P525" i="1"/>
  <c r="O35" i="1"/>
  <c r="O1725" i="1" s="1"/>
  <c r="P234" i="1"/>
  <c r="P239" i="1"/>
  <c r="P238" i="1" s="1"/>
  <c r="N219" i="1"/>
  <c r="N210" i="1" s="1"/>
  <c r="M572" i="1"/>
  <c r="L107" i="1"/>
  <c r="L335" i="1" s="1"/>
  <c r="L351" i="1" s="1"/>
  <c r="N101" i="1"/>
  <c r="N329" i="1" s="1"/>
  <c r="N345" i="1" s="1"/>
  <c r="P47" i="1"/>
  <c r="O66" i="1"/>
  <c r="L273" i="1"/>
  <c r="P576" i="1"/>
  <c r="P29" i="1"/>
  <c r="P1720" i="1" s="1"/>
  <c r="P146" i="1"/>
  <c r="P545" i="1"/>
  <c r="L66" i="1"/>
  <c r="P51" i="1"/>
  <c r="N29" i="1"/>
  <c r="N1720" i="1" s="1"/>
  <c r="O146" i="1"/>
  <c r="O111" i="1"/>
  <c r="O339" i="1" s="1"/>
  <c r="O355" i="1" s="1"/>
  <c r="O541" i="1"/>
  <c r="M29" i="1"/>
  <c r="M1720" i="1" s="1"/>
  <c r="P8" i="1"/>
  <c r="P1747" i="1" s="1"/>
  <c r="M554" i="1"/>
  <c r="L265" i="1"/>
  <c r="L254" i="1" s="1"/>
  <c r="P269" i="1"/>
  <c r="P258" i="1" s="1"/>
  <c r="N578" i="1"/>
  <c r="P187" i="1"/>
  <c r="P186" i="1" s="1"/>
  <c r="L571" i="1"/>
  <c r="L29" i="1"/>
  <c r="L1720" i="1" s="1"/>
  <c r="L47" i="1"/>
  <c r="L1617" i="1" s="1"/>
  <c r="L49" i="1"/>
  <c r="M51" i="1"/>
  <c r="M1740" i="1" s="1"/>
  <c r="L51" i="1"/>
  <c r="P23" i="1"/>
  <c r="O12" i="1"/>
  <c r="O1751" i="1" s="1"/>
  <c r="O3" i="1"/>
  <c r="M305" i="1"/>
  <c r="N337" i="1"/>
  <c r="P169" i="1"/>
  <c r="L544" i="1"/>
  <c r="P64" i="1"/>
  <c r="P522" i="1"/>
  <c r="M34" i="1"/>
  <c r="O23" i="1"/>
  <c r="L8" i="1"/>
  <c r="L1747" i="1" s="1"/>
  <c r="N3" i="1"/>
  <c r="O671" i="1"/>
  <c r="L581" i="1"/>
  <c r="N173" i="1"/>
  <c r="M550" i="1"/>
  <c r="M3" i="1"/>
  <c r="M587" i="1"/>
  <c r="M586" i="1" s="1"/>
  <c r="M449" i="1"/>
  <c r="M452" i="1"/>
  <c r="M451" i="1" s="1"/>
  <c r="N344" i="1"/>
  <c r="P151" i="1"/>
  <c r="L555" i="1"/>
  <c r="L109" i="1"/>
  <c r="O74" i="1"/>
  <c r="P12" i="1"/>
  <c r="P1751" i="1" s="1"/>
  <c r="O102" i="1"/>
  <c r="N99" i="1"/>
  <c r="N327" i="1" s="1"/>
  <c r="N343" i="1" s="1"/>
  <c r="L12" i="1"/>
  <c r="L1751" i="1" s="1"/>
  <c r="L264" i="1"/>
  <c r="L253" i="1" s="1"/>
  <c r="M112" i="1"/>
  <c r="O106" i="1"/>
  <c r="L101" i="1"/>
  <c r="L329" i="1" s="1"/>
  <c r="L345" i="1" s="1"/>
  <c r="N51" i="1"/>
  <c r="M23" i="1"/>
  <c r="L3" i="1"/>
  <c r="M147" i="1"/>
  <c r="P549" i="1"/>
  <c r="M544" i="1"/>
  <c r="N529" i="1"/>
  <c r="N239" i="1"/>
  <c r="L239" i="1"/>
  <c r="M47" i="1"/>
  <c r="L35" i="1"/>
  <c r="L1725" i="1" s="1"/>
  <c r="G106" i="1"/>
  <c r="H106" i="1"/>
  <c r="I103" i="1"/>
  <c r="I107" i="1"/>
  <c r="I102" i="1"/>
  <c r="H110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L644" i="1" l="1"/>
  <c r="L1206" i="1"/>
  <c r="O1012" i="1"/>
  <c r="O1664" i="1"/>
  <c r="O1759" i="1"/>
  <c r="Q210" i="1"/>
  <c r="Q182" i="1" s="1"/>
  <c r="N1071" i="1"/>
  <c r="O210" i="1"/>
  <c r="M38" i="1"/>
  <c r="M1658" i="1"/>
  <c r="M1659" i="1" s="1"/>
  <c r="N1562" i="1"/>
  <c r="L1593" i="1"/>
  <c r="M604" i="1"/>
  <c r="M1609" i="1"/>
  <c r="L1546" i="1"/>
  <c r="L1555" i="1"/>
  <c r="Q575" i="1"/>
  <c r="N1824" i="1"/>
  <c r="M1314" i="1"/>
  <c r="L1885" i="1"/>
  <c r="N634" i="1"/>
  <c r="Q1098" i="1"/>
  <c r="Q1093" i="1" s="1"/>
  <c r="O1617" i="1"/>
  <c r="O1616" i="1" s="1"/>
  <c r="O1615" i="1" s="1"/>
  <c r="N882" i="1"/>
  <c r="N1330" i="1"/>
  <c r="P374" i="1"/>
  <c r="Q1570" i="1"/>
  <c r="Q1569" i="1" s="1"/>
  <c r="Q1568" i="1" s="1"/>
  <c r="M1330" i="1"/>
  <c r="N49" i="1"/>
  <c r="P738" i="1" a="1"/>
  <c r="P738" i="1" s="1"/>
  <c r="P736" i="1" a="1"/>
  <c r="P736" i="1" s="1"/>
  <c r="N2050" i="1"/>
  <c r="L2233" i="1"/>
  <c r="L1570" i="1"/>
  <c r="O1885" i="1"/>
  <c r="O1429" i="1"/>
  <c r="O1618" i="1"/>
  <c r="O1345" i="1"/>
  <c r="O1207" i="1"/>
  <c r="O1571" i="1"/>
  <c r="M738" i="1" a="1"/>
  <c r="M738" i="1" s="1"/>
  <c r="M736" i="1" a="1"/>
  <c r="M736" i="1" s="1"/>
  <c r="O1160" i="1"/>
  <c r="N1183" i="1"/>
  <c r="P590" i="1"/>
  <c r="M2050" i="1"/>
  <c r="Q763" i="1"/>
  <c r="Q1314" i="1"/>
  <c r="Q1206" i="1"/>
  <c r="P1428" i="1"/>
  <c r="N1497" i="1"/>
  <c r="N1511" i="1"/>
  <c r="O1511" i="1"/>
  <c r="L1070" i="1"/>
  <c r="N1736" i="1"/>
  <c r="N1206" i="1"/>
  <c r="L1344" i="1"/>
  <c r="P1759" i="1"/>
  <c r="Q1429" i="1"/>
  <c r="Q1207" i="1"/>
  <c r="Q1618" i="1"/>
  <c r="Q1616" i="1" s="1"/>
  <c r="Q1615" i="1" s="1"/>
  <c r="Q1571" i="1"/>
  <c r="Q1345" i="1"/>
  <c r="M1759" i="1"/>
  <c r="L1862" i="1"/>
  <c r="L1330" i="1"/>
  <c r="P2253" i="1"/>
  <c r="L1183" i="1"/>
  <c r="O1602" i="1"/>
  <c r="Q1862" i="1"/>
  <c r="O2253" i="1"/>
  <c r="O2233" i="1" s="1"/>
  <c r="P1602" i="1"/>
  <c r="N1160" i="1"/>
  <c r="O1206" i="1"/>
  <c r="O1205" i="1" s="1"/>
  <c r="O1204" i="1" s="1"/>
  <c r="L2272" i="1"/>
  <c r="L1571" i="1"/>
  <c r="L1429" i="1"/>
  <c r="L1345" i="1"/>
  <c r="L1618" i="1"/>
  <c r="L1207" i="1"/>
  <c r="L200" i="1"/>
  <c r="M1414" i="1"/>
  <c r="N1759" i="1"/>
  <c r="N1731" i="1"/>
  <c r="L1759" i="1"/>
  <c r="P1511" i="1"/>
  <c r="P1314" i="1"/>
  <c r="P1206" i="1"/>
  <c r="M634" i="1"/>
  <c r="O1344" i="1"/>
  <c r="O1343" i="1" s="1"/>
  <c r="O1342" i="1" s="1"/>
  <c r="M1183" i="1"/>
  <c r="L1414" i="1"/>
  <c r="M1602" i="1"/>
  <c r="O1428" i="1"/>
  <c r="O1427" i="1" s="1"/>
  <c r="O1426" i="1" s="1"/>
  <c r="Q1759" i="1"/>
  <c r="L1428" i="1"/>
  <c r="Q590" i="1"/>
  <c r="O644" i="1"/>
  <c r="L1136" i="1"/>
  <c r="N1414" i="1"/>
  <c r="O1497" i="1"/>
  <c r="O2050" i="1"/>
  <c r="N1609" i="1"/>
  <c r="O337" i="1"/>
  <c r="O1069" i="1"/>
  <c r="O1095" i="1"/>
  <c r="O1047" i="1"/>
  <c r="O1096" i="1"/>
  <c r="O1071" i="1"/>
  <c r="O1097" i="1"/>
  <c r="O1070" i="1"/>
  <c r="M273" i="1"/>
  <c r="M102" i="1"/>
  <c r="M330" i="1" s="1"/>
  <c r="M346" i="1" s="1"/>
  <c r="O679" i="1"/>
  <c r="Q195" i="1"/>
  <c r="P604" i="1"/>
  <c r="Q469" i="1"/>
  <c r="Q468" i="1" s="1"/>
  <c r="Q1036" i="1"/>
  <c r="L1315" i="1"/>
  <c r="Q673" i="1"/>
  <c r="Q670" i="1" s="1"/>
  <c r="P2050" i="1"/>
  <c r="L1069" i="1"/>
  <c r="M549" i="1"/>
  <c r="Q204" i="1"/>
  <c r="Q397" i="1"/>
  <c r="Q280" i="1"/>
  <c r="Q279" i="1" s="1"/>
  <c r="Q273" i="1"/>
  <c r="Q233" i="1" s="1"/>
  <c r="Q181" i="1" s="1"/>
  <c r="Q989" i="1"/>
  <c r="Q988" i="1" s="1"/>
  <c r="Q984" i="1" s="1"/>
  <c r="Q40" i="1"/>
  <c r="Q1665" i="1" s="1"/>
  <c r="P540" i="1"/>
  <c r="L1097" i="1"/>
  <c r="O1731" i="1"/>
  <c r="L113" i="1"/>
  <c r="L341" i="1" s="1"/>
  <c r="L357" i="1" s="1"/>
  <c r="L590" i="1"/>
  <c r="L1095" i="1"/>
  <c r="P1014" i="1"/>
  <c r="P1011" i="1" s="1"/>
  <c r="L1071" i="1"/>
  <c r="Q2272" i="1"/>
  <c r="Q330" i="1"/>
  <c r="Q346" i="1" s="1"/>
  <c r="N367" i="1"/>
  <c r="N374" i="1" s="1"/>
  <c r="M679" i="1"/>
  <c r="P338" i="1"/>
  <c r="P354" i="1" s="1"/>
  <c r="P499" i="1" s="1"/>
  <c r="P488" i="1" s="1"/>
  <c r="O112" i="1"/>
  <c r="O340" i="1" s="1"/>
  <c r="O356" i="1" s="1"/>
  <c r="M1083" i="1"/>
  <c r="L1047" i="1"/>
  <c r="M1096" i="1"/>
  <c r="P1070" i="1"/>
  <c r="M378" i="1"/>
  <c r="Q528" i="1"/>
  <c r="O34" i="1"/>
  <c r="O555" i="1"/>
  <c r="O195" i="1"/>
  <c r="O194" i="1" s="1"/>
  <c r="N556" i="1"/>
  <c r="O1004" i="1"/>
  <c r="O1001" i="1" s="1"/>
  <c r="O334" i="1"/>
  <c r="O350" i="1" s="1"/>
  <c r="O495" i="1" s="1"/>
  <c r="O484" i="1" s="1"/>
  <c r="P634" i="1"/>
  <c r="M340" i="1"/>
  <c r="M356" i="1" s="1"/>
  <c r="M501" i="1" s="1"/>
  <c r="M490" i="1" s="1"/>
  <c r="O39" i="1"/>
  <c r="O1652" i="1" s="1"/>
  <c r="N108" i="1"/>
  <c r="P1007" i="1"/>
  <c r="P1126" i="1" s="1"/>
  <c r="M1095" i="1"/>
  <c r="P1071" i="1"/>
  <c r="L2295" i="1"/>
  <c r="Q1546" i="1"/>
  <c r="L111" i="1"/>
  <c r="L339" i="1" s="1"/>
  <c r="O469" i="1"/>
  <c r="O468" i="1" s="1"/>
  <c r="P535" i="1"/>
  <c r="M539" i="1"/>
  <c r="P40" i="1"/>
  <c r="P1664" i="1"/>
  <c r="O535" i="1"/>
  <c r="N541" i="1"/>
  <c r="Q1824" i="1"/>
  <c r="Q1823" i="1" s="1"/>
  <c r="O332" i="1"/>
  <c r="O348" i="1" s="1"/>
  <c r="P1546" i="1"/>
  <c r="P1497" i="1"/>
  <c r="Q338" i="1"/>
  <c r="Q354" i="1" s="1"/>
  <c r="Q499" i="1" s="1"/>
  <c r="Q488" i="1" s="1"/>
  <c r="Q566" i="1"/>
  <c r="Q1088" i="1"/>
  <c r="Q1593" i="1"/>
  <c r="Q1025" i="1"/>
  <c r="M1133" i="1"/>
  <c r="M1640" i="1"/>
  <c r="M797" i="1"/>
  <c r="N958" i="1"/>
  <c r="O1005" i="1"/>
  <c r="O1002" i="1" s="1"/>
  <c r="Q304" i="1"/>
  <c r="Q417" i="1"/>
  <c r="Q416" i="1" s="1"/>
  <c r="Q1083" i="1"/>
  <c r="Q1123" i="1"/>
  <c r="Q1714" i="1"/>
  <c r="Q539" i="1"/>
  <c r="Q2" i="1"/>
  <c r="Q1742" i="1"/>
  <c r="Q39" i="1"/>
  <c r="Q794" i="1"/>
  <c r="Q310" i="1"/>
  <c r="Q263" i="1"/>
  <c r="Q240" i="1"/>
  <c r="Q337" i="1"/>
  <c r="Q353" i="1" s="1"/>
  <c r="Q57" i="1"/>
  <c r="Q741" i="1"/>
  <c r="Q735" i="1" s="1"/>
  <c r="Q1736" i="1"/>
  <c r="Q1735" i="1"/>
  <c r="Q733" i="1"/>
  <c r="Q958" i="1"/>
  <c r="Q887" i="1"/>
  <c r="Q882" i="1" s="1"/>
  <c r="Q1738" i="1"/>
  <c r="Q48" i="1"/>
  <c r="Q1737" i="1" s="1"/>
  <c r="Q1136" i="1"/>
  <c r="Q785" i="1"/>
  <c r="Q369" i="1"/>
  <c r="Q553" i="1"/>
  <c r="Q532" i="1"/>
  <c r="Q347" i="1"/>
  <c r="Q533" i="1"/>
  <c r="Q349" i="1"/>
  <c r="Q535" i="1"/>
  <c r="Q368" i="1"/>
  <c r="Q365" i="1" s="1"/>
  <c r="Q203" i="1"/>
  <c r="Q556" i="1"/>
  <c r="Q379" i="1"/>
  <c r="Q436" i="1"/>
  <c r="Q374" i="1"/>
  <c r="Q237" i="1"/>
  <c r="Q236" i="1" s="1"/>
  <c r="Q238" i="1"/>
  <c r="Q485" i="1"/>
  <c r="Q266" i="1"/>
  <c r="Q255" i="1" s="1"/>
  <c r="Q282" i="1"/>
  <c r="Q799" i="1"/>
  <c r="Q1343" i="1"/>
  <c r="Q1342" i="1" s="1"/>
  <c r="Q731" i="1"/>
  <c r="Q144" i="1"/>
  <c r="Q333" i="1"/>
  <c r="Q690" i="1"/>
  <c r="Q692" i="1"/>
  <c r="Q689" i="1" s="1"/>
  <c r="Q540" i="1"/>
  <c r="Q98" i="1"/>
  <c r="Q512" i="1"/>
  <c r="Q265" i="1"/>
  <c r="Q254" i="1" s="1"/>
  <c r="Q106" i="1"/>
  <c r="Q334" i="1" s="1"/>
  <c r="Q350" i="1" s="1"/>
  <c r="Q495" i="1" s="1"/>
  <c r="Q484" i="1" s="1"/>
  <c r="Q1095" i="1"/>
  <c r="Q1097" i="1"/>
  <c r="Q1069" i="1"/>
  <c r="Q1070" i="1"/>
  <c r="Q1003" i="1"/>
  <c r="Q1071" i="1"/>
  <c r="Q29" i="1"/>
  <c r="Q1720" i="1" s="1"/>
  <c r="Q1721" i="1"/>
  <c r="Q34" i="1"/>
  <c r="Q1047" i="1"/>
  <c r="Q1001" i="1"/>
  <c r="Q1000" i="1" s="1"/>
  <c r="Q370" i="1"/>
  <c r="Q377" i="1"/>
  <c r="Q1497" i="1"/>
  <c r="Q714" i="1"/>
  <c r="Q536" i="1"/>
  <c r="Q1427" i="1"/>
  <c r="Q1426" i="1" s="1"/>
  <c r="Q1006" i="1"/>
  <c r="Q1013" i="1"/>
  <c r="Q1012" i="1" s="1"/>
  <c r="Q2253" i="1"/>
  <c r="Q2233" i="1" s="1"/>
  <c r="Q1205" i="1"/>
  <c r="Q1204" i="1" s="1"/>
  <c r="Q352" i="1"/>
  <c r="Q41" i="1"/>
  <c r="Q1730" i="1" s="1"/>
  <c r="Q1731" i="1"/>
  <c r="Q1399" i="1"/>
  <c r="Q371" i="1"/>
  <c r="Q378" i="1"/>
  <c r="Q373" i="1"/>
  <c r="Q113" i="1"/>
  <c r="Q341" i="1" s="1"/>
  <c r="Q357" i="1" s="1"/>
  <c r="Q502" i="1" s="1"/>
  <c r="Q491" i="1" s="1"/>
  <c r="Q1315" i="1"/>
  <c r="Q672" i="1"/>
  <c r="O1123" i="1"/>
  <c r="O1083" i="1"/>
  <c r="N105" i="1"/>
  <c r="N333" i="1" s="1"/>
  <c r="N349" i="1" s="1"/>
  <c r="O624" i="1"/>
  <c r="L1399" i="1"/>
  <c r="O2272" i="1"/>
  <c r="N989" i="1"/>
  <c r="N988" i="1" s="1"/>
  <c r="N984" i="1" s="1"/>
  <c r="N1004" i="1"/>
  <c r="N40" i="1"/>
  <c r="N1664" i="1"/>
  <c r="L556" i="1"/>
  <c r="P1125" i="1"/>
  <c r="P1086" i="1"/>
  <c r="P339" i="1"/>
  <c r="P355" i="1" s="1"/>
  <c r="N397" i="1"/>
  <c r="N673" i="1"/>
  <c r="N670" i="1" s="1"/>
  <c r="M63" i="1"/>
  <c r="N200" i="1"/>
  <c r="L1004" i="1"/>
  <c r="L1003" i="1" s="1"/>
  <c r="M109" i="1"/>
  <c r="M337" i="1" s="1"/>
  <c r="M353" i="1" s="1"/>
  <c r="M498" i="1" s="1"/>
  <c r="M487" i="1" s="1"/>
  <c r="M268" i="1"/>
  <c r="M257" i="1" s="1"/>
  <c r="N1125" i="1"/>
  <c r="N1086" i="1"/>
  <c r="P34" i="1"/>
  <c r="L496" i="1"/>
  <c r="L485" i="1" s="1"/>
  <c r="O108" i="1"/>
  <c r="O336" i="1" s="1"/>
  <c r="O352" i="1" s="1"/>
  <c r="O497" i="1" s="1"/>
  <c r="P527" i="1"/>
  <c r="O335" i="1"/>
  <c r="O351" i="1" s="1"/>
  <c r="L40" i="1"/>
  <c r="L1664" i="1"/>
  <c r="N63" i="1"/>
  <c r="N1123" i="1"/>
  <c r="N1083" i="1"/>
  <c r="O105" i="1"/>
  <c r="O333" i="1" s="1"/>
  <c r="O349" i="1" s="1"/>
  <c r="O494" i="1" s="1"/>
  <c r="O483" i="1" s="1"/>
  <c r="L438" i="1"/>
  <c r="N1047" i="1"/>
  <c r="N1069" i="1"/>
  <c r="M341" i="1"/>
  <c r="O310" i="1"/>
  <c r="M989" i="1"/>
  <c r="M988" i="1" s="1"/>
  <c r="O341" i="1"/>
  <c r="O357" i="1" s="1"/>
  <c r="O502" i="1" s="1"/>
  <c r="O491" i="1" s="1"/>
  <c r="O263" i="1"/>
  <c r="O252" i="1" s="1"/>
  <c r="O251" i="1" s="1"/>
  <c r="M210" i="1"/>
  <c r="P237" i="1"/>
  <c r="P236" i="1" s="1"/>
  <c r="N269" i="1"/>
  <c r="N258" i="1" s="1"/>
  <c r="L1640" i="1"/>
  <c r="P333" i="1"/>
  <c r="P349" i="1" s="1"/>
  <c r="P494" i="1" s="1"/>
  <c r="P483" i="1" s="1"/>
  <c r="N371" i="1"/>
  <c r="N378" i="1"/>
  <c r="L268" i="1"/>
  <c r="L257" i="1" s="1"/>
  <c r="M374" i="1"/>
  <c r="P1731" i="1"/>
  <c r="M40" i="1"/>
  <c r="M1664" i="1"/>
  <c r="L147" i="1"/>
  <c r="L375" i="1" s="1"/>
  <c r="N549" i="1"/>
  <c r="N272" i="1"/>
  <c r="N261" i="1" s="1"/>
  <c r="N1005" i="1"/>
  <c r="N1002" i="1" s="1"/>
  <c r="O1086" i="1"/>
  <c r="O1125" i="1"/>
  <c r="M907" i="1"/>
  <c r="M939" i="1" s="1"/>
  <c r="M962" i="1" s="1"/>
  <c r="M940" i="1"/>
  <c r="M963" i="1" s="1"/>
  <c r="L1083" i="1"/>
  <c r="O1729" i="1"/>
  <c r="O1665" i="1"/>
  <c r="N590" i="1"/>
  <c r="O958" i="1"/>
  <c r="N1014" i="1"/>
  <c r="N1011" i="1" s="1"/>
  <c r="P1399" i="1"/>
  <c r="M2253" i="1"/>
  <c r="M2233" i="1" s="1"/>
  <c r="L22" i="1"/>
  <c r="L1713" i="1" s="1"/>
  <c r="P624" i="1"/>
  <c r="P183" i="1"/>
  <c r="P182" i="1" s="1"/>
  <c r="P679" i="1"/>
  <c r="P102" i="1"/>
  <c r="L38" i="1"/>
  <c r="L1609" i="1" s="1"/>
  <c r="P1823" i="1"/>
  <c r="M39" i="1"/>
  <c r="M1511" i="1" s="1"/>
  <c r="M1003" i="1"/>
  <c r="P39" i="1"/>
  <c r="M194" i="1"/>
  <c r="O1119" i="1"/>
  <c r="P1136" i="1"/>
  <c r="M440" i="1"/>
  <c r="M1823" i="1"/>
  <c r="M1399" i="1"/>
  <c r="O882" i="1"/>
  <c r="N1546" i="1"/>
  <c r="P440" i="1"/>
  <c r="M144" i="1"/>
  <c r="N38" i="1"/>
  <c r="N1658" i="1" s="1"/>
  <c r="N1659" i="1" s="1"/>
  <c r="P266" i="1"/>
  <c r="P255" i="1" s="1"/>
  <c r="L63" i="1"/>
  <c r="M644" i="1"/>
  <c r="P368" i="1"/>
  <c r="P546" i="1"/>
  <c r="P358" i="1"/>
  <c r="P734" i="1"/>
  <c r="M734" i="1"/>
  <c r="P370" i="1"/>
  <c r="P377" i="1"/>
  <c r="P548" i="1"/>
  <c r="L431" i="1"/>
  <c r="L434" i="1" s="1"/>
  <c r="L1021" i="1"/>
  <c r="L1020" i="1" s="1"/>
  <c r="L1119" i="1"/>
  <c r="P108" i="1"/>
  <c r="P336" i="1" s="1"/>
  <c r="P352" i="1" s="1"/>
  <c r="P497" i="1" s="1"/>
  <c r="P486" i="1" s="1"/>
  <c r="P267" i="1"/>
  <c r="P256" i="1" s="1"/>
  <c r="L196" i="1"/>
  <c r="L193" i="1" s="1"/>
  <c r="N102" i="1"/>
  <c r="N330" i="1" s="1"/>
  <c r="N346" i="1" s="1"/>
  <c r="M370" i="1"/>
  <c r="M377" i="1"/>
  <c r="P423" i="1"/>
  <c r="N369" i="1"/>
  <c r="L540" i="1"/>
  <c r="L338" i="1"/>
  <c r="L354" i="1" s="1"/>
  <c r="L263" i="1"/>
  <c r="L252" i="1"/>
  <c r="L240" i="1"/>
  <c r="L233" i="1" s="1"/>
  <c r="L310" i="1"/>
  <c r="L794" i="1"/>
  <c r="M282" i="1"/>
  <c r="M799" i="1"/>
  <c r="N692" i="1"/>
  <c r="N689" i="1" s="1"/>
  <c r="N785" i="1"/>
  <c r="O1136" i="1"/>
  <c r="N1001" i="1"/>
  <c r="O1569" i="1"/>
  <c r="O1568" i="1" s="1"/>
  <c r="L46" i="1"/>
  <c r="L1735" i="1" s="1"/>
  <c r="L1736" i="1"/>
  <c r="N335" i="1"/>
  <c r="N351" i="1" s="1"/>
  <c r="N496" i="1" s="1"/>
  <c r="M369" i="1"/>
  <c r="P282" i="1"/>
  <c r="P799" i="1"/>
  <c r="O986" i="1"/>
  <c r="O989" i="1"/>
  <c r="O988" i="1" s="1"/>
  <c r="M137" i="1"/>
  <c r="N1099" i="1"/>
  <c r="N1132" i="1"/>
  <c r="N1640" i="1"/>
  <c r="N238" i="1"/>
  <c r="N237" i="1"/>
  <c r="N236" i="1" s="1"/>
  <c r="N192" i="1"/>
  <c r="M202" i="1"/>
  <c r="M205" i="1" s="1"/>
  <c r="P469" i="1"/>
  <c r="P468" i="1" s="1"/>
  <c r="O201" i="1"/>
  <c r="O200" i="1" s="1"/>
  <c r="O197" i="1"/>
  <c r="P194" i="1"/>
  <c r="P192" i="1"/>
  <c r="P191" i="1" s="1"/>
  <c r="M98" i="1"/>
  <c r="L57" i="1"/>
  <c r="L1740" i="1"/>
  <c r="M105" i="1"/>
  <c r="M333" i="1" s="1"/>
  <c r="M349" i="1" s="1"/>
  <c r="N148" i="1"/>
  <c r="N144" i="1" s="1"/>
  <c r="N679" i="1"/>
  <c r="N1126" i="1"/>
  <c r="N1088" i="1"/>
  <c r="P1101" i="1"/>
  <c r="P1133" i="1"/>
  <c r="O1824" i="1"/>
  <c r="L369" i="1"/>
  <c r="L358" i="1"/>
  <c r="L538" i="1"/>
  <c r="N48" i="1"/>
  <c r="N1737" i="1" s="1"/>
  <c r="N1738" i="1"/>
  <c r="M357" i="1"/>
  <c r="N336" i="1"/>
  <c r="N352" i="1" s="1"/>
  <c r="N497" i="1" s="1"/>
  <c r="P536" i="1"/>
  <c r="O673" i="1"/>
  <c r="O670" i="1" s="1"/>
  <c r="M1013" i="1"/>
  <c r="M1012" i="1" s="1"/>
  <c r="M1006" i="1"/>
  <c r="N2" i="1"/>
  <c r="N1742" i="1"/>
  <c r="L267" i="1"/>
  <c r="L256" i="1" s="1"/>
  <c r="L108" i="1"/>
  <c r="L336" i="1" s="1"/>
  <c r="L352" i="1" s="1"/>
  <c r="O547" i="1"/>
  <c r="O369" i="1"/>
  <c r="P495" i="1"/>
  <c r="P484" i="1" s="1"/>
  <c r="P498" i="1"/>
  <c r="P487" i="1" s="1"/>
  <c r="O690" i="1"/>
  <c r="O692" i="1"/>
  <c r="O689" i="1" s="1"/>
  <c r="N575" i="1"/>
  <c r="N441" i="1"/>
  <c r="N440" i="1" s="1"/>
  <c r="N1021" i="1"/>
  <c r="N1020" i="1" s="1"/>
  <c r="N1119" i="1"/>
  <c r="L785" i="1"/>
  <c r="P1083" i="1"/>
  <c r="P1124" i="1"/>
  <c r="O1315" i="1"/>
  <c r="O1399" i="1"/>
  <c r="O1126" i="1"/>
  <c r="O1088" i="1"/>
  <c r="L733" i="1"/>
  <c r="L693" i="1"/>
  <c r="L673" i="1"/>
  <c r="L670" i="1" s="1"/>
  <c r="O1843" i="1"/>
  <c r="L379" i="1"/>
  <c r="L337" i="1"/>
  <c r="L353" i="1" s="1"/>
  <c r="M33" i="1"/>
  <c r="M1723" i="1" s="1"/>
  <c r="M1724" i="1"/>
  <c r="P335" i="1"/>
  <c r="P351" i="1" s="1"/>
  <c r="O533" i="1"/>
  <c r="O347" i="1"/>
  <c r="L679" i="1"/>
  <c r="L1006" i="1"/>
  <c r="L1013" i="1"/>
  <c r="L1012" i="1" s="1"/>
  <c r="N1885" i="1"/>
  <c r="L137" i="1"/>
  <c r="L367" i="1"/>
  <c r="O192" i="1"/>
  <c r="O191" i="1" s="1"/>
  <c r="N341" i="1"/>
  <c r="N357" i="1" s="1"/>
  <c r="P575" i="1"/>
  <c r="O367" i="1"/>
  <c r="O374" i="1" s="1"/>
  <c r="P1315" i="1"/>
  <c r="M22" i="1"/>
  <c r="M1714" i="1"/>
  <c r="P63" i="1"/>
  <c r="L377" i="1"/>
  <c r="L370" i="1"/>
  <c r="L39" i="1"/>
  <c r="L1511" i="1" s="1"/>
  <c r="O63" i="1"/>
  <c r="N553" i="1"/>
  <c r="O512" i="1"/>
  <c r="L105" i="1"/>
  <c r="L333" i="1" s="1"/>
  <c r="L349" i="1" s="1"/>
  <c r="O907" i="1"/>
  <c r="O939" i="1" s="1"/>
  <c r="O962" i="1" s="1"/>
  <c r="P731" i="1"/>
  <c r="P733" i="1"/>
  <c r="P1088" i="1"/>
  <c r="P1003" i="1"/>
  <c r="P240" i="1"/>
  <c r="P263" i="1"/>
  <c r="P252" i="1" s="1"/>
  <c r="P310" i="1"/>
  <c r="P794" i="1"/>
  <c r="L102" i="1"/>
  <c r="L330" i="1" s="1"/>
  <c r="L346" i="1" s="1"/>
  <c r="L425" i="1" s="1"/>
  <c r="L989" i="1"/>
  <c r="L988" i="1" s="1"/>
  <c r="L984" i="1" s="1"/>
  <c r="O1020" i="1"/>
  <c r="N137" i="1"/>
  <c r="N366" i="1"/>
  <c r="N528" i="1"/>
  <c r="N566" i="1"/>
  <c r="L355" i="1"/>
  <c r="L500" i="1"/>
  <c r="P397" i="1"/>
  <c r="M1727" i="1"/>
  <c r="L541" i="1"/>
  <c r="N182" i="1"/>
  <c r="P958" i="1"/>
  <c r="P887" i="1"/>
  <c r="P882" i="1" s="1"/>
  <c r="N22" i="1"/>
  <c r="N1714" i="1"/>
  <c r="O863" i="1"/>
  <c r="O784" i="1"/>
  <c r="N353" i="1"/>
  <c r="P369" i="1"/>
  <c r="P547" i="1"/>
  <c r="O48" i="1"/>
  <c r="O1737" i="1" s="1"/>
  <c r="O1738" i="1"/>
  <c r="O534" i="1"/>
  <c r="N338" i="1"/>
  <c r="N354" i="1" s="1"/>
  <c r="M553" i="1"/>
  <c r="O436" i="1"/>
  <c r="O550" i="1"/>
  <c r="P330" i="1"/>
  <c r="P346" i="1" s="1"/>
  <c r="P714" i="1"/>
  <c r="O1314" i="1"/>
  <c r="O741" i="1"/>
  <c r="O735" i="1" s="1"/>
  <c r="P371" i="1"/>
  <c r="P378" i="1"/>
  <c r="M785" i="1"/>
  <c r="M1105" i="1"/>
  <c r="M1135" i="1"/>
  <c r="M984" i="1"/>
  <c r="N733" i="1"/>
  <c r="N731" i="1"/>
  <c r="N263" i="1"/>
  <c r="N240" i="1"/>
  <c r="N233" i="1" s="1"/>
  <c r="N794" i="1"/>
  <c r="L427" i="1"/>
  <c r="P98" i="1"/>
  <c r="P356" i="1"/>
  <c r="P542" i="1"/>
  <c r="O1099" i="1"/>
  <c r="O1132" i="1"/>
  <c r="N379" i="1"/>
  <c r="N436" i="1"/>
  <c r="L146" i="1"/>
  <c r="N412" i="1"/>
  <c r="M575" i="1"/>
  <c r="O539" i="1"/>
  <c r="O353" i="1"/>
  <c r="O33" i="1"/>
  <c r="O1723" i="1" s="1"/>
  <c r="O1724" i="1"/>
  <c r="M99" i="1"/>
  <c r="M327" i="1" s="1"/>
  <c r="M343" i="1" s="1"/>
  <c r="O733" i="1"/>
  <c r="M1021" i="1"/>
  <c r="M1020" i="1" s="1"/>
  <c r="M1119" i="1"/>
  <c r="N1315" i="1"/>
  <c r="P22" i="1"/>
  <c r="P1714" i="1"/>
  <c r="L553" i="1"/>
  <c r="L192" i="1"/>
  <c r="P1000" i="1"/>
  <c r="P113" i="1"/>
  <c r="P341" i="1" s="1"/>
  <c r="P357" i="1" s="1"/>
  <c r="P502" i="1" s="1"/>
  <c r="P272" i="1"/>
  <c r="P261" i="1" s="1"/>
  <c r="M2" i="1"/>
  <c r="M1742" i="1"/>
  <c r="L204" i="1"/>
  <c r="L203" i="1" s="1"/>
  <c r="O98" i="1"/>
  <c r="P785" i="1"/>
  <c r="L887" i="1"/>
  <c r="L882" i="1" s="1"/>
  <c r="L958" i="1"/>
  <c r="O540" i="1"/>
  <c r="O338" i="1"/>
  <c r="O354" i="1" s="1"/>
  <c r="O499" i="1" s="1"/>
  <c r="P1021" i="1"/>
  <c r="P1020" i="1" s="1"/>
  <c r="P1119" i="1"/>
  <c r="L48" i="1"/>
  <c r="L1737" i="1" s="1"/>
  <c r="L1738" i="1"/>
  <c r="O1728" i="1"/>
  <c r="P2" i="1"/>
  <c r="P1742" i="1"/>
  <c r="M110" i="1"/>
  <c r="M338" i="1" s="1"/>
  <c r="M354" i="1" s="1"/>
  <c r="O99" i="1"/>
  <c r="O327" i="1" s="1"/>
  <c r="O343" i="1" s="1"/>
  <c r="P491" i="1"/>
  <c r="N532" i="1"/>
  <c r="M201" i="1"/>
  <c r="M200" i="1" s="1"/>
  <c r="M197" i="1"/>
  <c r="P464" i="1"/>
  <c r="N196" i="1"/>
  <c r="N193" i="1" s="1"/>
  <c r="N103" i="1"/>
  <c r="N331" i="1" s="1"/>
  <c r="N347" i="1" s="1"/>
  <c r="P57" i="1"/>
  <c r="P1740" i="1"/>
  <c r="O22" i="1"/>
  <c r="O1714" i="1"/>
  <c r="L464" i="1"/>
  <c r="L528" i="1"/>
  <c r="L469" i="1"/>
  <c r="L468" i="1" s="1"/>
  <c r="M518" i="1"/>
  <c r="M111" i="1"/>
  <c r="M339" i="1" s="1"/>
  <c r="M355" i="1" s="1"/>
  <c r="N543" i="1"/>
  <c r="M263" i="1"/>
  <c r="M252" i="1" s="1"/>
  <c r="M310" i="1"/>
  <c r="M240" i="1"/>
  <c r="M794" i="1"/>
  <c r="M733" i="1"/>
  <c r="M731" i="1"/>
  <c r="M272" i="1"/>
  <c r="M261" i="1" s="1"/>
  <c r="P1097" i="1"/>
  <c r="P1093" i="1"/>
  <c r="P1095" i="1"/>
  <c r="P1096" i="1"/>
  <c r="O1593" i="1"/>
  <c r="L304" i="1"/>
  <c r="L417" i="1"/>
  <c r="L416" i="1" s="1"/>
  <c r="L298" i="1"/>
  <c r="L302" i="1" s="1"/>
  <c r="M690" i="1"/>
  <c r="M692" i="1"/>
  <c r="M689" i="1" s="1"/>
  <c r="M335" i="1"/>
  <c r="M351" i="1" s="1"/>
  <c r="P46" i="1"/>
  <c r="P1735" i="1" s="1"/>
  <c r="P49" i="1"/>
  <c r="P1736" i="1"/>
  <c r="N368" i="1"/>
  <c r="N546" i="1"/>
  <c r="L41" i="1"/>
  <c r="L1731" i="1"/>
  <c r="P201" i="1"/>
  <c r="P200" i="1" s="1"/>
  <c r="P197" i="1"/>
  <c r="M373" i="1"/>
  <c r="P273" i="1"/>
  <c r="P280" i="1"/>
  <c r="P279" i="1" s="1"/>
  <c r="P797" i="1"/>
  <c r="N203" i="1"/>
  <c r="L741" i="1"/>
  <c r="L735" i="1" s="1"/>
  <c r="P518" i="1"/>
  <c r="M882" i="1"/>
  <c r="N98" i="1"/>
  <c r="N555" i="1"/>
  <c r="M528" i="1"/>
  <c r="M464" i="1"/>
  <c r="M469" i="1"/>
  <c r="M468" i="1" s="1"/>
  <c r="M1136" i="1"/>
  <c r="N1006" i="1"/>
  <c r="N1013" i="1"/>
  <c r="N2253" i="1"/>
  <c r="N2233" i="1" s="1"/>
  <c r="O137" i="1"/>
  <c r="O366" i="1"/>
  <c r="N644" i="1"/>
  <c r="P673" i="1"/>
  <c r="P670" i="1" s="1"/>
  <c r="P694" i="1"/>
  <c r="L440" i="1"/>
  <c r="L731" i="1"/>
  <c r="O532" i="1"/>
  <c r="O2" i="1"/>
  <c r="O1742" i="1"/>
  <c r="L347" i="1"/>
  <c r="L533" i="1"/>
  <c r="L182" i="1"/>
  <c r="L181" i="1" s="1"/>
  <c r="L564" i="1"/>
  <c r="N501" i="1"/>
  <c r="N490" i="1" s="1"/>
  <c r="N907" i="1"/>
  <c r="N939" i="1" s="1"/>
  <c r="N962" i="1" s="1"/>
  <c r="M1001" i="1"/>
  <c r="M1000" i="1" s="1"/>
  <c r="M1315" i="1"/>
  <c r="N1136" i="1"/>
  <c r="N1823" i="1"/>
  <c r="M46" i="1"/>
  <c r="M1735" i="1" s="1"/>
  <c r="M49" i="1"/>
  <c r="M1344" i="1" s="1"/>
  <c r="M1736" i="1"/>
  <c r="P907" i="1"/>
  <c r="P939" i="1" s="1"/>
  <c r="P962" i="1" s="1"/>
  <c r="O298" i="1"/>
  <c r="O302" i="1" s="1"/>
  <c r="O304" i="1"/>
  <c r="O417" i="1"/>
  <c r="O416" i="1" s="1"/>
  <c r="N512" i="1"/>
  <c r="L907" i="1"/>
  <c r="L939" i="1" s="1"/>
  <c r="L962" i="1" s="1"/>
  <c r="N538" i="1"/>
  <c r="O262" i="1"/>
  <c r="O145" i="1"/>
  <c r="O144" i="1" s="1"/>
  <c r="L2" i="1"/>
  <c r="L1742" i="1"/>
  <c r="L565" i="1"/>
  <c r="L539" i="1"/>
  <c r="M397" i="1"/>
  <c r="M438" i="1"/>
  <c r="M564" i="1"/>
  <c r="N57" i="1"/>
  <c r="N1740" i="1"/>
  <c r="N467" i="1"/>
  <c r="N466" i="1" s="1"/>
  <c r="N464" i="1"/>
  <c r="P145" i="1"/>
  <c r="P144" i="1" s="1"/>
  <c r="P137" i="1"/>
  <c r="P366" i="1"/>
  <c r="O549" i="1"/>
  <c r="O371" i="1"/>
  <c r="O378" i="1"/>
  <c r="O330" i="1"/>
  <c r="O346" i="1" s="1"/>
  <c r="O425" i="1" s="1"/>
  <c r="O280" i="1"/>
  <c r="O279" i="1" s="1"/>
  <c r="O797" i="1"/>
  <c r="O273" i="1"/>
  <c r="O233" i="1" s="1"/>
  <c r="N542" i="1"/>
  <c r="P415" i="1"/>
  <c r="P414" i="1" s="1"/>
  <c r="P412" i="1"/>
  <c r="L98" i="1"/>
  <c r="M108" i="1"/>
  <c r="M336" i="1" s="1"/>
  <c r="M352" i="1" s="1"/>
  <c r="M497" i="1" s="1"/>
  <c r="M486" i="1" s="1"/>
  <c r="M267" i="1"/>
  <c r="M256" i="1" s="1"/>
  <c r="N33" i="1"/>
  <c r="N1723" i="1" s="1"/>
  <c r="N1724" i="1"/>
  <c r="O397" i="1"/>
  <c r="N417" i="1"/>
  <c r="N416" i="1" s="1"/>
  <c r="L99" i="1"/>
  <c r="L327" i="1" s="1"/>
  <c r="L343" i="1" s="1"/>
  <c r="M958" i="1"/>
  <c r="M1126" i="1"/>
  <c r="L1314" i="1"/>
  <c r="N1399" i="1"/>
  <c r="P2233" i="1"/>
  <c r="O2295" i="1"/>
  <c r="O1546" i="1"/>
  <c r="L237" i="1"/>
  <c r="L236" i="1" s="1"/>
  <c r="L238" i="1"/>
  <c r="P543" i="1"/>
  <c r="L33" i="1"/>
  <c r="L1723" i="1" s="1"/>
  <c r="L1724" i="1"/>
  <c r="O183" i="1"/>
  <c r="O182" i="1" s="1"/>
  <c r="M192" i="1"/>
  <c r="M191" i="1" s="1"/>
  <c r="O672" i="1"/>
  <c r="N552" i="1"/>
  <c r="M183" i="1"/>
  <c r="P986" i="1"/>
  <c r="P989" i="1"/>
  <c r="P988" i="1" s="1"/>
  <c r="O1105" i="1"/>
  <c r="O1135" i="1"/>
  <c r="O1010" i="1"/>
  <c r="O1009" i="1" s="1"/>
  <c r="N741" i="1"/>
  <c r="N735" i="1" s="1"/>
  <c r="M331" i="1"/>
  <c r="M347" i="1" s="1"/>
  <c r="N39" i="1"/>
  <c r="N1555" i="1" s="1"/>
  <c r="M540" i="1"/>
  <c r="P553" i="1"/>
  <c r="N1095" i="1"/>
  <c r="N1093" i="1"/>
  <c r="N1096" i="1"/>
  <c r="N1097" i="1"/>
  <c r="P1013" i="1"/>
  <c r="P1012" i="1" s="1"/>
  <c r="P1593" i="1"/>
  <c r="G1665" i="1"/>
  <c r="H1665" i="1"/>
  <c r="I1665" i="1"/>
  <c r="F1665" i="1"/>
  <c r="I37" i="1"/>
  <c r="H37" i="1"/>
  <c r="G37" i="1"/>
  <c r="F37" i="1"/>
  <c r="I1664" i="1"/>
  <c r="H1664" i="1"/>
  <c r="G1664" i="1"/>
  <c r="F1664" i="1"/>
  <c r="Q1603" i="1" l="1"/>
  <c r="Q1512" i="1"/>
  <c r="Q1653" i="1"/>
  <c r="Q1556" i="1"/>
  <c r="Q1161" i="1"/>
  <c r="L1602" i="1"/>
  <c r="L1601" i="1" s="1"/>
  <c r="L1600" i="1" s="1"/>
  <c r="Q22" i="1"/>
  <c r="Q1713" i="1" s="1"/>
  <c r="Q1711" i="1" s="1"/>
  <c r="N1429" i="1"/>
  <c r="N1618" i="1"/>
  <c r="N1571" i="1"/>
  <c r="N1345" i="1"/>
  <c r="N1207" i="1"/>
  <c r="N1205" i="1" s="1"/>
  <c r="N1204" i="1" s="1"/>
  <c r="P1006" i="1"/>
  <c r="P1603" i="1"/>
  <c r="P1601" i="1" s="1"/>
  <c r="P1600" i="1" s="1"/>
  <c r="P1512" i="1"/>
  <c r="P1510" i="1" s="1"/>
  <c r="P1509" i="1" s="1"/>
  <c r="P1653" i="1"/>
  <c r="P1556" i="1"/>
  <c r="P1161" i="1"/>
  <c r="P1330" i="1"/>
  <c r="P1010" i="1"/>
  <c r="P1009" i="1" s="1"/>
  <c r="L738" i="1" a="1"/>
  <c r="L738" i="1" s="1"/>
  <c r="L736" i="1" a="1"/>
  <c r="L736" i="1" s="1"/>
  <c r="M37" i="1"/>
  <c r="M1726" i="1" s="1"/>
  <c r="M1184" i="1"/>
  <c r="M1610" i="1"/>
  <c r="M1415" i="1"/>
  <c r="M1563" i="1"/>
  <c r="M1331" i="1"/>
  <c r="O736" i="1" a="1"/>
  <c r="O736" i="1" s="1"/>
  <c r="O737" i="1" s="1"/>
  <c r="O738" i="1" a="1"/>
  <c r="O738" i="1" s="1"/>
  <c r="O1603" i="1"/>
  <c r="O1512" i="1"/>
  <c r="O1510" i="1" s="1"/>
  <c r="O1509" i="1" s="1"/>
  <c r="O1653" i="1"/>
  <c r="O1651" i="1" s="1"/>
  <c r="O1650" i="1" s="1"/>
  <c r="O1556" i="1"/>
  <c r="O1161" i="1"/>
  <c r="O1159" i="1" s="1"/>
  <c r="O1158" i="1" s="1"/>
  <c r="Q1609" i="1"/>
  <c r="L144" i="1"/>
  <c r="L1652" i="1"/>
  <c r="L1651" i="1" s="1"/>
  <c r="L1650" i="1" s="1"/>
  <c r="M1652" i="1"/>
  <c r="L1160" i="1"/>
  <c r="P1555" i="1"/>
  <c r="P1554" i="1" s="1"/>
  <c r="P1553" i="1" s="1"/>
  <c r="N1570" i="1"/>
  <c r="N1569" i="1" s="1"/>
  <c r="N1568" i="1" s="1"/>
  <c r="P1658" i="1"/>
  <c r="P1659" i="1" s="1"/>
  <c r="P1183" i="1"/>
  <c r="Q1183" i="1"/>
  <c r="Q1160" i="1"/>
  <c r="Q1159" i="1" s="1"/>
  <c r="Q1158" i="1" s="1"/>
  <c r="M1603" i="1"/>
  <c r="M1601" i="1" s="1"/>
  <c r="M1600" i="1" s="1"/>
  <c r="M1512" i="1"/>
  <c r="M1510" i="1" s="1"/>
  <c r="M1509" i="1" s="1"/>
  <c r="M1161" i="1"/>
  <c r="M1556" i="1"/>
  <c r="M1653" i="1"/>
  <c r="Q1602" i="1"/>
  <c r="L1331" i="1"/>
  <c r="L1184" i="1"/>
  <c r="L1563" i="1"/>
  <c r="L1415" i="1"/>
  <c r="L1413" i="1" s="1"/>
  <c r="L1412" i="1" s="1"/>
  <c r="L1610" i="1"/>
  <c r="Q1652" i="1"/>
  <c r="Q1511" i="1"/>
  <c r="M1728" i="1"/>
  <c r="P1160" i="1"/>
  <c r="O1555" i="1"/>
  <c r="O1554" i="1" s="1"/>
  <c r="O1553" i="1" s="1"/>
  <c r="N1617" i="1"/>
  <c r="N1616" i="1" s="1"/>
  <c r="N1615" i="1" s="1"/>
  <c r="P1345" i="1"/>
  <c r="P1429" i="1"/>
  <c r="P1427" i="1" s="1"/>
  <c r="P1426" i="1" s="1"/>
  <c r="P1618" i="1"/>
  <c r="P1207" i="1"/>
  <c r="P1205" i="1" s="1"/>
  <c r="P1204" i="1" s="1"/>
  <c r="P1571" i="1"/>
  <c r="Q736" i="1" a="1"/>
  <c r="Q736" i="1" s="1"/>
  <c r="Q737" i="1" s="1"/>
  <c r="Q738" i="1" a="1"/>
  <c r="Q738" i="1" s="1"/>
  <c r="P1617" i="1"/>
  <c r="P1616" i="1" s="1"/>
  <c r="P1615" i="1" s="1"/>
  <c r="M1555" i="1"/>
  <c r="O1000" i="1"/>
  <c r="Q1330" i="1"/>
  <c r="O38" i="1"/>
  <c r="O37" i="1" s="1"/>
  <c r="O1726" i="1" s="1"/>
  <c r="M1206" i="1"/>
  <c r="P38" i="1"/>
  <c r="N1344" i="1"/>
  <c r="M1562" i="1"/>
  <c r="N1603" i="1"/>
  <c r="N1556" i="1"/>
  <c r="N1161" i="1"/>
  <c r="N1512" i="1"/>
  <c r="N1653" i="1"/>
  <c r="Q1022" i="1"/>
  <c r="Q1119" i="1" s="1"/>
  <c r="N1602" i="1"/>
  <c r="M182" i="1"/>
  <c r="P1724" i="1"/>
  <c r="N1184" i="1"/>
  <c r="N1182" i="1" s="1"/>
  <c r="N1181" i="1" s="1"/>
  <c r="N1331" i="1"/>
  <c r="N1563" i="1"/>
  <c r="N1415" i="1"/>
  <c r="N1610" i="1"/>
  <c r="N1608" i="1" s="1"/>
  <c r="N1607" i="1" s="1"/>
  <c r="L1562" i="1"/>
  <c r="L1561" i="1" s="1"/>
  <c r="L1560" i="1" s="1"/>
  <c r="N1652" i="1"/>
  <c r="Q1658" i="1"/>
  <c r="Q1659" i="1" s="1"/>
  <c r="O467" i="1"/>
  <c r="O466" i="1" s="1"/>
  <c r="P1609" i="1"/>
  <c r="P33" i="1"/>
  <c r="P1723" i="1" s="1"/>
  <c r="P1652" i="1"/>
  <c r="Q1562" i="1"/>
  <c r="N1428" i="1"/>
  <c r="M1345" i="1"/>
  <c r="M1571" i="1"/>
  <c r="M1429" i="1"/>
  <c r="M1207" i="1"/>
  <c r="M1618" i="1"/>
  <c r="M1570" i="1"/>
  <c r="M1617" i="1"/>
  <c r="L1603" i="1"/>
  <c r="L1512" i="1"/>
  <c r="L1510" i="1" s="1"/>
  <c r="L1509" i="1" s="1"/>
  <c r="L1161" i="1"/>
  <c r="L1556" i="1"/>
  <c r="L1653" i="1"/>
  <c r="M1428" i="1"/>
  <c r="Q1555" i="1"/>
  <c r="N736" i="1" a="1"/>
  <c r="N736" i="1" s="1"/>
  <c r="N738" i="1" a="1"/>
  <c r="N738" i="1" s="1"/>
  <c r="L1658" i="1"/>
  <c r="L1659" i="1" s="1"/>
  <c r="M1160" i="1"/>
  <c r="M1159" i="1" s="1"/>
  <c r="M1158" i="1" s="1"/>
  <c r="N1012" i="1"/>
  <c r="P1344" i="1"/>
  <c r="P1570" i="1"/>
  <c r="P1569" i="1" s="1"/>
  <c r="P1568" i="1" s="1"/>
  <c r="Q1021" i="1"/>
  <c r="Q1020" i="1" s="1"/>
  <c r="Q552" i="1"/>
  <c r="O1003" i="1"/>
  <c r="Q426" i="1"/>
  <c r="M467" i="1"/>
  <c r="M466" i="1" s="1"/>
  <c r="L1001" i="1"/>
  <c r="L1000" i="1" s="1"/>
  <c r="O501" i="1"/>
  <c r="O490" i="1" s="1"/>
  <c r="Q192" i="1"/>
  <c r="Q191" i="1" s="1"/>
  <c r="Q194" i="1"/>
  <c r="P1729" i="1"/>
  <c r="P1665" i="1"/>
  <c r="Q467" i="1"/>
  <c r="Q466" i="1" s="1"/>
  <c r="Q494" i="1"/>
  <c r="Q1601" i="1"/>
  <c r="Q1600" i="1" s="1"/>
  <c r="O426" i="1"/>
  <c r="O424" i="1" s="1"/>
  <c r="Q1729" i="1"/>
  <c r="P332" i="1"/>
  <c r="P348" i="1" s="1"/>
  <c r="P342" i="1" s="1"/>
  <c r="P326" i="1" s="1"/>
  <c r="L494" i="1"/>
  <c r="L483" i="1" s="1"/>
  <c r="M426" i="1"/>
  <c r="M423" i="1" s="1"/>
  <c r="L1616" i="1"/>
  <c r="L1615" i="1" s="1"/>
  <c r="L1182" i="1"/>
  <c r="L1181" i="1" s="1"/>
  <c r="Q1510" i="1"/>
  <c r="Q1509" i="1" s="1"/>
  <c r="Q412" i="1"/>
  <c r="Q415" i="1"/>
  <c r="Q414" i="1" s="1"/>
  <c r="Q527" i="1"/>
  <c r="M496" i="1"/>
  <c r="M485" i="1" s="1"/>
  <c r="Q734" i="1"/>
  <c r="Q1724" i="1"/>
  <c r="Q33" i="1"/>
  <c r="Q1723" i="1" s="1"/>
  <c r="Q376" i="1"/>
  <c r="Q432" i="1"/>
  <c r="Q435" i="1" s="1"/>
  <c r="Q262" i="1"/>
  <c r="Q1010" i="1"/>
  <c r="Q1009" i="1" s="1"/>
  <c r="Q252" i="1"/>
  <c r="Q251" i="1" s="1"/>
  <c r="Q38" i="1"/>
  <c r="Q425" i="1"/>
  <c r="Q497" i="1"/>
  <c r="Q486" i="1" s="1"/>
  <c r="Q792" i="1"/>
  <c r="Q835" i="1" s="1"/>
  <c r="Q868" i="1" s="1"/>
  <c r="Q1728" i="1"/>
  <c r="Q510" i="1"/>
  <c r="Q509" i="1" s="1"/>
  <c r="Q503" i="1"/>
  <c r="Q418" i="1"/>
  <c r="Q550" i="1"/>
  <c r="Q547" i="1"/>
  <c r="Q332" i="1"/>
  <c r="Q348" i="1" s="1"/>
  <c r="Q534" i="1"/>
  <c r="Q291" i="1"/>
  <c r="Q498" i="1"/>
  <c r="Q487" i="1" s="1"/>
  <c r="Q427" i="1"/>
  <c r="Q725" i="1"/>
  <c r="Q722" i="1" s="1"/>
  <c r="Q721" i="1" s="1"/>
  <c r="Q375" i="1"/>
  <c r="Q431" i="1"/>
  <c r="Q546" i="1"/>
  <c r="Q483" i="1"/>
  <c r="Q538" i="1"/>
  <c r="Q423" i="1"/>
  <c r="Q548" i="1"/>
  <c r="M1729" i="1"/>
  <c r="M1665" i="1"/>
  <c r="L1665" i="1"/>
  <c r="L1729" i="1"/>
  <c r="P496" i="1"/>
  <c r="P485" i="1" s="1"/>
  <c r="N1000" i="1"/>
  <c r="O542" i="1"/>
  <c r="N1727" i="1"/>
  <c r="P1727" i="1"/>
  <c r="M499" i="1"/>
  <c r="M488" i="1" s="1"/>
  <c r="L498" i="1"/>
  <c r="L487" i="1" s="1"/>
  <c r="L512" i="1"/>
  <c r="M251" i="1"/>
  <c r="L497" i="1"/>
  <c r="L486" i="1" s="1"/>
  <c r="P251" i="1"/>
  <c r="L251" i="1"/>
  <c r="O1823" i="1"/>
  <c r="L262" i="1"/>
  <c r="P425" i="1"/>
  <c r="P424" i="1" s="1"/>
  <c r="L499" i="1"/>
  <c r="L488" i="1" s="1"/>
  <c r="M1010" i="1"/>
  <c r="M1009" i="1" s="1"/>
  <c r="L502" i="1"/>
  <c r="L491" i="1" s="1"/>
  <c r="O984" i="1"/>
  <c r="L527" i="1"/>
  <c r="N1665" i="1"/>
  <c r="N1729" i="1"/>
  <c r="L291" i="1"/>
  <c r="N426" i="1"/>
  <c r="L1727" i="1"/>
  <c r="N1003" i="1"/>
  <c r="P467" i="1"/>
  <c r="P466" i="1" s="1"/>
  <c r="N262" i="1"/>
  <c r="L1608" i="1"/>
  <c r="L1607" i="1" s="1"/>
  <c r="M1561" i="1"/>
  <c r="M1560" i="1" s="1"/>
  <c r="P233" i="1"/>
  <c r="P181" i="1" s="1"/>
  <c r="L37" i="1"/>
  <c r="L1726" i="1" s="1"/>
  <c r="M1329" i="1"/>
  <c r="M1328" i="1" s="1"/>
  <c r="N1561" i="1"/>
  <c r="N1560" i="1" s="1"/>
  <c r="N181" i="1"/>
  <c r="P1343" i="1"/>
  <c r="P1342" i="1" s="1"/>
  <c r="M1651" i="1"/>
  <c r="M1650" i="1" s="1"/>
  <c r="M204" i="1"/>
  <c r="M203" i="1" s="1"/>
  <c r="P37" i="1"/>
  <c r="P1726" i="1" s="1"/>
  <c r="P1728" i="1"/>
  <c r="N252" i="1"/>
  <c r="N251" i="1" s="1"/>
  <c r="M1608" i="1"/>
  <c r="M1607" i="1" s="1"/>
  <c r="L1205" i="1"/>
  <c r="L1204" i="1" s="1"/>
  <c r="L1569" i="1"/>
  <c r="L1568" i="1" s="1"/>
  <c r="N37" i="1"/>
  <c r="N1726" i="1" s="1"/>
  <c r="L1010" i="1"/>
  <c r="L1009" i="1" s="1"/>
  <c r="M1413" i="1"/>
  <c r="M1412" i="1" s="1"/>
  <c r="N734" i="1"/>
  <c r="L734" i="1"/>
  <c r="O734" i="1"/>
  <c r="M750" i="1"/>
  <c r="M745" i="1"/>
  <c r="M746" i="1"/>
  <c r="M747" i="1"/>
  <c r="M748" i="1"/>
  <c r="M749" i="1"/>
  <c r="O785" i="1"/>
  <c r="N373" i="1"/>
  <c r="N365" i="1"/>
  <c r="M761" i="1"/>
  <c r="M757" i="1"/>
  <c r="M758" i="1"/>
  <c r="M759" i="1"/>
  <c r="M760" i="1"/>
  <c r="M762" i="1"/>
  <c r="M425" i="1"/>
  <c r="M737" i="1"/>
  <c r="N499" i="1"/>
  <c r="N502" i="1"/>
  <c r="N491" i="1" s="1"/>
  <c r="O725" i="1"/>
  <c r="O722" i="1" s="1"/>
  <c r="O721" i="1" s="1"/>
  <c r="P501" i="1"/>
  <c r="P490" i="1" s="1"/>
  <c r="M502" i="1"/>
  <c r="M491" i="1" s="1"/>
  <c r="N1713" i="1"/>
  <c r="N1711" i="1" s="1"/>
  <c r="N20" i="1"/>
  <c r="N488" i="1"/>
  <c r="M537" i="1"/>
  <c r="M565" i="1"/>
  <c r="L1159" i="1"/>
  <c r="L1158" i="1" s="1"/>
  <c r="L510" i="1"/>
  <c r="L509" i="1" s="1"/>
  <c r="L503" i="1"/>
  <c r="O370" i="1"/>
  <c r="O377" i="1"/>
  <c r="O548" i="1"/>
  <c r="L552" i="1"/>
  <c r="M494" i="1"/>
  <c r="M483" i="1" s="1"/>
  <c r="M512" i="1"/>
  <c r="M379" i="1"/>
  <c r="N425" i="1"/>
  <c r="N535" i="1"/>
  <c r="O373" i="1"/>
  <c r="L792" i="1"/>
  <c r="L835" i="1"/>
  <c r="L868" i="1" s="1"/>
  <c r="N422" i="1"/>
  <c r="N418" i="1"/>
  <c r="P984" i="1"/>
  <c r="P565" i="1"/>
  <c r="O181" i="1"/>
  <c r="L422" i="1"/>
  <c r="L418" i="1"/>
  <c r="L532" i="1"/>
  <c r="M1657" i="1"/>
  <c r="M1656" i="1" s="1"/>
  <c r="P725" i="1"/>
  <c r="P722" i="1" s="1"/>
  <c r="P721" i="1" s="1"/>
  <c r="O486" i="1"/>
  <c r="O538" i="1"/>
  <c r="P418" i="1"/>
  <c r="N332" i="1"/>
  <c r="N348" i="1" s="1"/>
  <c r="L534" i="1"/>
  <c r="L332" i="1"/>
  <c r="L348" i="1" s="1"/>
  <c r="L493" i="1" s="1"/>
  <c r="M1713" i="1"/>
  <c r="M1711" i="1" s="1"/>
  <c r="M20" i="1"/>
  <c r="O1713" i="1"/>
  <c r="O1711" i="1" s="1"/>
  <c r="O20" i="1"/>
  <c r="O470" i="1"/>
  <c r="L415" i="1"/>
  <c r="L414" i="1" s="1"/>
  <c r="L412" i="1"/>
  <c r="L467" i="1"/>
  <c r="L466" i="1" s="1"/>
  <c r="O493" i="1"/>
  <c r="P537" i="1"/>
  <c r="N423" i="1"/>
  <c r="M422" i="1"/>
  <c r="M418" i="1"/>
  <c r="M532" i="1"/>
  <c r="O342" i="1"/>
  <c r="O326" i="1" s="1"/>
  <c r="N486" i="1"/>
  <c r="P365" i="1"/>
  <c r="P373" i="1"/>
  <c r="N494" i="1"/>
  <c r="N483" i="1" s="1"/>
  <c r="N792" i="1"/>
  <c r="O537" i="1"/>
  <c r="O518" i="1"/>
  <c r="O565" i="1"/>
  <c r="O496" i="1"/>
  <c r="O485" i="1" s="1"/>
  <c r="M533" i="1"/>
  <c r="O1601" i="1"/>
  <c r="O1600" i="1" s="1"/>
  <c r="O498" i="1"/>
  <c r="O487" i="1" s="1"/>
  <c r="P512" i="1"/>
  <c r="P379" i="1"/>
  <c r="P291" i="1" s="1"/>
  <c r="P552" i="1"/>
  <c r="P762" i="1"/>
  <c r="P757" i="1"/>
  <c r="P758" i="1"/>
  <c r="P759" i="1"/>
  <c r="P761" i="1"/>
  <c r="P760" i="1"/>
  <c r="P749" i="1"/>
  <c r="P750" i="1"/>
  <c r="P745" i="1"/>
  <c r="P746" i="1"/>
  <c r="P747" i="1"/>
  <c r="P748" i="1"/>
  <c r="O422" i="1"/>
  <c r="O418" i="1"/>
  <c r="L692" i="1"/>
  <c r="L689" i="1" s="1"/>
  <c r="L690" i="1"/>
  <c r="P737" i="1"/>
  <c r="O368" i="1"/>
  <c r="O365" i="1" s="1"/>
  <c r="O546" i="1"/>
  <c r="O358" i="1"/>
  <c r="O291" i="1" s="1"/>
  <c r="N310" i="1"/>
  <c r="L1343" i="1"/>
  <c r="L1342" i="1" s="1"/>
  <c r="L374" i="1"/>
  <c r="L365" i="1"/>
  <c r="O432" i="1"/>
  <c r="O435" i="1" s="1"/>
  <c r="O376" i="1"/>
  <c r="M1554" i="1"/>
  <c r="M1553" i="1" s="1"/>
  <c r="M543" i="1"/>
  <c r="L1730" i="1"/>
  <c r="L1711" i="1" s="1"/>
  <c r="L20" i="1"/>
  <c r="L194" i="1"/>
  <c r="P792" i="1"/>
  <c r="P840" i="1" s="1"/>
  <c r="P873" i="1" s="1"/>
  <c r="O527" i="1"/>
  <c r="L426" i="1"/>
  <c r="L424" i="1" s="1"/>
  <c r="L191" i="1"/>
  <c r="P534" i="1"/>
  <c r="L725" i="1"/>
  <c r="L722" i="1" s="1"/>
  <c r="L721" i="1" s="1"/>
  <c r="O204" i="1"/>
  <c r="O203" i="1" s="1"/>
  <c r="N485" i="1"/>
  <c r="N537" i="1"/>
  <c r="N435" i="1"/>
  <c r="N547" i="1"/>
  <c r="L543" i="1"/>
  <c r="P692" i="1"/>
  <c r="P689" i="1" s="1"/>
  <c r="P691" i="1"/>
  <c r="O792" i="1"/>
  <c r="O838" i="1" s="1"/>
  <c r="O871" i="1" s="1"/>
  <c r="N725" i="1"/>
  <c r="N722" i="1" s="1"/>
  <c r="N721" i="1" s="1"/>
  <c r="P204" i="1"/>
  <c r="P203" i="1" s="1"/>
  <c r="N1554" i="1"/>
  <c r="N1553" i="1" s="1"/>
  <c r="N1728" i="1"/>
  <c r="N1601" i="1"/>
  <c r="N1600" i="1" s="1"/>
  <c r="N1657" i="1"/>
  <c r="N1656" i="1" s="1"/>
  <c r="L1329" i="1"/>
  <c r="L1328" i="1" s="1"/>
  <c r="N427" i="1"/>
  <c r="M233" i="1"/>
  <c r="M181" i="1" s="1"/>
  <c r="N415" i="1"/>
  <c r="N414" i="1" s="1"/>
  <c r="N376" i="1"/>
  <c r="N432" i="1"/>
  <c r="P503" i="1"/>
  <c r="P510" i="1"/>
  <c r="P509" i="1" s="1"/>
  <c r="M725" i="1"/>
  <c r="M722" i="1" s="1"/>
  <c r="M721" i="1" s="1"/>
  <c r="M376" i="1"/>
  <c r="M432" i="1"/>
  <c r="M435" i="1" s="1"/>
  <c r="L535" i="1"/>
  <c r="P438" i="1"/>
  <c r="P564" i="1"/>
  <c r="M792" i="1"/>
  <c r="M835" i="1"/>
  <c r="M868" i="1" s="1"/>
  <c r="N375" i="1"/>
  <c r="N431" i="1"/>
  <c r="N434" i="1" s="1"/>
  <c r="M534" i="1"/>
  <c r="M332" i="1"/>
  <c r="M348" i="1" s="1"/>
  <c r="P262" i="1"/>
  <c r="M48" i="1"/>
  <c r="M1737" i="1" s="1"/>
  <c r="M1738" i="1"/>
  <c r="M1343" i="1"/>
  <c r="M1342" i="1" s="1"/>
  <c r="L432" i="1"/>
  <c r="L430" i="1" s="1"/>
  <c r="L376" i="1"/>
  <c r="O552" i="1"/>
  <c r="O415" i="1"/>
  <c r="O414" i="1" s="1"/>
  <c r="O412" i="1"/>
  <c r="N1010" i="1"/>
  <c r="N1009" i="1" s="1"/>
  <c r="M262" i="1"/>
  <c r="M546" i="1"/>
  <c r="M368" i="1"/>
  <c r="M358" i="1"/>
  <c r="L1728" i="1"/>
  <c r="L1427" i="1"/>
  <c r="L1426" i="1" s="1"/>
  <c r="P48" i="1"/>
  <c r="P1737" i="1" s="1"/>
  <c r="P1738" i="1"/>
  <c r="P1713" i="1"/>
  <c r="P1711" i="1" s="1"/>
  <c r="P20" i="1"/>
  <c r="N550" i="1"/>
  <c r="P376" i="1"/>
  <c r="P432" i="1"/>
  <c r="P435" i="1" s="1"/>
  <c r="L548" i="1"/>
  <c r="N194" i="1"/>
  <c r="M510" i="1"/>
  <c r="M509" i="1" s="1"/>
  <c r="M503" i="1"/>
  <c r="M548" i="1"/>
  <c r="P427" i="1"/>
  <c r="N533" i="1"/>
  <c r="N540" i="1"/>
  <c r="O488" i="1"/>
  <c r="N498" i="1"/>
  <c r="N487" i="1" s="1"/>
  <c r="L1657" i="1"/>
  <c r="L1656" i="1" s="1"/>
  <c r="N191" i="1"/>
  <c r="P532" i="1"/>
  <c r="P375" i="1"/>
  <c r="P431" i="1"/>
  <c r="N539" i="1"/>
  <c r="L547" i="1"/>
  <c r="M1182" i="1"/>
  <c r="M1181" i="1" s="1"/>
  <c r="M535" i="1"/>
  <c r="K36" i="1"/>
  <c r="K40" i="1" s="1"/>
  <c r="K1665" i="1" s="1"/>
  <c r="J36" i="1"/>
  <c r="J40" i="1" s="1"/>
  <c r="J1665" i="1" s="1"/>
  <c r="K1664" i="1"/>
  <c r="O1184" i="1" l="1"/>
  <c r="O1563" i="1"/>
  <c r="O1415" i="1"/>
  <c r="O1331" i="1"/>
  <c r="O1610" i="1"/>
  <c r="O1609" i="1"/>
  <c r="O1562" i="1"/>
  <c r="O1561" i="1" s="1"/>
  <c r="O1560" i="1" s="1"/>
  <c r="Q372" i="1"/>
  <c r="Q20" i="1"/>
  <c r="O1330" i="1"/>
  <c r="O1414" i="1"/>
  <c r="O1413" i="1" s="1"/>
  <c r="O1412" i="1" s="1"/>
  <c r="N1343" i="1"/>
  <c r="N1342" i="1" s="1"/>
  <c r="Q424" i="1"/>
  <c r="P1184" i="1"/>
  <c r="P1182" i="1" s="1"/>
  <c r="P1181" i="1" s="1"/>
  <c r="P1563" i="1"/>
  <c r="P1561" i="1" s="1"/>
  <c r="P1560" i="1" s="1"/>
  <c r="P1415" i="1"/>
  <c r="P1331" i="1"/>
  <c r="P1329" i="1" s="1"/>
  <c r="P1328" i="1" s="1"/>
  <c r="P1610" i="1"/>
  <c r="P1608" i="1" s="1"/>
  <c r="P1607" i="1" s="1"/>
  <c r="P1414" i="1"/>
  <c r="P1413" i="1" s="1"/>
  <c r="P1412" i="1" s="1"/>
  <c r="Q430" i="1"/>
  <c r="P411" i="1"/>
  <c r="P410" i="1" s="1"/>
  <c r="O1727" i="1"/>
  <c r="Q1610" i="1"/>
  <c r="Q1415" i="1"/>
  <c r="Q1413" i="1" s="1"/>
  <c r="Q1412" i="1" s="1"/>
  <c r="Q1184" i="1"/>
  <c r="Q1563" i="1"/>
  <c r="Q1561" i="1" s="1"/>
  <c r="Q1560" i="1" s="1"/>
  <c r="Q1331" i="1"/>
  <c r="O1183" i="1"/>
  <c r="P1562" i="1"/>
  <c r="Q1414" i="1"/>
  <c r="P1657" i="1"/>
  <c r="P1656" i="1" s="1"/>
  <c r="N1427" i="1"/>
  <c r="N1426" i="1" s="1"/>
  <c r="O1658" i="1"/>
  <c r="P422" i="1"/>
  <c r="P421" i="1" s="1"/>
  <c r="O423" i="1"/>
  <c r="N1159" i="1"/>
  <c r="N1158" i="1" s="1"/>
  <c r="O1608" i="1"/>
  <c r="O1607" i="1" s="1"/>
  <c r="N1510" i="1"/>
  <c r="N1509" i="1" s="1"/>
  <c r="N424" i="1"/>
  <c r="L1554" i="1"/>
  <c r="L1553" i="1" s="1"/>
  <c r="L492" i="1"/>
  <c r="M424" i="1"/>
  <c r="N1413" i="1"/>
  <c r="N1412" i="1" s="1"/>
  <c r="Q751" i="1"/>
  <c r="Q752" i="1"/>
  <c r="Q753" i="1"/>
  <c r="Q754" i="1"/>
  <c r="Q755" i="1"/>
  <c r="Q756" i="1"/>
  <c r="Q493" i="1"/>
  <c r="Q492" i="1" s="1"/>
  <c r="Q342" i="1"/>
  <c r="Q326" i="1" s="1"/>
  <c r="Q434" i="1"/>
  <c r="Q433" i="1" s="1"/>
  <c r="Q482" i="1"/>
  <c r="Q481" i="1" s="1"/>
  <c r="Q470" i="1"/>
  <c r="Q463" i="1" s="1"/>
  <c r="Q834" i="1"/>
  <c r="Q867" i="1" s="1"/>
  <c r="Q842" i="1"/>
  <c r="Q875" i="1" s="1"/>
  <c r="Q839" i="1"/>
  <c r="Q872" i="1" s="1"/>
  <c r="Q837" i="1"/>
  <c r="Q870" i="1" s="1"/>
  <c r="Q838" i="1"/>
  <c r="Q871" i="1" s="1"/>
  <c r="Q836" i="1"/>
  <c r="Q869" i="1" s="1"/>
  <c r="Q841" i="1"/>
  <c r="Q874" i="1" s="1"/>
  <c r="Q840" i="1"/>
  <c r="Q873" i="1" s="1"/>
  <c r="Q1727" i="1"/>
  <c r="Q1329" i="1"/>
  <c r="Q1328" i="1" s="1"/>
  <c r="Q37" i="1"/>
  <c r="Q1726" i="1" s="1"/>
  <c r="Q411" i="1"/>
  <c r="Q410" i="1" s="1"/>
  <c r="Q422" i="1"/>
  <c r="Q421" i="1" s="1"/>
  <c r="Q762" i="1"/>
  <c r="Q757" i="1"/>
  <c r="Q758" i="1"/>
  <c r="Q759" i="1"/>
  <c r="Q760" i="1"/>
  <c r="Q761" i="1"/>
  <c r="Q1657" i="1"/>
  <c r="Q1656" i="1" s="1"/>
  <c r="Q745" i="1"/>
  <c r="Q746" i="1"/>
  <c r="Q747" i="1"/>
  <c r="Q748" i="1"/>
  <c r="Q749" i="1"/>
  <c r="Q750" i="1"/>
  <c r="Q1554" i="1"/>
  <c r="Q1553" i="1" s="1"/>
  <c r="Q1651" i="1"/>
  <c r="Q1650" i="1" s="1"/>
  <c r="L435" i="1"/>
  <c r="L433" i="1" s="1"/>
  <c r="M1427" i="1"/>
  <c r="M1426" i="1" s="1"/>
  <c r="O1182" i="1"/>
  <c r="O1181" i="1" s="1"/>
  <c r="M421" i="1"/>
  <c r="L372" i="1"/>
  <c r="O492" i="1"/>
  <c r="L423" i="1"/>
  <c r="L421" i="1" s="1"/>
  <c r="N1651" i="1"/>
  <c r="N1650" i="1" s="1"/>
  <c r="N1329" i="1"/>
  <c r="N1328" i="1" s="1"/>
  <c r="P1651" i="1"/>
  <c r="P1650" i="1" s="1"/>
  <c r="P372" i="1"/>
  <c r="M1205" i="1"/>
  <c r="M1204" i="1" s="1"/>
  <c r="O1329" i="1"/>
  <c r="O1328" i="1" s="1"/>
  <c r="N421" i="1"/>
  <c r="M291" i="1"/>
  <c r="N411" i="1"/>
  <c r="N410" i="1" s="1"/>
  <c r="P1159" i="1"/>
  <c r="P1158" i="1" s="1"/>
  <c r="L411" i="1"/>
  <c r="L410" i="1" s="1"/>
  <c r="N493" i="1"/>
  <c r="N492" i="1" s="1"/>
  <c r="N342" i="1"/>
  <c r="N326" i="1" s="1"/>
  <c r="M493" i="1"/>
  <c r="M492" i="1" s="1"/>
  <c r="M342" i="1"/>
  <c r="M326" i="1" s="1"/>
  <c r="O756" i="1"/>
  <c r="O751" i="1"/>
  <c r="O752" i="1"/>
  <c r="O753" i="1"/>
  <c r="O755" i="1"/>
  <c r="O754" i="1"/>
  <c r="L470" i="1"/>
  <c r="L463" i="1" s="1"/>
  <c r="L482" i="1"/>
  <c r="L481" i="1" s="1"/>
  <c r="M839" i="1"/>
  <c r="M872" i="1" s="1"/>
  <c r="M834" i="1"/>
  <c r="M867" i="1" s="1"/>
  <c r="M837" i="1"/>
  <c r="M870" i="1" s="1"/>
  <c r="M842" i="1"/>
  <c r="M875" i="1" s="1"/>
  <c r="M836" i="1"/>
  <c r="M869" i="1" s="1"/>
  <c r="M838" i="1"/>
  <c r="M871" i="1" s="1"/>
  <c r="M841" i="1"/>
  <c r="M874" i="1" s="1"/>
  <c r="O761" i="1"/>
  <c r="O762" i="1"/>
  <c r="O757" i="1"/>
  <c r="O758" i="1"/>
  <c r="O759" i="1"/>
  <c r="O760" i="1"/>
  <c r="M427" i="1"/>
  <c r="M411" i="1" s="1"/>
  <c r="M410" i="1" s="1"/>
  <c r="M409" i="1" s="1"/>
  <c r="L839" i="1"/>
  <c r="L872" i="1" s="1"/>
  <c r="L837" i="1"/>
  <c r="L870" i="1" s="1"/>
  <c r="L834" i="1"/>
  <c r="L867" i="1" s="1"/>
  <c r="L842" i="1"/>
  <c r="L875" i="1" s="1"/>
  <c r="L836" i="1"/>
  <c r="L869" i="1" s="1"/>
  <c r="L838" i="1"/>
  <c r="L871" i="1" s="1"/>
  <c r="L840" i="1"/>
  <c r="L873" i="1" s="1"/>
  <c r="L841" i="1"/>
  <c r="L874" i="1" s="1"/>
  <c r="P430" i="1"/>
  <c r="P756" i="1"/>
  <c r="P751" i="1"/>
  <c r="P752" i="1"/>
  <c r="P753" i="1"/>
  <c r="P754" i="1"/>
  <c r="P755" i="1"/>
  <c r="O749" i="1"/>
  <c r="O750" i="1"/>
  <c r="O745" i="1"/>
  <c r="O746" i="1"/>
  <c r="O747" i="1"/>
  <c r="O748" i="1"/>
  <c r="L750" i="1"/>
  <c r="L745" i="1"/>
  <c r="L746" i="1"/>
  <c r="L747" i="1"/>
  <c r="L749" i="1"/>
  <c r="L748" i="1"/>
  <c r="L762" i="1"/>
  <c r="L757" i="1"/>
  <c r="L758" i="1"/>
  <c r="L759" i="1"/>
  <c r="L760" i="1"/>
  <c r="L761" i="1"/>
  <c r="L737" i="1"/>
  <c r="M1569" i="1"/>
  <c r="M1568" i="1" s="1"/>
  <c r="O482" i="1"/>
  <c r="O481" i="1" s="1"/>
  <c r="L342" i="1"/>
  <c r="L326" i="1" s="1"/>
  <c r="P493" i="1"/>
  <c r="P492" i="1" s="1"/>
  <c r="O837" i="1"/>
  <c r="O870" i="1" s="1"/>
  <c r="O836" i="1"/>
  <c r="O869" i="1" s="1"/>
  <c r="O842" i="1"/>
  <c r="O875" i="1" s="1"/>
  <c r="O835" i="1"/>
  <c r="O868" i="1" s="1"/>
  <c r="O841" i="1"/>
  <c r="O874" i="1" s="1"/>
  <c r="O834" i="1"/>
  <c r="O867" i="1" s="1"/>
  <c r="O839" i="1"/>
  <c r="O872" i="1" s="1"/>
  <c r="O840" i="1"/>
  <c r="O873" i="1" s="1"/>
  <c r="N291" i="1"/>
  <c r="O427" i="1"/>
  <c r="O411" i="1" s="1"/>
  <c r="O410" i="1" s="1"/>
  <c r="O375" i="1"/>
  <c r="O372" i="1" s="1"/>
  <c r="O431" i="1"/>
  <c r="O430" i="1" s="1"/>
  <c r="O421" i="1"/>
  <c r="N750" i="1"/>
  <c r="N745" i="1"/>
  <c r="N746" i="1"/>
  <c r="N747" i="1"/>
  <c r="N749" i="1"/>
  <c r="N748" i="1"/>
  <c r="P434" i="1"/>
  <c r="P433" i="1" s="1"/>
  <c r="N757" i="1"/>
  <c r="N758" i="1"/>
  <c r="N759" i="1"/>
  <c r="N761" i="1"/>
  <c r="N762" i="1"/>
  <c r="N760" i="1"/>
  <c r="N372" i="1"/>
  <c r="N470" i="1"/>
  <c r="N463" i="1" s="1"/>
  <c r="N534" i="1"/>
  <c r="M552" i="1"/>
  <c r="M840" i="1"/>
  <c r="M873" i="1" s="1"/>
  <c r="M1616" i="1"/>
  <c r="M1615" i="1" s="1"/>
  <c r="M756" i="1"/>
  <c r="M751" i="1"/>
  <c r="M752" i="1"/>
  <c r="M753" i="1"/>
  <c r="M755" i="1"/>
  <c r="M754" i="1"/>
  <c r="P470" i="1"/>
  <c r="P463" i="1" s="1"/>
  <c r="N433" i="1"/>
  <c r="N839" i="1"/>
  <c r="N872" i="1" s="1"/>
  <c r="N834" i="1"/>
  <c r="N867" i="1" s="1"/>
  <c r="N837" i="1"/>
  <c r="N870" i="1" s="1"/>
  <c r="N842" i="1"/>
  <c r="N875" i="1" s="1"/>
  <c r="N838" i="1"/>
  <c r="N871" i="1" s="1"/>
  <c r="N840" i="1"/>
  <c r="N873" i="1" s="1"/>
  <c r="N841" i="1"/>
  <c r="N874" i="1" s="1"/>
  <c r="N836" i="1"/>
  <c r="N869" i="1" s="1"/>
  <c r="O510" i="1"/>
  <c r="O509" i="1" s="1"/>
  <c r="O503" i="1"/>
  <c r="O463" i="1" s="1"/>
  <c r="P837" i="1"/>
  <c r="P870" i="1" s="1"/>
  <c r="P836" i="1"/>
  <c r="P869" i="1" s="1"/>
  <c r="P841" i="1"/>
  <c r="P874" i="1" s="1"/>
  <c r="P834" i="1"/>
  <c r="P867" i="1" s="1"/>
  <c r="P842" i="1"/>
  <c r="P875" i="1" s="1"/>
  <c r="P839" i="1"/>
  <c r="P872" i="1" s="1"/>
  <c r="N835" i="1"/>
  <c r="N868" i="1" s="1"/>
  <c r="M470" i="1"/>
  <c r="M463" i="1" s="1"/>
  <c r="P835" i="1"/>
  <c r="P868" i="1" s="1"/>
  <c r="P838" i="1"/>
  <c r="P871" i="1" s="1"/>
  <c r="M375" i="1"/>
  <c r="M372" i="1" s="1"/>
  <c r="M431" i="1"/>
  <c r="M430" i="1" s="1"/>
  <c r="M365" i="1"/>
  <c r="N430" i="1"/>
  <c r="N737" i="1"/>
  <c r="J1664" i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P409" i="1" l="1"/>
  <c r="O1659" i="1"/>
  <c r="O1657" i="1"/>
  <c r="O1656" i="1" s="1"/>
  <c r="Q1182" i="1"/>
  <c r="Q1181" i="1" s="1"/>
  <c r="Q1608" i="1"/>
  <c r="Q1607" i="1" s="1"/>
  <c r="Q409" i="1"/>
  <c r="N409" i="1"/>
  <c r="N482" i="1"/>
  <c r="N481" i="1" s="1"/>
  <c r="O409" i="1"/>
  <c r="M482" i="1"/>
  <c r="M481" i="1" s="1"/>
  <c r="O434" i="1"/>
  <c r="O433" i="1" s="1"/>
  <c r="L409" i="1"/>
  <c r="P482" i="1"/>
  <c r="P481" i="1" s="1"/>
  <c r="L756" i="1"/>
  <c r="L751" i="1"/>
  <c r="L752" i="1"/>
  <c r="L753" i="1"/>
  <c r="L754" i="1"/>
  <c r="L755" i="1"/>
  <c r="N755" i="1"/>
  <c r="N756" i="1"/>
  <c r="N751" i="1"/>
  <c r="N752" i="1"/>
  <c r="N753" i="1"/>
  <c r="N754" i="1"/>
  <c r="M434" i="1"/>
  <c r="M433" i="1" s="1"/>
  <c r="G2315" i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J2240" i="1"/>
  <c r="F2254" i="1"/>
  <c r="I2254" i="1"/>
  <c r="H2259" i="1"/>
  <c r="K2259" i="1"/>
  <c r="F2273" i="1"/>
  <c r="K2273" i="1"/>
  <c r="J2276" i="1"/>
  <c r="J2301" i="1"/>
  <c r="I2240" i="1"/>
  <c r="K2240" i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K2295" i="1" l="1"/>
  <c r="K2234" i="1"/>
  <c r="K2253" i="1"/>
  <c r="G2234" i="1"/>
  <c r="I2253" i="1"/>
  <c r="G2253" i="1"/>
  <c r="G2233" i="1" s="1"/>
  <c r="I2234" i="1"/>
  <c r="I2233" i="1" s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J2253" i="1"/>
  <c r="I2272" i="1"/>
  <c r="G2272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H1653" i="1" l="1"/>
  <c r="G1653" i="1"/>
  <c r="F1653" i="1"/>
  <c r="I1653" i="1"/>
  <c r="E1658" i="1"/>
  <c r="E1663" i="1"/>
  <c r="E1659" i="1"/>
  <c r="E1660" i="1" s="1"/>
  <c r="E1661" i="1" s="1"/>
  <c r="E1662" i="1" s="1"/>
  <c r="E1664" i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I1571" i="1" l="1"/>
  <c r="F1571" i="1"/>
  <c r="G1571" i="1"/>
  <c r="H1571" i="1"/>
  <c r="G1618" i="1"/>
  <c r="F1618" i="1"/>
  <c r="H1618" i="1"/>
  <c r="I1618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H1556" i="1" l="1"/>
  <c r="H1563" i="1"/>
  <c r="F1603" i="1"/>
  <c r="G1610" i="1"/>
  <c r="I1556" i="1"/>
  <c r="G1563" i="1"/>
  <c r="F1610" i="1"/>
  <c r="F1563" i="1"/>
  <c r="I1610" i="1"/>
  <c r="F1556" i="1"/>
  <c r="H1603" i="1"/>
  <c r="I1563" i="1"/>
  <c r="G1603" i="1"/>
  <c r="H1610" i="1"/>
  <c r="I1603" i="1"/>
  <c r="G1556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H1429" i="1" l="1"/>
  <c r="I1415" i="1"/>
  <c r="H1415" i="1"/>
  <c r="G1429" i="1"/>
  <c r="H1512" i="1"/>
  <c r="F1415" i="1"/>
  <c r="F1429" i="1"/>
  <c r="G1512" i="1"/>
  <c r="I1429" i="1"/>
  <c r="G1415" i="1"/>
  <c r="I1512" i="1"/>
  <c r="F1512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G1331" i="1" l="1"/>
  <c r="H1345" i="1"/>
  <c r="F1345" i="1"/>
  <c r="H1331" i="1"/>
  <c r="G1345" i="1"/>
  <c r="F1331" i="1"/>
  <c r="I1331" i="1"/>
  <c r="I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F1207" i="1" l="1"/>
  <c r="G1184" i="1"/>
  <c r="F1184" i="1"/>
  <c r="I1207" i="1"/>
  <c r="G1207" i="1"/>
  <c r="H1184" i="1"/>
  <c r="H1207" i="1"/>
  <c r="I1184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G1161" i="1"/>
  <c r="F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36" i="1" s="1" a="1"/>
  <c r="H736" i="1" s="1"/>
  <c r="F741" i="1"/>
  <c r="F735" i="1" s="1"/>
  <c r="F736" i="1" s="1" a="1"/>
  <c r="F736" i="1" s="1"/>
  <c r="I741" i="1"/>
  <c r="I735" i="1" s="1"/>
  <c r="I736" i="1" s="1" a="1"/>
  <c r="I736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G736" i="1" s="1" a="1"/>
  <c r="G736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6" i="1" l="1" a="1"/>
  <c r="K736" i="1" s="1"/>
  <c r="K738" i="1" a="1"/>
  <c r="K738" i="1" s="1"/>
  <c r="J738" i="1" a="1"/>
  <c r="J738" i="1" s="1"/>
  <c r="J758" i="1" s="1"/>
  <c r="J736" i="1" a="1"/>
  <c r="J736" i="1" s="1"/>
  <c r="J745" i="1" s="1"/>
  <c r="I747" i="1"/>
  <c r="H752" i="1"/>
  <c r="H749" i="1"/>
  <c r="F734" i="1"/>
  <c r="F748" i="1"/>
  <c r="J734" i="1"/>
  <c r="H758" i="1"/>
  <c r="H734" i="1"/>
  <c r="H755" i="1"/>
  <c r="H751" i="1"/>
  <c r="H762" i="1"/>
  <c r="H754" i="1"/>
  <c r="H761" i="1"/>
  <c r="F755" i="1"/>
  <c r="I759" i="1"/>
  <c r="I757" i="1"/>
  <c r="I754" i="1"/>
  <c r="I755" i="1"/>
  <c r="I751" i="1"/>
  <c r="I761" i="1"/>
  <c r="H759" i="1"/>
  <c r="I758" i="1"/>
  <c r="I734" i="1"/>
  <c r="H756" i="1"/>
  <c r="H753" i="1"/>
  <c r="F756" i="1"/>
  <c r="F760" i="1"/>
  <c r="F753" i="1"/>
  <c r="F754" i="1"/>
  <c r="F757" i="1"/>
  <c r="F759" i="1"/>
  <c r="F751" i="1"/>
  <c r="F761" i="1"/>
  <c r="F758" i="1"/>
  <c r="F752" i="1"/>
  <c r="F762" i="1"/>
  <c r="H760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F746" i="1" l="1"/>
  <c r="H750" i="1"/>
  <c r="H746" i="1"/>
  <c r="F745" i="1"/>
  <c r="H748" i="1"/>
  <c r="H747" i="1"/>
  <c r="I748" i="1"/>
  <c r="F747" i="1"/>
  <c r="H745" i="1"/>
  <c r="F749" i="1"/>
  <c r="F750" i="1"/>
  <c r="I750" i="1"/>
  <c r="I749" i="1"/>
  <c r="I745" i="1"/>
  <c r="I746" i="1"/>
  <c r="J759" i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37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0" i="1" s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4" i="1"/>
  <c r="C1659" i="1"/>
  <c r="C1664" i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H1570" i="1" l="1"/>
  <c r="H1617" i="1"/>
  <c r="H1428" i="1"/>
  <c r="H1344" i="1"/>
  <c r="H1206" i="1"/>
  <c r="H1205" i="1" s="1"/>
  <c r="H1204" i="1" s="1"/>
  <c r="F1617" i="1"/>
  <c r="F1570" i="1"/>
  <c r="F1428" i="1"/>
  <c r="F1344" i="1"/>
  <c r="F1206" i="1"/>
  <c r="I1570" i="1"/>
  <c r="I1617" i="1"/>
  <c r="I1428" i="1"/>
  <c r="I1427" i="1" s="1"/>
  <c r="I1426" i="1" s="1"/>
  <c r="I1344" i="1"/>
  <c r="I1343" i="1" s="1"/>
  <c r="I1342" i="1" s="1"/>
  <c r="I1206" i="1"/>
  <c r="I1205" i="1" s="1"/>
  <c r="I1204" i="1" s="1"/>
  <c r="G1617" i="1"/>
  <c r="G1616" i="1" s="1"/>
  <c r="G1615" i="1" s="1"/>
  <c r="G1570" i="1"/>
  <c r="G1569" i="1" s="1"/>
  <c r="G1568" i="1" s="1"/>
  <c r="G1428" i="1"/>
  <c r="G1427" i="1" s="1"/>
  <c r="G1426" i="1" s="1"/>
  <c r="G1344" i="1"/>
  <c r="G1343" i="1" s="1"/>
  <c r="G1342" i="1" s="1"/>
  <c r="G1206" i="1"/>
  <c r="G1205" i="1" s="1"/>
  <c r="G1204" i="1" s="1"/>
  <c r="F1616" i="1"/>
  <c r="F1615" i="1" s="1"/>
  <c r="F1427" i="1"/>
  <c r="F1426" i="1" s="1"/>
  <c r="F1343" i="1"/>
  <c r="F1342" i="1" s="1"/>
  <c r="F1205" i="1"/>
  <c r="F1204" i="1" s="1"/>
  <c r="H1616" i="1"/>
  <c r="H1615" i="1" s="1"/>
  <c r="H1569" i="1"/>
  <c r="H1568" i="1" s="1"/>
  <c r="I1616" i="1"/>
  <c r="I1615" i="1" s="1"/>
  <c r="I1569" i="1"/>
  <c r="I1568" i="1" s="1"/>
  <c r="H1427" i="1"/>
  <c r="H1426" i="1" s="1"/>
  <c r="H1343" i="1"/>
  <c r="H1342" i="1" s="1"/>
  <c r="F1569" i="1"/>
  <c r="F1568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K1206" i="1" l="1"/>
  <c r="J1736" i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J49" i="1"/>
  <c r="J1571" i="1" l="1"/>
  <c r="J1207" i="1"/>
  <c r="J1618" i="1"/>
  <c r="J1345" i="1"/>
  <c r="J1429" i="1"/>
  <c r="J1206" i="1"/>
  <c r="K1571" i="1"/>
  <c r="K1429" i="1"/>
  <c r="K1207" i="1"/>
  <c r="K1345" i="1"/>
  <c r="K1618" i="1"/>
  <c r="K1344" i="1"/>
  <c r="K1617" i="1"/>
  <c r="J1617" i="1"/>
  <c r="K1428" i="1"/>
  <c r="K1570" i="1"/>
  <c r="J1344" i="1"/>
  <c r="J1428" i="1"/>
  <c r="J1570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F1658" i="1" l="1"/>
  <c r="F1659" i="1" s="1"/>
  <c r="F1609" i="1"/>
  <c r="F1562" i="1"/>
  <c r="F1414" i="1"/>
  <c r="F1330" i="1"/>
  <c r="F1183" i="1"/>
  <c r="H1658" i="1"/>
  <c r="H1659" i="1" s="1"/>
  <c r="H1562" i="1"/>
  <c r="H1609" i="1"/>
  <c r="H1414" i="1"/>
  <c r="H1330" i="1"/>
  <c r="H1329" i="1" s="1"/>
  <c r="H1328" i="1" s="1"/>
  <c r="H1183" i="1"/>
  <c r="H1182" i="1" s="1"/>
  <c r="H1181" i="1" s="1"/>
  <c r="I1652" i="1"/>
  <c r="I1651" i="1" s="1"/>
  <c r="I1555" i="1"/>
  <c r="I1554" i="1" s="1"/>
  <c r="I1553" i="1" s="1"/>
  <c r="I1602" i="1"/>
  <c r="I1601" i="1" s="1"/>
  <c r="I1600" i="1" s="1"/>
  <c r="I1511" i="1"/>
  <c r="I1160" i="1"/>
  <c r="I1159" i="1" s="1"/>
  <c r="I1158" i="1" s="1"/>
  <c r="G1658" i="1"/>
  <c r="G1659" i="1" s="1"/>
  <c r="G1562" i="1"/>
  <c r="G1561" i="1" s="1"/>
  <c r="G1560" i="1" s="1"/>
  <c r="G1609" i="1"/>
  <c r="G1608" i="1" s="1"/>
  <c r="G1607" i="1" s="1"/>
  <c r="G1414" i="1"/>
  <c r="G1413" i="1" s="1"/>
  <c r="G1412" i="1" s="1"/>
  <c r="G1330" i="1"/>
  <c r="G1329" i="1" s="1"/>
  <c r="G1328" i="1" s="1"/>
  <c r="G1183" i="1"/>
  <c r="G1182" i="1" s="1"/>
  <c r="G1181" i="1" s="1"/>
  <c r="I1658" i="1"/>
  <c r="I1659" i="1" s="1"/>
  <c r="I1562" i="1"/>
  <c r="I1561" i="1" s="1"/>
  <c r="I1560" i="1" s="1"/>
  <c r="I1609" i="1"/>
  <c r="I1608" i="1" s="1"/>
  <c r="I1607" i="1" s="1"/>
  <c r="I1414" i="1"/>
  <c r="I1413" i="1" s="1"/>
  <c r="I1412" i="1" s="1"/>
  <c r="I1330" i="1"/>
  <c r="I1329" i="1" s="1"/>
  <c r="I1328" i="1" s="1"/>
  <c r="I1183" i="1"/>
  <c r="G1652" i="1"/>
  <c r="G1602" i="1"/>
  <c r="G1555" i="1"/>
  <c r="G1511" i="1"/>
  <c r="G1160" i="1"/>
  <c r="H1652" i="1"/>
  <c r="H1555" i="1"/>
  <c r="H1602" i="1"/>
  <c r="H1511" i="1"/>
  <c r="H1160" i="1"/>
  <c r="F1652" i="1"/>
  <c r="F1555" i="1"/>
  <c r="F1602" i="1"/>
  <c r="F1511" i="1"/>
  <c r="F1160" i="1"/>
  <c r="I1510" i="1"/>
  <c r="I1509" i="1" s="1"/>
  <c r="F1608" i="1"/>
  <c r="F1607" i="1" s="1"/>
  <c r="F1561" i="1"/>
  <c r="F1560" i="1" s="1"/>
  <c r="F1413" i="1"/>
  <c r="F1412" i="1" s="1"/>
  <c r="F1329" i="1"/>
  <c r="F1328" i="1" s="1"/>
  <c r="F1182" i="1"/>
  <c r="F1181" i="1" s="1"/>
  <c r="H1608" i="1"/>
  <c r="H1607" i="1" s="1"/>
  <c r="G1159" i="1"/>
  <c r="G1158" i="1" s="1"/>
  <c r="H1651" i="1"/>
  <c r="H1554" i="1"/>
  <c r="H1553" i="1" s="1"/>
  <c r="H1601" i="1"/>
  <c r="H1600" i="1" s="1"/>
  <c r="H1510" i="1"/>
  <c r="H1509" i="1" s="1"/>
  <c r="H1159" i="1"/>
  <c r="H1158" i="1" s="1"/>
  <c r="F1651" i="1"/>
  <c r="F1601" i="1"/>
  <c r="F1600" i="1" s="1"/>
  <c r="F1554" i="1"/>
  <c r="F1553" i="1" s="1"/>
  <c r="F1510" i="1"/>
  <c r="F1509" i="1" s="1"/>
  <c r="F1159" i="1"/>
  <c r="F1158" i="1" s="1"/>
  <c r="H1561" i="1"/>
  <c r="H1560" i="1" s="1"/>
  <c r="H1413" i="1"/>
  <c r="H1412" i="1" s="1"/>
  <c r="G1651" i="1"/>
  <c r="G1554" i="1"/>
  <c r="G1553" i="1" s="1"/>
  <c r="G1601" i="1"/>
  <c r="G1600" i="1" s="1"/>
  <c r="G1510" i="1"/>
  <c r="G1509" i="1" s="1"/>
  <c r="F33" i="1"/>
  <c r="F1723" i="1" s="1"/>
  <c r="H33" i="1"/>
  <c r="H1723" i="1" s="1"/>
  <c r="G33" i="1"/>
  <c r="G1723" i="1" s="1"/>
  <c r="I33" i="1"/>
  <c r="I1723" i="1" s="1"/>
  <c r="I1182" i="1"/>
  <c r="I1181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J1160" i="1" l="1"/>
  <c r="F1740" i="1"/>
  <c r="K1652" i="1"/>
  <c r="K1555" i="1"/>
  <c r="K1602" i="1"/>
  <c r="K1511" i="1"/>
  <c r="K1160" i="1"/>
  <c r="G1657" i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J1602" i="1" s="1"/>
  <c r="K39" i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609" i="1" s="1"/>
  <c r="K38" i="1"/>
  <c r="K1609" i="1" s="1"/>
  <c r="K1183" i="1" l="1"/>
  <c r="J1183" i="1"/>
  <c r="K1415" i="1"/>
  <c r="K1184" i="1"/>
  <c r="K1563" i="1"/>
  <c r="K1610" i="1"/>
  <c r="K1331" i="1"/>
  <c r="J1415" i="1"/>
  <c r="J1184" i="1"/>
  <c r="J1331" i="1"/>
  <c r="J1563" i="1"/>
  <c r="J1610" i="1"/>
  <c r="J1414" i="1"/>
  <c r="K1161" i="1"/>
  <c r="K1603" i="1"/>
  <c r="K1653" i="1"/>
  <c r="K1512" i="1"/>
  <c r="K1556" i="1"/>
  <c r="K1414" i="1"/>
  <c r="K1658" i="1"/>
  <c r="K1659" i="1" s="1"/>
  <c r="J1658" i="1"/>
  <c r="J1659" i="1" s="1"/>
  <c r="K1330" i="1"/>
  <c r="K1562" i="1"/>
  <c r="J1161" i="1"/>
  <c r="J1603" i="1"/>
  <c r="J1512" i="1"/>
  <c r="J1556" i="1"/>
  <c r="J1653" i="1"/>
  <c r="J1511" i="1"/>
  <c r="J1555" i="1"/>
  <c r="J1330" i="1"/>
  <c r="J1562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331" i="1"/>
  <c r="H347" i="1" s="1"/>
  <c r="H426" i="1" s="1"/>
  <c r="H423" i="1" s="1"/>
  <c r="G196" i="1"/>
  <c r="G193" i="1" s="1"/>
  <c r="G331" i="1"/>
  <c r="G347" i="1" s="1"/>
  <c r="G426" i="1" s="1"/>
  <c r="G423" i="1" s="1"/>
  <c r="I196" i="1"/>
  <c r="I193" i="1" s="1"/>
  <c r="I331" i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338" i="1" l="1"/>
  <c r="G354" i="1" s="1"/>
  <c r="G499" i="1" s="1"/>
  <c r="G488" i="1" s="1"/>
  <c r="G336" i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336" i="1"/>
  <c r="I352" i="1" s="1"/>
  <c r="I497" i="1" s="1"/>
  <c r="I486" i="1" s="1"/>
  <c r="I267" i="1"/>
  <c r="I256" i="1" s="1"/>
  <c r="H338" i="1"/>
  <c r="H354" i="1" s="1"/>
  <c r="H499" i="1" s="1"/>
  <c r="H488" i="1" s="1"/>
  <c r="H269" i="1"/>
  <c r="H258" i="1" s="1"/>
  <c r="H336" i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338" i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148" i="1"/>
  <c r="F376" i="1" s="1"/>
  <c r="K202" i="1"/>
  <c r="K205" i="1" s="1"/>
  <c r="K148" i="1"/>
  <c r="K376" i="1" s="1"/>
  <c r="J202" i="1"/>
  <c r="J205" i="1" s="1"/>
  <c r="F205" i="1" l="1"/>
  <c r="K547" i="1"/>
  <c r="H432" i="1"/>
  <c r="H435" i="1" s="1"/>
  <c r="F432" i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F435" i="1" l="1"/>
  <c r="J546" i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368" i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431" i="1" l="1"/>
  <c r="F204" i="1"/>
  <c r="F200" i="1"/>
  <c r="F430" i="1"/>
  <c r="F434" i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F433" i="1" l="1"/>
  <c r="F203" i="1"/>
  <c r="K566" i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341" i="1"/>
  <c r="H357" i="1" s="1"/>
  <c r="H502" i="1" s="1"/>
  <c r="H491" i="1" s="1"/>
  <c r="H272" i="1"/>
  <c r="H261" i="1" s="1"/>
  <c r="I334" i="1"/>
  <c r="I350" i="1" s="1"/>
  <c r="I495" i="1" s="1"/>
  <c r="I484" i="1" s="1"/>
  <c r="G334" i="1"/>
  <c r="G350" i="1" s="1"/>
  <c r="G495" i="1" s="1"/>
  <c r="G484" i="1" s="1"/>
  <c r="H334" i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328" i="1"/>
  <c r="H344" i="1" s="1"/>
  <c r="J100" i="1"/>
  <c r="J328" i="1" s="1"/>
  <c r="J344" i="1" s="1"/>
  <c r="G328" i="1"/>
  <c r="G344" i="1" s="1"/>
  <c r="H329" i="1"/>
  <c r="H345" i="1" s="1"/>
  <c r="G270" i="1"/>
  <c r="G259" i="1" s="1"/>
  <c r="I328" i="1"/>
  <c r="I344" i="1" s="1"/>
  <c r="K100" i="1"/>
  <c r="K328" i="1" s="1"/>
  <c r="K344" i="1" s="1"/>
  <c r="G329" i="1"/>
  <c r="G345" i="1" s="1"/>
  <c r="I329" i="1"/>
  <c r="I345" i="1" s="1"/>
  <c r="J101" i="1"/>
  <c r="J329" i="1" s="1"/>
  <c r="J345" i="1" s="1"/>
  <c r="J102" i="1"/>
  <c r="K102" i="1"/>
  <c r="H74" i="1"/>
  <c r="I74" i="1"/>
  <c r="G74" i="1"/>
  <c r="K74" i="1"/>
  <c r="G151" i="1"/>
  <c r="I173" i="1"/>
  <c r="F66" i="1"/>
  <c r="H327" i="1"/>
  <c r="H343" i="1" s="1"/>
  <c r="H151" i="1"/>
  <c r="G327" i="1"/>
  <c r="G343" i="1" s="1"/>
  <c r="I327" i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I470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337" i="1"/>
  <c r="I353" i="1" s="1"/>
  <c r="I498" i="1" s="1"/>
  <c r="I487" i="1" s="1"/>
  <c r="I268" i="1"/>
  <c r="I257" i="1" s="1"/>
  <c r="I335" i="1"/>
  <c r="I351" i="1" s="1"/>
  <c r="I496" i="1" s="1"/>
  <c r="I485" i="1" s="1"/>
  <c r="I266" i="1"/>
  <c r="I255" i="1" s="1"/>
  <c r="G337" i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337" i="1"/>
  <c r="H353" i="1" s="1"/>
  <c r="H498" i="1" s="1"/>
  <c r="H487" i="1" s="1"/>
  <c r="H268" i="1"/>
  <c r="H257" i="1" s="1"/>
  <c r="H335" i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335" i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370" i="1" l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332" i="1"/>
  <c r="G348" i="1" s="1"/>
  <c r="G493" i="1" s="1"/>
  <c r="H332" i="1"/>
  <c r="H348" i="1" s="1"/>
  <c r="H493" i="1" s="1"/>
  <c r="H333" i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333" i="1"/>
  <c r="G349" i="1" s="1"/>
  <c r="G494" i="1" s="1"/>
  <c r="G483" i="1" s="1"/>
  <c r="I98" i="1"/>
  <c r="I332" i="1"/>
  <c r="I348" i="1" s="1"/>
  <c r="I493" i="1" s="1"/>
  <c r="K98" i="1"/>
  <c r="I333" i="1"/>
  <c r="I349" i="1" s="1"/>
  <c r="I494" i="1" s="1"/>
  <c r="I483" i="1" s="1"/>
  <c r="G98" i="1"/>
  <c r="F264" i="1"/>
  <c r="F253" i="1" s="1"/>
  <c r="J98" i="1"/>
  <c r="H98" i="1"/>
  <c r="K105" i="1"/>
  <c r="K333" i="1" s="1"/>
  <c r="K349" i="1" s="1"/>
  <c r="K494" i="1" s="1"/>
  <c r="K483" i="1" s="1"/>
  <c r="F82" i="1"/>
  <c r="F63" i="1" s="1"/>
  <c r="F339" i="1" l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I492" i="1"/>
  <c r="J482" i="1"/>
  <c r="J481" i="1" s="1"/>
  <c r="J492" i="1"/>
  <c r="G425" i="1"/>
  <c r="J469" i="1"/>
  <c r="G469" i="1"/>
  <c r="H469" i="1"/>
  <c r="K469" i="1"/>
  <c r="I469" i="1"/>
  <c r="F412" i="1"/>
  <c r="F411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I342" i="1"/>
  <c r="I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410" i="1" l="1"/>
  <c r="F9" i="4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<sst xmlns="http://schemas.openxmlformats.org/spreadsheetml/2006/main" count="5309" uniqueCount="2482">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</sst>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0.0"/>
    <numFmt numFmtId="165" formatCode="0.000"/>
    <numFmt numFmtId="166" formatCode="_-[$€-2]* #,##0.00_-;\-[$€-2]* #,##0.00_-;_-[$€-2]* &quot;-&quot;??_-"/>
    <numFmt numFmtId="167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10" fillId="22" borderId="11" applyNumberFormat="0" applyFont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22" borderId="11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5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9" fontId="0" fillId="0" borderId="0" xfId="1" applyFont="1"/>
    <xf numFmtId="0" fontId="4" fillId="0" borderId="0" xfId="0" applyFont="1"/>
    <xf numFmtId="164" fontId="4" fillId="0" borderId="0" xfId="0" quotePrefix="1" applyNumberFormat="1" applyFont="1"/>
    <xf numFmtId="2" fontId="0" fillId="0" borderId="0" xfId="0" applyNumberFormat="1"/>
    <xf numFmtId="165" fontId="0" fillId="0" borderId="0" xfId="0" applyNumberFormat="1"/>
    <xf numFmtId="0" fontId="5" fillId="0" borderId="0" xfId="0" applyFont="1"/>
    <xf numFmtId="164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4" fontId="1" fillId="0" borderId="0" xfId="1" applyNumberFormat="1" applyFont="1"/>
    <xf numFmtId="164" fontId="2" fillId="0" borderId="0" xfId="1" applyNumberFormat="1" applyFont="1"/>
    <xf numFmtId="0" fontId="0" fillId="0" borderId="0" xfId="0" quotePrefix="1"/>
    <xf numFmtId="164" fontId="0" fillId="0" borderId="0" xfId="0" quotePrefix="1" applyNumberFormat="1"/>
    <xf numFmtId="164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5"/>
      <tableStyleElement type="headerRow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52_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_2050"/>
      <sheetName val="Elc_Dispatch_2070"/>
      <sheetName val="Elc_Dispatch_Seasonal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Nuclear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2.635790141809724E-2</v>
          </cell>
          <cell r="H4">
            <v>2.1604325993832218E-3</v>
          </cell>
          <cell r="I4">
            <v>4.1395948696744895E-3</v>
          </cell>
          <cell r="J4">
            <v>4.2093873148875607E-3</v>
          </cell>
          <cell r="K4">
            <v>4.6990033913681959E-3</v>
          </cell>
          <cell r="L4">
            <v>1.4932677438460129E-2</v>
          </cell>
          <cell r="M4">
            <v>8.2352576593169389E-3</v>
          </cell>
          <cell r="N4">
            <v>2.5397932099731277E-2</v>
          </cell>
          <cell r="O4">
            <v>0.2148782683841966</v>
          </cell>
          <cell r="P4">
            <v>0.48368171939208471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1.6710767128010989E-2</v>
          </cell>
          <cell r="H5">
            <v>5.1609837888838615E-4</v>
          </cell>
          <cell r="I5">
            <v>9.7860794741641468E-4</v>
          </cell>
          <cell r="J5">
            <v>9.9154200250107421E-4</v>
          </cell>
          <cell r="K5">
            <v>1.1157842207946155E-3</v>
          </cell>
          <cell r="L5">
            <v>4.1696690615061994E-3</v>
          </cell>
          <cell r="M5">
            <v>2.1996607450588132E-3</v>
          </cell>
          <cell r="N5">
            <v>7.9637725557260598E-3</v>
          </cell>
          <cell r="O5">
            <v>0.19368801285360798</v>
          </cell>
          <cell r="P5">
            <v>0.40841968063462236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1.9421826306183477E-3</v>
          </cell>
          <cell r="H6">
            <v>2.8924326228985543E-4</v>
          </cell>
          <cell r="I6">
            <v>5.6039112706389167E-4</v>
          </cell>
          <cell r="J6">
            <v>5.7423152767552667E-4</v>
          </cell>
          <cell r="K6">
            <v>6.347581530016011E-4</v>
          </cell>
          <cell r="L6">
            <v>2.1089403584013764E-3</v>
          </cell>
          <cell r="M6">
            <v>1.1201168763187743E-3</v>
          </cell>
          <cell r="N6">
            <v>3.3680830481574654E-3</v>
          </cell>
          <cell r="O6">
            <v>4.1166109165101002E-3</v>
          </cell>
          <cell r="P6">
            <v>1.4883946100621348E-2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6.4416594168838117E-4</v>
          </cell>
          <cell r="H7">
            <v>2.2798177020723058E-4</v>
          </cell>
          <cell r="I7">
            <v>3.9482202408800245E-4</v>
          </cell>
          <cell r="J7">
            <v>4.1044760987294076E-4</v>
          </cell>
          <cell r="K7">
            <v>4.5637555463356425E-4</v>
          </cell>
          <cell r="L7">
            <v>8.8096721156385831E-4</v>
          </cell>
          <cell r="M7">
            <v>6.7755185931599887E-4</v>
          </cell>
          <cell r="N7">
            <v>1.2186934168336478E-3</v>
          </cell>
          <cell r="O7">
            <v>1.2498044635740376E-3</v>
          </cell>
          <cell r="P7">
            <v>1.8218815195021173E-3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2.0370795460202171E-3</v>
          </cell>
          <cell r="H8">
            <v>2.9432306524774192E-4</v>
          </cell>
          <cell r="I8">
            <v>5.6810115475334621E-4</v>
          </cell>
          <cell r="J8">
            <v>5.8510958082377579E-4</v>
          </cell>
          <cell r="K8">
            <v>6.5793448978160004E-4</v>
          </cell>
          <cell r="L8">
            <v>2.2869320304041521E-3</v>
          </cell>
          <cell r="M8">
            <v>1.1970426552032358E-3</v>
          </cell>
          <cell r="N8">
            <v>3.6263545366069828E-3</v>
          </cell>
          <cell r="O8">
            <v>4.4294525171968283E-3</v>
          </cell>
          <cell r="P8">
            <v>1.6169248979161534E-2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1.9652768412939544E-3</v>
          </cell>
          <cell r="H9">
            <v>2.8916224661330262E-4</v>
          </cell>
          <cell r="I9">
            <v>5.6130485357952205E-4</v>
          </cell>
          <cell r="J9">
            <v>5.7509808784769593E-4</v>
          </cell>
          <cell r="K9">
            <v>6.3807410210649923E-4</v>
          </cell>
          <cell r="L9">
            <v>1.9686114668514103E-3</v>
          </cell>
          <cell r="M9">
            <v>1.0703732674093693E-3</v>
          </cell>
          <cell r="N9">
            <v>3.2627957619150868E-3</v>
          </cell>
          <cell r="O9">
            <v>4.0442535873839603E-3</v>
          </cell>
          <cell r="P9">
            <v>1.4691246069090471E-2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1.1164864455514443E-3</v>
          </cell>
          <cell r="H10">
            <v>2.5445804832670515E-4</v>
          </cell>
          <cell r="I10">
            <v>5.159306739947907E-4</v>
          </cell>
          <cell r="J10">
            <v>4.9862748169458892E-4</v>
          </cell>
          <cell r="K10">
            <v>5.6113811703238778E-4</v>
          </cell>
          <cell r="L10">
            <v>1.4089407568255174E-3</v>
          </cell>
          <cell r="M10">
            <v>8.5069613802631506E-4</v>
          </cell>
          <cell r="N10">
            <v>2.5915787528237055E-3</v>
          </cell>
          <cell r="O10">
            <v>3.2348843491053522E-3</v>
          </cell>
          <cell r="P10">
            <v>1.281893483549615E-2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1.941942884913897E-3</v>
          </cell>
          <cell r="H11">
            <v>2.8916582781000005E-4</v>
          </cell>
          <cell r="I11">
            <v>5.6043708877851904E-4</v>
          </cell>
          <cell r="J11">
            <v>5.743310244719572E-4</v>
          </cell>
          <cell r="K11">
            <v>6.349387540179319E-4</v>
          </cell>
          <cell r="L11">
            <v>2.1086165529076257E-3</v>
          </cell>
          <cell r="M11">
            <v>1.1198161179844306E-3</v>
          </cell>
          <cell r="N11">
            <v>3.3666540276683292E-3</v>
          </cell>
          <cell r="O11">
            <v>4.1152496968179762E-3</v>
          </cell>
          <cell r="P11">
            <v>1.4876781253590854E-2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1.1836295202618896E-2</v>
          </cell>
          <cell r="G12">
            <v>1.4089791092219778E-2</v>
          </cell>
          <cell r="H12">
            <v>1.4249528402991212E-2</v>
          </cell>
          <cell r="I12">
            <v>1.6714449568917881E-2</v>
          </cell>
          <cell r="J12">
            <v>1.6882207434161696E-2</v>
          </cell>
          <cell r="K12">
            <v>0.73931849327004473</v>
          </cell>
          <cell r="L12">
            <v>1.8818028248625049</v>
          </cell>
          <cell r="M12">
            <v>1.8818205457579127</v>
          </cell>
          <cell r="N12">
            <v>1.8817757471668917</v>
          </cell>
          <cell r="O12">
            <v>1.8817531060046904</v>
          </cell>
          <cell r="P12">
            <v>1.8811468539555909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1.1836295202618896E-2</v>
          </cell>
          <cell r="G13">
            <v>1.4089791092219778E-2</v>
          </cell>
          <cell r="H13">
            <v>1.4249528402991212E-2</v>
          </cell>
          <cell r="I13">
            <v>1.6714449568917881E-2</v>
          </cell>
          <cell r="J13">
            <v>1.6882207434161696E-2</v>
          </cell>
          <cell r="K13">
            <v>0.73931849327004473</v>
          </cell>
          <cell r="L13">
            <v>1.8818028248625049</v>
          </cell>
          <cell r="M13">
            <v>1.8818205457579127</v>
          </cell>
          <cell r="N13">
            <v>1.8817757471668917</v>
          </cell>
          <cell r="O13">
            <v>1.8817531060046904</v>
          </cell>
          <cell r="P13">
            <v>1.8811468539555909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1.51112275209387E-3</v>
          </cell>
          <cell r="G14">
            <v>2.8203567870211998E-4</v>
          </cell>
          <cell r="H14">
            <v>7.3384643317795503E-6</v>
          </cell>
          <cell r="I14">
            <v>6.5137468833382103E-2</v>
          </cell>
          <cell r="J14">
            <v>0.12667141628373299</v>
          </cell>
          <cell r="K14">
            <v>1.65150230040066E-6</v>
          </cell>
          <cell r="L14">
            <v>3.9826342588245698E-6</v>
          </cell>
          <cell r="M14">
            <v>4.6500269032713998E-6</v>
          </cell>
          <cell r="N14">
            <v>1.7447726863044201E-5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1.51112275209387E-3</v>
          </cell>
          <cell r="G15">
            <v>1.51112275209387E-3</v>
          </cell>
          <cell r="H15">
            <v>1.51112275209387E-3</v>
          </cell>
          <cell r="I15">
            <v>1.79492566418882E-3</v>
          </cell>
          <cell r="J15">
            <v>1.80049689512777E-3</v>
          </cell>
          <cell r="K15">
            <v>7.52310983607654E-2</v>
          </cell>
          <cell r="L15">
            <v>0.19360938201224201</v>
          </cell>
          <cell r="M15">
            <v>0.19361077975447999</v>
          </cell>
          <cell r="N15">
            <v>0.19361613595840299</v>
          </cell>
          <cell r="O15">
            <v>0.193619666175705</v>
          </cell>
          <cell r="P15">
            <v>0.19363711390256799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3.2682197363050731</v>
          </cell>
          <cell r="F16">
            <v>3.8319875158600398</v>
          </cell>
          <cell r="G16">
            <v>3.7281153582849638</v>
          </cell>
          <cell r="H16">
            <v>3.8836466745846319</v>
          </cell>
          <cell r="I16">
            <v>4.0187538954885351</v>
          </cell>
          <cell r="J16">
            <v>4.1198318306748103</v>
          </cell>
          <cell r="K16">
            <v>4.2002255211707791</v>
          </cell>
          <cell r="L16">
            <v>4.2656440165926597</v>
          </cell>
          <cell r="M16">
            <v>4.3153813099370515</v>
          </cell>
          <cell r="N16">
            <v>4.3597347326282243</v>
          </cell>
          <cell r="O16">
            <v>4.3598116086459164</v>
          </cell>
          <cell r="P16">
            <v>4.3609268438447542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3.2682197363050731</v>
          </cell>
          <cell r="F17">
            <v>3.8319875158600398</v>
          </cell>
          <cell r="G17">
            <v>3.7281153582849638</v>
          </cell>
          <cell r="H17">
            <v>3.8836466745846319</v>
          </cell>
          <cell r="I17">
            <v>4.0187538954885351</v>
          </cell>
          <cell r="J17">
            <v>4.1198318306748103</v>
          </cell>
          <cell r="K17">
            <v>4.2002255211707791</v>
          </cell>
          <cell r="L17">
            <v>4.2656440165926597</v>
          </cell>
          <cell r="M17">
            <v>4.3153813099370515</v>
          </cell>
          <cell r="N17">
            <v>4.3597347326282243</v>
          </cell>
          <cell r="O17">
            <v>4.3598116086459164</v>
          </cell>
          <cell r="P17">
            <v>4.3609268438447542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0.66998032210914271</v>
          </cell>
          <cell r="F18">
            <v>9.1266847754030683E-2</v>
          </cell>
          <cell r="G18">
            <v>5.8818191371725483E-2</v>
          </cell>
          <cell r="H18">
            <v>0.74228762237224644</v>
          </cell>
          <cell r="I18">
            <v>0.55884932644259977</v>
          </cell>
          <cell r="J18">
            <v>0.17022143146878352</v>
          </cell>
          <cell r="K18">
            <v>0.12042265864170826</v>
          </cell>
          <cell r="L18">
            <v>7.3336363454713588E-2</v>
          </cell>
          <cell r="M18">
            <v>4.4729225811464726E-2</v>
          </cell>
          <cell r="N18">
            <v>6.7379278640968002E-2</v>
          </cell>
          <cell r="O18">
            <v>0.11019898635368168</v>
          </cell>
          <cell r="P18">
            <v>0.11295360676061827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2.085073417460197</v>
          </cell>
          <cell r="F19">
            <v>0.26596874905558543</v>
          </cell>
          <cell r="G19">
            <v>0.15394238100152083</v>
          </cell>
          <cell r="H19">
            <v>1.5754124614192571</v>
          </cell>
          <cell r="I19">
            <v>0.9095224686544946</v>
          </cell>
          <cell r="J19">
            <v>0.19279417155459841</v>
          </cell>
          <cell r="K19">
            <v>0.13474520310264684</v>
          </cell>
          <cell r="L19">
            <v>8.1055980660473079E-2</v>
          </cell>
          <cell r="M19">
            <v>4.94375653705664E-2</v>
          </cell>
          <cell r="N19">
            <v>7.4471834287385866E-2</v>
          </cell>
          <cell r="O19">
            <v>0.12179887965406964</v>
          </cell>
          <cell r="P19">
            <v>0.12484346010384159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109.139834960519</v>
          </cell>
          <cell r="F20">
            <v>14.6341368853441</v>
          </cell>
          <cell r="G20">
            <v>9.6620817437843396</v>
          </cell>
          <cell r="H20">
            <v>116.35666107328601</v>
          </cell>
          <cell r="I20">
            <v>87.6249179874672</v>
          </cell>
          <cell r="J20">
            <v>26.944904932910699</v>
          </cell>
          <cell r="K20">
            <v>19.205581110494801</v>
          </cell>
          <cell r="L20">
            <v>11.8853330819802</v>
          </cell>
          <cell r="M20">
            <v>7.2883714970938804</v>
          </cell>
          <cell r="N20">
            <v>10.9409336231503</v>
          </cell>
          <cell r="O20">
            <v>17.730612823935299</v>
          </cell>
          <cell r="P20">
            <v>18.484267905962898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1.9351034567467829</v>
          </cell>
          <cell r="F21">
            <v>0.25947051215149119</v>
          </cell>
          <cell r="G21">
            <v>0.171313506095467</v>
          </cell>
          <cell r="H21">
            <v>2.0630613665476307</v>
          </cell>
          <cell r="I21">
            <v>1.5536332976501275</v>
          </cell>
          <cell r="J21">
            <v>0.47774654136366523</v>
          </cell>
          <cell r="K21">
            <v>0.34052448777473071</v>
          </cell>
          <cell r="L21">
            <v>0.21073285606347819</v>
          </cell>
          <cell r="M21">
            <v>0.12922644498393404</v>
          </cell>
          <cell r="N21">
            <v>0.19398818480763025</v>
          </cell>
          <cell r="O21">
            <v>0.3143725678002709</v>
          </cell>
          <cell r="P21">
            <v>0.32773524655962682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1.9335360979328498E-6</v>
          </cell>
          <cell r="G22">
            <v>9.64311521437811E-6</v>
          </cell>
          <cell r="H22">
            <v>2.6649387175004001E-2</v>
          </cell>
          <cell r="I22">
            <v>2.1122728332285501E-4</v>
          </cell>
          <cell r="J22">
            <v>6.5351437242742696E-5</v>
          </cell>
          <cell r="K22">
            <v>7.4958001026803205E-5</v>
          </cell>
          <cell r="L22">
            <v>9.3370793203984507E-3</v>
          </cell>
          <cell r="M22">
            <v>1.5412025196415501E-5</v>
          </cell>
          <cell r="N22">
            <v>6.7756747947498805E-4</v>
          </cell>
          <cell r="O22">
            <v>5.7859125133492596E-3</v>
          </cell>
          <cell r="P22">
            <v>1.0954672085252699E-2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2.9342669335457407E-2</v>
          </cell>
          <cell r="F23">
            <v>2.1703648989177537E-2</v>
          </cell>
          <cell r="G23">
            <v>1.3983510976986614E-2</v>
          </cell>
          <cell r="H23">
            <v>3.0901402930715596E-2</v>
          </cell>
          <cell r="I23">
            <v>2.6869464343839602E-2</v>
          </cell>
          <cell r="J23">
            <v>2.6931511865906324E-2</v>
          </cell>
          <cell r="K23">
            <v>1.8548651978533399E-2</v>
          </cell>
          <cell r="L23">
            <v>9.6829420510786308E-3</v>
          </cell>
          <cell r="M23">
            <v>9.5399847464507793E-3</v>
          </cell>
          <cell r="N23">
            <v>1.0094303676237476E-2</v>
          </cell>
          <cell r="O23">
            <v>1.5807664136758451E-2</v>
          </cell>
          <cell r="P23">
            <v>1.7424094616265852E-2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6.7990984280650038</v>
          </cell>
          <cell r="F24">
            <v>1.2595482055031289E-3</v>
          </cell>
          <cell r="G24">
            <v>1.0390530580110407E-3</v>
          </cell>
          <cell r="H24">
            <v>4.7851970282989775E-4</v>
          </cell>
          <cell r="I24">
            <v>7.1013273760594717E-4</v>
          </cell>
          <cell r="J24">
            <v>7.9532629385588457E-4</v>
          </cell>
          <cell r="K24">
            <v>8.1661160167784087E-4</v>
          </cell>
          <cell r="L24">
            <v>8.2392745544731768E-4</v>
          </cell>
          <cell r="M24">
            <v>7.6247934921372851E-4</v>
          </cell>
          <cell r="N24">
            <v>8.2737668649150904E-4</v>
          </cell>
          <cell r="O24">
            <v>7.8023645110677836E-4</v>
          </cell>
          <cell r="P24">
            <v>1.3874259356254099E-3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6.7990984280650038</v>
          </cell>
          <cell r="F25">
            <v>1.2595482055031289E-3</v>
          </cell>
          <cell r="G25">
            <v>1.0390530580110407E-3</v>
          </cell>
          <cell r="H25">
            <v>4.7851970282989775E-4</v>
          </cell>
          <cell r="I25">
            <v>7.1013273760594717E-4</v>
          </cell>
          <cell r="J25">
            <v>7.9532629385588457E-4</v>
          </cell>
          <cell r="K25">
            <v>8.1661160167784087E-4</v>
          </cell>
          <cell r="L25">
            <v>8.2392745544731768E-4</v>
          </cell>
          <cell r="M25">
            <v>7.6247934921372851E-4</v>
          </cell>
          <cell r="N25">
            <v>8.2737668649150904E-4</v>
          </cell>
          <cell r="O25">
            <v>7.8023645110677836E-4</v>
          </cell>
          <cell r="P25">
            <v>1.3874259356254099E-3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8.68115973219445E-6</v>
          </cell>
          <cell r="F26">
            <v>7.02812973735612E-6</v>
          </cell>
          <cell r="G26">
            <v>7.8738912476400107E-6</v>
          </cell>
          <cell r="H26">
            <v>8.1520184187040594E-6</v>
          </cell>
          <cell r="I26">
            <v>1.37840929742878E-5</v>
          </cell>
          <cell r="J26">
            <v>1.27577793381778E-5</v>
          </cell>
          <cell r="K26">
            <v>1.41503726972793E-5</v>
          </cell>
          <cell r="L26">
            <v>4.1002608545074797E-5</v>
          </cell>
          <cell r="M26">
            <v>2.6866403149880998E-5</v>
          </cell>
          <cell r="N26">
            <v>1.0897139488600001E-3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1.4635490833953668</v>
          </cell>
          <cell r="F27">
            <v>1.4947413296599876E-3</v>
          </cell>
          <cell r="G27">
            <v>1.4733348331898988E-3</v>
          </cell>
          <cell r="H27">
            <v>1.4637682039235766E-3</v>
          </cell>
          <cell r="I27">
            <v>1.4719046959972282E-3</v>
          </cell>
          <cell r="J27">
            <v>1.4691571300158301E-3</v>
          </cell>
          <cell r="K27">
            <v>1.4746688391218399E-3</v>
          </cell>
          <cell r="L27">
            <v>1.4752012597882835E-3</v>
          </cell>
          <cell r="M27">
            <v>1.4798494140868534E-3</v>
          </cell>
          <cell r="N27">
            <v>1.5216985587407361E-3</v>
          </cell>
          <cell r="O27">
            <v>1.5325028002306507E-3</v>
          </cell>
          <cell r="P27">
            <v>2.6143059728205298E-3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2.7614962053215185E-3</v>
          </cell>
          <cell r="F28">
            <v>2.745688388523087E-3</v>
          </cell>
          <cell r="G28">
            <v>2.7354930070155694E-3</v>
          </cell>
          <cell r="H28">
            <v>5.4323436183451673E-2</v>
          </cell>
          <cell r="I28">
            <v>7.1620335491518139E-2</v>
          </cell>
          <cell r="J28">
            <v>7.9845101278625846E-2</v>
          </cell>
          <cell r="K28">
            <v>8.3463514650334747E-2</v>
          </cell>
          <cell r="L28">
            <v>9.0596469617543557E-2</v>
          </cell>
          <cell r="M28">
            <v>9.2932600460069778E-2</v>
          </cell>
          <cell r="N28">
            <v>9.6578410674642456E-2</v>
          </cell>
          <cell r="O28">
            <v>9.6256817998285282E-2</v>
          </cell>
          <cell r="P28">
            <v>0.10655836436633592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2.7614962053215159E-3</v>
          </cell>
          <cell r="F29">
            <v>2.7456883885230844E-3</v>
          </cell>
          <cell r="G29">
            <v>2.7354930070155672E-3</v>
          </cell>
          <cell r="H29">
            <v>5.4323436183451618E-2</v>
          </cell>
          <cell r="I29">
            <v>7.1620335491518083E-2</v>
          </cell>
          <cell r="J29">
            <v>7.9845101278625777E-2</v>
          </cell>
          <cell r="K29">
            <v>8.3463514650334664E-2</v>
          </cell>
          <cell r="L29">
            <v>9.0596469617543418E-2</v>
          </cell>
          <cell r="M29">
            <v>9.2932600460069709E-2</v>
          </cell>
          <cell r="N29">
            <v>9.6578410674642373E-2</v>
          </cell>
          <cell r="O29">
            <v>9.6256817998285116E-2</v>
          </cell>
          <cell r="P29">
            <v>0.10655836436633587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3.0552378474554991E-3</v>
          </cell>
          <cell r="F30">
            <v>3.0380652502908952E-3</v>
          </cell>
          <cell r="G30">
            <v>3.0255447303552175E-3</v>
          </cell>
          <cell r="H30">
            <v>6.007493080054023E-2</v>
          </cell>
          <cell r="I30">
            <v>7.9203069931285244E-2</v>
          </cell>
          <cell r="J30">
            <v>8.8298253337220162E-2</v>
          </cell>
          <cell r="K30">
            <v>9.2299724306526332E-2</v>
          </cell>
          <cell r="L30">
            <v>0.10018908738475156</v>
          </cell>
          <cell r="M30">
            <v>0.10277136321534659</v>
          </cell>
          <cell r="N30">
            <v>0.10680641018819929</v>
          </cell>
          <cell r="O30">
            <v>0.10644868147895373</v>
          </cell>
          <cell r="P30">
            <v>0.11784707887127507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3.0552378474554991E-3</v>
          </cell>
          <cell r="F31">
            <v>3.0380652502908952E-3</v>
          </cell>
          <cell r="G31">
            <v>3.0255447303552175E-3</v>
          </cell>
          <cell r="H31">
            <v>6.007493080054023E-2</v>
          </cell>
          <cell r="I31">
            <v>7.9203069931285244E-2</v>
          </cell>
          <cell r="J31">
            <v>8.8298253337220162E-2</v>
          </cell>
          <cell r="K31">
            <v>9.2299724306526332E-2</v>
          </cell>
          <cell r="L31">
            <v>0.10018908738475156</v>
          </cell>
          <cell r="M31">
            <v>0.10277136321534659</v>
          </cell>
          <cell r="N31">
            <v>0.10680641018819929</v>
          </cell>
          <cell r="O31">
            <v>0.10644868147895373</v>
          </cell>
          <cell r="P31">
            <v>0.11784707887127507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1.12296943467735E-3</v>
          </cell>
          <cell r="F32">
            <v>1.8153593256552901E-6</v>
          </cell>
          <cell r="G32">
            <v>5.3591616184404501E-6</v>
          </cell>
          <cell r="H32">
            <v>2.4612048296136099E-2</v>
          </cell>
          <cell r="I32">
            <v>4.7480988403955197E-3</v>
          </cell>
          <cell r="J32">
            <v>2.2804263065467199E-2</v>
          </cell>
          <cell r="K32">
            <v>8.9566799645808496E-3</v>
          </cell>
          <cell r="L32">
            <v>2.0366019709444499E-2</v>
          </cell>
          <cell r="M32">
            <v>1.3676797936164E-2</v>
          </cell>
          <cell r="N32">
            <v>1.54476317134558E-2</v>
          </cell>
          <cell r="O32">
            <v>2.1559375697924901E-2</v>
          </cell>
          <cell r="P32">
            <v>1.1657726940359299E-2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1.1252563529470408E-3</v>
          </cell>
          <cell r="F33">
            <v>1.1262838617101022E-3</v>
          </cell>
          <cell r="G33">
            <v>1.1298332427328664E-3</v>
          </cell>
          <cell r="H33">
            <v>2.5437426730180037E-2</v>
          </cell>
          <cell r="I33">
            <v>2.9361909946446347E-2</v>
          </cell>
          <cell r="J33">
            <v>3.2719659217959121E-2</v>
          </cell>
          <cell r="K33">
            <v>3.4221550131570092E-2</v>
          </cell>
          <cell r="L33">
            <v>3.7109780662641881E-2</v>
          </cell>
          <cell r="M33">
            <v>3.8069841247519248E-2</v>
          </cell>
          <cell r="N33">
            <v>3.9555590624635789E-2</v>
          </cell>
          <cell r="O33">
            <v>3.9426940712295966E-2</v>
          </cell>
          <cell r="P33">
            <v>4.363737808898227E-2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6.1078903402310059E-5</v>
          </cell>
          <cell r="F34">
            <v>1.6088968434236771E-4</v>
          </cell>
          <cell r="G34">
            <v>3.9947468943860628E-2</v>
          </cell>
          <cell r="H34">
            <v>2.0743457582853555</v>
          </cell>
          <cell r="I34">
            <v>4.7042049136765272</v>
          </cell>
          <cell r="J34">
            <v>4.3051687776318204</v>
          </cell>
          <cell r="K34">
            <v>3.6828457310949148</v>
          </cell>
          <cell r="L34">
            <v>0.90714427087294014</v>
          </cell>
          <cell r="M34">
            <v>0.82719364352662939</v>
          </cell>
          <cell r="N34">
            <v>1.0966170397141202</v>
          </cell>
          <cell r="O34">
            <v>0.94632701153033849</v>
          </cell>
          <cell r="P34">
            <v>1.2570377841344891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6.1078903402309951E-5</v>
          </cell>
          <cell r="F35">
            <v>1.6075828548832853E-4</v>
          </cell>
          <cell r="G35">
            <v>3.9896515539595487E-2</v>
          </cell>
          <cell r="H35">
            <v>2.0743457582853586</v>
          </cell>
          <cell r="I35">
            <v>4.6989780193280062</v>
          </cell>
          <cell r="J35">
            <v>4.3051687776318248</v>
          </cell>
          <cell r="K35">
            <v>3.6792492020606447</v>
          </cell>
          <cell r="L35">
            <v>0.90714427087294014</v>
          </cell>
          <cell r="M35">
            <v>0.82719364352662939</v>
          </cell>
          <cell r="N35">
            <v>1.0966170397141202</v>
          </cell>
          <cell r="O35">
            <v>0.94632701153033849</v>
          </cell>
          <cell r="P35">
            <v>1.2570377841344891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9.1988406916314921E-5</v>
          </cell>
          <cell r="F36">
            <v>1.934603790114127E-4</v>
          </cell>
          <cell r="G36">
            <v>4.7560884105508162E-2</v>
          </cell>
          <cell r="H36">
            <v>2.3843066093303067</v>
          </cell>
          <cell r="I36">
            <v>5.2268959194894276</v>
          </cell>
          <cell r="J36">
            <v>4.6292167067575143</v>
          </cell>
          <cell r="K36">
            <v>3.8363027858142908</v>
          </cell>
          <cell r="L36">
            <v>0.9163163336971073</v>
          </cell>
          <cell r="M36">
            <v>0.83555389139259195</v>
          </cell>
          <cell r="N36">
            <v>1.107703405267936</v>
          </cell>
          <cell r="O36">
            <v>0.95589180496967308</v>
          </cell>
          <cell r="P36">
            <v>1.2697475286166655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9.1988406916314921E-5</v>
          </cell>
          <cell r="F37">
            <v>1.934603790114127E-4</v>
          </cell>
          <cell r="G37">
            <v>4.7560884105508162E-2</v>
          </cell>
          <cell r="H37">
            <v>2.3843066093303067</v>
          </cell>
          <cell r="I37">
            <v>5.2268959194894276</v>
          </cell>
          <cell r="J37">
            <v>4.6292167067575143</v>
          </cell>
          <cell r="K37">
            <v>3.8363027858142908</v>
          </cell>
          <cell r="L37">
            <v>0.9163163336971073</v>
          </cell>
          <cell r="M37">
            <v>0.83555389139259195</v>
          </cell>
          <cell r="N37">
            <v>1.107703405267936</v>
          </cell>
          <cell r="O37">
            <v>0.95589180496967308</v>
          </cell>
          <cell r="P37">
            <v>1.2697475286166655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7.51563411214982E-3</v>
          </cell>
          <cell r="F38">
            <v>1.00385057907953E-4</v>
          </cell>
          <cell r="G38">
            <v>2.3683458074086898E-3</v>
          </cell>
          <cell r="H38">
            <v>0.12018111374967801</v>
          </cell>
          <cell r="I38">
            <v>0.169684782975183</v>
          </cell>
          <cell r="J38">
            <v>1.2873048598958301E-3</v>
          </cell>
          <cell r="K38">
            <v>5.8366079265356002E-2</v>
          </cell>
          <cell r="L38">
            <v>5.2905140827205398E-2</v>
          </cell>
          <cell r="M38">
            <v>5.5996333952739598E-2</v>
          </cell>
          <cell r="N38">
            <v>6.2115915721934499E-2</v>
          </cell>
          <cell r="O38">
            <v>4.7481775302118501E-2</v>
          </cell>
          <cell r="P38">
            <v>4.7497556809007399E-2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7.51563411214982E-3</v>
          </cell>
          <cell r="F39">
            <v>7.606205859517109E-3</v>
          </cell>
          <cell r="G39">
            <v>9.9516519995732789E-3</v>
          </cell>
          <cell r="H39">
            <v>0.13008379095786993</v>
          </cell>
          <cell r="I39">
            <v>0.2941296821335101</v>
          </cell>
          <cell r="J39">
            <v>0.2686941374723707</v>
          </cell>
          <cell r="K39">
            <v>0.22928341803130955</v>
          </cell>
          <cell r="L39">
            <v>0.11249152374141227</v>
          </cell>
          <cell r="M39">
            <v>0.15955316309220796</v>
          </cell>
          <cell r="N39">
            <v>0.1709182685973423</v>
          </cell>
          <cell r="O39">
            <v>0.15706529211029152</v>
          </cell>
          <cell r="P39">
            <v>0.15699971151150621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2.9382292996419572E-3</v>
          </cell>
          <cell r="H40">
            <v>1.0935546321275188E-3</v>
          </cell>
          <cell r="I40">
            <v>2.1696069921297283E-3</v>
          </cell>
          <cell r="J40">
            <v>2.07551237087219E-3</v>
          </cell>
          <cell r="K40">
            <v>2.2581343010626537E-3</v>
          </cell>
          <cell r="L40">
            <v>1.0408627289089872E-2</v>
          </cell>
          <cell r="M40">
            <v>3.5904562136925078E-3</v>
          </cell>
          <cell r="N40">
            <v>7.5900797166171203E-3</v>
          </cell>
          <cell r="O40">
            <v>6.3334820149231882E-3</v>
          </cell>
          <cell r="P40">
            <v>1.3584490820194117E-2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8.1372829546693922E-4</v>
          </cell>
          <cell r="H41">
            <v>2.8429452824073261E-4</v>
          </cell>
          <cell r="I41">
            <v>5.5191010086707974E-4</v>
          </cell>
          <cell r="J41">
            <v>5.2435443514257842E-4</v>
          </cell>
          <cell r="K41">
            <v>5.7946791710701746E-4</v>
          </cell>
          <cell r="L41">
            <v>3.2894337072760581E-3</v>
          </cell>
          <cell r="M41">
            <v>9.7654240144630779E-4</v>
          </cell>
          <cell r="N41">
            <v>2.0990978750939984E-3</v>
          </cell>
          <cell r="O41">
            <v>1.7391125129329599E-3</v>
          </cell>
          <cell r="P41">
            <v>3.8516715127770882E-3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3.3807970209482035E-4</v>
          </cell>
          <cell r="H42">
            <v>1.2924510472498809E-4</v>
          </cell>
          <cell r="I42">
            <v>2.5666956597695525E-4</v>
          </cell>
          <cell r="J42">
            <v>2.4175305950416214E-4</v>
          </cell>
          <cell r="K42">
            <v>2.4607426076291472E-4</v>
          </cell>
          <cell r="L42">
            <v>9.5388892396212975E-4</v>
          </cell>
          <cell r="M42">
            <v>3.4821957023991316E-4</v>
          </cell>
          <cell r="N42">
            <v>7.3051100647642745E-4</v>
          </cell>
          <cell r="O42">
            <v>6.1667265335233336E-4</v>
          </cell>
          <cell r="P42">
            <v>1.3112171227367439E-3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2.4303547712512205E-4</v>
          </cell>
          <cell r="H43">
            <v>1.1124484083251206E-4</v>
          </cell>
          <cell r="I43">
            <v>2.0505630142360961E-4</v>
          </cell>
          <cell r="J43">
            <v>1.9623689416473994E-4</v>
          </cell>
          <cell r="K43">
            <v>2.019336944527191E-4</v>
          </cell>
          <cell r="L43">
            <v>6.1322654880839665E-4</v>
          </cell>
          <cell r="M43">
            <v>2.7558936456460308E-4</v>
          </cell>
          <cell r="N43">
            <v>5.0995397429022201E-4</v>
          </cell>
          <cell r="O43">
            <v>4.5171798376833922E-4</v>
          </cell>
          <cell r="P43">
            <v>8.0900473342320823E-4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3.4184290039533151E-4</v>
          </cell>
          <cell r="H44">
            <v>1.3051130493886367E-4</v>
          </cell>
          <cell r="I44">
            <v>2.5965038129041845E-4</v>
          </cell>
          <cell r="J44">
            <v>2.4475520531758226E-4</v>
          </cell>
          <cell r="K44">
            <v>2.49226105867563E-4</v>
          </cell>
          <cell r="L44">
            <v>1.0650067584073749E-3</v>
          </cell>
          <cell r="M44">
            <v>3.6004998051741144E-4</v>
          </cell>
          <cell r="N44">
            <v>7.7502715236822174E-4</v>
          </cell>
          <cell r="O44">
            <v>6.5923902045730387E-4</v>
          </cell>
          <cell r="P44">
            <v>1.4867148741839937E-3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4.5247478914596268E-4</v>
          </cell>
          <cell r="H45">
            <v>1.5991571076000595E-4</v>
          </cell>
          <cell r="I45">
            <v>3.3030975007380345E-4</v>
          </cell>
          <cell r="J45">
            <v>3.3067808986259181E-4</v>
          </cell>
          <cell r="K45">
            <v>3.881134944415941E-4</v>
          </cell>
          <cell r="L45">
            <v>1.8404768568778184E-3</v>
          </cell>
          <cell r="M45">
            <v>6.7631171444088836E-4</v>
          </cell>
          <cell r="N45">
            <v>1.4221407271624304E-3</v>
          </cell>
          <cell r="O45">
            <v>1.1738867819516545E-3</v>
          </cell>
          <cell r="P45">
            <v>2.34575771864613E-3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4.1103365261581452E-4</v>
          </cell>
          <cell r="H46">
            <v>1.4912733325479847E-4</v>
          </cell>
          <cell r="I46">
            <v>3.0925988485908541E-4</v>
          </cell>
          <cell r="J46">
            <v>2.9596844380776741E-4</v>
          </cell>
          <cell r="K46">
            <v>3.471426976624121E-4</v>
          </cell>
          <cell r="L46">
            <v>1.6899485271170487E-3</v>
          </cell>
          <cell r="M46">
            <v>6.0494992904978212E-4</v>
          </cell>
          <cell r="N46">
            <v>1.3220217301138288E-3</v>
          </cell>
          <cell r="O46">
            <v>1.0752752122186772E-3</v>
          </cell>
          <cell r="P46">
            <v>2.4683035989649244E-3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3.3803448279797014E-4</v>
          </cell>
          <cell r="H47">
            <v>1.29215809375618E-4</v>
          </cell>
          <cell r="I47">
            <v>2.5675100763877567E-4</v>
          </cell>
          <cell r="J47">
            <v>2.4176624307276653E-4</v>
          </cell>
          <cell r="K47">
            <v>2.4617613076843218E-4</v>
          </cell>
          <cell r="L47">
            <v>9.5664596664103989E-4</v>
          </cell>
          <cell r="M47">
            <v>3.4879325343359927E-4</v>
          </cell>
          <cell r="N47">
            <v>7.313272511119827E-4</v>
          </cell>
          <cell r="O47">
            <v>6.1757785024191421E-4</v>
          </cell>
          <cell r="P47">
            <v>1.3118212594620284E-3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2.5870599134299082E-3</v>
          </cell>
          <cell r="K48">
            <v>2.5682865726854021E-3</v>
          </cell>
          <cell r="L48">
            <v>6.0990469410887975E-3</v>
          </cell>
          <cell r="M48">
            <v>6.5118731686529376E-3</v>
          </cell>
          <cell r="N48">
            <v>5.6808305460898802E-2</v>
          </cell>
          <cell r="O48">
            <v>7.1306470583642798E-2</v>
          </cell>
          <cell r="P48">
            <v>7.2886914462701208E-2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2.6131918317473849E-3</v>
          </cell>
          <cell r="K49">
            <v>2.594228861298386E-3</v>
          </cell>
          <cell r="L49">
            <v>6.1606534758472655E-3</v>
          </cell>
          <cell r="M49">
            <v>6.5776496653059948E-3</v>
          </cell>
          <cell r="N49">
            <v>5.7382126728180681E-2</v>
          </cell>
          <cell r="O49">
            <v>7.2026737963275508E-2</v>
          </cell>
          <cell r="P49">
            <v>7.362314592192036E-2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2.1117570961996902E-6</v>
          </cell>
          <cell r="I50">
            <v>5.3910515001725302E-6</v>
          </cell>
          <cell r="J50">
            <v>1.3975634535504499E-3</v>
          </cell>
          <cell r="K50">
            <v>1.1254505788469199E-4</v>
          </cell>
          <cell r="L50">
            <v>1.19349735048044E-3</v>
          </cell>
          <cell r="M50">
            <v>2.6833538155301801E-5</v>
          </cell>
          <cell r="N50">
            <v>5.3517474752587304E-3</v>
          </cell>
          <cell r="O50">
            <v>5.1704776180379905E-4</v>
          </cell>
          <cell r="P50">
            <v>2.6450511216179399E-3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2.1117570961996902E-6</v>
          </cell>
          <cell r="I51">
            <v>7.50280859637222E-6</v>
          </cell>
          <cell r="J51">
            <v>1.40506626214682E-3</v>
          </cell>
          <cell r="K51">
            <v>1.5176113200315101E-3</v>
          </cell>
          <cell r="L51">
            <v>2.7111086705119501E-3</v>
          </cell>
          <cell r="M51">
            <v>2.7379422086672499E-3</v>
          </cell>
          <cell r="N51">
            <v>8.0896896839259894E-3</v>
          </cell>
          <cell r="O51">
            <v>8.6060679898196102E-3</v>
          </cell>
          <cell r="P51">
            <v>1.12496768102515E-2</v>
          </cell>
        </row>
        <row r="52">
          <cell r="B52" t="str">
            <v>ENUC_SMR_GOE_II</v>
          </cell>
          <cell r="C52" t="str">
            <v>VAR_fout</v>
          </cell>
          <cell r="D52" t="str">
            <v>LTH</v>
          </cell>
          <cell r="J52"/>
          <cell r="K52">
            <v>0.13900872220669222</v>
          </cell>
          <cell r="L52">
            <v>0.38627349243982434</v>
          </cell>
          <cell r="M52">
            <v>0.37781442608823507</v>
          </cell>
          <cell r="N52">
            <v>0.35963158467220857</v>
          </cell>
          <cell r="O52">
            <v>0.39049287825421553</v>
          </cell>
          <cell r="P52">
            <v>0.34948488420619828</v>
          </cell>
        </row>
        <row r="53">
          <cell r="B53" t="str">
            <v>ENUC_SMR_GOE_II</v>
          </cell>
          <cell r="C53" t="str">
            <v>VAR_fout</v>
          </cell>
          <cell r="D53" t="str">
            <v>ELC</v>
          </cell>
          <cell r="J53"/>
          <cell r="K53">
            <v>7.4039228963362264E-2</v>
          </cell>
          <cell r="L53">
            <v>0.22006988293777724</v>
          </cell>
          <cell r="M53">
            <v>0.24025743794268101</v>
          </cell>
          <cell r="N53">
            <v>0.2215932347743941</v>
          </cell>
          <cell r="O53">
            <v>0.24348554606702003</v>
          </cell>
          <cell r="P53">
            <v>0.275922814674253</v>
          </cell>
        </row>
        <row r="54">
          <cell r="B54" t="str">
            <v>ENUC_SMR_GOE_II</v>
          </cell>
          <cell r="C54" t="str">
            <v>VAR_fin</v>
          </cell>
          <cell r="D54" t="str">
            <v>URN</v>
          </cell>
          <cell r="J54"/>
          <cell r="K54">
            <v>0.28509139062268885</v>
          </cell>
          <cell r="L54">
            <v>0.83543005205736276</v>
          </cell>
          <cell r="M54">
            <v>0.89255792494354314</v>
          </cell>
          <cell r="N54">
            <v>0.82817816230327757</v>
          </cell>
          <cell r="O54">
            <v>0.90793678146042067</v>
          </cell>
          <cell r="P54">
            <v>0.98752611694439174</v>
          </cell>
        </row>
        <row r="55">
          <cell r="B55" t="str">
            <v>ENUC_SMR_GOE_II</v>
          </cell>
          <cell r="C55" t="str">
            <v>VAR_ncap</v>
          </cell>
          <cell r="D55" t="str">
            <v>-</v>
          </cell>
          <cell r="J55"/>
          <cell r="K55">
            <v>9.6392838994978098E-3</v>
          </cell>
          <cell r="L55">
            <v>3.7820390838162801E-6</v>
          </cell>
          <cell r="M55">
            <v>9.2433894030372501E-6</v>
          </cell>
          <cell r="N55">
            <v>4.9877792798904701E-5</v>
          </cell>
          <cell r="O55">
            <v>2.2969816132130099E-3</v>
          </cell>
        </row>
        <row r="56">
          <cell r="B56" t="str">
            <v>ENUC_SMR_GOE_II</v>
          </cell>
          <cell r="C56" t="str">
            <v>VAR_cap</v>
          </cell>
          <cell r="D56" t="str">
            <v>-</v>
          </cell>
          <cell r="J56"/>
          <cell r="K56">
            <v>3.0557849612555198E-3</v>
          </cell>
          <cell r="L56">
            <v>9.6392838994978098E-3</v>
          </cell>
          <cell r="M56">
            <v>9.6462515518529694E-3</v>
          </cell>
          <cell r="N56">
            <v>9.6523093279846702E-3</v>
          </cell>
          <cell r="O56">
            <v>1.0430361738641101E-2</v>
          </cell>
          <cell r="P56">
            <v>1.1999168733996601E-2</v>
          </cell>
        </row>
        <row r="57">
          <cell r="B57" t="str">
            <v>ITOT-EBAT</v>
          </cell>
          <cell r="C57" t="str">
            <v>VAR_fout</v>
          </cell>
          <cell r="D57" t="str">
            <v>AUX_ITOT-EBAT_OUT</v>
          </cell>
          <cell r="E57">
            <v>2.7528902008559387E-3</v>
          </cell>
          <cell r="F57">
            <v>2.7373899675858112E-3</v>
          </cell>
          <cell r="G57">
            <v>2.7297019580452908E-3</v>
          </cell>
          <cell r="H57">
            <v>4.6674425248688922E-2</v>
          </cell>
          <cell r="I57">
            <v>6.53017306942969E-2</v>
          </cell>
          <cell r="J57">
            <v>6.9367600039078173E-2</v>
          </cell>
          <cell r="K57">
            <v>7.3076971306905505E-2</v>
          </cell>
          <cell r="L57">
            <v>8.7718912334976196E-2</v>
          </cell>
          <cell r="M57">
            <v>8.6917097297787155E-2</v>
          </cell>
          <cell r="N57">
            <v>0.10275633990815941</v>
          </cell>
          <cell r="O57">
            <v>0.12868138756933944</v>
          </cell>
          <cell r="P57">
            <v>0.12264296067857514</v>
          </cell>
        </row>
        <row r="58">
          <cell r="B58" t="str">
            <v>ITOT-EBAT</v>
          </cell>
          <cell r="C58" t="str">
            <v>VAR_fout</v>
          </cell>
          <cell r="D58" t="str">
            <v>ITOT_ELC</v>
          </cell>
          <cell r="E58">
            <v>2.7528902008559348E-3</v>
          </cell>
          <cell r="F58">
            <v>2.7373899675858099E-3</v>
          </cell>
          <cell r="G58">
            <v>2.7297019580452887E-3</v>
          </cell>
          <cell r="H58">
            <v>4.6674425248688867E-2</v>
          </cell>
          <cell r="I58">
            <v>6.5301730694296845E-2</v>
          </cell>
          <cell r="J58">
            <v>6.9367600039078103E-2</v>
          </cell>
          <cell r="K58">
            <v>7.3076971306905422E-2</v>
          </cell>
          <cell r="L58">
            <v>8.7718912334976085E-2</v>
          </cell>
          <cell r="M58">
            <v>8.6917097297787044E-2</v>
          </cell>
          <cell r="N58">
            <v>0.10275633990815933</v>
          </cell>
          <cell r="O58">
            <v>0.12868138756933936</v>
          </cell>
          <cell r="P58">
            <v>0.12264296067857501</v>
          </cell>
        </row>
        <row r="59">
          <cell r="B59" t="str">
            <v>ITOT-EBAT</v>
          </cell>
          <cell r="C59" t="str">
            <v>VAR_fin</v>
          </cell>
          <cell r="D59" t="str">
            <v>ITOT_ELC</v>
          </cell>
          <cell r="E59">
            <v>3.0457207700796411E-3</v>
          </cell>
          <cell r="F59">
            <v>3.0288771814872381E-3</v>
          </cell>
          <cell r="G59">
            <v>3.0195394304104836E-3</v>
          </cell>
          <cell r="H59">
            <v>5.1616221149806796E-2</v>
          </cell>
          <cell r="I59">
            <v>7.221555081981812E-2</v>
          </cell>
          <cell r="J59">
            <v>7.6711555977101539E-2</v>
          </cell>
          <cell r="K59">
            <v>8.0813619783467058E-2</v>
          </cell>
          <cell r="L59">
            <v>9.7006902827468253E-2</v>
          </cell>
          <cell r="M59">
            <v>9.6119053676005178E-2</v>
          </cell>
          <cell r="N59">
            <v>0.11363834051322169</v>
          </cell>
          <cell r="O59">
            <v>0.14230569681795532</v>
          </cell>
          <cell r="P59">
            <v>0.13563412989433951</v>
          </cell>
        </row>
        <row r="60">
          <cell r="B60" t="str">
            <v>ITOT-EBAT</v>
          </cell>
          <cell r="C60" t="str">
            <v>VAR_fin</v>
          </cell>
          <cell r="D60" t="str">
            <v>AUX_ITOT-EBAT_IN</v>
          </cell>
          <cell r="E60">
            <v>3.0457207700796411E-3</v>
          </cell>
          <cell r="F60">
            <v>3.0288771814872381E-3</v>
          </cell>
          <cell r="G60">
            <v>3.0195394304104836E-3</v>
          </cell>
          <cell r="H60">
            <v>5.1616221149806796E-2</v>
          </cell>
          <cell r="I60">
            <v>7.221555081981812E-2</v>
          </cell>
          <cell r="J60">
            <v>7.6711555977101539E-2</v>
          </cell>
          <cell r="K60">
            <v>8.0813619783467058E-2</v>
          </cell>
          <cell r="L60">
            <v>9.7006902827468253E-2</v>
          </cell>
          <cell r="M60">
            <v>9.6119053676005178E-2</v>
          </cell>
          <cell r="N60">
            <v>0.11363834051322169</v>
          </cell>
          <cell r="O60">
            <v>0.14230569681795532</v>
          </cell>
          <cell r="P60">
            <v>0.13563412989433951</v>
          </cell>
        </row>
        <row r="61">
          <cell r="B61" t="str">
            <v>ITOT-EBAT</v>
          </cell>
          <cell r="C61" t="str">
            <v>VAR_ncap</v>
          </cell>
          <cell r="D61" t="str">
            <v>-</v>
          </cell>
          <cell r="E61">
            <v>1.1198755675216E-3</v>
          </cell>
          <cell r="F61">
            <v>1.8164676587655701E-6</v>
          </cell>
          <cell r="G61">
            <v>5.3942228605265499E-6</v>
          </cell>
          <cell r="H61">
            <v>2.57198130026941E-2</v>
          </cell>
          <cell r="I61">
            <v>1.0641814091316101E-3</v>
          </cell>
          <cell r="J61">
            <v>2.1972936752181399E-2</v>
          </cell>
          <cell r="K61">
            <v>7.4624984587396501E-3</v>
          </cell>
          <cell r="L61">
            <v>2.09681854705462E-2</v>
          </cell>
          <cell r="M61">
            <v>1.12860760663247E-2</v>
          </cell>
          <cell r="N61">
            <v>2.0060256054882899E-2</v>
          </cell>
          <cell r="O61">
            <v>3.0654093150662001E-2</v>
          </cell>
          <cell r="P61">
            <v>6.03870186956601E-3</v>
          </cell>
        </row>
        <row r="62">
          <cell r="B62" t="str">
            <v>ITOT-EBAT</v>
          </cell>
          <cell r="C62" t="str">
            <v>VAR_cap</v>
          </cell>
          <cell r="D62" t="str">
            <v>-</v>
          </cell>
          <cell r="E62">
            <v>1.1219065562315779E-3</v>
          </cell>
          <cell r="F62">
            <v>1.1229404523863083E-3</v>
          </cell>
          <cell r="G62">
            <v>1.1265298103404818E-3</v>
          </cell>
          <cell r="H62">
            <v>2.6542974983508404E-2</v>
          </cell>
          <cell r="I62">
            <v>2.6785774232084787E-2</v>
          </cell>
          <cell r="J62">
            <v>2.8437035395330976E-2</v>
          </cell>
          <cell r="K62">
            <v>2.9985891353444333E-2</v>
          </cell>
          <cell r="L62">
            <v>3.5933786261703661E-2</v>
          </cell>
          <cell r="M62">
            <v>3.5609186600199558E-2</v>
          </cell>
          <cell r="N62">
            <v>4.208600977072207E-2</v>
          </cell>
          <cell r="O62">
            <v>5.2710831832550584E-2</v>
          </cell>
          <cell r="P62">
            <v>5.022596399650818E-2</v>
          </cell>
        </row>
        <row r="63">
          <cell r="B63" t="str">
            <v>D-RES_LTH</v>
          </cell>
          <cell r="C63" t="str">
            <v>VAR_fout</v>
          </cell>
          <cell r="D63" t="str">
            <v>RHNS_LTH_DH</v>
          </cell>
          <cell r="F63">
            <v>5.445772830256685E-2</v>
          </cell>
          <cell r="G63">
            <v>7.2393493583891508E-2</v>
          </cell>
          <cell r="H63">
            <v>0.11201702246348537</v>
          </cell>
          <cell r="I63">
            <v>0.1740741655468955</v>
          </cell>
          <cell r="J63">
            <v>0.24360152796616172</v>
          </cell>
          <cell r="K63">
            <v>0.39230434874962938</v>
          </cell>
          <cell r="L63">
            <v>0.63178249670467312</v>
          </cell>
          <cell r="M63">
            <v>0.68627856509425422</v>
          </cell>
          <cell r="N63">
            <v>0.72136118336572064</v>
          </cell>
          <cell r="O63">
            <v>0.75820750255085956</v>
          </cell>
          <cell r="P63">
            <v>0.79697688456577398</v>
          </cell>
        </row>
        <row r="64">
          <cell r="B64" t="str">
            <v>D-RES_LTH</v>
          </cell>
          <cell r="C64" t="str">
            <v>VAR_fout</v>
          </cell>
          <cell r="D64" t="str">
            <v>RHEM_LTH_DH</v>
          </cell>
          <cell r="E64">
            <v>2.0646884562124952</v>
          </cell>
          <cell r="F64">
            <v>3.8269965775190964</v>
          </cell>
          <cell r="G64">
            <v>4.2134025067784755</v>
          </cell>
          <cell r="H64">
            <v>3.7325270800162516</v>
          </cell>
          <cell r="I64">
            <v>3.2790442137265128</v>
          </cell>
          <cell r="J64">
            <v>3.9379121326793776</v>
          </cell>
          <cell r="K64">
            <v>3.835432193907546</v>
          </cell>
          <cell r="L64">
            <v>3.7029471328644035</v>
          </cell>
          <cell r="M64">
            <v>3.5329339448830286</v>
          </cell>
          <cell r="N64">
            <v>3.2438680746408295</v>
          </cell>
          <cell r="O64">
            <v>3.2448112391548092</v>
          </cell>
          <cell r="P64">
            <v>2.5875399150276488</v>
          </cell>
        </row>
        <row r="65">
          <cell r="B65" t="str">
            <v>D-RES_LTH</v>
          </cell>
          <cell r="C65" t="str">
            <v>VAR_fout</v>
          </cell>
          <cell r="D65" t="str">
            <v>RHES_LTH_DH</v>
          </cell>
          <cell r="E65">
            <v>1.8798509036756779</v>
          </cell>
          <cell r="F65">
            <v>3.5391895868391585</v>
          </cell>
          <cell r="G65">
            <v>3.5389146620300429</v>
          </cell>
          <cell r="H65">
            <v>2.7496382943515383</v>
          </cell>
          <cell r="I65">
            <v>3.3078414943618908</v>
          </cell>
          <cell r="J65">
            <v>3.141722438944909</v>
          </cell>
          <cell r="K65">
            <v>2.9531917564756669</v>
          </cell>
          <cell r="L65">
            <v>2.7768095721208774</v>
          </cell>
          <cell r="M65">
            <v>2.5906631413190278</v>
          </cell>
          <cell r="N65">
            <v>2.3985709669253041</v>
          </cell>
          <cell r="O65">
            <v>2.3499737897298298</v>
          </cell>
          <cell r="P65">
            <v>1.9597627762577996</v>
          </cell>
        </row>
        <row r="66">
          <cell r="B66" t="str">
            <v>D-RES_LTH</v>
          </cell>
          <cell r="C66" t="str">
            <v>VAR_fout</v>
          </cell>
          <cell r="D66" t="str">
            <v>RHSA_LTH</v>
          </cell>
          <cell r="E66">
            <v>4.3954768085595219</v>
          </cell>
          <cell r="F66">
            <v>1.8402205551959216</v>
          </cell>
          <cell r="G66">
            <v>1.8402215106315876</v>
          </cell>
          <cell r="H66">
            <v>1.8402207030816828</v>
          </cell>
          <cell r="I66">
            <v>1.8402223756080118</v>
          </cell>
          <cell r="J66">
            <v>1.8402269647427134</v>
          </cell>
          <cell r="K66">
            <v>1.8402472120699451</v>
          </cell>
          <cell r="L66">
            <v>1.8402650720449083</v>
          </cell>
          <cell r="M66">
            <v>1.8402854590031537</v>
          </cell>
          <cell r="N66">
            <v>1.840321934565939</v>
          </cell>
          <cell r="O66">
            <v>1.8404181050401063</v>
          </cell>
          <cell r="P66">
            <v>1.8406544390210762</v>
          </cell>
        </row>
        <row r="67">
          <cell r="B67" t="str">
            <v>D-RES_LTH</v>
          </cell>
          <cell r="C67" t="str">
            <v>VAR_fout</v>
          </cell>
          <cell r="D67" t="str">
            <v>RHNM_LTH_DH</v>
          </cell>
          <cell r="F67">
            <v>0.35008636185307451</v>
          </cell>
          <cell r="G67">
            <v>0.38255095661036931</v>
          </cell>
          <cell r="H67">
            <v>0.44348001639445389</v>
          </cell>
          <cell r="I67">
            <v>0.51411763227672636</v>
          </cell>
          <cell r="J67">
            <v>0.59600931941901014</v>
          </cell>
          <cell r="K67">
            <v>0.69095125909321908</v>
          </cell>
          <cell r="L67">
            <v>0.80468171990609028</v>
          </cell>
          <cell r="M67">
            <v>0.93287321101456444</v>
          </cell>
          <cell r="N67">
            <v>1.0815096804424216</v>
          </cell>
          <cell r="O67">
            <v>1.2537966875424962</v>
          </cell>
          <cell r="P67">
            <v>1.45356812810799</v>
          </cell>
        </row>
        <row r="68">
          <cell r="B68" t="str">
            <v>D-RES_LTH</v>
          </cell>
          <cell r="C68" t="str">
            <v>VAR_fin</v>
          </cell>
          <cell r="D68" t="str">
            <v>LTH</v>
          </cell>
          <cell r="E68">
            <v>9.2187459213643415</v>
          </cell>
          <cell r="F68">
            <v>10.623590145141971</v>
          </cell>
          <cell r="G68">
            <v>11.081438825687389</v>
          </cell>
          <cell r="H68">
            <v>9.7553511974683911</v>
          </cell>
          <cell r="I68">
            <v>9.9794125686167749</v>
          </cell>
          <cell r="J68">
            <v>10.64551695459812</v>
          </cell>
          <cell r="K68">
            <v>10.555212596478819</v>
          </cell>
          <cell r="L68">
            <v>10.564868059181828</v>
          </cell>
          <cell r="M68">
            <v>10.377044898878758</v>
          </cell>
          <cell r="N68">
            <v>10.055000878292288</v>
          </cell>
          <cell r="O68">
            <v>10.229963838521405</v>
          </cell>
          <cell r="P68">
            <v>9.3542526919046889</v>
          </cell>
        </row>
        <row r="69">
          <cell r="B69" t="str">
            <v>D-RES_LTH</v>
          </cell>
          <cell r="C69" t="str">
            <v>VAR_ncap</v>
          </cell>
          <cell r="D69" t="str">
            <v>-</v>
          </cell>
          <cell r="E69">
            <v>0.62767670168600498</v>
          </cell>
          <cell r="F69">
            <v>3.2936828606397801E-2</v>
          </cell>
          <cell r="G69">
            <v>3.2304556122224799E-3</v>
          </cell>
          <cell r="H69">
            <v>6.1262106292245596E-3</v>
          </cell>
          <cell r="I69">
            <v>1.16761394606139E-2</v>
          </cell>
          <cell r="J69">
            <v>1.2217232510507599E-2</v>
          </cell>
          <cell r="K69">
            <v>1.7984648187457201E-2</v>
          </cell>
          <cell r="L69">
            <v>2.6089391596264999E-2</v>
          </cell>
          <cell r="M69">
            <v>1.3521285286327E-2</v>
          </cell>
          <cell r="N69">
            <v>1.5550391818448099E-2</v>
          </cell>
          <cell r="O69">
            <v>1.21307080702643E-2</v>
          </cell>
          <cell r="P69">
            <v>1.8423216409790302E-2</v>
          </cell>
        </row>
        <row r="70">
          <cell r="B70" t="str">
            <v>D-RES_LTH</v>
          </cell>
          <cell r="C70" t="str">
            <v>VAR_cap</v>
          </cell>
          <cell r="D70" t="str">
            <v>-</v>
          </cell>
          <cell r="E70">
            <v>0.62767670168600498</v>
          </cell>
          <cell r="F70">
            <v>0.660613530292403</v>
          </cell>
          <cell r="G70">
            <v>0.66384398590462501</v>
          </cell>
          <cell r="H70">
            <v>0.66997019653385004</v>
          </cell>
          <cell r="I70">
            <v>0.681646335994464</v>
          </cell>
          <cell r="J70">
            <v>0.693863568504971</v>
          </cell>
          <cell r="K70">
            <v>0.71184821669242804</v>
          </cell>
          <cell r="L70">
            <v>0.73793760828869304</v>
          </cell>
          <cell r="M70">
            <v>0.75145889357502005</v>
          </cell>
          <cell r="N70">
            <v>0.76700928539346902</v>
          </cell>
          <cell r="O70">
            <v>0.77913999346373297</v>
          </cell>
          <cell r="P70">
            <v>0.79756320987352303</v>
          </cell>
        </row>
        <row r="71">
          <cell r="B71" t="str">
            <v>RHES-SHSTG-CHPNGA</v>
          </cell>
          <cell r="C71" t="str">
            <v>VAR_fout</v>
          </cell>
          <cell r="D71" t="str">
            <v>RHES_LTH_CHPNGA</v>
          </cell>
          <cell r="E71">
            <v>1.8925568841285975E-2</v>
          </cell>
          <cell r="F71">
            <v>2.2049720084951738E-4</v>
          </cell>
          <cell r="G71">
            <v>6.0085533025889771E-3</v>
          </cell>
          <cell r="H71">
            <v>7.0135556013543113E-3</v>
          </cell>
          <cell r="I71">
            <v>1.2161990651726962E-2</v>
          </cell>
          <cell r="J71">
            <v>1.1856566446907035E-2</v>
          </cell>
          <cell r="K71">
            <v>1.2645672909798357E-2</v>
          </cell>
          <cell r="L71">
            <v>3.2130246253428106E-2</v>
          </cell>
          <cell r="M71">
            <v>1.5566627314670184E-2</v>
          </cell>
          <cell r="N71">
            <v>3.5202007600803061E-2</v>
          </cell>
          <cell r="O71">
            <v>4.0475822959936195E-2</v>
          </cell>
          <cell r="P71">
            <v>6.5444692579375047E-2</v>
          </cell>
        </row>
        <row r="72">
          <cell r="B72" t="str">
            <v>RHES-SHSTG-CHPNGA</v>
          </cell>
          <cell r="C72" t="str">
            <v>VAR_fout</v>
          </cell>
          <cell r="D72" t="str">
            <v>AUX_RES_CHPNGA_OUT</v>
          </cell>
          <cell r="E72">
            <v>1.8925568841286031E-2</v>
          </cell>
          <cell r="F72">
            <v>2.2035030064908521E-4</v>
          </cell>
          <cell r="G72">
            <v>6.002300905812101E-3</v>
          </cell>
          <cell r="H72">
            <v>7.0135556013543113E-3</v>
          </cell>
          <cell r="I72">
            <v>1.2150822616234127E-2</v>
          </cell>
          <cell r="J72">
            <v>1.1856566446907064E-2</v>
          </cell>
          <cell r="K72">
            <v>1.2635349911504674E-2</v>
          </cell>
          <cell r="L72">
            <v>3.2130246253428141E-2</v>
          </cell>
          <cell r="M72">
            <v>1.5566627314670197E-2</v>
          </cell>
          <cell r="N72">
            <v>3.5202007600803088E-2</v>
          </cell>
          <cell r="O72">
            <v>4.0475822959936264E-2</v>
          </cell>
          <cell r="P72">
            <v>6.5444692579375074E-2</v>
          </cell>
        </row>
        <row r="73">
          <cell r="B73" t="str">
            <v>RHES-SHSTG-CHPNGA</v>
          </cell>
          <cell r="C73" t="str">
            <v>VAR_fin</v>
          </cell>
          <cell r="D73" t="str">
            <v>RHES_LTH_CHPNGA</v>
          </cell>
          <cell r="E73">
            <v>2.5183821075041902E-2</v>
          </cell>
          <cell r="F73">
            <v>2.923534222211469E-4</v>
          </cell>
          <cell r="G73">
            <v>7.7543248193586642E-3</v>
          </cell>
          <cell r="H73">
            <v>8.7685809181480001E-3</v>
          </cell>
          <cell r="I73">
            <v>1.4746607005497497E-2</v>
          </cell>
          <cell r="J73">
            <v>1.3950603575338248E-2</v>
          </cell>
          <cell r="K73">
            <v>1.445446677534782E-2</v>
          </cell>
          <cell r="L73">
            <v>3.5708739342702328E-2</v>
          </cell>
          <cell r="M73">
            <v>1.7299525404748838E-2</v>
          </cell>
          <cell r="N73">
            <v>3.9122680261859409E-2</v>
          </cell>
          <cell r="O73">
            <v>4.4978285879278664E-2</v>
          </cell>
          <cell r="P73">
            <v>7.2727845459841664E-2</v>
          </cell>
        </row>
        <row r="74">
          <cell r="B74" t="str">
            <v>RHES-SHSTG-CHPNGA</v>
          </cell>
          <cell r="C74" t="str">
            <v>VAR_fin</v>
          </cell>
          <cell r="D74" t="str">
            <v>AUX_RES_CHPNGA_IN</v>
          </cell>
          <cell r="E74">
            <v>2.5183821075041902E-2</v>
          </cell>
          <cell r="F74">
            <v>2.923534222211469E-4</v>
          </cell>
          <cell r="G74">
            <v>7.7543248193586642E-3</v>
          </cell>
          <cell r="H74">
            <v>8.7685809181480001E-3</v>
          </cell>
          <cell r="I74">
            <v>1.4746607005497497E-2</v>
          </cell>
          <cell r="J74">
            <v>1.3950603575338248E-2</v>
          </cell>
          <cell r="K74">
            <v>1.445446677534782E-2</v>
          </cell>
          <cell r="L74">
            <v>3.5708739342702328E-2</v>
          </cell>
          <cell r="M74">
            <v>1.7299525404748838E-2</v>
          </cell>
          <cell r="N74">
            <v>3.9122680261859409E-2</v>
          </cell>
          <cell r="O74">
            <v>4.4978285879278664E-2</v>
          </cell>
          <cell r="P74">
            <v>7.2727845459841664E-2</v>
          </cell>
        </row>
        <row r="75">
          <cell r="B75" t="str">
            <v>RHES-SHSTG-CHPNGA</v>
          </cell>
          <cell r="C75" t="str">
            <v>VAR_ncap</v>
          </cell>
          <cell r="D75" t="str">
            <v>-</v>
          </cell>
          <cell r="E75">
            <v>5.6261947951528404E-3</v>
          </cell>
          <cell r="F75">
            <v>7.3223849227634205E-5</v>
          </cell>
          <cell r="G75">
            <v>8.2373321882386893E-5</v>
          </cell>
          <cell r="H75">
            <v>5.0494386777625398E-5</v>
          </cell>
          <cell r="I75">
            <v>3.8052178130076699E-3</v>
          </cell>
          <cell r="J75">
            <v>1.93079761484934E-3</v>
          </cell>
          <cell r="K75">
            <v>4.2290729622777E-4</v>
          </cell>
          <cell r="L75">
            <v>6.3509873468612903E-3</v>
          </cell>
          <cell r="M75">
            <v>1.5794670508911999E-4</v>
          </cell>
          <cell r="N75">
            <v>5.0457555377509799E-3</v>
          </cell>
          <cell r="O75">
            <v>8.7011992720970599E-3</v>
          </cell>
          <cell r="P75">
            <v>7.00119267797061E-3</v>
          </cell>
        </row>
        <row r="76">
          <cell r="B76" t="str">
            <v>RHES-SHSTG-CHPNGA</v>
          </cell>
          <cell r="C76" t="str">
            <v>VAR_cap</v>
          </cell>
          <cell r="D76" t="str">
            <v>-</v>
          </cell>
          <cell r="E76">
            <v>5.6261947951528404E-3</v>
          </cell>
          <cell r="F76">
            <v>5.6897278965915192E-3</v>
          </cell>
          <cell r="G76">
            <v>5.7425177721227069E-3</v>
          </cell>
          <cell r="H76">
            <v>5.713732678340063E-3</v>
          </cell>
          <cell r="I76">
            <v>5.3301261228170067E-3</v>
          </cell>
          <cell r="J76">
            <v>5.7453099407469201E-3</v>
          </cell>
          <cell r="K76">
            <v>6.0979080273941676E-3</v>
          </cell>
          <cell r="L76">
            <v>8.6392765802059939E-3</v>
          </cell>
          <cell r="M76">
            <v>6.9749620911894704E-3</v>
          </cell>
          <cell r="N76">
            <v>1.1457505884798923E-2</v>
          </cell>
          <cell r="O76">
            <v>1.4841214009217773E-2</v>
          </cell>
          <cell r="P76">
            <v>2.0654219190946697E-2</v>
          </cell>
        </row>
        <row r="77">
          <cell r="B77" t="str">
            <v>RHNS-CHPWOD</v>
          </cell>
          <cell r="C77" t="str">
            <v>VAR_fout</v>
          </cell>
          <cell r="D77" t="str">
            <v>RHNS_LTH_CHPWOD</v>
          </cell>
          <cell r="H77">
            <v>5.9214985597261932E-3</v>
          </cell>
          <cell r="I77">
            <v>1.1671923745887085E-2</v>
          </cell>
          <cell r="J77">
            <v>1.1446381536379635E-2</v>
          </cell>
          <cell r="K77">
            <v>1.2188011966855223E-2</v>
          </cell>
          <cell r="L77">
            <v>2.7042630267715868E-2</v>
          </cell>
          <cell r="M77">
            <v>2.5572106734580744E-2</v>
          </cell>
          <cell r="N77">
            <v>3.3416355822817601E-2</v>
          </cell>
          <cell r="O77">
            <v>1.9275449533583393E-2</v>
          </cell>
          <cell r="P77">
            <v>3.1080453432175255E-2</v>
          </cell>
        </row>
        <row r="78">
          <cell r="B78" t="str">
            <v>RHNS-CHPWOD</v>
          </cell>
          <cell r="C78" t="str">
            <v>VAR_fout</v>
          </cell>
          <cell r="D78" t="str">
            <v>RHNS_KEV_WOD_ELC_CHP</v>
          </cell>
          <cell r="H78">
            <v>2.1934987189627599E-3</v>
          </cell>
          <cell r="I78">
            <v>4.4148425406929578E-3</v>
          </cell>
          <cell r="J78">
            <v>4.4228412980541667E-3</v>
          </cell>
          <cell r="K78">
            <v>4.8047367488889227E-3</v>
          </cell>
          <cell r="L78">
            <v>1.0880960743510922E-2</v>
          </cell>
          <cell r="M78">
            <v>1.0289276107880099E-2</v>
          </cell>
          <cell r="N78">
            <v>1.3445513705571279E-2</v>
          </cell>
          <cell r="O78">
            <v>7.7557326196495595E-3</v>
          </cell>
          <cell r="P78">
            <v>1.250563241585829E-2</v>
          </cell>
        </row>
        <row r="79">
          <cell r="B79" t="str">
            <v>RHNS-CHPWOD</v>
          </cell>
          <cell r="C79" t="str">
            <v>VAR_fin</v>
          </cell>
          <cell r="D79" t="str">
            <v>RWOD</v>
          </cell>
          <cell r="H79">
            <v>1.087487797372353E-2</v>
          </cell>
          <cell r="I79">
            <v>2.0129970974198875E-2</v>
          </cell>
          <cell r="J79">
            <v>1.9782634363509386E-2</v>
          </cell>
          <cell r="K79">
            <v>2.1539970372139179E-2</v>
          </cell>
          <cell r="L79">
            <v>4.7595998893053888E-2</v>
          </cell>
          <cell r="M79">
            <v>4.225003338492838E-2</v>
          </cell>
          <cell r="N79">
            <v>5.6963228206212357E-2</v>
          </cell>
          <cell r="O79">
            <v>3.4659493786191764E-2</v>
          </cell>
          <cell r="P79">
            <v>5.9186382335394416E-2</v>
          </cell>
        </row>
        <row r="80">
          <cell r="B80" t="str">
            <v>RHNS-CHPWOD</v>
          </cell>
          <cell r="C80" t="str">
            <v>VAR_ncap</v>
          </cell>
          <cell r="D80" t="str">
            <v>-</v>
          </cell>
          <cell r="H80">
            <v>1.9517984392182001E-4</v>
          </cell>
          <cell r="I80">
            <v>1.97877974656824E-4</v>
          </cell>
          <cell r="J80">
            <v>3.8025102197591199E-5</v>
          </cell>
          <cell r="K80">
            <v>1.9182005069401999E-4</v>
          </cell>
          <cell r="L80">
            <v>7.3868441145557196E-4</v>
          </cell>
          <cell r="M80">
            <v>4.6736930332126699E-6</v>
          </cell>
          <cell r="N80">
            <v>4.53316301706312E-4</v>
          </cell>
          <cell r="O80">
            <v>1.0352350271261101E-4</v>
          </cell>
          <cell r="P80">
            <v>5.5722510561739803E-4</v>
          </cell>
        </row>
        <row r="81">
          <cell r="B81" t="str">
            <v>RHNS-CHPWOD</v>
          </cell>
          <cell r="C81" t="str">
            <v>VAR_cap</v>
          </cell>
          <cell r="D81" t="str">
            <v>-</v>
          </cell>
          <cell r="H81">
            <v>1.9517984392182001E-4</v>
          </cell>
          <cell r="I81">
            <v>3.9298479874778317E-4</v>
          </cell>
          <cell r="J81">
            <v>3.9364636463568795E-4</v>
          </cell>
          <cell r="K81">
            <v>4.2744509955065189E-4</v>
          </cell>
          <cell r="L81">
            <v>9.68059283639915E-4</v>
          </cell>
          <cell r="M81">
            <v>9.1500427003631478E-4</v>
          </cell>
          <cell r="N81">
            <v>1.1961321007399638E-3</v>
          </cell>
          <cell r="O81">
            <v>6.900775676191716E-4</v>
          </cell>
          <cell r="P81">
            <v>1.1134524406301272E-3</v>
          </cell>
        </row>
        <row r="82">
          <cell r="B82" t="str">
            <v>D-ICOA</v>
          </cell>
          <cell r="C82" t="str">
            <v>VAR_fout</v>
          </cell>
          <cell r="D82" t="str">
            <v>ICOA</v>
          </cell>
          <cell r="E82">
            <v>3.5600046665558427</v>
          </cell>
          <cell r="F82">
            <v>3.4647169319511666</v>
          </cell>
          <cell r="G82">
            <v>3.2337699067947607</v>
          </cell>
          <cell r="H82">
            <v>3.6007281934830235E-3</v>
          </cell>
          <cell r="I82">
            <v>3.9038377100870949E-3</v>
          </cell>
          <cell r="J82">
            <v>3.6506334394136881E-3</v>
          </cell>
          <cell r="K82">
            <v>5.6072647622365124E-3</v>
          </cell>
          <cell r="L82">
            <v>1.2070446445515892E-2</v>
          </cell>
          <cell r="M82">
            <v>7.5510906371049312E-3</v>
          </cell>
          <cell r="N82">
            <v>1.1397405697162728E-2</v>
          </cell>
          <cell r="O82">
            <v>6.4781681295358901E-3</v>
          </cell>
          <cell r="P82">
            <v>1.2024115243862548E-2</v>
          </cell>
        </row>
        <row r="83">
          <cell r="B83" t="str">
            <v>D-ICOA</v>
          </cell>
          <cell r="C83" t="str">
            <v>VAR_fout</v>
          </cell>
          <cell r="D83" t="str">
            <v>CO2</v>
          </cell>
          <cell r="E83">
            <v>330.01243258972602</v>
          </cell>
          <cell r="F83">
            <v>321.17925959187301</v>
          </cell>
          <cell r="G83">
            <v>299.77047035987403</v>
          </cell>
          <cell r="H83">
            <v>0.333787503535876</v>
          </cell>
          <cell r="I83">
            <v>0.36188575572507398</v>
          </cell>
          <cell r="J83">
            <v>0.33841371983364898</v>
          </cell>
          <cell r="K83">
            <v>0.51979344345932499</v>
          </cell>
          <cell r="L83">
            <v>1.11893038549932</v>
          </cell>
          <cell r="M83">
            <v>0.69998610205962797</v>
          </cell>
          <cell r="N83">
            <v>1.0565395081269799</v>
          </cell>
          <cell r="O83">
            <v>0.60052618560797699</v>
          </cell>
          <cell r="P83">
            <v>1.1146354831060601</v>
          </cell>
        </row>
        <row r="84">
          <cell r="B84" t="str">
            <v>D-ICOA</v>
          </cell>
          <cell r="C84" t="str">
            <v>VAR_fin</v>
          </cell>
          <cell r="D84" t="str">
            <v>COA</v>
          </cell>
          <cell r="E84">
            <v>3.5600046665558427</v>
          </cell>
          <cell r="F84">
            <v>3.4647169319511666</v>
          </cell>
          <cell r="G84">
            <v>3.2337699067947607</v>
          </cell>
          <cell r="H84">
            <v>3.6007281934830235E-3</v>
          </cell>
          <cell r="I84">
            <v>3.9038377100870949E-3</v>
          </cell>
          <cell r="J84">
            <v>3.6506334394136881E-3</v>
          </cell>
          <cell r="K84">
            <v>5.6072647622365124E-3</v>
          </cell>
          <cell r="L84">
            <v>1.2070446445515892E-2</v>
          </cell>
          <cell r="M84">
            <v>7.5510906371049312E-3</v>
          </cell>
          <cell r="N84">
            <v>1.1397405697162728E-2</v>
          </cell>
          <cell r="O84">
            <v>6.4781681295358901E-3</v>
          </cell>
          <cell r="P84">
            <v>1.2024115243862548E-2</v>
          </cell>
        </row>
        <row r="85">
          <cell r="B85" t="str">
            <v>RHNM-SHSTG-CHPWOD</v>
          </cell>
          <cell r="C85" t="str">
            <v>VAR_fout</v>
          </cell>
          <cell r="D85" t="str">
            <v>RHNM_LTH_CHPWOD</v>
          </cell>
          <cell r="E85">
            <v>3.2965695031369064E-4</v>
          </cell>
          <cell r="F85">
            <v>2.8861449722756904E-4</v>
          </cell>
          <cell r="G85">
            <v>3.3965075976338338E-4</v>
          </cell>
          <cell r="H85">
            <v>4.9875768077707154E-3</v>
          </cell>
          <cell r="I85">
            <v>7.8945753104448704E-3</v>
          </cell>
          <cell r="J85">
            <v>8.019073813209843E-3</v>
          </cell>
          <cell r="K85">
            <v>1.4572615529970544E-2</v>
          </cell>
          <cell r="L85">
            <v>3.4376755259488301E-2</v>
          </cell>
          <cell r="M85">
            <v>1.8503827985377874E-2</v>
          </cell>
          <cell r="N85">
            <v>4.0917438127096313E-2</v>
          </cell>
          <cell r="O85">
            <v>3.0224587285640845E-2</v>
          </cell>
          <cell r="P85">
            <v>8.6051062501939515E-2</v>
          </cell>
        </row>
        <row r="86">
          <cell r="B86" t="str">
            <v>RHNM-SHSTG-CHPWOD</v>
          </cell>
          <cell r="C86" t="str">
            <v>VAR_fout</v>
          </cell>
          <cell r="D86" t="str">
            <v>AUX_RNM-CHPWOD_OUT</v>
          </cell>
          <cell r="E86">
            <v>3.2965695031369151E-4</v>
          </cell>
          <cell r="F86">
            <v>2.8842221575040272E-4</v>
          </cell>
          <cell r="G86">
            <v>3.3929732504978989E-4</v>
          </cell>
          <cell r="H86">
            <v>4.9875768077707154E-3</v>
          </cell>
          <cell r="I86">
            <v>7.8873259299945212E-3</v>
          </cell>
          <cell r="J86">
            <v>8.0190738132098691E-3</v>
          </cell>
          <cell r="K86">
            <v>1.456071951729305E-2</v>
          </cell>
          <cell r="L86">
            <v>3.4376755259488335E-2</v>
          </cell>
          <cell r="M86">
            <v>1.8503827985377901E-2</v>
          </cell>
          <cell r="N86">
            <v>4.0917438127096341E-2</v>
          </cell>
          <cell r="O86">
            <v>3.0224587285640866E-2</v>
          </cell>
          <cell r="P86">
            <v>8.6051062501939654E-2</v>
          </cell>
        </row>
        <row r="87">
          <cell r="B87" t="str">
            <v>RHNM-SHSTG-CHPWOD</v>
          </cell>
          <cell r="C87" t="str">
            <v>VAR_fin</v>
          </cell>
          <cell r="D87" t="str">
            <v>RHNM_LTH_CHPWOD</v>
          </cell>
          <cell r="E87">
            <v>2.5521665152163222E-4</v>
          </cell>
          <cell r="F87">
            <v>1.5440586938619851E-4</v>
          </cell>
          <cell r="G87">
            <v>2.656899563331818E-4</v>
          </cell>
          <cell r="H87">
            <v>6.230150870270801E-3</v>
          </cell>
          <cell r="I87">
            <v>9.567218494734438E-3</v>
          </cell>
          <cell r="J87">
            <v>9.4319789597500127E-3</v>
          </cell>
          <cell r="K87">
            <v>1.6658694250211829E-2</v>
          </cell>
          <cell r="L87">
            <v>3.8197878416947072E-2</v>
          </cell>
          <cell r="M87">
            <v>2.0565394507455592E-2</v>
          </cell>
          <cell r="N87">
            <v>4.5464692896706668E-2</v>
          </cell>
          <cell r="O87">
            <v>3.358453299717868E-2</v>
          </cell>
          <cell r="P87">
            <v>9.5613513526693811E-2</v>
          </cell>
        </row>
        <row r="88">
          <cell r="B88" t="str">
            <v>RHNM-SHSTG-CHPWOD</v>
          </cell>
          <cell r="C88" t="str">
            <v>VAR_fin</v>
          </cell>
          <cell r="D88" t="str">
            <v>AUX_RNM-CHPWOD_IN</v>
          </cell>
          <cell r="E88">
            <v>2.5521665152163222E-4</v>
          </cell>
          <cell r="F88">
            <v>1.5440586938619851E-4</v>
          </cell>
          <cell r="G88">
            <v>2.656899563331818E-4</v>
          </cell>
          <cell r="H88">
            <v>6.230150870270801E-3</v>
          </cell>
          <cell r="I88">
            <v>9.567218494734438E-3</v>
          </cell>
          <cell r="J88">
            <v>9.4319789597500127E-3</v>
          </cell>
          <cell r="K88">
            <v>1.6658694250211829E-2</v>
          </cell>
          <cell r="L88">
            <v>3.8197878416947072E-2</v>
          </cell>
          <cell r="M88">
            <v>2.0565394507455592E-2</v>
          </cell>
          <cell r="N88">
            <v>4.5464692896706668E-2</v>
          </cell>
          <cell r="O88">
            <v>3.358453299717868E-2</v>
          </cell>
          <cell r="P88">
            <v>9.5613513526693811E-2</v>
          </cell>
        </row>
        <row r="89">
          <cell r="B89" t="str">
            <v>RHNM-SHSTG-CHPWOD</v>
          </cell>
          <cell r="C89" t="str">
            <v>VAR_ncap</v>
          </cell>
          <cell r="D89" t="str">
            <v>-</v>
          </cell>
          <cell r="E89">
            <v>5.6564386236007402E-3</v>
          </cell>
          <cell r="F89">
            <v>1.39413506958296E-4</v>
          </cell>
          <cell r="G89">
            <v>2.3885877884724101E-4</v>
          </cell>
          <cell r="H89">
            <v>1.99456733181685E-4</v>
          </cell>
          <cell r="I89">
            <v>6.2450210481173702E-3</v>
          </cell>
          <cell r="J89">
            <v>2.7485132225623498E-3</v>
          </cell>
          <cell r="K89">
            <v>5.4456733161247005E-4</v>
          </cell>
          <cell r="L89">
            <v>1.01393128680592E-2</v>
          </cell>
          <cell r="M89">
            <v>2.4145568849831599E-4</v>
          </cell>
          <cell r="N89">
            <v>7.8449351396623606E-3</v>
          </cell>
          <cell r="O89">
            <v>3.8357632693519599E-3</v>
          </cell>
          <cell r="P89">
            <v>1.87418249121474E-2</v>
          </cell>
        </row>
        <row r="90">
          <cell r="B90" t="str">
            <v>RHNM-SHSTG-CHPWOD</v>
          </cell>
          <cell r="C90" t="str">
            <v>VAR_cap</v>
          </cell>
          <cell r="D90" t="str">
            <v>-</v>
          </cell>
          <cell r="E90">
            <v>5.6564386236007402E-3</v>
          </cell>
          <cell r="F90">
            <v>5.7804504668323266E-3</v>
          </cell>
          <cell r="G90">
            <v>5.9781051506455907E-3</v>
          </cell>
          <cell r="H90">
            <v>6.0978851655897823E-3</v>
          </cell>
          <cell r="I90">
            <v>8.0572735644084507E-3</v>
          </cell>
          <cell r="J90">
            <v>9.0978514252110995E-3</v>
          </cell>
          <cell r="K90">
            <v>9.4402456338070501E-3</v>
          </cell>
          <cell r="L90">
            <v>1.3329936693103357E-2</v>
          </cell>
          <cell r="M90">
            <v>1.1006813308260498E-2</v>
          </cell>
          <cell r="N90">
            <v>1.8072332525710142E-2</v>
          </cell>
          <cell r="O90">
            <v>1.3417870326682143E-2</v>
          </cell>
          <cell r="P90">
            <v>3.0273832732765901E-2</v>
          </cell>
        </row>
        <row r="91">
          <cell r="B91" t="str">
            <v>ENGA-CCS</v>
          </cell>
          <cell r="C91" t="str">
            <v>VAR_fout</v>
          </cell>
          <cell r="D91" t="str">
            <v>CO2_E</v>
          </cell>
          <cell r="J91">
            <v>4.9819887735623798E-2</v>
          </cell>
          <cell r="K91">
            <v>7.8564456611751293E-2</v>
          </cell>
          <cell r="L91">
            <v>0.18010728927585901</v>
          </cell>
          <cell r="M91">
            <v>9.3483250570171095E-2</v>
          </cell>
          <cell r="N91">
            <v>0.155515085646863</v>
          </cell>
          <cell r="O91">
            <v>0.117196783244087</v>
          </cell>
          <cell r="P91">
            <v>0.234386239795395</v>
          </cell>
        </row>
        <row r="92">
          <cell r="B92" t="str">
            <v>ENGA-CCS</v>
          </cell>
          <cell r="C92" t="str">
            <v>VAR_fin</v>
          </cell>
          <cell r="D92" t="str">
            <v>ENGA</v>
          </cell>
          <cell r="J92">
            <v>8.833313428302091E-4</v>
          </cell>
          <cell r="K92">
            <v>1.3929868193572914E-3</v>
          </cell>
          <cell r="L92">
            <v>3.1933916538272921E-3</v>
          </cell>
          <cell r="M92">
            <v>1.6575044427335288E-3</v>
          </cell>
          <cell r="N92">
            <v>2.7573596745897743E-3</v>
          </cell>
          <cell r="O92">
            <v>2.0779571497178554E-3</v>
          </cell>
          <cell r="P92">
            <v>4.1557843935353632E-3</v>
          </cell>
        </row>
        <row r="93">
          <cell r="B93" t="str">
            <v>RHNS-CHPGFC</v>
          </cell>
          <cell r="C93" t="str">
            <v>VAR_fout</v>
          </cell>
          <cell r="D93" t="str">
            <v>CO2_R</v>
          </cell>
          <cell r="H93">
            <v>4.9340534460500199E-2</v>
          </cell>
          <cell r="I93">
            <v>0.16878441667590299</v>
          </cell>
          <cell r="J93">
            <v>0.16764173130201299</v>
          </cell>
          <cell r="K93">
            <v>0.17678642005453199</v>
          </cell>
          <cell r="L93">
            <v>0.41377035790244499</v>
          </cell>
          <cell r="M93">
            <v>0.33601472059753101</v>
          </cell>
          <cell r="N93">
            <v>0.52801423833691497</v>
          </cell>
          <cell r="O93">
            <v>0.50498029166028002</v>
          </cell>
          <cell r="P93">
            <v>0.89554328720875798</v>
          </cell>
        </row>
        <row r="94">
          <cell r="B94" t="str">
            <v>RHNS-CHPGFC</v>
          </cell>
          <cell r="C94" t="str">
            <v>VAR_fout</v>
          </cell>
          <cell r="D94" t="str">
            <v>RHNS_LTH_CHPNGA</v>
          </cell>
          <cell r="H94">
            <v>4.1152105337268239E-4</v>
          </cell>
          <cell r="I94">
            <v>1.402646384680774E-3</v>
          </cell>
          <cell r="J94">
            <v>1.3863138914762207E-3</v>
          </cell>
          <cell r="K94">
            <v>1.4367031140424627E-3</v>
          </cell>
          <cell r="L94">
            <v>3.30135923858334E-3</v>
          </cell>
          <cell r="M94">
            <v>2.6809685154058301E-3</v>
          </cell>
          <cell r="N94">
            <v>4.2128795611987915E-3</v>
          </cell>
          <cell r="O94">
            <v>4.0290980717575583E-3</v>
          </cell>
          <cell r="P94">
            <v>7.1452921851762668E-3</v>
          </cell>
        </row>
        <row r="95">
          <cell r="B95" t="str">
            <v>RHNS-CHPGFC</v>
          </cell>
          <cell r="C95" t="str">
            <v>VAR_fout</v>
          </cell>
          <cell r="D95" t="str">
            <v>RHNS_NKEV_GAS_ELC_CHP</v>
          </cell>
          <cell r="H95">
            <v>3.6742951193989489E-4</v>
          </cell>
          <cell r="I95">
            <v>1.2868315455786918E-3</v>
          </cell>
          <cell r="J95">
            <v>1.3078432938454898E-3</v>
          </cell>
          <cell r="K95">
            <v>1.394857392274235E-3</v>
          </cell>
          <cell r="L95">
            <v>3.30135923858334E-3</v>
          </cell>
          <cell r="M95">
            <v>2.6809685154058301E-3</v>
          </cell>
          <cell r="N95">
            <v>4.2128795611987915E-3</v>
          </cell>
          <cell r="O95">
            <v>4.0290980717575583E-3</v>
          </cell>
          <cell r="P95">
            <v>7.1452921851762668E-3</v>
          </cell>
        </row>
        <row r="96">
          <cell r="B96" t="str">
            <v>RHNS-CHPGFC</v>
          </cell>
          <cell r="C96" t="str">
            <v>VAR_fin</v>
          </cell>
          <cell r="D96" t="str">
            <v>RNGA</v>
          </cell>
          <cell r="H96">
            <v>8.7483217128546474E-4</v>
          </cell>
          <cell r="I96">
            <v>2.9926315013457938E-3</v>
          </cell>
          <cell r="J96">
            <v>2.9723711223761141E-3</v>
          </cell>
          <cell r="K96">
            <v>3.1345109938746862E-3</v>
          </cell>
          <cell r="L96">
            <v>7.3363538635185339E-3</v>
          </cell>
          <cell r="M96">
            <v>5.9577078120129556E-3</v>
          </cell>
          <cell r="N96">
            <v>9.3619545804417593E-3</v>
          </cell>
          <cell r="O96">
            <v>8.9535512705723481E-3</v>
          </cell>
          <cell r="P96">
            <v>1.5878427078169492E-2</v>
          </cell>
        </row>
        <row r="97">
          <cell r="B97" t="str">
            <v>RHNS-CHPGFC</v>
          </cell>
          <cell r="C97" t="str">
            <v>VAR_ncap</v>
          </cell>
          <cell r="D97" t="str">
            <v>-</v>
          </cell>
          <cell r="H97">
            <v>3.2710128248379998E-5</v>
          </cell>
          <cell r="I97">
            <v>8.2054924151057503E-5</v>
          </cell>
          <cell r="J97">
            <v>1.7444145774012101E-6</v>
          </cell>
          <cell r="K97">
            <v>1.8244179092612698E-5</v>
          </cell>
          <cell r="L97">
            <v>1.9258301595454199E-4</v>
          </cell>
          <cell r="M97">
            <v>2.0190830091355799E-6</v>
          </cell>
          <cell r="N97">
            <v>1.62957750132204E-4</v>
          </cell>
          <cell r="O97">
            <v>1.9596456462549798E-6</v>
          </cell>
          <cell r="P97">
            <v>4.7056290574807197E-4</v>
          </cell>
        </row>
        <row r="98">
          <cell r="B98" t="str">
            <v>RHNS-CHPGFC</v>
          </cell>
          <cell r="C98" t="str">
            <v>VAR_cap</v>
          </cell>
          <cell r="D98" t="str">
            <v>-</v>
          </cell>
          <cell r="H98">
            <v>3.2710128248379998E-5</v>
          </cell>
          <cell r="I98">
            <v>1.1473491789568032E-4</v>
          </cell>
          <cell r="J98">
            <v>1.1638475146061101E-4</v>
          </cell>
          <cell r="K98">
            <v>1.2410076784609487E-4</v>
          </cell>
          <cell r="L98">
            <v>2.9412079152720363E-4</v>
          </cell>
          <cell r="M98">
            <v>2.3845146076331185E-4</v>
          </cell>
          <cell r="N98">
            <v>3.7508950379804332E-4</v>
          </cell>
          <cell r="O98">
            <v>3.5870732872299126E-4</v>
          </cell>
          <cell r="P98">
            <v>6.365676374990376E-4</v>
          </cell>
        </row>
        <row r="99">
          <cell r="B99" t="str">
            <v>D-ENGA</v>
          </cell>
          <cell r="C99" t="str">
            <v>VAR_fout</v>
          </cell>
          <cell r="D99" t="str">
            <v>CO2</v>
          </cell>
          <cell r="E99">
            <v>312.15824419238902</v>
          </cell>
          <cell r="F99">
            <v>131.09775497339999</v>
          </cell>
          <cell r="G99">
            <v>91.543459975708998</v>
          </cell>
          <cell r="H99">
            <v>169.70698596993</v>
          </cell>
          <cell r="I99">
            <v>135.90700710464299</v>
          </cell>
          <cell r="J99">
            <v>311.48868766260603</v>
          </cell>
          <cell r="K99">
            <v>736.876523829093</v>
          </cell>
          <cell r="L99">
            <v>997.03013023734104</v>
          </cell>
          <cell r="M99">
            <v>1071.10675059254</v>
          </cell>
          <cell r="N99">
            <v>1136.95187463824</v>
          </cell>
          <cell r="O99">
            <v>1105.60917580162</v>
          </cell>
          <cell r="P99">
            <v>1018.57604274857</v>
          </cell>
        </row>
        <row r="100">
          <cell r="B100" t="str">
            <v>D-ENGA</v>
          </cell>
          <cell r="C100" t="str">
            <v>VAR_fout</v>
          </cell>
          <cell r="D100" t="str">
            <v>ENGA</v>
          </cell>
          <cell r="E100">
            <v>5.7352329084609028</v>
          </cell>
          <cell r="F100">
            <v>2.3173545996286955</v>
          </cell>
          <cell r="G100">
            <v>1.9451256335918625</v>
          </cell>
          <cell r="H100">
            <v>3.3932748209387062</v>
          </cell>
          <cell r="I100">
            <v>2.7959133602182584</v>
          </cell>
          <cell r="J100">
            <v>5.8992358497766624</v>
          </cell>
          <cell r="K100">
            <v>13.417572369235202</v>
          </cell>
          <cell r="L100">
            <v>18.015512887732612</v>
          </cell>
          <cell r="M100">
            <v>19.324745963413907</v>
          </cell>
          <cell r="N100">
            <v>20.488399537805261</v>
          </cell>
          <cell r="O100">
            <v>19.934506384752229</v>
          </cell>
          <cell r="P100">
            <v>18.396439534231423</v>
          </cell>
        </row>
        <row r="101">
          <cell r="B101" t="str">
            <v>D-ENGA</v>
          </cell>
          <cell r="C101" t="str">
            <v>VAR_fout</v>
          </cell>
          <cell r="D101" t="str">
            <v>EH2</v>
          </cell>
          <cell r="J101">
            <v>6.080654277485175E-3</v>
          </cell>
          <cell r="K101">
            <v>6.2511843231187721E-3</v>
          </cell>
          <cell r="L101">
            <v>1.5447724062503517E-2</v>
          </cell>
          <cell r="M101">
            <v>1.6547705724240198E-2</v>
          </cell>
          <cell r="N101">
            <v>5.6000275031426884E-2</v>
          </cell>
          <cell r="O101">
            <v>4.4568188514293117E-2</v>
          </cell>
          <cell r="P101">
            <v>4.3953782170524522E-2</v>
          </cell>
        </row>
        <row r="102">
          <cell r="B102" t="str">
            <v>D-ENGA</v>
          </cell>
          <cell r="C102" t="str">
            <v>VAR_fin</v>
          </cell>
          <cell r="D102" t="str">
            <v>NGA</v>
          </cell>
          <cell r="E102">
            <v>5.5347206417090247</v>
          </cell>
          <cell r="F102">
            <v>2.324428279670208</v>
          </cell>
          <cell r="G102">
            <v>1.6231109924771097</v>
          </cell>
          <cell r="H102">
            <v>3.0089891129420243</v>
          </cell>
          <cell r="I102">
            <v>2.4096987075291372</v>
          </cell>
          <cell r="J102">
            <v>5.5228490720320282</v>
          </cell>
          <cell r="K102">
            <v>13.065186592714413</v>
          </cell>
          <cell r="L102">
            <v>17.677839188605333</v>
          </cell>
          <cell r="M102">
            <v>18.991254443130057</v>
          </cell>
          <cell r="N102">
            <v>20.158721181529071</v>
          </cell>
          <cell r="O102">
            <v>19.602999570950708</v>
          </cell>
          <cell r="P102">
            <v>18.059858913981675</v>
          </cell>
        </row>
        <row r="103">
          <cell r="B103" t="str">
            <v>D-ENGA</v>
          </cell>
          <cell r="C103" t="str">
            <v>VAR_fin</v>
          </cell>
          <cell r="D103" t="str">
            <v>BNGA</v>
          </cell>
          <cell r="E103">
            <v>0.21883415414334575</v>
          </cell>
          <cell r="F103">
            <v>3.1078447037811497E-4</v>
          </cell>
          <cell r="G103">
            <v>0.32813181558248655</v>
          </cell>
          <cell r="H103">
            <v>0.39515052100852449</v>
          </cell>
          <cell r="I103">
            <v>0.39516120976468366</v>
          </cell>
          <cell r="J103">
            <v>0.3952556398834135</v>
          </cell>
          <cell r="K103">
            <v>0.39526671783880019</v>
          </cell>
          <cell r="L103">
            <v>0.39528412316536499</v>
          </cell>
          <cell r="M103">
            <v>0.39529372494563197</v>
          </cell>
          <cell r="N103">
            <v>0.39530792694285821</v>
          </cell>
          <cell r="O103">
            <v>0.39533115355227916</v>
          </cell>
          <cell r="P103">
            <v>0.39552742287883508</v>
          </cell>
        </row>
        <row r="104">
          <cell r="B104" t="str">
            <v>D-ENGA</v>
          </cell>
          <cell r="C104" t="str">
            <v>VAR_fin</v>
          </cell>
          <cell r="D104" t="str">
            <v>H2</v>
          </cell>
          <cell r="J104">
            <v>6.0693957323108751E-3</v>
          </cell>
          <cell r="K104">
            <v>6.2401410242811286E-3</v>
          </cell>
          <cell r="L104">
            <v>1.5436203690697137E-2</v>
          </cell>
          <cell r="M104">
            <v>1.6536439522772423E-2</v>
          </cell>
          <cell r="N104">
            <v>5.5996085805315059E-2</v>
          </cell>
          <cell r="O104">
            <v>4.4564522941445417E-2</v>
          </cell>
          <cell r="P104">
            <v>4.3926901302976128E-2</v>
          </cell>
        </row>
        <row r="105">
          <cell r="B105" t="str">
            <v>D-ENGA</v>
          </cell>
          <cell r="C105" t="str">
            <v>VAR_ncap</v>
          </cell>
          <cell r="D105" t="str">
            <v>-</v>
          </cell>
          <cell r="E105">
            <v>2.40503040170617E-6</v>
          </cell>
          <cell r="F105">
            <v>1.3546763030747299E-6</v>
          </cell>
          <cell r="G105">
            <v>1.9854126367189601E-6</v>
          </cell>
          <cell r="H105">
            <v>2.7451466454710099E-6</v>
          </cell>
          <cell r="I105">
            <v>6.2321086819233198E-6</v>
          </cell>
          <cell r="J105">
            <v>9.3998369901217008E-6</v>
          </cell>
          <cell r="K105">
            <v>1.86621161957522E-5</v>
          </cell>
          <cell r="L105">
            <v>0.106207549514889</v>
          </cell>
          <cell r="M105">
            <v>0.76564783541534498</v>
          </cell>
          <cell r="N105">
            <v>0.30972467344117199</v>
          </cell>
          <cell r="O105">
            <v>1.63948481311758E-4</v>
          </cell>
          <cell r="P105">
            <v>1.5345262576819401E-4</v>
          </cell>
        </row>
        <row r="106">
          <cell r="B106" t="str">
            <v>D-ENGA</v>
          </cell>
          <cell r="C106" t="str">
            <v>VAR_cap</v>
          </cell>
          <cell r="D106" t="str">
            <v>-</v>
          </cell>
          <cell r="E106">
            <v>1.0275143995713818</v>
          </cell>
          <cell r="F106">
            <v>1.0275157542476849</v>
          </cell>
          <cell r="G106">
            <v>1.0275177396603217</v>
          </cell>
          <cell r="H106">
            <v>1.027520484806967</v>
          </cell>
          <cell r="I106">
            <v>1.027526716915649</v>
          </cell>
          <cell r="J106">
            <v>1.0275361167526391</v>
          </cell>
          <cell r="K106">
            <v>1.0275547788688348</v>
          </cell>
          <cell r="L106">
            <v>0.83518542896637793</v>
          </cell>
          <cell r="M106">
            <v>1.130100862846821</v>
          </cell>
          <cell r="N106">
            <v>1.18162040075995</v>
          </cell>
          <cell r="O106">
            <v>1.1817805274722699</v>
          </cell>
          <cell r="P106">
            <v>1.18193175354035</v>
          </cell>
        </row>
        <row r="107">
          <cell r="B107" t="str">
            <v>D-ILFO</v>
          </cell>
          <cell r="C107" t="str">
            <v>VAR_fout</v>
          </cell>
          <cell r="D107" t="str">
            <v>CO2</v>
          </cell>
          <cell r="E107">
            <v>689.86864910362999</v>
          </cell>
          <cell r="F107">
            <v>659.57491758625997</v>
          </cell>
          <cell r="G107">
            <v>600.83486332758798</v>
          </cell>
          <cell r="H107">
            <v>534.56430268014606</v>
          </cell>
          <cell r="I107">
            <v>417.97601708459598</v>
          </cell>
          <cell r="J107">
            <v>259.75476355462303</v>
          </cell>
          <cell r="K107">
            <v>143.08561650221301</v>
          </cell>
          <cell r="L107">
            <v>28.0470864726285</v>
          </cell>
          <cell r="M107">
            <v>27.3931084776038</v>
          </cell>
          <cell r="N107">
            <v>27.6729966357729</v>
          </cell>
          <cell r="O107">
            <v>26.7790268810766</v>
          </cell>
          <cell r="P107">
            <v>26.9531786901385</v>
          </cell>
        </row>
        <row r="108">
          <cell r="B108" t="str">
            <v>D-ILFO</v>
          </cell>
          <cell r="C108" t="str">
            <v>VAR_fout</v>
          </cell>
          <cell r="D108" t="str">
            <v>ILFO</v>
          </cell>
          <cell r="E108">
            <v>9.2041660609747851</v>
          </cell>
          <cell r="F108">
            <v>8.7999897937175913</v>
          </cell>
          <cell r="G108">
            <v>8.0166775798785022</v>
          </cell>
          <cell r="H108">
            <v>7.1338780100183197</v>
          </cell>
          <cell r="I108">
            <v>5.5784471107939178</v>
          </cell>
          <cell r="J108">
            <v>3.467476765517655</v>
          </cell>
          <cell r="K108">
            <v>1.9108943047246356</v>
          </cell>
          <cell r="L108">
            <v>0.37607897666285878</v>
          </cell>
          <cell r="M108">
            <v>0.36735917421432862</v>
          </cell>
          <cell r="N108">
            <v>0.37127263369506802</v>
          </cell>
          <cell r="O108">
            <v>0.3594229019101321</v>
          </cell>
          <cell r="P108">
            <v>0.36412694530853507</v>
          </cell>
        </row>
        <row r="109">
          <cell r="B109" t="str">
            <v>D-ILFO</v>
          </cell>
          <cell r="C109" t="str">
            <v>VAR_fin</v>
          </cell>
          <cell r="D109" t="str">
            <v>LFO</v>
          </cell>
          <cell r="E109">
            <v>9.3604972741333849</v>
          </cell>
          <cell r="F109">
            <v>8.9494561409261859</v>
          </cell>
          <cell r="G109">
            <v>8.1524404793431238</v>
          </cell>
          <cell r="H109">
            <v>7.253246983448383</v>
          </cell>
          <cell r="I109">
            <v>5.6713163783527287</v>
          </cell>
          <cell r="J109">
            <v>3.5244879722472611</v>
          </cell>
          <cell r="K109">
            <v>1.9414601967735898</v>
          </cell>
          <cell r="L109">
            <v>0.38055748266795797</v>
          </cell>
          <cell r="M109">
            <v>0.3716839684885182</v>
          </cell>
          <cell r="N109">
            <v>0.37548163684902258</v>
          </cell>
          <cell r="O109">
            <v>0.36335178943116214</v>
          </cell>
          <cell r="P109">
            <v>0.36571477191504032</v>
          </cell>
        </row>
        <row r="110">
          <cell r="B110" t="str">
            <v>D-ILFO</v>
          </cell>
          <cell r="C110" t="str">
            <v>VAR_fin</v>
          </cell>
          <cell r="D110" t="str">
            <v>BDS</v>
          </cell>
          <cell r="G110">
            <v>3.9902148088558304E-4</v>
          </cell>
          <cell r="H110">
            <v>1.802912942384238E-3</v>
          </cell>
          <cell r="I110">
            <v>1.8797187800128851E-3</v>
          </cell>
          <cell r="J110">
            <v>1.8833031870489757E-3</v>
          </cell>
          <cell r="K110">
            <v>1.8942027064114985E-3</v>
          </cell>
          <cell r="L110">
            <v>1.9091321878306612E-3</v>
          </cell>
          <cell r="M110">
            <v>1.9169517704589452E-3</v>
          </cell>
          <cell r="N110">
            <v>2.0970001117011578E-3</v>
          </cell>
          <cell r="O110">
            <v>2.1768241617935104E-3</v>
          </cell>
          <cell r="P110">
            <v>4.6014255327558639E-3</v>
          </cell>
        </row>
        <row r="111">
          <cell r="B111" t="str">
            <v>HPLNGA</v>
          </cell>
          <cell r="C111" t="str">
            <v>VAR_fout</v>
          </cell>
          <cell r="D111" t="str">
            <v>LTH</v>
          </cell>
          <cell r="E111">
            <v>1.7329118779207788</v>
          </cell>
          <cell r="F111">
            <v>1.9784321402393805</v>
          </cell>
          <cell r="G111">
            <v>1.5835910214220736</v>
          </cell>
          <cell r="H111">
            <v>0.53469218505794436</v>
          </cell>
          <cell r="I111">
            <v>1.5141954206369315</v>
          </cell>
          <cell r="J111">
            <v>1.5499012718325678</v>
          </cell>
          <cell r="K111">
            <v>4.3257277769871228E-3</v>
          </cell>
          <cell r="L111">
            <v>1.35848036854068E-2</v>
          </cell>
          <cell r="M111">
            <v>1.0038426972969387E-2</v>
          </cell>
          <cell r="N111">
            <v>1.2806661532994321E-2</v>
          </cell>
          <cell r="O111">
            <v>3.0558547236582854E-3</v>
          </cell>
          <cell r="P111">
            <v>4.7466699813762184E-3</v>
          </cell>
        </row>
        <row r="112">
          <cell r="B112" t="str">
            <v>HPLNGA</v>
          </cell>
          <cell r="C112" t="str">
            <v>VAR_fout</v>
          </cell>
          <cell r="D112" t="str">
            <v>CO2_E</v>
          </cell>
          <cell r="E112">
            <v>114.38429015427501</v>
          </cell>
          <cell r="F112">
            <v>130.59034268448201</v>
          </cell>
          <cell r="G112">
            <v>104.528070462177</v>
          </cell>
          <cell r="H112">
            <v>35.293419600928601</v>
          </cell>
          <cell r="I112">
            <v>99.947476009121701</v>
          </cell>
          <cell r="J112">
            <v>102.304311630947</v>
          </cell>
          <cell r="K112">
            <v>0.28552825303787399</v>
          </cell>
          <cell r="L112">
            <v>0.89669194737406499</v>
          </cell>
          <cell r="M112">
            <v>0.66260630918309305</v>
          </cell>
          <cell r="N112">
            <v>0.84532912917374603</v>
          </cell>
          <cell r="O112">
            <v>0.20170776011971001</v>
          </cell>
          <cell r="P112">
            <v>0.31331337925144298</v>
          </cell>
        </row>
        <row r="113">
          <cell r="B113" t="str">
            <v>HPLNGA</v>
          </cell>
          <cell r="C113" t="str">
            <v>VAR_fin</v>
          </cell>
          <cell r="D113" t="str">
            <v>ENGA</v>
          </cell>
          <cell r="E113">
            <v>2.0280902509623187</v>
          </cell>
          <cell r="F113">
            <v>2.3154316078808925</v>
          </cell>
          <cell r="G113">
            <v>1.8533345826627157</v>
          </cell>
          <cell r="H113">
            <v>0.62576985108029382</v>
          </cell>
          <cell r="I113">
            <v>1.7721183689560589</v>
          </cell>
          <cell r="J113">
            <v>1.81390623459125</v>
          </cell>
          <cell r="K113">
            <v>5.0625576779764836E-3</v>
          </cell>
          <cell r="L113">
            <v>1.5898793393157206E-2</v>
          </cell>
          <cell r="M113">
            <v>1.1748338815303067E-2</v>
          </cell>
          <cell r="N113">
            <v>1.498810512719408E-2</v>
          </cell>
          <cell r="O113">
            <v>3.5763787255267735E-3</v>
          </cell>
          <cell r="P113">
            <v>5.5552017597773609E-3</v>
          </cell>
        </row>
        <row r="114">
          <cell r="B114" t="str">
            <v>HPLNGA</v>
          </cell>
          <cell r="C114" t="str">
            <v>VAR_ncap</v>
          </cell>
          <cell r="D114" t="str">
            <v>-</v>
          </cell>
          <cell r="E114">
            <v>1.72089384207724E-5</v>
          </cell>
          <cell r="F114">
            <v>1.28189317039748E-5</v>
          </cell>
          <cell r="G114">
            <v>2.7036771371293802E-5</v>
          </cell>
          <cell r="H114">
            <v>5.88134452317693E-5</v>
          </cell>
          <cell r="I114">
            <v>0.19198872992083199</v>
          </cell>
          <cell r="J114">
            <v>4.5279189683340203E-3</v>
          </cell>
          <cell r="K114">
            <v>2.8412530434620501E-5</v>
          </cell>
          <cell r="L114">
            <v>2.9182471413312899E-5</v>
          </cell>
          <cell r="M114">
            <v>9.60056142677281E-5</v>
          </cell>
          <cell r="N114">
            <v>2.4455964235864701E-3</v>
          </cell>
          <cell r="O114">
            <v>1.3642089305326E-4</v>
          </cell>
          <cell r="P114">
            <v>1.9210202918208501E-3</v>
          </cell>
        </row>
        <row r="115">
          <cell r="B115" t="str">
            <v>HPLNGA</v>
          </cell>
          <cell r="C115" t="str">
            <v>VAR_cap</v>
          </cell>
          <cell r="D115" t="str">
            <v>-</v>
          </cell>
          <cell r="E115">
            <v>0.25173251939913371</v>
          </cell>
          <cell r="F115">
            <v>0.25107885401138674</v>
          </cell>
          <cell r="G115">
            <v>0.20113168813825499</v>
          </cell>
          <cell r="H115">
            <v>6.7980155010267829E-2</v>
          </cell>
          <cell r="I115">
            <v>0.19207306984190309</v>
          </cell>
          <cell r="J115">
            <v>0.19658945813448486</v>
          </cell>
          <cell r="K115">
            <v>9.7602066841850077E-3</v>
          </cell>
          <cell r="L115">
            <v>9.5808938814840039E-3</v>
          </cell>
          <cell r="M115">
            <v>4.7877337780366028E-3</v>
          </cell>
          <cell r="N115">
            <v>2.5654101623520634E-3</v>
          </cell>
          <cell r="O115">
            <v>2.6680805639343773E-3</v>
          </cell>
          <cell r="P115">
            <v>4.5381257744943528E-3</v>
          </cell>
        </row>
        <row r="116">
          <cell r="B116" t="str">
            <v>G-INTC-IMP00-AT</v>
          </cell>
          <cell r="C116" t="str">
            <v>VAR_fout</v>
          </cell>
          <cell r="D116" t="str">
            <v>ELC</v>
          </cell>
          <cell r="E116">
            <v>15.013805767966563</v>
          </cell>
          <cell r="F116">
            <v>3.2348978944708118E-2</v>
          </cell>
          <cell r="G116">
            <v>2.1273176657239132E-2</v>
          </cell>
          <cell r="H116">
            <v>2.4903823997995771E-2</v>
          </cell>
          <cell r="I116">
            <v>1.723698404042847E-2</v>
          </cell>
          <cell r="J116">
            <v>1.3495857602633983E-2</v>
          </cell>
          <cell r="K116">
            <v>1.2006718692243193E-2</v>
          </cell>
          <cell r="L116">
            <v>1.4038732077328078E-2</v>
          </cell>
          <cell r="M116">
            <v>1.4162363022177082E-2</v>
          </cell>
          <cell r="N116">
            <v>2.5669514173091275E-2</v>
          </cell>
          <cell r="O116">
            <v>3.0824620414223881E-2</v>
          </cell>
          <cell r="P116">
            <v>4.8638721438372806E-2</v>
          </cell>
        </row>
        <row r="117">
          <cell r="B117" t="str">
            <v>G-INTC-IMP00-AT</v>
          </cell>
          <cell r="C117" t="str">
            <v>VAR_fin</v>
          </cell>
          <cell r="D117" t="str">
            <v>ELC_I-AT</v>
          </cell>
          <cell r="E117">
            <v>15.013805767966563</v>
          </cell>
          <cell r="F117">
            <v>3.2348978944708118E-2</v>
          </cell>
          <cell r="G117">
            <v>2.1273176657239132E-2</v>
          </cell>
          <cell r="H117">
            <v>2.4903823997995771E-2</v>
          </cell>
          <cell r="I117">
            <v>1.723698404042847E-2</v>
          </cell>
          <cell r="J117">
            <v>1.3495857602633983E-2</v>
          </cell>
          <cell r="K117">
            <v>1.2006718692243193E-2</v>
          </cell>
          <cell r="L117">
            <v>1.4038732077328078E-2</v>
          </cell>
          <cell r="M117">
            <v>1.4162363022177082E-2</v>
          </cell>
          <cell r="N117">
            <v>2.5669514173091275E-2</v>
          </cell>
          <cell r="O117">
            <v>3.0824620414223881E-2</v>
          </cell>
          <cell r="P117">
            <v>4.8638721438372806E-2</v>
          </cell>
        </row>
        <row r="118">
          <cell r="B118" t="str">
            <v>G-INTC-IMP00-AT</v>
          </cell>
          <cell r="C118" t="str">
            <v>VAR_ncap</v>
          </cell>
          <cell r="D118" t="str">
            <v>-</v>
          </cell>
          <cell r="E118">
            <v>6.7909858873730198E-6</v>
          </cell>
          <cell r="F118">
            <v>6.3054919298003799E-6</v>
          </cell>
          <cell r="G118">
            <v>6.8890317063872296E-6</v>
          </cell>
          <cell r="H118">
            <v>7.7589592695775995E-6</v>
          </cell>
          <cell r="I118">
            <v>8.4754320443416304E-6</v>
          </cell>
          <cell r="J118">
            <v>1.1900149000749399E-5</v>
          </cell>
          <cell r="K118">
            <v>2.2169084085016199E-5</v>
          </cell>
          <cell r="L118">
            <v>1.3665625079176001E-3</v>
          </cell>
          <cell r="M118">
            <v>1.63774700302351E-3</v>
          </cell>
          <cell r="N118">
            <v>2.85654740620064E-3</v>
          </cell>
        </row>
        <row r="119">
          <cell r="B119" t="str">
            <v>G-INTC-IMP00-AT</v>
          </cell>
          <cell r="C119" t="str">
            <v>VAR_cap</v>
          </cell>
          <cell r="D119" t="str">
            <v>-</v>
          </cell>
          <cell r="E119">
            <v>0.54459663875138797</v>
          </cell>
          <cell r="F119">
            <v>2.7226903816599535E-3</v>
          </cell>
          <cell r="G119">
            <v>2.6823823982600192E-3</v>
          </cell>
          <cell r="H119">
            <v>2.68179321274431E-3</v>
          </cell>
          <cell r="I119">
            <v>2.6874869190141037E-3</v>
          </cell>
          <cell r="J119">
            <v>2.6839787857029229E-3</v>
          </cell>
          <cell r="K119">
            <v>2.6859680462194557E-3</v>
          </cell>
          <cell r="L119">
            <v>2.6893002795080889E-3</v>
          </cell>
          <cell r="M119">
            <v>2.7015706270301365E-3</v>
          </cell>
          <cell r="N119">
            <v>4.4571747174593224E-3</v>
          </cell>
          <cell r="O119">
            <v>5.6890571351442265E-3</v>
          </cell>
          <cell r="P119">
            <v>8.5344601321348801E-3</v>
          </cell>
        </row>
        <row r="120">
          <cell r="B120" t="str">
            <v>CHPWST</v>
          </cell>
          <cell r="C120" t="str">
            <v>VAR_fout</v>
          </cell>
          <cell r="D120" t="str">
            <v>ELC35</v>
          </cell>
          <cell r="E120">
            <v>1.4215846200373814</v>
          </cell>
          <cell r="F120">
            <v>1.299535625050956</v>
          </cell>
          <cell r="G120">
            <v>1.2159716426971074</v>
          </cell>
          <cell r="H120">
            <v>1.2901758899250757</v>
          </cell>
          <cell r="I120">
            <v>1.2798562415390398</v>
          </cell>
          <cell r="J120">
            <v>1.2826611660423386</v>
          </cell>
          <cell r="K120">
            <v>1.2849057043482524</v>
          </cell>
          <cell r="L120">
            <v>1.2865731084889611</v>
          </cell>
          <cell r="M120">
            <v>1.2865752694403121</v>
          </cell>
          <cell r="N120">
            <v>1.28657420334919</v>
          </cell>
          <cell r="O120">
            <v>1.2865718636322945</v>
          </cell>
          <cell r="P120">
            <v>1.2865557270278394</v>
          </cell>
        </row>
        <row r="121">
          <cell r="B121" t="str">
            <v>CHPWST</v>
          </cell>
          <cell r="C121" t="str">
            <v>VAR_fout</v>
          </cell>
          <cell r="D121" t="str">
            <v>LTH</v>
          </cell>
          <cell r="E121">
            <v>14.326464682601873</v>
          </cell>
          <cell r="F121">
            <v>13.051650355319127</v>
          </cell>
          <cell r="G121">
            <v>12.149473471988973</v>
          </cell>
          <cell r="H121">
            <v>12.779629735421334</v>
          </cell>
          <cell r="I121">
            <v>12.34293916380026</v>
          </cell>
          <cell r="J121">
            <v>12.034785888990461</v>
          </cell>
          <cell r="K121">
            <v>11.72005509538681</v>
          </cell>
          <cell r="L121">
            <v>11.399037741212208</v>
          </cell>
          <cell r="M121">
            <v>11.399056887241155</v>
          </cell>
          <cell r="N121">
            <v>11.399047441673835</v>
          </cell>
          <cell r="O121">
            <v>11.399026711782131</v>
          </cell>
          <cell r="P121">
            <v>11.398883741466665</v>
          </cell>
        </row>
        <row r="122">
          <cell r="B122" t="str">
            <v>CHPWST</v>
          </cell>
          <cell r="C122" t="str">
            <v>VAR_fout</v>
          </cell>
          <cell r="D122" t="str">
            <v>CO2_E</v>
          </cell>
          <cell r="E122">
            <v>2816.7531641656601</v>
          </cell>
          <cell r="F122">
            <v>2574.9231049728301</v>
          </cell>
          <cell r="G122">
            <v>2409.3479373832301</v>
          </cell>
          <cell r="H122">
            <v>2556.3775585734402</v>
          </cell>
          <cell r="I122">
            <v>2535.9300228905499</v>
          </cell>
          <cell r="J122">
            <v>2541.48775041416</v>
          </cell>
          <cell r="K122">
            <v>2545.9351187143998</v>
          </cell>
          <cell r="L122">
            <v>2549.2389430686399</v>
          </cell>
          <cell r="M122">
            <v>2549.2432248162499</v>
          </cell>
          <cell r="N122">
            <v>2549.2411124442601</v>
          </cell>
          <cell r="O122">
            <v>2549.2364764874001</v>
          </cell>
          <cell r="P122">
            <v>2549.2045031310399</v>
          </cell>
        </row>
        <row r="123">
          <cell r="B123" t="str">
            <v>CHPWST</v>
          </cell>
          <cell r="C123" t="str">
            <v>VAR_fin</v>
          </cell>
          <cell r="D123" t="str">
            <v>EWST</v>
          </cell>
          <cell r="E123">
            <v>30.352943579371342</v>
          </cell>
          <cell r="F123">
            <v>27.747016217379635</v>
          </cell>
          <cell r="G123">
            <v>25.962801049388275</v>
          </cell>
          <cell r="H123">
            <v>27.547171967386138</v>
          </cell>
          <cell r="I123">
            <v>27.326832143217178</v>
          </cell>
          <cell r="J123">
            <v>27.386721448428432</v>
          </cell>
          <cell r="K123">
            <v>27.434645675801786</v>
          </cell>
          <cell r="L123">
            <v>27.470247231343151</v>
          </cell>
          <cell r="M123">
            <v>27.470293370864798</v>
          </cell>
          <cell r="N123">
            <v>27.470270608235563</v>
          </cell>
          <cell r="O123">
            <v>27.470220651803867</v>
          </cell>
          <cell r="P123">
            <v>27.469876111325835</v>
          </cell>
        </row>
        <row r="124">
          <cell r="B124" t="str">
            <v>CHPWST</v>
          </cell>
          <cell r="C124" t="str">
            <v>VAR_ncap</v>
          </cell>
          <cell r="D124" t="str">
            <v>-</v>
          </cell>
          <cell r="F124">
            <v>4.63098896432351E-7</v>
          </cell>
          <cell r="G124">
            <v>5.6587918196177799E-7</v>
          </cell>
          <cell r="H124">
            <v>1.58665243056112E-6</v>
          </cell>
          <cell r="I124">
            <v>5.66613838032572E-3</v>
          </cell>
          <cell r="J124">
            <v>1.89536624874003E-2</v>
          </cell>
          <cell r="K124">
            <v>6.0387455536422803E-3</v>
          </cell>
          <cell r="L124">
            <v>3.9634961559131501E-2</v>
          </cell>
          <cell r="M124">
            <v>3.0482839577977401E-6</v>
          </cell>
          <cell r="N124">
            <v>7.95703973408333E-6</v>
          </cell>
          <cell r="O124">
            <v>7.6244563130867396E-3</v>
          </cell>
          <cell r="P124">
            <v>1.6991180814040802E-2</v>
          </cell>
        </row>
        <row r="125">
          <cell r="B125" t="str">
            <v>CHPWST</v>
          </cell>
          <cell r="C125" t="str">
            <v>VAR_cap</v>
          </cell>
          <cell r="D125" t="str">
            <v>-</v>
          </cell>
          <cell r="E125">
            <v>7.7673334258151192E-2</v>
          </cell>
          <cell r="F125">
            <v>7.1002636611785935E-2</v>
          </cell>
          <cell r="G125">
            <v>7.0492497757216027E-2</v>
          </cell>
          <cell r="H125">
            <v>7.049039001674301E-2</v>
          </cell>
          <cell r="I125">
            <v>6.9926611140336686E-2</v>
          </cell>
          <cell r="J125">
            <v>7.0079803312795244E-2</v>
          </cell>
          <cell r="K125">
            <v>7.0202461804874522E-2</v>
          </cell>
          <cell r="L125">
            <v>7.0293492143286687E-2</v>
          </cell>
          <cell r="M125">
            <v>7.0294834325183284E-2</v>
          </cell>
          <cell r="N125">
            <v>7.0299899567728599E-2</v>
          </cell>
          <cell r="O125">
            <v>7.0294443613947113E-2</v>
          </cell>
          <cell r="P125">
            <v>7.0296217334626862E-2</v>
          </cell>
        </row>
        <row r="126">
          <cell r="B126" t="str">
            <v>RHES-CHPNGA</v>
          </cell>
          <cell r="C126" t="str">
            <v>VAR_fout</v>
          </cell>
          <cell r="D126" t="str">
            <v>CO2_R</v>
          </cell>
          <cell r="E126">
            <v>5.5103682334143</v>
          </cell>
          <cell r="F126">
            <v>0.73981200518872703</v>
          </cell>
          <cell r="G126">
            <v>2.9835669496095201</v>
          </cell>
          <cell r="H126">
            <v>2.4227687550972199</v>
          </cell>
          <cell r="I126">
            <v>4.9680169967141996</v>
          </cell>
          <cell r="J126">
            <v>5.0009425777693304</v>
          </cell>
          <cell r="K126">
            <v>4.7928356781851296</v>
          </cell>
          <cell r="L126">
            <v>6.1573996040095498</v>
          </cell>
          <cell r="M126">
            <v>5.1639125918056896</v>
          </cell>
          <cell r="N126">
            <v>5.6806278671634196</v>
          </cell>
          <cell r="O126">
            <v>30.2801472690861</v>
          </cell>
          <cell r="P126">
            <v>30.128883805803198</v>
          </cell>
        </row>
        <row r="127">
          <cell r="B127" t="str">
            <v>RHES-CHPNGA</v>
          </cell>
          <cell r="C127" t="str">
            <v>VAR_fout</v>
          </cell>
          <cell r="D127" t="str">
            <v>RHES_NKEV_GAS_ELC_CHP</v>
          </cell>
          <cell r="E127">
            <v>1.7311436794303813E-2</v>
          </cell>
          <cell r="F127">
            <v>3.5299104386548688E-3</v>
          </cell>
          <cell r="G127">
            <v>1.2852603285583554E-2</v>
          </cell>
          <cell r="H127">
            <v>1.0936979210698231E-2</v>
          </cell>
          <cell r="I127">
            <v>2.2467534507347686E-2</v>
          </cell>
          <cell r="J127">
            <v>2.3111043606086172E-2</v>
          </cell>
          <cell r="K127">
            <v>2.2329529324604313E-2</v>
          </cell>
          <cell r="L127">
            <v>2.7180276882483922E-2</v>
          </cell>
          <cell r="M127">
            <v>2.4370932761929393E-2</v>
          </cell>
          <cell r="N127">
            <v>2.4696574113700732E-2</v>
          </cell>
          <cell r="O127">
            <v>0.15193333415693572</v>
          </cell>
          <cell r="P127">
            <v>0.14752360653661206</v>
          </cell>
        </row>
        <row r="128">
          <cell r="B128" t="str">
            <v>RHES-CHPNGA</v>
          </cell>
          <cell r="C128" t="str">
            <v>VAR_fout</v>
          </cell>
          <cell r="D128" t="str">
            <v>RHES_LTH_CHPNGA</v>
          </cell>
          <cell r="E128">
            <v>4.1675681171472245E-2</v>
          </cell>
          <cell r="F128">
            <v>8.4120193733870606E-3</v>
          </cell>
          <cell r="G128">
            <v>3.0159415646329679E-2</v>
          </cell>
          <cell r="H128">
            <v>2.4998809624453139E-2</v>
          </cell>
          <cell r="I128">
            <v>5.0903887705870454E-2</v>
          </cell>
          <cell r="J128">
            <v>5.1898483887351479E-2</v>
          </cell>
          <cell r="K128">
            <v>4.9326240973256351E-2</v>
          </cell>
          <cell r="L128">
            <v>5.9046808399878942E-2</v>
          </cell>
          <cell r="M128">
            <v>5.2943750482812073E-2</v>
          </cell>
          <cell r="N128">
            <v>5.3651178247005091E-2</v>
          </cell>
          <cell r="O128">
            <v>0.33006207075472255</v>
          </cell>
          <cell r="P128">
            <v>0.32048231764850221</v>
          </cell>
        </row>
        <row r="129">
          <cell r="B129" t="str">
            <v>RHES-CHPNGA</v>
          </cell>
          <cell r="C129" t="str">
            <v>VAR_fin</v>
          </cell>
          <cell r="D129" t="str">
            <v>RNGA</v>
          </cell>
          <cell r="E129">
            <v>9.7701564422239401E-2</v>
          </cell>
          <cell r="F129">
            <v>1.3117234134551901E-2</v>
          </cell>
          <cell r="G129">
            <v>5.2900123220026837E-2</v>
          </cell>
          <cell r="H129">
            <v>4.2956892820872644E-2</v>
          </cell>
          <cell r="I129">
            <v>8.8085407743159566E-2</v>
          </cell>
          <cell r="J129">
            <v>8.8669194641300117E-2</v>
          </cell>
          <cell r="K129">
            <v>8.4979355996190345E-2</v>
          </cell>
          <cell r="L129">
            <v>0.1091737518441411</v>
          </cell>
          <cell r="M129">
            <v>9.1558733897263933E-2</v>
          </cell>
          <cell r="N129">
            <v>0.10072035225467066</v>
          </cell>
          <cell r="O129">
            <v>0.53688204377812199</v>
          </cell>
          <cell r="P129">
            <v>0.53420006747878102</v>
          </cell>
        </row>
        <row r="130">
          <cell r="B130" t="str">
            <v>RHES-CHPNGA</v>
          </cell>
          <cell r="C130" t="str">
            <v>VAR_ncap</v>
          </cell>
          <cell r="D130" t="str">
            <v>-</v>
          </cell>
          <cell r="F130">
            <v>4.8508132493746095E-7</v>
          </cell>
          <cell r="G130">
            <v>9.1923477442360001E-5</v>
          </cell>
          <cell r="H130">
            <v>1.4809513199486699E-6</v>
          </cell>
          <cell r="I130">
            <v>1.5153538429005301E-3</v>
          </cell>
          <cell r="J130">
            <v>3.0095510804894598E-4</v>
          </cell>
          <cell r="K130">
            <v>1.51865645772572E-4</v>
          </cell>
          <cell r="L130">
            <v>4.4928305897383599E-4</v>
          </cell>
          <cell r="M130">
            <v>8.4496908968000896E-4</v>
          </cell>
          <cell r="N130">
            <v>7.5062482044340297E-4</v>
          </cell>
          <cell r="O130">
            <v>1.1461691583378E-2</v>
          </cell>
          <cell r="P130">
            <v>5.86334235276581E-5</v>
          </cell>
        </row>
        <row r="131">
          <cell r="B131" t="str">
            <v>RHES-CHPNGA</v>
          </cell>
          <cell r="C131" t="str">
            <v>VAR_cap</v>
          </cell>
          <cell r="D131" t="str">
            <v>-</v>
          </cell>
          <cell r="E131">
            <v>4.173530974808333E-3</v>
          </cell>
          <cell r="F131">
            <v>1.0629622681654453E-3</v>
          </cell>
          <cell r="G131">
            <v>1.1425430523312975E-3</v>
          </cell>
          <cell r="H131">
            <v>9.7254929662630139E-4</v>
          </cell>
          <cell r="I131">
            <v>1.9976178572519167E-3</v>
          </cell>
          <cell r="J131">
            <v>2.0547112097295504E-3</v>
          </cell>
          <cell r="K131">
            <v>1.9851824267179204E-3</v>
          </cell>
          <cell r="L131">
            <v>2.4171076884876275E-3</v>
          </cell>
          <cell r="M131">
            <v>2.1667038619278896E-3</v>
          </cell>
          <cell r="N131">
            <v>2.1962527323626533E-3</v>
          </cell>
          <cell r="O131">
            <v>1.3506077251180451E-2</v>
          </cell>
          <cell r="P131">
            <v>1.3115204940165727E-2</v>
          </cell>
        </row>
        <row r="132">
          <cell r="B132" t="str">
            <v>RHEM-CHPWOD</v>
          </cell>
          <cell r="C132" t="str">
            <v>VAR_fout</v>
          </cell>
          <cell r="D132" t="str">
            <v>RHEM_KEV_WOD_ELC_CHP</v>
          </cell>
          <cell r="H132">
            <v>4.2427859818963201E-3</v>
          </cell>
          <cell r="I132">
            <v>6.07230761373438E-3</v>
          </cell>
          <cell r="J132">
            <v>5.6801053877399837E-3</v>
          </cell>
          <cell r="K132">
            <v>6.8545651270321755E-3</v>
          </cell>
          <cell r="L132">
            <v>1.5005576085545513E-2</v>
          </cell>
          <cell r="M132">
            <v>1.4127206879487902E-2</v>
          </cell>
          <cell r="N132">
            <v>1.2416478967516053E-2</v>
          </cell>
          <cell r="O132">
            <v>1.3735301639393026E-2</v>
          </cell>
          <cell r="P132">
            <v>2.508046990978207E-2</v>
          </cell>
        </row>
        <row r="133">
          <cell r="B133" t="str">
            <v>RHEM-CHPWOD</v>
          </cell>
          <cell r="C133" t="str">
            <v>VAR_fout</v>
          </cell>
          <cell r="D133" t="str">
            <v>RHEM_LTH_CHPWOD</v>
          </cell>
          <cell r="H133">
            <v>1.1286228720315348E-2</v>
          </cell>
          <cell r="I133">
            <v>1.6152936509441211E-2</v>
          </cell>
          <cell r="J133">
            <v>1.5109639947682739E-2</v>
          </cell>
          <cell r="K133">
            <v>1.8233818564519087E-2</v>
          </cell>
          <cell r="L133">
            <v>3.9916310769431473E-2</v>
          </cell>
          <cell r="M133">
            <v>3.7579762142480148E-2</v>
          </cell>
          <cell r="N133">
            <v>3.3029057352013176E-2</v>
          </cell>
          <cell r="O133">
            <v>3.6537255592474088E-2</v>
          </cell>
          <cell r="P133">
            <v>6.6716520942277521E-2</v>
          </cell>
        </row>
        <row r="134">
          <cell r="B134" t="str">
            <v>RHEM-CHPWOD</v>
          </cell>
          <cell r="C134" t="str">
            <v>VAR_fin</v>
          </cell>
          <cell r="D134" t="str">
            <v>RWOD</v>
          </cell>
          <cell r="H134">
            <v>1.7970868159984058E-2</v>
          </cell>
          <cell r="I134">
            <v>2.4941445012369095E-2</v>
          </cell>
          <cell r="J134">
            <v>2.3055768470274574E-2</v>
          </cell>
          <cell r="K134">
            <v>2.7450068932502673E-2</v>
          </cell>
          <cell r="L134">
            <v>5.8923183509965303E-2</v>
          </cell>
          <cell r="M134">
            <v>5.290662389854512E-2</v>
          </cell>
          <cell r="N134">
            <v>4.9474135397034082E-2</v>
          </cell>
          <cell r="O134">
            <v>5.3344595113567192E-2</v>
          </cell>
          <cell r="P134">
            <v>9.9503660986779624E-2</v>
          </cell>
        </row>
        <row r="135">
          <cell r="B135" t="str">
            <v>RHEM-CHPWOD</v>
          </cell>
          <cell r="C135" t="str">
            <v>VAR_ncap</v>
          </cell>
          <cell r="D135" t="str">
            <v>-</v>
          </cell>
          <cell r="H135">
            <v>3.1527429722269599E-4</v>
          </cell>
          <cell r="I135">
            <v>1.37258899486321E-4</v>
          </cell>
          <cell r="J135">
            <v>3.1298814520135703E-5</v>
          </cell>
          <cell r="K135">
            <v>3.4160011307848701E-4</v>
          </cell>
          <cell r="L135">
            <v>7.4334050502813302E-4</v>
          </cell>
          <cell r="M135">
            <v>5.8104384338110403E-6</v>
          </cell>
          <cell r="N135">
            <v>1.7649365527373499E-4</v>
          </cell>
          <cell r="O135">
            <v>7.0995936501513002E-4</v>
          </cell>
          <cell r="P135">
            <v>9.8053952965258904E-4</v>
          </cell>
        </row>
        <row r="136">
          <cell r="B136" t="str">
            <v>RHEM-CHPWOD</v>
          </cell>
          <cell r="C136" t="str">
            <v>VAR_cap</v>
          </cell>
          <cell r="D136" t="str">
            <v>-</v>
          </cell>
          <cell r="H136">
            <v>3.1527429722269599E-4</v>
          </cell>
          <cell r="I136">
            <v>4.5240444296776794E-4</v>
          </cell>
          <cell r="J136">
            <v>4.2324458043698274E-4</v>
          </cell>
          <cell r="K136">
            <v>5.0962196255593657E-4</v>
          </cell>
          <cell r="L136">
            <v>1.1154156183463743E-3</v>
          </cell>
          <cell r="M136">
            <v>1.0491711808071E-3</v>
          </cell>
          <cell r="N136">
            <v>9.2461996621511205E-4</v>
          </cell>
          <cell r="O136">
            <v>1.0206302766617742E-3</v>
          </cell>
          <cell r="P136">
            <v>1.8658419275314477E-3</v>
          </cell>
        </row>
        <row r="137">
          <cell r="B137" t="str">
            <v>ENUC_SMR_GOE_IV</v>
          </cell>
          <cell r="C137" t="str">
            <v>VAR_fout</v>
          </cell>
          <cell r="D137" t="str">
            <v>LTH</v>
          </cell>
          <cell r="J137"/>
          <cell r="K137">
            <v>0.13900872221171928</v>
          </cell>
          <cell r="L137">
            <v>0.38627349244756776</v>
          </cell>
          <cell r="M137">
            <v>0.37781442609587568</v>
          </cell>
          <cell r="N137">
            <v>0.35963158468468576</v>
          </cell>
          <cell r="O137">
            <v>0.39049287829062923</v>
          </cell>
          <cell r="P137">
            <v>0.34948488428108743</v>
          </cell>
        </row>
        <row r="138">
          <cell r="B138" t="str">
            <v>ENUC_SMR_GOE_IV</v>
          </cell>
          <cell r="C138" t="str">
            <v>VAR_fout</v>
          </cell>
          <cell r="D138" t="str">
            <v>ELC</v>
          </cell>
          <cell r="J138"/>
          <cell r="K138">
            <v>7.4039228966307491E-2</v>
          </cell>
          <cell r="L138">
            <v>0.22006988294663377</v>
          </cell>
          <cell r="M138">
            <v>0.24025743795149512</v>
          </cell>
          <cell r="N138">
            <v>0.22159323478353377</v>
          </cell>
          <cell r="O138">
            <v>0.24348554608458961</v>
          </cell>
          <cell r="P138">
            <v>0.27592281470885888</v>
          </cell>
        </row>
        <row r="139">
          <cell r="B139" t="str">
            <v>ENUC_SMR_GOE_IV</v>
          </cell>
          <cell r="C139" t="str">
            <v>VAR_fin</v>
          </cell>
          <cell r="D139" t="str">
            <v>URN</v>
          </cell>
          <cell r="J139"/>
          <cell r="K139">
            <v>0.28509139063380629</v>
          </cell>
          <cell r="L139">
            <v>0.83543005208753796</v>
          </cell>
          <cell r="M139">
            <v>0.89255792497349462</v>
          </cell>
          <cell r="N139">
            <v>0.82817816233633157</v>
          </cell>
          <cell r="O139">
            <v>0.90793678152958401</v>
          </cell>
          <cell r="P139">
            <v>0.98752611708205518</v>
          </cell>
        </row>
        <row r="140">
          <cell r="B140" t="str">
            <v>ENUC_SMR_GOE_IV</v>
          </cell>
          <cell r="C140" t="str">
            <v>VAR_ncap</v>
          </cell>
          <cell r="D140" t="str">
            <v>-</v>
          </cell>
          <cell r="J140"/>
          <cell r="K140">
            <v>9.6392838998797803E-3</v>
          </cell>
          <cell r="L140">
            <v>3.78203908267612E-6</v>
          </cell>
          <cell r="M140">
            <v>9.2433894060884406E-6</v>
          </cell>
          <cell r="N140">
            <v>4.9877792889993303E-5</v>
          </cell>
          <cell r="O140">
            <v>2.2969816142387402E-3</v>
          </cell>
        </row>
        <row r="141">
          <cell r="B141" t="str">
            <v>ENUC_SMR_GOE_IV</v>
          </cell>
          <cell r="C141" t="str">
            <v>VAR_cap</v>
          </cell>
          <cell r="D141" t="str">
            <v>-</v>
          </cell>
          <cell r="J141"/>
          <cell r="K141">
            <v>3.05578496137661E-3</v>
          </cell>
          <cell r="L141">
            <v>9.6392838998797803E-3</v>
          </cell>
          <cell r="M141">
            <v>9.6462515522352105E-3</v>
          </cell>
          <cell r="N141">
            <v>9.6523093283685402E-3</v>
          </cell>
          <cell r="O141">
            <v>1.04303617394412E-2</v>
          </cell>
          <cell r="P141">
            <v>1.19991687354973E-2</v>
          </cell>
        </row>
        <row r="142">
          <cell r="B142" t="str">
            <v>G-INTC-IMP00-FR</v>
          </cell>
          <cell r="C142" t="str">
            <v>VAR_fout</v>
          </cell>
          <cell r="D142" t="str">
            <v>ELC</v>
          </cell>
          <cell r="E142">
            <v>28.948621071489502</v>
          </cell>
          <cell r="F142">
            <v>17.842806384503117</v>
          </cell>
          <cell r="G142">
            <v>21.629474422216301</v>
          </cell>
          <cell r="H142">
            <v>15.318027964312433</v>
          </cell>
          <cell r="I142">
            <v>21.674573373415317</v>
          </cell>
          <cell r="J142">
            <v>30.040725096488366</v>
          </cell>
          <cell r="K142">
            <v>33.661825423806533</v>
          </cell>
          <cell r="L142">
            <v>28.883336746924989</v>
          </cell>
          <cell r="M142">
            <v>64.534875695677087</v>
          </cell>
          <cell r="N142">
            <v>69.125568182108495</v>
          </cell>
          <cell r="O142">
            <v>69.133379208870167</v>
          </cell>
          <cell r="P142">
            <v>69.088456410370114</v>
          </cell>
        </row>
        <row r="143">
          <cell r="B143" t="str">
            <v>G-INTC-IMP00-FR</v>
          </cell>
          <cell r="C143" t="str">
            <v>VAR_fin</v>
          </cell>
          <cell r="D143" t="str">
            <v>ELC_I-FR</v>
          </cell>
          <cell r="E143">
            <v>28.948621071489502</v>
          </cell>
          <cell r="F143">
            <v>17.842806384503117</v>
          </cell>
          <cell r="G143">
            <v>21.629474422216301</v>
          </cell>
          <cell r="H143">
            <v>15.318027964312433</v>
          </cell>
          <cell r="I143">
            <v>21.674573373415317</v>
          </cell>
          <cell r="J143">
            <v>30.040725096488366</v>
          </cell>
          <cell r="K143">
            <v>33.661825423806533</v>
          </cell>
          <cell r="L143">
            <v>28.883336746924989</v>
          </cell>
          <cell r="M143">
            <v>64.534875695677087</v>
          </cell>
          <cell r="N143">
            <v>69.125568182108495</v>
          </cell>
          <cell r="O143">
            <v>69.133379208870167</v>
          </cell>
          <cell r="P143">
            <v>69.088456410370114</v>
          </cell>
        </row>
        <row r="144">
          <cell r="B144" t="str">
            <v>G-INTC-IMP00-FR</v>
          </cell>
          <cell r="C144" t="str">
            <v>VAR_ncap</v>
          </cell>
          <cell r="D144" t="str">
            <v>-</v>
          </cell>
          <cell r="E144">
            <v>6.4326710586203601E-5</v>
          </cell>
          <cell r="F144">
            <v>7.0166459041076098E-5</v>
          </cell>
          <cell r="G144">
            <v>7.2361546411741806E-2</v>
          </cell>
          <cell r="H144">
            <v>1.22749929892162</v>
          </cell>
          <cell r="I144">
            <v>0.25206142637102802</v>
          </cell>
          <cell r="J144">
            <v>4.3990441063925099E-5</v>
          </cell>
          <cell r="K144">
            <v>5.1202626051099802</v>
          </cell>
          <cell r="L144">
            <v>1.93500200563828</v>
          </cell>
          <cell r="M144">
            <v>0.64227044032876301</v>
          </cell>
          <cell r="N144">
            <v>4.69890076782708E-4</v>
          </cell>
        </row>
        <row r="145">
          <cell r="B145" t="str">
            <v>G-INTC-IMP00-FR</v>
          </cell>
          <cell r="C145" t="str">
            <v>VAR_cap</v>
          </cell>
          <cell r="D145" t="str">
            <v>-</v>
          </cell>
          <cell r="E145">
            <v>1.6999975985167546</v>
          </cell>
          <cell r="F145">
            <v>1.6999954380048636</v>
          </cell>
          <cell r="G145">
            <v>1.699994670562559</v>
          </cell>
          <cell r="H145">
            <v>1.7000582819745562</v>
          </cell>
          <cell r="I145">
            <v>2.0680887112547048</v>
          </cell>
          <cell r="J145">
            <v>2.9999773478666003</v>
          </cell>
          <cell r="K145">
            <v>3.2073893126667801</v>
          </cell>
          <cell r="L145">
            <v>3.2520354265355258</v>
          </cell>
          <cell r="M145">
            <v>7.5855240183127144</v>
          </cell>
          <cell r="N145">
            <v>9.2028127704243783</v>
          </cell>
          <cell r="O145">
            <v>9.2495493057928186</v>
          </cell>
          <cell r="P145">
            <v>9.24993317791359</v>
          </cell>
        </row>
        <row r="146">
          <cell r="B146" t="str">
            <v>ENUC_SMR_BEZ_III</v>
          </cell>
          <cell r="C146" t="str">
            <v>VAR_fout</v>
          </cell>
          <cell r="D146" t="str">
            <v>LTH</v>
          </cell>
          <cell r="J146"/>
          <cell r="K146">
            <v>0.23519502952214366</v>
          </cell>
          <cell r="L146">
            <v>0.66740772338757781</v>
          </cell>
          <cell r="M146">
            <v>0.65209333121013902</v>
          </cell>
          <cell r="N146">
            <v>0.62707682657224495</v>
          </cell>
          <cell r="O146">
            <v>0.62013498342128204</v>
          </cell>
          <cell r="P146">
            <v>0.49670730670828034</v>
          </cell>
        </row>
        <row r="147">
          <cell r="B147" t="str">
            <v>ENUC_SMR_BEZ_III</v>
          </cell>
          <cell r="C147" t="str">
            <v>VAR_fout</v>
          </cell>
          <cell r="D147" t="str">
            <v>ELC</v>
          </cell>
          <cell r="J147"/>
          <cell r="K147">
            <v>0.11820700386550841</v>
          </cell>
          <cell r="L147">
            <v>0.35099176235839069</v>
          </cell>
          <cell r="M147">
            <v>0.3831435588041634</v>
          </cell>
          <cell r="N147">
            <v>0.35306652468462729</v>
          </cell>
          <cell r="O147">
            <v>0.36045997070110919</v>
          </cell>
          <cell r="P147">
            <v>0.36327242032162682</v>
          </cell>
        </row>
        <row r="148">
          <cell r="B148" t="str">
            <v>ENUC_SMR_BEZ_III</v>
          </cell>
          <cell r="C148" t="str">
            <v>VAR_fin</v>
          </cell>
          <cell r="D148" t="str">
            <v>URN</v>
          </cell>
          <cell r="J148"/>
          <cell r="K148">
            <v>0.46105841044894708</v>
          </cell>
          <cell r="L148">
            <v>1.3552668881713312</v>
          </cell>
          <cell r="M148">
            <v>1.4454293942041068</v>
          </cell>
          <cell r="N148">
            <v>1.34359348535446</v>
          </cell>
          <cell r="O148">
            <v>1.3628183554967761</v>
          </cell>
          <cell r="P148">
            <v>1.316418458506869</v>
          </cell>
        </row>
        <row r="149">
          <cell r="B149" t="str">
            <v>ENUC_SMR_BEZ_III</v>
          </cell>
          <cell r="C149" t="str">
            <v>VAR_ncap</v>
          </cell>
          <cell r="D149" t="str">
            <v>-</v>
          </cell>
          <cell r="J149"/>
          <cell r="K149">
            <v>1.54874672957697E-2</v>
          </cell>
          <cell r="L149">
            <v>1.56012705326748E-6</v>
          </cell>
          <cell r="M149">
            <v>5.3688396768942098E-6</v>
          </cell>
          <cell r="N149">
            <v>2.00348736243108E-5</v>
          </cell>
          <cell r="O149">
            <v>5.3956414638465795E-4</v>
          </cell>
        </row>
        <row r="150">
          <cell r="B150" t="str">
            <v>ENUC_SMR_BEZ_III</v>
          </cell>
          <cell r="C150" t="str">
            <v>VAR_cap</v>
          </cell>
          <cell r="D150" t="str">
            <v>-</v>
          </cell>
          <cell r="J150"/>
          <cell r="K150">
            <v>4.9097391615175101E-3</v>
          </cell>
          <cell r="L150">
            <v>1.54874672957697E-2</v>
          </cell>
          <cell r="M150">
            <v>1.5490975538689699E-2</v>
          </cell>
          <cell r="N150">
            <v>1.54943962624998E-2</v>
          </cell>
          <cell r="O150">
            <v>1.5685480357347001E-2</v>
          </cell>
          <cell r="P150">
            <v>1.6053995282508799E-2</v>
          </cell>
        </row>
        <row r="151">
          <cell r="B151" t="str">
            <v>ENUC_SMR_BEZ_II</v>
          </cell>
          <cell r="C151" t="str">
            <v>VAR_fout</v>
          </cell>
          <cell r="D151" t="str">
            <v>LTH</v>
          </cell>
          <cell r="J151"/>
          <cell r="K151">
            <v>0.23519502955209115</v>
          </cell>
          <cell r="L151">
            <v>0.66740772346961619</v>
          </cell>
          <cell r="M151">
            <v>0.65209333129380809</v>
          </cell>
          <cell r="N151">
            <v>0.62707682666455788</v>
          </cell>
          <cell r="O151">
            <v>0.62013498349848506</v>
          </cell>
          <cell r="P151">
            <v>0.49670730674316027</v>
          </cell>
        </row>
        <row r="152">
          <cell r="B152" t="str">
            <v>ENUC_SMR_BEZ_II</v>
          </cell>
          <cell r="C152" t="str">
            <v>VAR_fout</v>
          </cell>
          <cell r="D152" t="str">
            <v>ELC</v>
          </cell>
          <cell r="J152"/>
          <cell r="K152">
            <v>0.11820700387995968</v>
          </cell>
          <cell r="L152">
            <v>0.35099176240185936</v>
          </cell>
          <cell r="M152">
            <v>0.38314355885307672</v>
          </cell>
          <cell r="N152">
            <v>0.35306652472886146</v>
          </cell>
          <cell r="O152">
            <v>0.3604599707445435</v>
          </cell>
          <cell r="P152">
            <v>0.36327242036332041</v>
          </cell>
        </row>
        <row r="153">
          <cell r="B153" t="str">
            <v>ENUC_SMR_BEZ_II</v>
          </cell>
          <cell r="C153" t="str">
            <v>VAR_fin</v>
          </cell>
          <cell r="D153" t="str">
            <v>URN</v>
          </cell>
          <cell r="J153"/>
          <cell r="K153">
            <v>0.46105841050584567</v>
          </cell>
          <cell r="L153">
            <v>1.3552668883389034</v>
          </cell>
          <cell r="M153">
            <v>1.4454293943888246</v>
          </cell>
          <cell r="N153">
            <v>1.3435934855289069</v>
          </cell>
          <cell r="O153">
            <v>1.3628183556620925</v>
          </cell>
          <cell r="P153">
            <v>1.3164184586481182</v>
          </cell>
        </row>
        <row r="154">
          <cell r="B154" t="str">
            <v>ENUC_SMR_BEZ_II</v>
          </cell>
          <cell r="C154" t="str">
            <v>VAR_ncap</v>
          </cell>
          <cell r="D154" t="str">
            <v>-</v>
          </cell>
          <cell r="J154"/>
          <cell r="K154">
            <v>1.5487467297671901E-2</v>
          </cell>
          <cell r="L154">
            <v>1.5601271180690999E-6</v>
          </cell>
          <cell r="M154">
            <v>5.3688396789121904E-6</v>
          </cell>
          <cell r="N154">
            <v>2.0034873637301101E-5</v>
          </cell>
          <cell r="O154">
            <v>5.3956414612304495E-4</v>
          </cell>
        </row>
        <row r="155">
          <cell r="B155" t="str">
            <v>ENUC_SMR_BEZ_II</v>
          </cell>
          <cell r="C155" t="str">
            <v>VAR_cap</v>
          </cell>
          <cell r="D155" t="str">
            <v>-</v>
          </cell>
          <cell r="J155"/>
          <cell r="K155">
            <v>4.9097391621205399E-3</v>
          </cell>
          <cell r="L155">
            <v>1.5487467297671901E-2</v>
          </cell>
          <cell r="M155">
            <v>1.54909755406476E-2</v>
          </cell>
          <cell r="N155">
            <v>1.54943962644689E-2</v>
          </cell>
          <cell r="O155">
            <v>1.56854803592461E-2</v>
          </cell>
          <cell r="P155">
            <v>1.6053995284229201E-2</v>
          </cell>
        </row>
        <row r="156">
          <cell r="B156" t="str">
            <v>RHEM-CHPGFC</v>
          </cell>
          <cell r="C156" t="str">
            <v>VAR_fout</v>
          </cell>
          <cell r="D156" t="str">
            <v>CO2_R</v>
          </cell>
          <cell r="H156">
            <v>0.20891316785026301</v>
          </cell>
          <cell r="I156">
            <v>0.80976423003278497</v>
          </cell>
          <cell r="J156">
            <v>0.80975065411131397</v>
          </cell>
          <cell r="K156">
            <v>0.89574313944947404</v>
          </cell>
          <cell r="L156">
            <v>2.3987986508843702</v>
          </cell>
          <cell r="M156">
            <v>2.1324832000608498</v>
          </cell>
          <cell r="N156">
            <v>4.1217372686931704</v>
          </cell>
          <cell r="O156">
            <v>4.0228258694839703</v>
          </cell>
          <cell r="P156">
            <v>7.8242150311935799</v>
          </cell>
        </row>
        <row r="157">
          <cell r="B157" t="str">
            <v>RHEM-CHPGFC</v>
          </cell>
          <cell r="C157" t="str">
            <v>VAR_fout</v>
          </cell>
          <cell r="D157" t="str">
            <v>RHEM_LTH_CHPNGA</v>
          </cell>
          <cell r="H157">
            <v>1.7424247190915593E-3</v>
          </cell>
          <cell r="I157">
            <v>6.729370471921391E-3</v>
          </cell>
          <cell r="J157">
            <v>6.6962359056297405E-3</v>
          </cell>
          <cell r="K157">
            <v>7.2795012050827371E-3</v>
          </cell>
          <cell r="L157">
            <v>1.9139350937907203E-2</v>
          </cell>
          <cell r="M157">
            <v>1.7014493617506794E-2</v>
          </cell>
          <cell r="N157">
            <v>3.2886201611913614E-2</v>
          </cell>
          <cell r="O157">
            <v>3.2097014916095519E-2</v>
          </cell>
          <cell r="P157">
            <v>6.2427247589310467E-2</v>
          </cell>
        </row>
        <row r="158">
          <cell r="B158" t="str">
            <v>RHEM-CHPGFC</v>
          </cell>
          <cell r="C158" t="str">
            <v>VAR_fout</v>
          </cell>
          <cell r="D158" t="str">
            <v>RHEM_NKEV_GAS_ELC_CHP</v>
          </cell>
          <cell r="H158">
            <v>1.5557363563317502E-3</v>
          </cell>
          <cell r="I158">
            <v>6.1737343779095354E-3</v>
          </cell>
          <cell r="J158">
            <v>6.3172036845563504E-3</v>
          </cell>
          <cell r="K158">
            <v>7.0674768981385883E-3</v>
          </cell>
          <cell r="L158">
            <v>1.9139350937907203E-2</v>
          </cell>
          <cell r="M158">
            <v>1.7014493617506794E-2</v>
          </cell>
          <cell r="N158">
            <v>3.2886201611913614E-2</v>
          </cell>
          <cell r="O158">
            <v>3.2097014916095519E-2</v>
          </cell>
          <cell r="P158">
            <v>6.2427247589310467E-2</v>
          </cell>
        </row>
        <row r="159">
          <cell r="B159" t="str">
            <v>RHEM-CHPGFC</v>
          </cell>
          <cell r="C159" t="str">
            <v>VAR_fin</v>
          </cell>
          <cell r="D159" t="str">
            <v>RNGA</v>
          </cell>
          <cell r="H159">
            <v>3.7041341817422623E-3</v>
          </cell>
          <cell r="I159">
            <v>1.4357521809091939E-2</v>
          </cell>
          <cell r="J159">
            <v>1.4357281101264448E-2</v>
          </cell>
          <cell r="K159">
            <v>1.5881970557614797E-2</v>
          </cell>
          <cell r="L159">
            <v>4.2531890973127102E-2</v>
          </cell>
          <cell r="M159">
            <v>3.7809985816681782E-2</v>
          </cell>
          <cell r="N159">
            <v>7.308044802647469E-2</v>
          </cell>
          <cell r="O159">
            <v>7.1326699813545613E-2</v>
          </cell>
          <cell r="P159">
            <v>0.13872721686513437</v>
          </cell>
        </row>
        <row r="160">
          <cell r="B160" t="str">
            <v>RHEM-CHPGFC</v>
          </cell>
          <cell r="C160" t="str">
            <v>VAR_ncap</v>
          </cell>
          <cell r="D160" t="str">
            <v>-</v>
          </cell>
          <cell r="H160">
            <v>1.38675890972985E-4</v>
          </cell>
          <cell r="I160">
            <v>4.1147294730246203E-4</v>
          </cell>
          <cell r="J160">
            <v>1.2664386717363599E-5</v>
          </cell>
          <cell r="K160">
            <v>1.1103769169319101E-4</v>
          </cell>
          <cell r="L160">
            <v>1.1705089650532201E-3</v>
          </cell>
          <cell r="M160">
            <v>9.8925580754552297E-5</v>
          </cell>
          <cell r="N160">
            <v>1.5475413886075001E-3</v>
          </cell>
          <cell r="O160">
            <v>4.0589573891077002E-5</v>
          </cell>
          <cell r="P160">
            <v>3.8701205101103601E-3</v>
          </cell>
        </row>
        <row r="161">
          <cell r="B161" t="str">
            <v>RHEM-CHPGFC</v>
          </cell>
          <cell r="C161" t="str">
            <v>VAR_cap</v>
          </cell>
          <cell r="D161" t="str">
            <v>-</v>
          </cell>
          <cell r="H161">
            <v>1.38675890972985E-4</v>
          </cell>
          <cell r="I161">
            <v>5.5004104990476243E-4</v>
          </cell>
          <cell r="J161">
            <v>5.6237573037536939E-4</v>
          </cell>
          <cell r="K161">
            <v>6.2888634141278828E-4</v>
          </cell>
          <cell r="L161">
            <v>1.7037394500376125E-3</v>
          </cell>
          <cell r="M161">
            <v>1.5135086548568124E-3</v>
          </cell>
          <cell r="N161">
            <v>2.9252993194552809E-3</v>
          </cell>
          <cell r="O161">
            <v>2.8548137987081963E-3</v>
          </cell>
          <cell r="P161">
            <v>5.5535662271777612E-3</v>
          </cell>
        </row>
        <row r="162">
          <cell r="B162" t="str">
            <v>EHYD-RUNS10</v>
          </cell>
          <cell r="C162" t="str">
            <v>VAR_fout</v>
          </cell>
          <cell r="D162" t="str">
            <v>ELC35</v>
          </cell>
          <cell r="F162">
            <v>4.6309427613613011E-3</v>
          </cell>
          <cell r="G162">
            <v>8.98374669590132E-3</v>
          </cell>
          <cell r="H162">
            <v>9.4587613381592432E-3</v>
          </cell>
          <cell r="I162">
            <v>9.6839708460675841E-3</v>
          </cell>
          <cell r="J162">
            <v>9.8159949086707061E-3</v>
          </cell>
          <cell r="K162">
            <v>9.8004392967782124E-3</v>
          </cell>
          <cell r="L162">
            <v>9.5461175036145839E-3</v>
          </cell>
          <cell r="M162">
            <v>9.9020985806662389E-3</v>
          </cell>
          <cell r="N162">
            <v>9.8659595707263001E-3</v>
          </cell>
          <cell r="O162">
            <v>1.0042140591621566E-2</v>
          </cell>
          <cell r="P162">
            <v>1.5189379133146046E-2</v>
          </cell>
        </row>
        <row r="163">
          <cell r="B163" t="str">
            <v>EHYD-RUNS10</v>
          </cell>
          <cell r="C163" t="str">
            <v>VAR_fin</v>
          </cell>
          <cell r="D163" t="str">
            <v>HYDR</v>
          </cell>
          <cell r="F163">
            <v>4.6309427613613011E-3</v>
          </cell>
          <cell r="G163">
            <v>8.98374669590132E-3</v>
          </cell>
          <cell r="H163">
            <v>9.4587613381592432E-3</v>
          </cell>
          <cell r="I163">
            <v>9.6839708460675841E-3</v>
          </cell>
          <cell r="J163">
            <v>9.8159949086707061E-3</v>
          </cell>
          <cell r="K163">
            <v>9.8004392967782124E-3</v>
          </cell>
          <cell r="L163">
            <v>9.5461175036145839E-3</v>
          </cell>
          <cell r="M163">
            <v>9.9020985806662389E-3</v>
          </cell>
          <cell r="N163">
            <v>9.8659595707263001E-3</v>
          </cell>
          <cell r="O163">
            <v>1.0042140591621566E-2</v>
          </cell>
          <cell r="P163">
            <v>1.5189379133146046E-2</v>
          </cell>
        </row>
        <row r="164">
          <cell r="B164" t="str">
            <v>EHYD-RUNS10</v>
          </cell>
          <cell r="C164" t="str">
            <v>VAR_ncap</v>
          </cell>
          <cell r="D164" t="str">
            <v>-</v>
          </cell>
          <cell r="F164">
            <v>4.1799022949667202E-4</v>
          </cell>
          <cell r="G164">
            <v>3.8957293623364403E-4</v>
          </cell>
          <cell r="H164">
            <v>7.8568022885615902E-6</v>
          </cell>
          <cell r="I164">
            <v>1.6828234671198701E-6</v>
          </cell>
          <cell r="J164">
            <v>4.1389237869345501E-6</v>
          </cell>
          <cell r="K164">
            <v>4.9740743279054097E-6</v>
          </cell>
          <cell r="L164">
            <v>9.7025926412487193E-6</v>
          </cell>
          <cell r="M164">
            <v>1.85209202729454E-6</v>
          </cell>
          <cell r="N164">
            <v>1.5121334845452099E-5</v>
          </cell>
          <cell r="O164">
            <v>2.4987644361412299E-6</v>
          </cell>
          <cell r="P164">
            <v>4.5799032484063602E-4</v>
          </cell>
        </row>
        <row r="165">
          <cell r="B165" t="str">
            <v>EHYD-RUNS10</v>
          </cell>
          <cell r="C165" t="str">
            <v>VAR_cap</v>
          </cell>
          <cell r="D165" t="str">
            <v>-</v>
          </cell>
          <cell r="F165">
            <v>4.1799022949667202E-4</v>
          </cell>
          <cell r="G165">
            <v>8.0756316573031496E-4</v>
          </cell>
          <cell r="H165">
            <v>8.1541996801887703E-4</v>
          </cell>
          <cell r="I165">
            <v>8.1710279148599697E-4</v>
          </cell>
          <cell r="J165">
            <v>8.2124171527293095E-4</v>
          </cell>
          <cell r="K165">
            <v>8.2621578960083702E-4</v>
          </cell>
          <cell r="L165">
            <v>8.3591838224208505E-4</v>
          </cell>
          <cell r="M165">
            <v>8.3777047426938E-4</v>
          </cell>
          <cell r="N165">
            <v>8.5289180911483204E-4</v>
          </cell>
          <cell r="O165">
            <v>8.5539057355097303E-4</v>
          </cell>
          <cell r="P165">
            <v>1.3133808983916101E-3</v>
          </cell>
        </row>
        <row r="166">
          <cell r="B166" t="str">
            <v>SUP_WSTBIO</v>
          </cell>
          <cell r="C166" t="str">
            <v>VAR_fout</v>
          </cell>
          <cell r="D166" t="str">
            <v>ELC35</v>
          </cell>
          <cell r="E166">
            <v>0.1125882502898454</v>
          </cell>
          <cell r="F166">
            <v>0.11479689865497679</v>
          </cell>
          <cell r="G166">
            <v>0.11061378902755775</v>
          </cell>
          <cell r="H166">
            <v>0.11440750519718774</v>
          </cell>
          <cell r="I166">
            <v>0.11416419956293238</v>
          </cell>
          <cell r="J166">
            <v>0.11091822420081127</v>
          </cell>
          <cell r="K166">
            <v>0.10770421276751416</v>
          </cell>
          <cell r="L166">
            <v>0.10448950106238369</v>
          </cell>
          <cell r="M166">
            <v>0.10448574873440453</v>
          </cell>
          <cell r="N166">
            <v>0.10448009296021868</v>
          </cell>
          <cell r="O166">
            <v>0.10447802366364152</v>
          </cell>
          <cell r="P166">
            <v>0.1044449994775723</v>
          </cell>
        </row>
        <row r="167">
          <cell r="B167" t="str">
            <v>SUP_WSTBIO</v>
          </cell>
          <cell r="C167" t="str">
            <v>VAR_fout</v>
          </cell>
          <cell r="D167" t="str">
            <v>BIO</v>
          </cell>
          <cell r="E167">
            <v>5.6294125144922695</v>
          </cell>
          <cell r="F167">
            <v>5.739844932748837</v>
          </cell>
          <cell r="G167">
            <v>5.5306894513778895</v>
          </cell>
          <cell r="H167">
            <v>5.7203752598593853</v>
          </cell>
          <cell r="I167">
            <v>5.7082099781466269</v>
          </cell>
          <cell r="J167">
            <v>5.5459112100405621</v>
          </cell>
          <cell r="K167">
            <v>5.3852106383757103</v>
          </cell>
          <cell r="L167">
            <v>5.2244750531191873</v>
          </cell>
          <cell r="M167">
            <v>5.2242874367202283</v>
          </cell>
          <cell r="N167">
            <v>5.2240046480109399</v>
          </cell>
          <cell r="O167">
            <v>5.2239011831820719</v>
          </cell>
          <cell r="P167">
            <v>5.222249973878613</v>
          </cell>
        </row>
        <row r="168">
          <cell r="B168" t="str">
            <v>SUP_WSTBIO</v>
          </cell>
          <cell r="C168" t="str">
            <v>VAR_fin</v>
          </cell>
          <cell r="D168" t="str">
            <v>CWST</v>
          </cell>
          <cell r="E168">
            <v>9.6793727177755606</v>
          </cell>
          <cell r="F168">
            <v>9.8692533729378589</v>
          </cell>
          <cell r="G168">
            <v>9.5096254623977501</v>
          </cell>
          <cell r="H168">
            <v>9.8357766610953696</v>
          </cell>
          <cell r="I168">
            <v>9.814859328138958</v>
          </cell>
          <cell r="J168">
            <v>9.5357981891497374</v>
          </cell>
          <cell r="K168">
            <v>9.259485034784289</v>
          </cell>
          <cell r="L168">
            <v>8.9831116770489334</v>
          </cell>
          <cell r="M168">
            <v>8.9827890840520936</v>
          </cell>
          <cell r="N168">
            <v>8.9823028490656576</v>
          </cell>
          <cell r="O168">
            <v>8.9821249486827739</v>
          </cell>
          <cell r="P168">
            <v>8.979285812228996</v>
          </cell>
        </row>
        <row r="169">
          <cell r="B169" t="str">
            <v>SUP_WSTBIO</v>
          </cell>
          <cell r="C169" t="str">
            <v>VAR_ncap</v>
          </cell>
          <cell r="D169" t="str">
            <v>-</v>
          </cell>
          <cell r="E169">
            <v>4.1041518270735003E-3</v>
          </cell>
          <cell r="F169">
            <v>4.16725846327999E-3</v>
          </cell>
          <cell r="G169">
            <v>3.0678029357195302E-6</v>
          </cell>
          <cell r="H169">
            <v>7.2850988698914307E-2</v>
          </cell>
          <cell r="I169">
            <v>0.116853307184847</v>
          </cell>
          <cell r="J169">
            <v>1.5547034663599199E-2</v>
          </cell>
          <cell r="K169">
            <v>2.1288374726710298E-2</v>
          </cell>
          <cell r="L169">
            <v>4.3688396225490998E-2</v>
          </cell>
          <cell r="M169">
            <v>8.3432305707779195E-2</v>
          </cell>
          <cell r="N169">
            <v>4.8951230469524203E-2</v>
          </cell>
          <cell r="O169">
            <v>2.1283522873807199E-2</v>
          </cell>
          <cell r="P169">
            <v>4.3631635012763202E-2</v>
          </cell>
        </row>
        <row r="170">
          <cell r="B170" t="str">
            <v>SUP_WSTBIO</v>
          </cell>
          <cell r="C170" t="str">
            <v>VAR_cap</v>
          </cell>
          <cell r="D170" t="str">
            <v>-</v>
          </cell>
          <cell r="E170">
            <v>0.21267373847132198</v>
          </cell>
          <cell r="F170">
            <v>0.21683963704510742</v>
          </cell>
          <cell r="G170">
            <v>0.21683617456332804</v>
          </cell>
          <cell r="H170">
            <v>0.21610369428831538</v>
          </cell>
          <cell r="I170">
            <v>0.21564505913820758</v>
          </cell>
          <cell r="J170">
            <v>0.20951301828135604</v>
          </cell>
          <cell r="K170">
            <v>0.20344213890800869</v>
          </cell>
          <cell r="L170">
            <v>0.1973727906098639</v>
          </cell>
          <cell r="M170">
            <v>0.19736281221137172</v>
          </cell>
          <cell r="N170">
            <v>0.19735494366813811</v>
          </cell>
          <cell r="O170">
            <v>0.19735002208863239</v>
          </cell>
          <cell r="P170">
            <v>0.19729166552756455</v>
          </cell>
        </row>
        <row r="171">
          <cell r="B171" t="str">
            <v>ITOT-CHPNGACCS</v>
          </cell>
          <cell r="C171" t="str">
            <v>VAR_fout</v>
          </cell>
          <cell r="D171" t="str">
            <v>CO2_I</v>
          </cell>
          <cell r="J171">
            <v>4.20521273078453E-2</v>
          </cell>
          <cell r="K171">
            <v>5.9750892866711099E-2</v>
          </cell>
          <cell r="L171">
            <v>0.13350032019168001</v>
          </cell>
          <cell r="M171">
            <v>7.0434217679862896E-2</v>
          </cell>
          <cell r="N171">
            <v>0.115244758620055</v>
          </cell>
          <cell r="O171">
            <v>0.11728088107948299</v>
          </cell>
          <cell r="P171">
            <v>0.22583342456209099</v>
          </cell>
        </row>
        <row r="172">
          <cell r="B172" t="str">
            <v>ITOT-CHPNGACCS</v>
          </cell>
          <cell r="C172" t="str">
            <v>VAR_fin</v>
          </cell>
          <cell r="D172" t="str">
            <v>INGA</v>
          </cell>
          <cell r="J172">
            <v>7.4560509411073189E-4</v>
          </cell>
          <cell r="K172">
            <v>1.0594129940906226E-3</v>
          </cell>
          <cell r="L172">
            <v>2.3670269537531922E-3</v>
          </cell>
          <cell r="M172">
            <v>1.2488336468060818E-3</v>
          </cell>
          <cell r="N172">
            <v>2.0433467840435347E-3</v>
          </cell>
          <cell r="O172">
            <v>2.0794482460901203E-3</v>
          </cell>
          <cell r="P172">
            <v>4.0041387333704173E-3</v>
          </cell>
        </row>
        <row r="173">
          <cell r="B173" t="str">
            <v>SCOM-ESOLPV</v>
          </cell>
          <cell r="C173" t="str">
            <v>VAR_fout</v>
          </cell>
          <cell r="D173" t="str">
            <v>SCOM_SOL_ELC</v>
          </cell>
          <cell r="E173">
            <v>2.8396236857719668</v>
          </cell>
          <cell r="F173">
            <v>3.2944552945441319</v>
          </cell>
          <cell r="G173">
            <v>3.9360843650576216</v>
          </cell>
          <cell r="H173">
            <v>4.4090591128673529</v>
          </cell>
          <cell r="I173">
            <v>4.6339850440844899</v>
          </cell>
          <cell r="J173">
            <v>4.8703643768543285</v>
          </cell>
          <cell r="K173">
            <v>5.118804041763779</v>
          </cell>
          <cell r="L173">
            <v>5.3799176119421048</v>
          </cell>
          <cell r="M173">
            <v>5.6543509164856562</v>
          </cell>
          <cell r="N173">
            <v>5.9427878750057426</v>
          </cell>
          <cell r="O173">
            <v>6.2459410262808186</v>
          </cell>
          <cell r="P173">
            <v>6.5646837782631895</v>
          </cell>
        </row>
        <row r="174">
          <cell r="B174" t="str">
            <v>SCOM-ESOLPV</v>
          </cell>
          <cell r="C174" t="str">
            <v>VAR_fin</v>
          </cell>
          <cell r="D174" t="str">
            <v>SOL</v>
          </cell>
          <cell r="E174">
            <v>2.8396236857719668</v>
          </cell>
          <cell r="F174">
            <v>3.2944552945441319</v>
          </cell>
          <cell r="G174">
            <v>3.9360843650576216</v>
          </cell>
          <cell r="H174">
            <v>4.4090591128673529</v>
          </cell>
          <cell r="I174">
            <v>4.6339850440844899</v>
          </cell>
          <cell r="J174">
            <v>4.8703643768543285</v>
          </cell>
          <cell r="K174">
            <v>5.118804041763779</v>
          </cell>
          <cell r="L174">
            <v>5.3799176119421048</v>
          </cell>
          <cell r="M174">
            <v>5.6543509164856562</v>
          </cell>
          <cell r="N174">
            <v>5.9427878750057426</v>
          </cell>
          <cell r="O174">
            <v>6.2459410262808186</v>
          </cell>
          <cell r="P174">
            <v>6.5646837782631895</v>
          </cell>
        </row>
        <row r="175">
          <cell r="B175" t="str">
            <v>SCOM-ESOLPV</v>
          </cell>
          <cell r="C175" t="str">
            <v>VAR_fin</v>
          </cell>
          <cell r="D175" t="str">
            <v>SOLPVC</v>
          </cell>
          <cell r="E175">
            <v>2.8396236857719699</v>
          </cell>
          <cell r="F175">
            <v>3.2944552945441301</v>
          </cell>
          <cell r="G175">
            <v>3.9360843650576198</v>
          </cell>
          <cell r="H175">
            <v>4.4090591128673502</v>
          </cell>
          <cell r="I175">
            <v>4.6339850440844899</v>
          </cell>
          <cell r="J175">
            <v>4.8703643768543303</v>
          </cell>
          <cell r="K175">
            <v>5.1188040417637799</v>
          </cell>
          <cell r="L175">
            <v>5.3799176119421004</v>
          </cell>
          <cell r="M175">
            <v>5.6543509164856598</v>
          </cell>
          <cell r="N175">
            <v>5.9427878750057399</v>
          </cell>
          <cell r="O175">
            <v>6.2459410262808204</v>
          </cell>
          <cell r="P175">
            <v>6.5646837782631904</v>
          </cell>
        </row>
        <row r="176">
          <cell r="B176" t="str">
            <v>SCOM-ESOLPV</v>
          </cell>
          <cell r="C176" t="str">
            <v>VAR_ncap</v>
          </cell>
          <cell r="D176" t="str">
            <v>-</v>
          </cell>
          <cell r="F176">
            <v>8.7551529683990501E-8</v>
          </cell>
          <cell r="G176">
            <v>1.11356303070329E-5</v>
          </cell>
          <cell r="H176">
            <v>8.1850227948894797E-5</v>
          </cell>
          <cell r="I176">
            <v>0.52247209938503303</v>
          </cell>
          <cell r="J176">
            <v>0.42576631849399799</v>
          </cell>
          <cell r="K176">
            <v>0.31803513597792299</v>
          </cell>
          <cell r="L176">
            <v>6.4653415109838505E-2</v>
          </cell>
          <cell r="M176">
            <v>0.48817376785692801</v>
          </cell>
          <cell r="N176">
            <v>0.59931179645740995</v>
          </cell>
          <cell r="O176">
            <v>0.393031430511461</v>
          </cell>
          <cell r="P176">
            <v>0.143508565654767</v>
          </cell>
        </row>
        <row r="177">
          <cell r="B177" t="str">
            <v>SCOM-ESOLPV</v>
          </cell>
          <cell r="C177" t="str">
            <v>VAR_cap</v>
          </cell>
          <cell r="D177" t="str">
            <v>-</v>
          </cell>
          <cell r="E177">
            <v>0.90292899999999998</v>
          </cell>
          <cell r="F177">
            <v>1.1231013491195396</v>
          </cell>
          <cell r="G177">
            <v>1.1752402231818369</v>
          </cell>
          <cell r="H177">
            <v>1.0907522516504657</v>
          </cell>
          <cell r="I177">
            <v>1.146395993659368</v>
          </cell>
          <cell r="J177">
            <v>1.2048736654859211</v>
          </cell>
          <cell r="K177">
            <v>1.2663314288063401</v>
          </cell>
          <cell r="L177">
            <v>1.33092696896679</v>
          </cell>
          <cell r="M177">
            <v>1.39881843593084</v>
          </cell>
          <cell r="N177">
            <v>1.4701741154021</v>
          </cell>
          <cell r="O177">
            <v>1.54517040993564</v>
          </cell>
          <cell r="P177">
            <v>1.62402556048057</v>
          </cell>
        </row>
        <row r="178">
          <cell r="B178" t="str">
            <v>ENUC_SMR_BMGL_I</v>
          </cell>
          <cell r="C178" t="str">
            <v>VAR_fout</v>
          </cell>
          <cell r="D178" t="str">
            <v>LTH</v>
          </cell>
          <cell r="J178"/>
          <cell r="K178">
            <v>0.46626417081125598</v>
          </cell>
          <cell r="L178">
            <v>0.52218398416936684</v>
          </cell>
          <cell r="M178">
            <v>0.51038667905181923</v>
          </cell>
          <cell r="N178">
            <v>0.48604495097907102</v>
          </cell>
          <cell r="O178">
            <v>0.46286288769622946</v>
          </cell>
          <cell r="P178">
            <v>0.38161097397975874</v>
          </cell>
        </row>
        <row r="179">
          <cell r="B179" t="str">
            <v>ENUC_SMR_BMGL_I</v>
          </cell>
          <cell r="C179" t="str">
            <v>VAR_fout</v>
          </cell>
          <cell r="D179" t="str">
            <v>ELC</v>
          </cell>
          <cell r="J179"/>
          <cell r="K179">
            <v>0.23125317809372622</v>
          </cell>
          <cell r="L179">
            <v>0.2826386643197446</v>
          </cell>
          <cell r="M179">
            <v>0.30867237052640012</v>
          </cell>
          <cell r="N179">
            <v>0.28512848278110309</v>
          </cell>
          <cell r="O179">
            <v>0.27700041710016421</v>
          </cell>
          <cell r="P179">
            <v>0.29192246486594342</v>
          </cell>
        </row>
        <row r="180">
          <cell r="B180" t="str">
            <v>ENUC_SMR_BMGL_I</v>
          </cell>
          <cell r="C180" t="str">
            <v>VAR_fin</v>
          </cell>
          <cell r="D180" t="str">
            <v>URN</v>
          </cell>
          <cell r="K180">
            <v>0.90472833436154265</v>
          </cell>
          <cell r="L180">
            <v>1.0845540349121277</v>
          </cell>
          <cell r="M180">
            <v>1.1578290940715235</v>
          </cell>
          <cell r="N180">
            <v>1.0759960223525409</v>
          </cell>
          <cell r="O180">
            <v>1.0411895855125668</v>
          </cell>
          <cell r="P180">
            <v>1.0500635015321294</v>
          </cell>
        </row>
        <row r="181">
          <cell r="B181" t="str">
            <v>ENUC_SMR_BMGL_I</v>
          </cell>
          <cell r="C181" t="str">
            <v>VAR_ncap</v>
          </cell>
          <cell r="D181" t="str">
            <v>-</v>
          </cell>
          <cell r="J181">
            <v>1.24338774887537E-2</v>
          </cell>
          <cell r="K181">
            <v>3.4789850744104801E-6</v>
          </cell>
          <cell r="L181">
            <v>4.5406132142170997E-6</v>
          </cell>
          <cell r="M181">
            <v>2.7312174337790601E-5</v>
          </cell>
          <cell r="N181">
            <v>4.6588165159957998E-5</v>
          </cell>
          <cell r="O181">
            <v>2.5792928266813201E-4</v>
          </cell>
        </row>
        <row r="182">
          <cell r="B182" t="str">
            <v>ENUC_SMR_BMGL_I</v>
          </cell>
          <cell r="C182" t="str">
            <v>VAR_cap</v>
          </cell>
          <cell r="D182" t="str">
            <v>-</v>
          </cell>
          <cell r="J182"/>
          <cell r="K182">
            <v>1.0231565194353099E-2</v>
          </cell>
          <cell r="L182">
            <v>1.24373564738281E-2</v>
          </cell>
          <cell r="M182">
            <v>1.24434734090637E-2</v>
          </cell>
          <cell r="N182">
            <v>1.24692092613801E-2</v>
          </cell>
          <cell r="O182">
            <v>1.24994951187703E-2</v>
          </cell>
          <cell r="P182">
            <v>1.27737267092082E-2</v>
          </cell>
        </row>
        <row r="183">
          <cell r="B183" t="str">
            <v>D-SCOM_LTH</v>
          </cell>
          <cell r="C183" t="str">
            <v>VAR_fout</v>
          </cell>
          <cell r="D183" t="str">
            <v>SCOM_LTH_DH</v>
          </cell>
          <cell r="E183">
            <v>5.6100110798053535</v>
          </cell>
          <cell r="F183">
            <v>6.0767074964281766</v>
          </cell>
          <cell r="G183">
            <v>6.0767113162551816</v>
          </cell>
          <cell r="H183">
            <v>6.0767120343046335</v>
          </cell>
          <cell r="I183">
            <v>6.0767158116812467</v>
          </cell>
          <cell r="J183">
            <v>6.0767258399935935</v>
          </cell>
          <cell r="K183">
            <v>6.4853414160543101</v>
          </cell>
          <cell r="L183">
            <v>8.7885290723561713</v>
          </cell>
          <cell r="M183">
            <v>8.7889236330306435</v>
          </cell>
          <cell r="N183">
            <v>8.7889898003965659</v>
          </cell>
          <cell r="O183">
            <v>9.0352847251699657</v>
          </cell>
          <cell r="P183">
            <v>9.0353438396429731</v>
          </cell>
        </row>
        <row r="184">
          <cell r="B184" t="str">
            <v>D-SCOM_LTH</v>
          </cell>
          <cell r="C184" t="str">
            <v>VAR_fin</v>
          </cell>
          <cell r="D184" t="str">
            <v>LTH</v>
          </cell>
          <cell r="E184">
            <v>6.0987877788423717</v>
          </cell>
          <cell r="F184">
            <v>6.6044093188630759</v>
          </cell>
          <cell r="G184">
            <v>6.6018109168233288</v>
          </cell>
          <cell r="H184">
            <v>6.597478662202362</v>
          </cell>
          <cell r="I184">
            <v>6.5931554100465064</v>
          </cell>
          <cell r="J184">
            <v>6.5888446032357857</v>
          </cell>
          <cell r="K184">
            <v>7.0272901912108985</v>
          </cell>
          <cell r="L184">
            <v>9.5167102319671155</v>
          </cell>
          <cell r="M184">
            <v>9.5171374843067245</v>
          </cell>
          <cell r="N184">
            <v>9.5172091340268352</v>
          </cell>
          <cell r="O184">
            <v>9.7839110373118015</v>
          </cell>
          <cell r="P184">
            <v>9.7839750497654769</v>
          </cell>
        </row>
        <row r="185">
          <cell r="B185" t="str">
            <v>D-SCOM_LTH</v>
          </cell>
          <cell r="C185" t="str">
            <v>VAR_ncap</v>
          </cell>
          <cell r="D185" t="str">
            <v>-</v>
          </cell>
          <cell r="E185">
            <v>0.84970033656634802</v>
          </cell>
          <cell r="F185">
            <v>3.6775437726386801E-7</v>
          </cell>
          <cell r="G185">
            <v>3.1485857983290701E-7</v>
          </cell>
          <cell r="H185">
            <v>2.81665347190283E-7</v>
          </cell>
          <cell r="I185">
            <v>2.95290541991568E-7</v>
          </cell>
          <cell r="J185">
            <v>3.6302056539227601E-7</v>
          </cell>
          <cell r="K185">
            <v>4.8329368565931304E-7</v>
          </cell>
          <cell r="L185">
            <v>7.1302247277107197E-7</v>
          </cell>
          <cell r="M185">
            <v>5.9483055758921104E-7</v>
          </cell>
          <cell r="N185">
            <v>1.50376188889432E-6</v>
          </cell>
          <cell r="O185">
            <v>1.41795117198777E-6</v>
          </cell>
          <cell r="P185">
            <v>8.3527205955771699E-6</v>
          </cell>
        </row>
        <row r="186">
          <cell r="B186" t="str">
            <v>D-SCOM_LTH</v>
          </cell>
          <cell r="C186" t="str">
            <v>VAR_cap</v>
          </cell>
          <cell r="D186" t="str">
            <v>-</v>
          </cell>
          <cell r="E186">
            <v>0.84970033656634802</v>
          </cell>
          <cell r="F186">
            <v>0.84970070432072498</v>
          </cell>
          <cell r="G186">
            <v>0.84970101917930496</v>
          </cell>
          <cell r="H186">
            <v>0.84970130084465201</v>
          </cell>
          <cell r="I186">
            <v>0.84970159613519403</v>
          </cell>
          <cell r="J186">
            <v>0.84970195915575897</v>
          </cell>
          <cell r="K186">
            <v>0.84970244244944504</v>
          </cell>
          <cell r="L186">
            <v>0.84970315547191799</v>
          </cell>
          <cell r="M186">
            <v>0.84970375030247502</v>
          </cell>
          <cell r="N186">
            <v>0.84970525406436404</v>
          </cell>
          <cell r="O186">
            <v>0.84970667201553596</v>
          </cell>
          <cell r="P186">
            <v>0.84971502473613203</v>
          </cell>
        </row>
        <row r="187">
          <cell r="B187" t="str">
            <v>EHYD-RUNS15</v>
          </cell>
          <cell r="C187" t="str">
            <v>VAR_fout</v>
          </cell>
          <cell r="D187" t="str">
            <v>ELC35</v>
          </cell>
          <cell r="F187">
            <v>1.5192972626826419E-3</v>
          </cell>
          <cell r="G187">
            <v>8.6942397281428354E-3</v>
          </cell>
          <cell r="H187">
            <v>8.5823949399716111E-3</v>
          </cell>
          <cell r="I187">
            <v>8.1429382772750664E-3</v>
          </cell>
          <cell r="J187">
            <v>8.4753037979236594E-3</v>
          </cell>
          <cell r="K187">
            <v>9.4820552084122264E-3</v>
          </cell>
          <cell r="L187">
            <v>9.2434245307131298E-3</v>
          </cell>
          <cell r="M187">
            <v>9.323476361600417E-3</v>
          </cell>
          <cell r="N187">
            <v>8.5235285644182299E-3</v>
          </cell>
          <cell r="O187">
            <v>8.5880013696063521E-3</v>
          </cell>
          <cell r="P187">
            <v>1.0205664448504331E-2</v>
          </cell>
        </row>
        <row r="188">
          <cell r="B188" t="str">
            <v>EHYD-RUNS15</v>
          </cell>
          <cell r="C188" t="str">
            <v>VAR_fin</v>
          </cell>
          <cell r="D188" t="str">
            <v>HYDR</v>
          </cell>
          <cell r="F188">
            <v>1.5192972626826419E-3</v>
          </cell>
          <cell r="G188">
            <v>8.6942397281428354E-3</v>
          </cell>
          <cell r="H188">
            <v>8.5823949399716111E-3</v>
          </cell>
          <cell r="I188">
            <v>8.1429382772750664E-3</v>
          </cell>
          <cell r="J188">
            <v>8.4753037979236594E-3</v>
          </cell>
          <cell r="K188">
            <v>9.4820552084122264E-3</v>
          </cell>
          <cell r="L188">
            <v>9.2434245307131298E-3</v>
          </cell>
          <cell r="M188">
            <v>9.323476361600417E-3</v>
          </cell>
          <cell r="N188">
            <v>8.5235285644182299E-3</v>
          </cell>
          <cell r="O188">
            <v>8.5880013696063521E-3</v>
          </cell>
          <cell r="P188">
            <v>1.0205664448504331E-2</v>
          </cell>
        </row>
        <row r="189">
          <cell r="B189" t="str">
            <v>EHYD-RUNS15</v>
          </cell>
          <cell r="C189" t="str">
            <v>VAR_ncap</v>
          </cell>
          <cell r="D189" t="str">
            <v>-</v>
          </cell>
          <cell r="F189">
            <v>1.2978886669049201E-4</v>
          </cell>
          <cell r="G189">
            <v>5.0492752323279396E-4</v>
          </cell>
          <cell r="H189">
            <v>1.4570042356716899E-6</v>
          </cell>
          <cell r="I189">
            <v>2.6498038152954799E-7</v>
          </cell>
          <cell r="J189">
            <v>2.11179825241842E-7</v>
          </cell>
          <cell r="K189">
            <v>3.1833030494126998E-7</v>
          </cell>
          <cell r="L189">
            <v>4.8762576087255697E-7</v>
          </cell>
          <cell r="M189">
            <v>2.04355610911086E-7</v>
          </cell>
          <cell r="N189">
            <v>1.09359107695027E-6</v>
          </cell>
          <cell r="O189">
            <v>5.9267825277444799E-7</v>
          </cell>
          <cell r="P189">
            <v>1.6230284862097001E-4</v>
          </cell>
        </row>
        <row r="190">
          <cell r="B190" t="str">
            <v>EHYD-RUNS15</v>
          </cell>
          <cell r="C190" t="str">
            <v>VAR_cap</v>
          </cell>
          <cell r="D190" t="str">
            <v>-</v>
          </cell>
          <cell r="F190">
            <v>1.2978886669049201E-4</v>
          </cell>
          <cell r="G190">
            <v>6.3471638992328595E-4</v>
          </cell>
          <cell r="H190">
            <v>6.3617339415895805E-4</v>
          </cell>
          <cell r="I190">
            <v>6.3643837454048697E-4</v>
          </cell>
          <cell r="J190">
            <v>6.3664955436572898E-4</v>
          </cell>
          <cell r="K190">
            <v>6.3696788467066995E-4</v>
          </cell>
          <cell r="L190">
            <v>6.3745551043154305E-4</v>
          </cell>
          <cell r="M190">
            <v>6.3765986604245395E-4</v>
          </cell>
          <cell r="N190">
            <v>6.38753457119404E-4</v>
          </cell>
          <cell r="O190">
            <v>6.3934613537217902E-4</v>
          </cell>
          <cell r="P190">
            <v>8.01648983993148E-4</v>
          </cell>
        </row>
        <row r="191">
          <cell r="B191" t="str">
            <v>EHYD-RUN10</v>
          </cell>
          <cell r="C191" t="str">
            <v>VAR_fout</v>
          </cell>
          <cell r="D191" t="str">
            <v>ELC13</v>
          </cell>
          <cell r="F191">
            <v>4.8145363484650844E-3</v>
          </cell>
          <cell r="G191">
            <v>1.0471998882624459E-2</v>
          </cell>
          <cell r="H191">
            <v>1.1151710303635163E-2</v>
          </cell>
          <cell r="I191">
            <v>1.096002570794518E-2</v>
          </cell>
          <cell r="J191">
            <v>1.1097151752022479E-2</v>
          </cell>
          <cell r="K191">
            <v>1.0913150159929014E-2</v>
          </cell>
          <cell r="L191">
            <v>1.0582155197555653E-2</v>
          </cell>
          <cell r="M191">
            <v>1.0756347063189363E-2</v>
          </cell>
          <cell r="N191">
            <v>1.0787267899119912E-2</v>
          </cell>
          <cell r="O191">
            <v>1.099250719526362E-2</v>
          </cell>
          <cell r="P191">
            <v>1.6641843648753939E-2</v>
          </cell>
        </row>
        <row r="192">
          <cell r="B192" t="str">
            <v>EHYD-RUN10</v>
          </cell>
          <cell r="C192" t="str">
            <v>VAR_fin</v>
          </cell>
          <cell r="D192" t="str">
            <v>HYDR</v>
          </cell>
          <cell r="F192">
            <v>4.8145363484650844E-3</v>
          </cell>
          <cell r="G192">
            <v>1.0471998882624459E-2</v>
          </cell>
          <cell r="H192">
            <v>1.1151710303635163E-2</v>
          </cell>
          <cell r="I192">
            <v>1.096002570794518E-2</v>
          </cell>
          <cell r="J192">
            <v>1.1097151752022479E-2</v>
          </cell>
          <cell r="K192">
            <v>1.0913150159929014E-2</v>
          </cell>
          <cell r="L192">
            <v>1.0582155197555653E-2</v>
          </cell>
          <cell r="M192">
            <v>1.0756347063189363E-2</v>
          </cell>
          <cell r="N192">
            <v>1.0787267899119912E-2</v>
          </cell>
          <cell r="O192">
            <v>1.099250719526362E-2</v>
          </cell>
          <cell r="P192">
            <v>1.6641843648753939E-2</v>
          </cell>
        </row>
        <row r="193">
          <cell r="B193" t="str">
            <v>EHYD-RUN10</v>
          </cell>
          <cell r="C193" t="str">
            <v>VAR_ncap</v>
          </cell>
          <cell r="D193" t="str">
            <v>-</v>
          </cell>
          <cell r="F193">
            <v>4.0996916776845298E-4</v>
          </cell>
          <cell r="G193">
            <v>4.79637985794339E-4</v>
          </cell>
          <cell r="H193">
            <v>3.17850062089241E-6</v>
          </cell>
          <cell r="I193">
            <v>1.50095624047061E-6</v>
          </cell>
          <cell r="J193">
            <v>3.36336578992575E-7</v>
          </cell>
          <cell r="K193">
            <v>5.5157438113654199E-7</v>
          </cell>
          <cell r="L193">
            <v>2.2467293279040198E-6</v>
          </cell>
          <cell r="M193">
            <v>1.56046543199453E-6</v>
          </cell>
          <cell r="N193">
            <v>4.1361462879278297E-6</v>
          </cell>
          <cell r="O193">
            <v>1.2855828481792899E-5</v>
          </cell>
          <cell r="P193">
            <v>4.8483059684753299E-4</v>
          </cell>
        </row>
        <row r="194">
          <cell r="B194" t="str">
            <v>EHYD-RUN10</v>
          </cell>
          <cell r="C194" t="str">
            <v>VAR_cap</v>
          </cell>
          <cell r="D194" t="str">
            <v>-</v>
          </cell>
          <cell r="F194">
            <v>4.0996916776845298E-4</v>
          </cell>
          <cell r="G194">
            <v>8.8960715356279198E-4</v>
          </cell>
          <cell r="H194">
            <v>8.9278565418368498E-4</v>
          </cell>
          <cell r="I194">
            <v>8.9428661042415501E-4</v>
          </cell>
          <cell r="J194">
            <v>8.9462294700314797E-4</v>
          </cell>
          <cell r="K194">
            <v>8.9517452138428502E-4</v>
          </cell>
          <cell r="L194">
            <v>8.9742125071218899E-4</v>
          </cell>
          <cell r="M194">
            <v>8.9898171614418299E-4</v>
          </cell>
          <cell r="N194">
            <v>9.0311786243211102E-4</v>
          </cell>
          <cell r="O194">
            <v>9.1597369091390404E-4</v>
          </cell>
          <cell r="P194">
            <v>1.40080428776144E-3</v>
          </cell>
        </row>
        <row r="195">
          <cell r="B195" t="str">
            <v>ITOT-CHPWOD</v>
          </cell>
          <cell r="C195" t="str">
            <v>VAR_fout</v>
          </cell>
          <cell r="D195" t="str">
            <v>ITOT_LTH_CHP</v>
          </cell>
          <cell r="E195">
            <v>0.66044813026674132</v>
          </cell>
          <cell r="F195">
            <v>1.8152122309921928</v>
          </cell>
          <cell r="G195">
            <v>3.4403201586048295</v>
          </cell>
          <cell r="H195">
            <v>4.1733094220825375</v>
          </cell>
          <cell r="I195">
            <v>5.4824854848400051</v>
          </cell>
          <cell r="J195">
            <v>6.8294087685458775</v>
          </cell>
          <cell r="K195">
            <v>9.3185163448749631</v>
          </cell>
          <cell r="L195">
            <v>11.323551793869488</v>
          </cell>
          <cell r="M195">
            <v>11.730523577682733</v>
          </cell>
          <cell r="N195">
            <v>11.584816653177928</v>
          </cell>
          <cell r="O195">
            <v>11.584954435195908</v>
          </cell>
          <cell r="P195">
            <v>11.565399500589573</v>
          </cell>
        </row>
        <row r="196">
          <cell r="B196" t="str">
            <v>ITOT-CHPWOD</v>
          </cell>
          <cell r="C196" t="str">
            <v>VAR_fout</v>
          </cell>
          <cell r="D196" t="str">
            <v>ITOT_KEV_WOD_ELC_CHP</v>
          </cell>
          <cell r="E196">
            <v>0.17269199049731196</v>
          </cell>
          <cell r="F196">
            <v>0.52122036619054346</v>
          </cell>
          <cell r="G196">
            <v>1.1583934462716263</v>
          </cell>
          <cell r="H196">
            <v>1.9728371813481045</v>
          </cell>
          <cell r="I196">
            <v>2.5917204110152712</v>
          </cell>
          <cell r="J196">
            <v>3.228447781494411</v>
          </cell>
          <cell r="K196">
            <v>4.405116817577249</v>
          </cell>
          <cell r="L196">
            <v>5.3529517571019252</v>
          </cell>
          <cell r="M196">
            <v>5.5453384185409194</v>
          </cell>
          <cell r="N196">
            <v>5.4764587815022798</v>
          </cell>
          <cell r="O196">
            <v>5.4765239148198708</v>
          </cell>
          <cell r="P196">
            <v>5.4672797639150588</v>
          </cell>
        </row>
        <row r="197">
          <cell r="B197" t="str">
            <v>ITOT-CHPWOD</v>
          </cell>
          <cell r="C197" t="str">
            <v>VAR_fin</v>
          </cell>
          <cell r="D197" t="str">
            <v>IWOD</v>
          </cell>
          <cell r="E197">
            <v>0.87596860494621487</v>
          </cell>
          <cell r="F197">
            <v>2.3082435857281425</v>
          </cell>
          <cell r="G197">
            <v>4.5387530229049879</v>
          </cell>
          <cell r="H197">
            <v>5.8310618170642776</v>
          </cell>
          <cell r="I197">
            <v>7.497335202493046</v>
          </cell>
          <cell r="J197">
            <v>9.145294666433271</v>
          </cell>
          <cell r="K197">
            <v>12.225681796675175</v>
          </cell>
          <cell r="L197">
            <v>14.563622335876932</v>
          </cell>
          <cell r="M197">
            <v>15.084846873181281</v>
          </cell>
          <cell r="N197">
            <v>14.899742971634968</v>
          </cell>
          <cell r="O197">
            <v>14.899481216113152</v>
          </cell>
          <cell r="P197">
            <v>14.87901304186839</v>
          </cell>
        </row>
        <row r="198">
          <cell r="B198" t="str">
            <v>ITOT-CHPWOD</v>
          </cell>
          <cell r="C198" t="str">
            <v>VAR_ncap</v>
          </cell>
          <cell r="D198" t="str">
            <v>-</v>
          </cell>
          <cell r="F198">
            <v>1.7593471658375999E-2</v>
          </cell>
          <cell r="G198">
            <v>2.35597170237999E-2</v>
          </cell>
          <cell r="H198">
            <v>3.0115153921990601E-2</v>
          </cell>
          <cell r="I198">
            <v>3.3134896781943202E-2</v>
          </cell>
          <cell r="J198">
            <v>6.1228381825812098E-2</v>
          </cell>
          <cell r="K198">
            <v>8.1273219699990296E-2</v>
          </cell>
          <cell r="L198">
            <v>7.8724949543143102E-2</v>
          </cell>
          <cell r="M198">
            <v>7.1739585168429695E-2</v>
          </cell>
          <cell r="N198">
            <v>7.7071083188191003E-2</v>
          </cell>
          <cell r="O198">
            <v>8.5646661409202796E-2</v>
          </cell>
          <cell r="P198">
            <v>6.3376956308498003E-2</v>
          </cell>
        </row>
        <row r="199">
          <cell r="B199" t="str">
            <v>ITOT-CHPWOD</v>
          </cell>
          <cell r="C199" t="str">
            <v>VAR_cap</v>
          </cell>
          <cell r="D199" t="str">
            <v>-</v>
          </cell>
          <cell r="E199">
            <v>7.5766471459790602E-3</v>
          </cell>
          <cell r="F199">
            <v>1.9272245411749146E-2</v>
          </cell>
          <cell r="G199">
            <v>4.2831466699295544E-2</v>
          </cell>
          <cell r="H199">
            <v>7.2945518633062881E-2</v>
          </cell>
          <cell r="I199">
            <v>9.5832598728844698E-2</v>
          </cell>
          <cell r="J199">
            <v>0.12369434208911037</v>
          </cell>
          <cell r="K199">
            <v>0.17563544479856752</v>
          </cell>
          <cell r="L199">
            <v>0.22122472920710368</v>
          </cell>
          <cell r="M199">
            <v>0.23037532042967387</v>
          </cell>
          <cell r="N199">
            <v>0.22753362792318105</v>
          </cell>
          <cell r="O199">
            <v>0.22565589122532803</v>
          </cell>
          <cell r="P199">
            <v>0.22609233075269497</v>
          </cell>
        </row>
        <row r="200">
          <cell r="B200" t="str">
            <v>EHYD-RUN15</v>
          </cell>
          <cell r="C200" t="str">
            <v>VAR_fout</v>
          </cell>
          <cell r="D200" t="str">
            <v>ELC13</v>
          </cell>
          <cell r="F200">
            <v>2.3384811194911755E-3</v>
          </cell>
          <cell r="G200">
            <v>2.3789878826491078E-3</v>
          </cell>
          <cell r="H200">
            <v>7.3239223900265259E-3</v>
          </cell>
          <cell r="I200">
            <v>9.3356350342164093E-3</v>
          </cell>
          <cell r="J200">
            <v>9.5553578809127356E-3</v>
          </cell>
          <cell r="K200">
            <v>1.004003769423333E-2</v>
          </cell>
          <cell r="L200">
            <v>1.0052397709806603E-2</v>
          </cell>
          <cell r="M200">
            <v>1.0058066800780393E-2</v>
          </cell>
          <cell r="N200">
            <v>9.7371313999894005E-3</v>
          </cell>
          <cell r="O200">
            <v>9.8382347190138705E-3</v>
          </cell>
          <cell r="P200">
            <v>1.0567811331982655E-2</v>
          </cell>
        </row>
        <row r="201">
          <cell r="B201" t="str">
            <v>EHYD-RUN15</v>
          </cell>
          <cell r="C201" t="str">
            <v>VAR_fin</v>
          </cell>
          <cell r="D201" t="str">
            <v>HYDR</v>
          </cell>
          <cell r="F201">
            <v>2.3384811194911755E-3</v>
          </cell>
          <cell r="G201">
            <v>2.3789878826491078E-3</v>
          </cell>
          <cell r="H201">
            <v>7.3239223900265259E-3</v>
          </cell>
          <cell r="I201">
            <v>9.3356350342164093E-3</v>
          </cell>
          <cell r="J201">
            <v>9.5553578809127356E-3</v>
          </cell>
          <cell r="K201">
            <v>1.004003769423333E-2</v>
          </cell>
          <cell r="L201">
            <v>1.0052397709806603E-2</v>
          </cell>
          <cell r="M201">
            <v>1.0058066800780393E-2</v>
          </cell>
          <cell r="N201">
            <v>9.7371313999894005E-3</v>
          </cell>
          <cell r="O201">
            <v>9.8382347190138705E-3</v>
          </cell>
          <cell r="P201">
            <v>1.0567811331982655E-2</v>
          </cell>
        </row>
        <row r="202">
          <cell r="B202" t="str">
            <v>EHYD-RUN15</v>
          </cell>
          <cell r="C202" t="str">
            <v>VAR_ncap</v>
          </cell>
          <cell r="D202" t="str">
            <v>-</v>
          </cell>
          <cell r="F202">
            <v>1.9794991453824301E-4</v>
          </cell>
          <cell r="G202">
            <v>5.15506720577048E-4</v>
          </cell>
          <cell r="H202">
            <v>8.1907438585539196E-7</v>
          </cell>
          <cell r="I202">
            <v>4.8315866923485098E-7</v>
          </cell>
          <cell r="J202">
            <v>5.07216487914438E-7</v>
          </cell>
          <cell r="K202">
            <v>1.68588460398285E-6</v>
          </cell>
          <cell r="L202">
            <v>2.9332263021356802E-7</v>
          </cell>
          <cell r="M202">
            <v>1.10754164248533E-6</v>
          </cell>
          <cell r="N202">
            <v>1.2459790848732799E-6</v>
          </cell>
          <cell r="O202">
            <v>1.02297351103362E-4</v>
          </cell>
        </row>
        <row r="203">
          <cell r="B203" t="str">
            <v>EHYD-RUN15</v>
          </cell>
          <cell r="C203" t="str">
            <v>VAR_cap</v>
          </cell>
          <cell r="D203" t="str">
            <v>-</v>
          </cell>
          <cell r="F203">
            <v>1.9794991453824301E-4</v>
          </cell>
          <cell r="G203">
            <v>1.9794991453824301E-4</v>
          </cell>
          <cell r="H203">
            <v>5.5718891996587401E-4</v>
          </cell>
          <cell r="I203">
            <v>7.1427570950114599E-4</v>
          </cell>
          <cell r="J203">
            <v>7.1465740632933796E-4</v>
          </cell>
          <cell r="K203">
            <v>7.1553000984206404E-4</v>
          </cell>
          <cell r="L203">
            <v>7.1695196926227804E-4</v>
          </cell>
          <cell r="M203">
            <v>7.17453407745185E-4</v>
          </cell>
          <cell r="N203">
            <v>7.1835283353497705E-4</v>
          </cell>
          <cell r="O203">
            <v>7.3539276962951796E-4</v>
          </cell>
          <cell r="P203">
            <v>8.2189616372321296E-4</v>
          </cell>
        </row>
        <row r="204">
          <cell r="B204" t="str">
            <v>SCOM-SWHSTG-CHPWOD</v>
          </cell>
          <cell r="C204" t="str">
            <v>VAR_fout</v>
          </cell>
          <cell r="D204" t="str">
            <v>AUX_SCOM-CHPWOD_OUT</v>
          </cell>
          <cell r="E204">
            <v>1.221578334067618E-4</v>
          </cell>
          <cell r="F204">
            <v>6.1933167286294143E-5</v>
          </cell>
          <cell r="G204">
            <v>6.3260306583391948E-5</v>
          </cell>
          <cell r="H204">
            <v>2.7198442364844363E-2</v>
          </cell>
          <cell r="I204">
            <v>2.7044506120805046E-2</v>
          </cell>
          <cell r="J204">
            <v>3.0266482536425308E-2</v>
          </cell>
          <cell r="K204">
            <v>9.9204083070209961E-2</v>
          </cell>
          <cell r="L204">
            <v>0.21823241036407898</v>
          </cell>
          <cell r="M204">
            <v>0.17985214619389797</v>
          </cell>
          <cell r="N204">
            <v>0.28410400952019538</v>
          </cell>
          <cell r="O204">
            <v>0.23191314951087993</v>
          </cell>
          <cell r="P204">
            <v>0.4827195083382852</v>
          </cell>
        </row>
        <row r="205">
          <cell r="B205" t="str">
            <v>SCOM-SWHSTG-CHPWOD</v>
          </cell>
          <cell r="C205" t="str">
            <v>VAR_fout</v>
          </cell>
          <cell r="D205" t="str">
            <v>SCOM_LTH_CHPWOD</v>
          </cell>
          <cell r="E205">
            <v>1.2215783340676213E-4</v>
          </cell>
          <cell r="F205">
            <v>6.1983789543079969E-5</v>
          </cell>
          <cell r="G205">
            <v>6.3341098801250712E-5</v>
          </cell>
          <cell r="H205">
            <v>2.7198442364844311E-2</v>
          </cell>
          <cell r="I205">
            <v>2.7074588997468854E-2</v>
          </cell>
          <cell r="J205">
            <v>3.0266482536425273E-2</v>
          </cell>
          <cell r="K205">
            <v>9.9301056758450551E-2</v>
          </cell>
          <cell r="L205">
            <v>0.21823241036407898</v>
          </cell>
          <cell r="M205">
            <v>0.17985214619389794</v>
          </cell>
          <cell r="N205">
            <v>0.28410400952019538</v>
          </cell>
          <cell r="O205">
            <v>0.23191314951087991</v>
          </cell>
          <cell r="P205">
            <v>0.48271950833828514</v>
          </cell>
        </row>
        <row r="206">
          <cell r="B206" t="str">
            <v>SCOM-SWHSTG-CHPWOD</v>
          </cell>
          <cell r="C206" t="str">
            <v>VAR_fin</v>
          </cell>
          <cell r="D206" t="str">
            <v>AUX_SCOM-CHPWOD_IN</v>
          </cell>
          <cell r="E206">
            <v>1.2215783340676213E-4</v>
          </cell>
          <cell r="F206">
            <v>6.1983789543079969E-5</v>
          </cell>
          <cell r="G206">
            <v>6.3341098801250712E-5</v>
          </cell>
          <cell r="H206">
            <v>3.125655296591346E-2</v>
          </cell>
          <cell r="I206">
            <v>3.0089160503050182E-2</v>
          </cell>
          <cell r="J206">
            <v>3.2550888717043445E-2</v>
          </cell>
          <cell r="K206">
            <v>0.1034447973536792</v>
          </cell>
          <cell r="L206">
            <v>0.22044716393531968</v>
          </cell>
          <cell r="M206">
            <v>0.18167472563850648</v>
          </cell>
          <cell r="N206">
            <v>0.28698369640210125</v>
          </cell>
          <cell r="O206">
            <v>0.23426172858922709</v>
          </cell>
          <cell r="P206">
            <v>0.48760750699305333</v>
          </cell>
        </row>
        <row r="207">
          <cell r="B207" t="str">
            <v>SCOM-SWHSTG-CHPWOD</v>
          </cell>
          <cell r="C207" t="str">
            <v>VAR_fin</v>
          </cell>
          <cell r="D207" t="str">
            <v>SCOM_LTH_CHPWOD</v>
          </cell>
          <cell r="E207">
            <v>1.2215783340676213E-4</v>
          </cell>
          <cell r="F207">
            <v>6.1983789543079969E-5</v>
          </cell>
          <cell r="G207">
            <v>6.3341098801250712E-5</v>
          </cell>
          <cell r="H207">
            <v>3.125655296591346E-2</v>
          </cell>
          <cell r="I207">
            <v>3.0089160503050182E-2</v>
          </cell>
          <cell r="J207">
            <v>3.2550888717043445E-2</v>
          </cell>
          <cell r="K207">
            <v>0.1034447973536792</v>
          </cell>
          <cell r="L207">
            <v>0.22044716393531968</v>
          </cell>
          <cell r="M207">
            <v>0.18167472563850648</v>
          </cell>
          <cell r="N207">
            <v>0.28698369640210125</v>
          </cell>
          <cell r="O207">
            <v>0.23426172858922709</v>
          </cell>
          <cell r="P207">
            <v>0.48760750699305333</v>
          </cell>
        </row>
        <row r="208">
          <cell r="B208" t="str">
            <v>SCOM-SWHSTG-CHPWOD</v>
          </cell>
          <cell r="C208" t="str">
            <v>VAR_ncap</v>
          </cell>
          <cell r="D208" t="str">
            <v>-</v>
          </cell>
          <cell r="E208">
            <v>3.2134830005682699E-3</v>
          </cell>
          <cell r="F208">
            <v>9.0435965152851802E-5</v>
          </cell>
          <cell r="G208">
            <v>2.1662048442579399E-4</v>
          </cell>
          <cell r="H208">
            <v>1.95897877337806E-4</v>
          </cell>
          <cell r="I208">
            <v>3.5902813242395999E-3</v>
          </cell>
          <cell r="J208">
            <v>2.6029931932712801E-3</v>
          </cell>
          <cell r="K208">
            <v>4.9892978418332196E-4</v>
          </cell>
          <cell r="L208">
            <v>1.0638306121120499E-2</v>
          </cell>
          <cell r="M208">
            <v>1.18931330984124E-4</v>
          </cell>
          <cell r="N208">
            <v>7.25842357548409E-3</v>
          </cell>
          <cell r="O208">
            <v>5.4898210506641697E-3</v>
          </cell>
          <cell r="P208">
            <v>1.7815232610255399E-2</v>
          </cell>
        </row>
        <row r="209">
          <cell r="B209" t="str">
            <v>SCOM-SWHSTG-CHPWOD</v>
          </cell>
          <cell r="C209" t="str">
            <v>VAR_cap</v>
          </cell>
          <cell r="D209" t="str">
            <v>-</v>
          </cell>
          <cell r="E209">
            <v>3.2134830005682699E-3</v>
          </cell>
          <cell r="F209">
            <v>3.2937123050567605E-3</v>
          </cell>
          <cell r="G209">
            <v>3.4852159314446526E-3</v>
          </cell>
          <cell r="H209">
            <v>3.6410503023946643E-3</v>
          </cell>
          <cell r="I209">
            <v>4.7847334183747214E-3</v>
          </cell>
          <cell r="J209">
            <v>6.3133908352128428E-3</v>
          </cell>
          <cell r="K209">
            <v>6.6315822283893695E-3</v>
          </cell>
          <cell r="L209">
            <v>1.368196950997329E-2</v>
          </cell>
          <cell r="M209">
            <v>1.1367875152886106E-2</v>
          </cell>
          <cell r="N209">
            <v>1.7918628468876225E-2</v>
          </cell>
          <cell r="O209">
            <v>1.4576027163261309E-2</v>
          </cell>
          <cell r="P209">
            <v>3.0466998508034113E-2</v>
          </cell>
        </row>
        <row r="210">
          <cell r="B210" t="str">
            <v>RHNM-ESOLPV</v>
          </cell>
          <cell r="C210" t="str">
            <v>VAR_fout</v>
          </cell>
          <cell r="D210" t="str">
            <v>RHNM_SOL_ELC</v>
          </cell>
          <cell r="F210">
            <v>9.6101213922925103E-5</v>
          </cell>
          <cell r="G210">
            <v>2.8834576250713106</v>
          </cell>
          <cell r="H210">
            <v>6.4294984288841617</v>
          </cell>
          <cell r="I210">
            <v>6.7574775757332102</v>
          </cell>
          <cell r="J210">
            <v>7.1021776460728656</v>
          </cell>
          <cell r="K210">
            <v>7.4644611974432493</v>
          </cell>
          <cell r="L210">
            <v>7.845226105866498</v>
          </cell>
          <cell r="M210">
            <v>8.2454137389576676</v>
          </cell>
          <cell r="N210">
            <v>8.6660178541356192</v>
          </cell>
          <cell r="O210">
            <v>9.1080787796171787</v>
          </cell>
          <cell r="P210">
            <v>9.572739516665898</v>
          </cell>
        </row>
        <row r="211">
          <cell r="B211" t="str">
            <v>RHNM-ESOLPV</v>
          </cell>
          <cell r="C211" t="str">
            <v>VAR_fin</v>
          </cell>
          <cell r="D211" t="str">
            <v>SOL</v>
          </cell>
          <cell r="F211">
            <v>9.6101213922925103E-5</v>
          </cell>
          <cell r="G211">
            <v>2.8834576250713106</v>
          </cell>
          <cell r="H211">
            <v>6.4294984288841617</v>
          </cell>
          <cell r="I211">
            <v>6.7574775757332102</v>
          </cell>
          <cell r="J211">
            <v>7.1021776460728656</v>
          </cell>
          <cell r="K211">
            <v>7.4644611974432493</v>
          </cell>
          <cell r="L211">
            <v>7.845226105866498</v>
          </cell>
          <cell r="M211">
            <v>8.2454137389576676</v>
          </cell>
          <cell r="N211">
            <v>8.6660178541356192</v>
          </cell>
          <cell r="O211">
            <v>9.1080787796171787</v>
          </cell>
          <cell r="P211">
            <v>9.572739516665898</v>
          </cell>
        </row>
        <row r="212">
          <cell r="B212" t="str">
            <v>RHNM-ESOLPV</v>
          </cell>
          <cell r="C212" t="str">
            <v>VAR_fin</v>
          </cell>
          <cell r="D212" t="str">
            <v>SOLPVC</v>
          </cell>
          <cell r="F212">
            <v>9.6101213922925103E-5</v>
          </cell>
          <cell r="G212">
            <v>2.8834576250713102</v>
          </cell>
          <cell r="H212">
            <v>6.4294984288841697</v>
          </cell>
          <cell r="I212">
            <v>6.7574775757332102</v>
          </cell>
          <cell r="J212">
            <v>7.1021776460728603</v>
          </cell>
          <cell r="K212">
            <v>7.4644611974432502</v>
          </cell>
          <cell r="L212">
            <v>7.8452261058664998</v>
          </cell>
          <cell r="M212">
            <v>8.2454137389576694</v>
          </cell>
          <cell r="N212">
            <v>8.6660178541356192</v>
          </cell>
          <cell r="O212">
            <v>9.1080787796171894</v>
          </cell>
          <cell r="P212">
            <v>9.5727395166658997</v>
          </cell>
        </row>
        <row r="213">
          <cell r="B213" t="str">
            <v>RHNM-ESOLPV</v>
          </cell>
          <cell r="C213" t="str">
            <v>VAR_ncap</v>
          </cell>
          <cell r="D213" t="str">
            <v>-</v>
          </cell>
          <cell r="F213">
            <v>3.2771972004350599E-5</v>
          </cell>
          <cell r="G213">
            <v>0.86091308749101603</v>
          </cell>
          <cell r="H213">
            <v>0.72963766577198796</v>
          </cell>
          <cell r="I213">
            <v>8.1137753582287003E-2</v>
          </cell>
          <cell r="J213">
            <v>8.52872450022647E-2</v>
          </cell>
          <cell r="K213">
            <v>1.0293736255011701</v>
          </cell>
          <cell r="L213">
            <v>0.74501470873461595</v>
          </cell>
          <cell r="M213">
            <v>0.16680930723213899</v>
          </cell>
          <cell r="N213">
            <v>0.20266945138690401</v>
          </cell>
          <cell r="O213">
            <v>1.13873400082159</v>
          </cell>
          <cell r="P213">
            <v>0.85996829417707499</v>
          </cell>
        </row>
        <row r="214">
          <cell r="B214" t="str">
            <v>RHNM-ESOLPV</v>
          </cell>
          <cell r="C214" t="str">
            <v>VAR_cap</v>
          </cell>
          <cell r="D214" t="str">
            <v>-</v>
          </cell>
          <cell r="F214">
            <v>3.2771972004350599E-5</v>
          </cell>
          <cell r="G214">
            <v>0.86094585946302005</v>
          </cell>
          <cell r="H214">
            <v>1.59058352523501</v>
          </cell>
          <cell r="I214">
            <v>1.6717212788172999</v>
          </cell>
          <cell r="J214">
            <v>1.75699589842088</v>
          </cell>
          <cell r="K214">
            <v>1.8466177426342201</v>
          </cell>
          <cell r="L214">
            <v>1.9408133328203401</v>
          </cell>
          <cell r="M214">
            <v>2.0398149330678201</v>
          </cell>
          <cell r="N214">
            <v>2.1438670928548298</v>
          </cell>
          <cell r="O214">
            <v>2.25322746817525</v>
          </cell>
          <cell r="P214">
            <v>2.3681810536177101</v>
          </cell>
        </row>
        <row r="215">
          <cell r="B215" t="str">
            <v>CHPNGA</v>
          </cell>
          <cell r="C215" t="str">
            <v>VAR_fout</v>
          </cell>
          <cell r="D215" t="str">
            <v>ELC35</v>
          </cell>
          <cell r="E215">
            <v>0.96588295682558345</v>
          </cell>
          <cell r="F215">
            <v>4.0032870713610383E-4</v>
          </cell>
          <cell r="G215">
            <v>2.1703244154201537E-2</v>
          </cell>
          <cell r="H215">
            <v>0.68207759238823662</v>
          </cell>
          <cell r="I215">
            <v>0.24084788349367856</v>
          </cell>
          <cell r="J215">
            <v>0.63314818672449613</v>
          </cell>
          <cell r="K215">
            <v>0.26436888272149656</v>
          </cell>
          <cell r="L215">
            <v>0.12064811294379214</v>
          </cell>
          <cell r="M215">
            <v>0.10997523976605154</v>
          </cell>
          <cell r="N215">
            <v>3.9037741845206447E-2</v>
          </cell>
          <cell r="O215">
            <v>1.1357192381042672E-2</v>
          </cell>
          <cell r="P215">
            <v>1.5915642827395143E-2</v>
          </cell>
        </row>
        <row r="216">
          <cell r="B216" t="str">
            <v>CHPNGA</v>
          </cell>
          <cell r="C216" t="str">
            <v>VAR_fout</v>
          </cell>
          <cell r="D216" t="str">
            <v>LTH</v>
          </cell>
          <cell r="E216">
            <v>1.8035553414014855</v>
          </cell>
          <cell r="F216">
            <v>7.6925361495522987E-4</v>
          </cell>
          <cell r="G216">
            <v>4.3471517247776599E-2</v>
          </cell>
          <cell r="H216">
            <v>1.4587810351825519</v>
          </cell>
          <cell r="I216">
            <v>0.51233962341150485</v>
          </cell>
          <cell r="J216">
            <v>1.3395735770984321</v>
          </cell>
          <cell r="K216">
            <v>0.55635923079605909</v>
          </cell>
          <cell r="L216">
            <v>0.25254387129897576</v>
          </cell>
          <cell r="M216">
            <v>0.23020312643009128</v>
          </cell>
          <cell r="N216">
            <v>8.171485000309521E-2</v>
          </cell>
          <cell r="O216">
            <v>2.3773180209888469E-2</v>
          </cell>
          <cell r="P216">
            <v>3.3315051149740836E-2</v>
          </cell>
        </row>
        <row r="217">
          <cell r="B217" t="str">
            <v>CHPNGA</v>
          </cell>
          <cell r="C217" t="str">
            <v>VAR_fout</v>
          </cell>
          <cell r="D217" t="str">
            <v>CO2_E</v>
          </cell>
          <cell r="E217">
            <v>209.08284588292</v>
          </cell>
          <cell r="F217">
            <v>0.108456734576043</v>
          </cell>
          <cell r="G217">
            <v>5.1770152724039198</v>
          </cell>
          <cell r="H217">
            <v>156.08755325260501</v>
          </cell>
          <cell r="I217">
            <v>54.902803531783199</v>
          </cell>
          <cell r="J217">
            <v>143.51605256132601</v>
          </cell>
          <cell r="K217">
            <v>59.931116351992898</v>
          </cell>
          <cell r="L217">
            <v>27.569420781633799</v>
          </cell>
          <cell r="M217">
            <v>24.916198209242499</v>
          </cell>
          <cell r="N217">
            <v>9.1158027806556206</v>
          </cell>
          <cell r="O217">
            <v>2.9271129314120401</v>
          </cell>
          <cell r="P217">
            <v>4.2395402028490299</v>
          </cell>
        </row>
        <row r="218">
          <cell r="B218" t="str">
            <v>CHPNGA</v>
          </cell>
          <cell r="C218" t="str">
            <v>VAR_fin</v>
          </cell>
          <cell r="D218" t="str">
            <v>ENGA</v>
          </cell>
          <cell r="E218">
            <v>3.7071426574985855</v>
          </cell>
          <cell r="F218">
            <v>1.9229917478021843E-3</v>
          </cell>
          <cell r="G218">
            <v>9.1791050929147466E-2</v>
          </cell>
          <cell r="H218">
            <v>2.7675098094433421</v>
          </cell>
          <cell r="I218">
            <v>0.9734539633294893</v>
          </cell>
          <cell r="J218">
            <v>2.5446108610164218</v>
          </cell>
          <cell r="K218">
            <v>1.0626084459573206</v>
          </cell>
          <cell r="L218">
            <v>0.48881951740485452</v>
          </cell>
          <cell r="M218">
            <v>0.44177656399366089</v>
          </cell>
          <cell r="N218">
            <v>0.16162770887687269</v>
          </cell>
          <cell r="O218">
            <v>5.1899165450568135E-2</v>
          </cell>
          <cell r="P218">
            <v>7.5169152532784181E-2</v>
          </cell>
        </row>
        <row r="219">
          <cell r="B219" t="str">
            <v>CHPNGA</v>
          </cell>
          <cell r="C219" t="str">
            <v>VAR_ncap</v>
          </cell>
          <cell r="D219" t="str">
            <v>-</v>
          </cell>
          <cell r="F219">
            <v>1.5101633117748801E-6</v>
          </cell>
          <cell r="G219">
            <v>2.11457567404858E-3</v>
          </cell>
          <cell r="H219">
            <v>2.75275635810973E-2</v>
          </cell>
          <cell r="I219">
            <v>3.3135727504478602E-5</v>
          </cell>
          <cell r="J219">
            <v>1.6223887627326499E-2</v>
          </cell>
          <cell r="K219">
            <v>7.9635117510140703E-5</v>
          </cell>
          <cell r="L219">
            <v>4.81196229286719E-5</v>
          </cell>
          <cell r="M219">
            <v>1.16608090513189E-4</v>
          </cell>
          <cell r="N219">
            <v>3.1525303380243101E-3</v>
          </cell>
          <cell r="O219">
            <v>3.1745372981087701E-5</v>
          </cell>
          <cell r="P219">
            <v>6.1522663810819602E-4</v>
          </cell>
        </row>
        <row r="220">
          <cell r="B220" t="str">
            <v>CHPNGA</v>
          </cell>
          <cell r="C220" t="str">
            <v>VAR_cap</v>
          </cell>
          <cell r="D220" t="str">
            <v>-</v>
          </cell>
          <cell r="E220">
            <v>5.2549714551014197E-2</v>
          </cell>
          <cell r="F220">
            <v>1.3632199264347611E-4</v>
          </cell>
          <cell r="G220">
            <v>2.2493871750247502E-3</v>
          </cell>
          <cell r="H220">
            <v>2.9772877958478695E-2</v>
          </cell>
          <cell r="I220">
            <v>2.9734465342751742E-2</v>
          </cell>
          <cell r="J220">
            <v>4.5891673824484322E-2</v>
          </cell>
          <cell r="K220">
            <v>3.5500053446785258E-2</v>
          </cell>
          <cell r="L220">
            <v>1.6375473191699734E-2</v>
          </cell>
          <cell r="M220">
            <v>1.4317768865518072E-2</v>
          </cell>
          <cell r="N220">
            <v>3.3858420320364273E-3</v>
          </cell>
          <cell r="O220">
            <v>3.3312693223162457E-3</v>
          </cell>
          <cell r="P220">
            <v>3.8983059794786131E-3</v>
          </cell>
        </row>
        <row r="221">
          <cell r="B221" t="str">
            <v>ENUC_SMR_BEZ_IV</v>
          </cell>
          <cell r="C221" t="str">
            <v>VAR_fout</v>
          </cell>
          <cell r="D221" t="str">
            <v>LTH</v>
          </cell>
          <cell r="E221"/>
          <cell r="F221"/>
          <cell r="G221"/>
          <cell r="H221"/>
          <cell r="I221"/>
          <cell r="J221"/>
          <cell r="K221">
            <v>0.2351950295243759</v>
          </cell>
          <cell r="L221">
            <v>0.66740772339081511</v>
          </cell>
          <cell r="M221">
            <v>0.65209333121838142</v>
          </cell>
          <cell r="N221">
            <v>0.62707682657973651</v>
          </cell>
          <cell r="O221">
            <v>0.62013498342857698</v>
          </cell>
          <cell r="P221">
            <v>0.49670730671347341</v>
          </cell>
        </row>
        <row r="222">
          <cell r="B222" t="str">
            <v>ENUC_SMR_BEZ_IV</v>
          </cell>
          <cell r="C222" t="str">
            <v>VAR_fout</v>
          </cell>
          <cell r="D222" t="str">
            <v>ELC</v>
          </cell>
          <cell r="E222"/>
          <cell r="F222"/>
          <cell r="G222"/>
          <cell r="H222"/>
          <cell r="I222"/>
          <cell r="J222"/>
          <cell r="K222">
            <v>0.11820700386697978</v>
          </cell>
          <cell r="L222">
            <v>0.35099176236352603</v>
          </cell>
          <cell r="M222">
            <v>0.38314355880993334</v>
          </cell>
          <cell r="N222">
            <v>0.35306652469352945</v>
          </cell>
          <cell r="O222">
            <v>0.36045997070777558</v>
          </cell>
          <cell r="P222">
            <v>0.36327242032796297</v>
          </cell>
        </row>
        <row r="223">
          <cell r="B223" t="str">
            <v>ENUC_SMR_BEZ_IV</v>
          </cell>
          <cell r="C223" t="str">
            <v>VAR_fin</v>
          </cell>
          <cell r="D223" t="str">
            <v>URN</v>
          </cell>
          <cell r="E223"/>
          <cell r="F223"/>
          <cell r="G223"/>
          <cell r="H223"/>
          <cell r="I223"/>
          <cell r="J223"/>
          <cell r="K223">
            <v>0.46105841045437707</v>
          </cell>
          <cell r="L223">
            <v>1.3552668881882586</v>
          </cell>
          <cell r="M223">
            <v>1.445429394225171</v>
          </cell>
          <cell r="N223">
            <v>1.3435934853846363</v>
          </cell>
          <cell r="O223">
            <v>1.362818355520123</v>
          </cell>
          <cell r="P223">
            <v>1.3164184585282857</v>
          </cell>
        </row>
        <row r="224">
          <cell r="B224" t="str">
            <v>ENUC_SMR_BEZ_IV</v>
          </cell>
          <cell r="C224" t="str">
            <v>VAR_ncap</v>
          </cell>
          <cell r="D224" t="str">
            <v>-</v>
          </cell>
          <cell r="E224"/>
          <cell r="F224"/>
          <cell r="G224"/>
          <cell r="H224"/>
          <cell r="I224"/>
          <cell r="J224"/>
          <cell r="K224">
            <v>1.5487467295967901E-2</v>
          </cell>
          <cell r="L224">
            <v>1.5601270960068101E-6</v>
          </cell>
          <cell r="M224">
            <v>5.3688397065241601E-6</v>
          </cell>
          <cell r="N224">
            <v>2.0034873639440201E-5</v>
          </cell>
          <cell r="O224">
            <v>5.3956414637172895E-4</v>
          </cell>
          <cell r="P224"/>
        </row>
        <row r="225">
          <cell r="B225" t="str">
            <v>ENUC_SMR_BEZ_IV</v>
          </cell>
          <cell r="C225" t="str">
            <v>VAR_cap</v>
          </cell>
          <cell r="D225" t="str">
            <v>-</v>
          </cell>
          <cell r="E225"/>
          <cell r="F225"/>
          <cell r="G225"/>
          <cell r="H225"/>
          <cell r="I225"/>
          <cell r="J225"/>
          <cell r="K225">
            <v>4.9097391615803504E-3</v>
          </cell>
          <cell r="L225">
            <v>1.5487467295967901E-2</v>
          </cell>
          <cell r="M225">
            <v>1.54909755389362E-2</v>
          </cell>
          <cell r="N225">
            <v>1.54943962627704E-2</v>
          </cell>
          <cell r="O225">
            <v>1.5685480357628599E-2</v>
          </cell>
          <cell r="P225">
            <v>1.6053995282781602E-2</v>
          </cell>
        </row>
        <row r="226">
          <cell r="B226" t="str">
            <v>EHYD-PUM00</v>
          </cell>
          <cell r="C226" t="str">
            <v>VAR_fout</v>
          </cell>
          <cell r="D226" t="str">
            <v>ELC</v>
          </cell>
          <cell r="E226">
            <v>12.841926476096717</v>
          </cell>
          <cell r="F226">
            <v>16.032975871537808</v>
          </cell>
          <cell r="G226">
            <v>6.115343413563707</v>
          </cell>
          <cell r="H226">
            <v>12.726184304328015</v>
          </cell>
          <cell r="I226">
            <v>12.762930114502664</v>
          </cell>
          <cell r="J226">
            <v>12.793284982028672</v>
          </cell>
          <cell r="K226">
            <v>12.822298023649482</v>
          </cell>
          <cell r="L226">
            <v>12.851839535971301</v>
          </cell>
          <cell r="M226">
            <v>12.881527676591546</v>
          </cell>
          <cell r="N226">
            <v>12.915487681138398</v>
          </cell>
          <cell r="O226">
            <v>12.954892506399581</v>
          </cell>
          <cell r="P226">
            <v>13.007529758931357</v>
          </cell>
        </row>
        <row r="227">
          <cell r="B227" t="str">
            <v>EHYD-PUM00</v>
          </cell>
          <cell r="C227" t="str">
            <v>VAR_fout</v>
          </cell>
          <cell r="D227" t="str">
            <v>AUX_PUMP_OUT</v>
          </cell>
          <cell r="E227">
            <v>12.841926476096717</v>
          </cell>
          <cell r="F227">
            <v>16.032975871537808</v>
          </cell>
          <cell r="G227">
            <v>6.115343413563707</v>
          </cell>
          <cell r="H227">
            <v>12.726184304328015</v>
          </cell>
          <cell r="I227">
            <v>12.762930114502664</v>
          </cell>
          <cell r="J227">
            <v>12.793284982028672</v>
          </cell>
          <cell r="K227">
            <v>12.822298023649482</v>
          </cell>
          <cell r="L227">
            <v>12.851839535971301</v>
          </cell>
          <cell r="M227">
            <v>12.881527676591546</v>
          </cell>
          <cell r="N227">
            <v>12.915487681138398</v>
          </cell>
          <cell r="O227">
            <v>12.954892506399583</v>
          </cell>
          <cell r="P227">
            <v>13.007529758931357</v>
          </cell>
        </row>
        <row r="228">
          <cell r="B228" t="str">
            <v>EHYD-PUM00</v>
          </cell>
          <cell r="C228" t="str">
            <v>VAR_fin</v>
          </cell>
          <cell r="D228" t="str">
            <v>AUX_PUMP_IN</v>
          </cell>
          <cell r="E228">
            <v>16.052413682579232</v>
          </cell>
          <cell r="F228">
            <v>20.041223136602262</v>
          </cell>
          <cell r="G228">
            <v>7.6441792963888577</v>
          </cell>
          <cell r="H228">
            <v>15.907730513857606</v>
          </cell>
          <cell r="I228">
            <v>15.953664874242596</v>
          </cell>
          <cell r="J228">
            <v>15.991605336454521</v>
          </cell>
          <cell r="K228">
            <v>16.027870644885986</v>
          </cell>
          <cell r="L228">
            <v>16.064798240200012</v>
          </cell>
          <cell r="M228">
            <v>16.101908884951897</v>
          </cell>
          <cell r="N228">
            <v>16.144358154716912</v>
          </cell>
          <cell r="O228">
            <v>16.193614324172561</v>
          </cell>
          <cell r="P228">
            <v>16.259410085021486</v>
          </cell>
        </row>
        <row r="229">
          <cell r="B229" t="str">
            <v>EHYD-PUM00</v>
          </cell>
          <cell r="C229" t="str">
            <v>VAR_fin</v>
          </cell>
          <cell r="D229" t="str">
            <v>ELC</v>
          </cell>
          <cell r="E229">
            <v>16.052413682579232</v>
          </cell>
          <cell r="F229">
            <v>20.041223136602262</v>
          </cell>
          <cell r="G229">
            <v>7.6441792963888577</v>
          </cell>
          <cell r="H229">
            <v>15.907730513857606</v>
          </cell>
          <cell r="I229">
            <v>15.953664874242596</v>
          </cell>
          <cell r="J229">
            <v>15.991605336454521</v>
          </cell>
          <cell r="K229">
            <v>16.027870644885986</v>
          </cell>
          <cell r="L229">
            <v>16.064798240200012</v>
          </cell>
          <cell r="M229">
            <v>16.101908884951897</v>
          </cell>
          <cell r="N229">
            <v>16.144358154716912</v>
          </cell>
          <cell r="O229">
            <v>16.193614324172561</v>
          </cell>
          <cell r="P229">
            <v>16.259410085021486</v>
          </cell>
        </row>
        <row r="230">
          <cell r="B230" t="str">
            <v>EHYD-PUM00</v>
          </cell>
          <cell r="C230" t="str">
            <v>VAR_cap</v>
          </cell>
          <cell r="D230" t="str">
            <v>-</v>
          </cell>
          <cell r="E230">
            <v>3.3394499999999998</v>
          </cell>
          <cell r="F230">
            <v>3.97102894612105</v>
          </cell>
          <cell r="G230">
            <v>4.3594499999999998</v>
          </cell>
          <cell r="H230">
            <v>4.3594499999999998</v>
          </cell>
          <cell r="I230">
            <v>4.3594499999999998</v>
          </cell>
          <cell r="J230">
            <v>4.3594499999999998</v>
          </cell>
          <cell r="K230">
            <v>4.3594499999999998</v>
          </cell>
          <cell r="L230">
            <v>4.3594499999999998</v>
          </cell>
          <cell r="M230">
            <v>4.3594499999999998</v>
          </cell>
          <cell r="N230">
            <v>4.3594499999999998</v>
          </cell>
          <cell r="O230">
            <v>4.3594499999999998</v>
          </cell>
          <cell r="P230">
            <v>4.3594499999999998</v>
          </cell>
        </row>
        <row r="231">
          <cell r="B231" t="str">
            <v>RHNS-SHSTG-CHPNGA</v>
          </cell>
          <cell r="C231" t="str">
            <v>VAR_fout</v>
          </cell>
          <cell r="D231" t="str">
            <v>RHNS_LTH_CHPNGA</v>
          </cell>
          <cell r="E231">
            <v>3.2964596455052717E-4</v>
          </cell>
          <cell r="F231">
            <v>2.4334695672571522E-4</v>
          </cell>
          <cell r="G231">
            <v>3.6164029355614659E-3</v>
          </cell>
          <cell r="H231">
            <v>4.8601300893877921E-3</v>
          </cell>
          <cell r="I231">
            <v>8.9396980791539536E-3</v>
          </cell>
          <cell r="J231">
            <v>8.5609370761520875E-3</v>
          </cell>
          <cell r="K231">
            <v>1.2626107830300078E-2</v>
          </cell>
          <cell r="L231">
            <v>2.9139140557278231E-2</v>
          </cell>
          <cell r="M231">
            <v>1.4356617466375631E-2</v>
          </cell>
          <cell r="N231">
            <v>2.6880835005867198E-2</v>
          </cell>
          <cell r="O231">
            <v>2.4372093200327877E-2</v>
          </cell>
          <cell r="P231">
            <v>6.1223406756515095E-2</v>
          </cell>
        </row>
        <row r="232">
          <cell r="B232" t="str">
            <v>RHNS-SHSTG-CHPNGA</v>
          </cell>
          <cell r="C232" t="str">
            <v>VAR_fout</v>
          </cell>
          <cell r="D232" t="str">
            <v>AUX_RNS-CHPNGA_OUT</v>
          </cell>
          <cell r="E232">
            <v>3.2964596455052804E-4</v>
          </cell>
          <cell r="F232">
            <v>2.4318483350338013E-4</v>
          </cell>
          <cell r="G232">
            <v>3.6126397691352858E-3</v>
          </cell>
          <cell r="H232">
            <v>4.8601300893877921E-3</v>
          </cell>
          <cell r="I232">
            <v>8.9314889900087412E-3</v>
          </cell>
          <cell r="J232">
            <v>8.5609370761521204E-3</v>
          </cell>
          <cell r="K232">
            <v>1.2615800803499864E-2</v>
          </cell>
          <cell r="L232">
            <v>2.9139140557278266E-2</v>
          </cell>
          <cell r="M232">
            <v>1.4356617466375645E-2</v>
          </cell>
          <cell r="N232">
            <v>2.6880835005867222E-2</v>
          </cell>
          <cell r="O232">
            <v>2.4372093200327911E-2</v>
          </cell>
          <cell r="P232">
            <v>6.1223406756515157E-2</v>
          </cell>
        </row>
        <row r="233">
          <cell r="B233" t="str">
            <v>RHNS-SHSTG-CHPNGA</v>
          </cell>
          <cell r="C233" t="str">
            <v>VAR_fin</v>
          </cell>
          <cell r="D233" t="str">
            <v>RHNS_LTH_CHPNGA</v>
          </cell>
          <cell r="E233">
            <v>2.5520200383277682E-4</v>
          </cell>
          <cell r="F233">
            <v>3.2377166143592533E-4</v>
          </cell>
          <cell r="G233">
            <v>4.6707391197802883E-3</v>
          </cell>
          <cell r="H233">
            <v>6.0758389971933601E-3</v>
          </cell>
          <cell r="I233">
            <v>1.0841408755427705E-2</v>
          </cell>
          <cell r="J233">
            <v>1.0072868897656174E-2</v>
          </cell>
          <cell r="K233">
            <v>1.4429924795882704E-2</v>
          </cell>
          <cell r="L233">
            <v>3.2385899497981888E-2</v>
          </cell>
          <cell r="M233">
            <v>1.595507001776331E-2</v>
          </cell>
          <cell r="N233">
            <v>2.9877980240739073E-2</v>
          </cell>
          <cell r="O233">
            <v>2.7085776466320849E-2</v>
          </cell>
          <cell r="P233">
            <v>6.8033687755046923E-2</v>
          </cell>
        </row>
        <row r="234">
          <cell r="B234" t="str">
            <v>RHNS-SHSTG-CHPNGA</v>
          </cell>
          <cell r="C234" t="str">
            <v>VAR_fin</v>
          </cell>
          <cell r="D234" t="str">
            <v>AUX_RNS-CHPNGA_IN</v>
          </cell>
          <cell r="E234">
            <v>2.5520200383277682E-4</v>
          </cell>
          <cell r="F234">
            <v>3.2377166143592533E-4</v>
          </cell>
          <cell r="G234">
            <v>4.6707391197802883E-3</v>
          </cell>
          <cell r="H234">
            <v>6.0758389971933601E-3</v>
          </cell>
          <cell r="I234">
            <v>1.0841408755427705E-2</v>
          </cell>
          <cell r="J234">
            <v>1.0072868897656174E-2</v>
          </cell>
          <cell r="K234">
            <v>1.4429924795882704E-2</v>
          </cell>
          <cell r="L234">
            <v>3.2385899497981888E-2</v>
          </cell>
          <cell r="M234">
            <v>1.595507001776331E-2</v>
          </cell>
          <cell r="N234">
            <v>2.9877980240739073E-2</v>
          </cell>
          <cell r="O234">
            <v>2.7085776466320849E-2</v>
          </cell>
          <cell r="P234">
            <v>6.8033687755046923E-2</v>
          </cell>
        </row>
        <row r="235">
          <cell r="B235" t="str">
            <v>RHNS-SHSTG-CHPNGA</v>
          </cell>
          <cell r="C235" t="str">
            <v>VAR_ncap</v>
          </cell>
          <cell r="D235" t="str">
            <v>-</v>
          </cell>
          <cell r="E235">
            <v>4.82253985033094E-3</v>
          </cell>
          <cell r="F235">
            <v>1.4655750899277901E-4</v>
          </cell>
          <cell r="G235">
            <v>1.2639529436869401E-4</v>
          </cell>
          <cell r="H235">
            <v>5.8193982281239898E-5</v>
          </cell>
          <cell r="I235">
            <v>3.72100427547175E-3</v>
          </cell>
          <cell r="J235">
            <v>1.8794017442098499E-3</v>
          </cell>
          <cell r="K235">
            <v>4.33579965677169E-4</v>
          </cell>
          <cell r="L235">
            <v>6.2630023104547402E-3</v>
          </cell>
          <cell r="M235">
            <v>1.5510401869095E-4</v>
          </cell>
          <cell r="N235">
            <v>5.0666730928850797E-3</v>
          </cell>
          <cell r="O235">
            <v>2.3742395207299398E-3</v>
          </cell>
          <cell r="P235">
            <v>1.1696404370561001E-2</v>
          </cell>
        </row>
        <row r="236">
          <cell r="B236" t="str">
            <v>RHNS-SHSTG-CHPNGA</v>
          </cell>
          <cell r="C236" t="str">
            <v>VAR_cap</v>
          </cell>
          <cell r="D236" t="str">
            <v>-</v>
          </cell>
          <cell r="E236">
            <v>4.82253985033094E-3</v>
          </cell>
          <cell r="F236">
            <v>4.9610454904814652E-3</v>
          </cell>
          <cell r="G236">
            <v>5.0618956879218248E-3</v>
          </cell>
          <cell r="H236">
            <v>5.0449147531776645E-3</v>
          </cell>
          <cell r="I236">
            <v>5.1177115198791394E-3</v>
          </cell>
          <cell r="J236">
            <v>5.618243059716822E-3</v>
          </cell>
          <cell r="K236">
            <v>5.973448418247043E-3</v>
          </cell>
          <cell r="L236">
            <v>8.5109966182113188E-3</v>
          </cell>
          <cell r="M236">
            <v>6.8916139016692024E-3</v>
          </cell>
          <cell r="N236">
            <v>1.139084750119683E-2</v>
          </cell>
          <cell r="O236">
            <v>8.5168405880889191E-3</v>
          </cell>
          <cell r="P236">
            <v>1.9042413558977445E-2</v>
          </cell>
        </row>
        <row r="237">
          <cell r="B237" t="str">
            <v>ITOT-CHPGFC</v>
          </cell>
          <cell r="C237" t="str">
            <v>VAR_fout</v>
          </cell>
          <cell r="D237" t="str">
            <v>ITOT_NKEV_GAS_ELC_CHP</v>
          </cell>
          <cell r="E237"/>
          <cell r="F237"/>
          <cell r="G237"/>
          <cell r="H237">
            <v>3.8149692567829609E-3</v>
          </cell>
          <cell r="I237">
            <v>5.169638541081845E-3</v>
          </cell>
          <cell r="J237">
            <v>8.8321689173690137E-3</v>
          </cell>
          <cell r="K237">
            <v>1.547850855152005E-2</v>
          </cell>
          <cell r="L237">
            <v>2.4470627561742498E-2</v>
          </cell>
          <cell r="M237">
            <v>2.1539924257900613E-2</v>
          </cell>
          <cell r="N237">
            <v>3.1421032151813848E-2</v>
          </cell>
          <cell r="O237">
            <v>3.3531238777639978E-2</v>
          </cell>
          <cell r="P237">
            <v>5.5263046322483231E-2</v>
          </cell>
        </row>
        <row r="238">
          <cell r="B238" t="str">
            <v>ITOT-CHPGFC</v>
          </cell>
          <cell r="C238" t="str">
            <v>VAR_fout</v>
          </cell>
          <cell r="D238" t="str">
            <v>ITOT_LTH_CHP</v>
          </cell>
          <cell r="E238"/>
          <cell r="F238"/>
          <cell r="G238"/>
          <cell r="H238">
            <v>1.9074846283914813E-3</v>
          </cell>
          <cell r="I238">
            <v>2.4543926101007825E-3</v>
          </cell>
          <cell r="J238">
            <v>3.9704245591842364E-3</v>
          </cell>
          <cell r="K238">
            <v>6.6019712959163313E-3</v>
          </cell>
          <cell r="L238">
            <v>9.87411287579084E-3</v>
          </cell>
          <cell r="M238">
            <v>8.6915483847669166E-3</v>
          </cell>
          <cell r="N238">
            <v>1.2678662096345933E-2</v>
          </cell>
          <cell r="O238">
            <v>1.3530148980451231E-2</v>
          </cell>
          <cell r="P238">
            <v>2.2299123954686213E-2</v>
          </cell>
        </row>
        <row r="239">
          <cell r="B239" t="str">
            <v>ITOT-CHPGFC</v>
          </cell>
          <cell r="C239" t="str">
            <v>VAR_fout</v>
          </cell>
          <cell r="D239" t="str">
            <v>CO2_I</v>
          </cell>
          <cell r="E239"/>
          <cell r="F239"/>
          <cell r="G239"/>
          <cell r="H239">
            <v>0.41377743477415202</v>
          </cell>
          <cell r="I239">
            <v>0.54754481449204895</v>
          </cell>
          <cell r="J239">
            <v>0.91400793933873803</v>
          </cell>
          <cell r="K239">
            <v>1.56589754673674</v>
          </cell>
          <cell r="L239">
            <v>2.4213042008460999</v>
          </cell>
          <cell r="M239">
            <v>2.1313188213080601</v>
          </cell>
          <cell r="N239">
            <v>3.1090284444952698</v>
          </cell>
          <cell r="O239">
            <v>3.3178278369454302</v>
          </cell>
          <cell r="P239">
            <v>5.4681330045404399</v>
          </cell>
        </row>
        <row r="240">
          <cell r="B240" t="str">
            <v>ITOT-CHPGFC</v>
          </cell>
          <cell r="C240" t="str">
            <v>VAR_fin</v>
          </cell>
          <cell r="D240" t="str">
            <v>INGA</v>
          </cell>
          <cell r="E240"/>
          <cell r="F240"/>
          <cell r="G240"/>
          <cell r="H240">
            <v>7.3364793399672296E-3</v>
          </cell>
          <cell r="I240">
            <v>9.7082413917029976E-3</v>
          </cell>
          <cell r="J240">
            <v>1.6205814527282602E-2</v>
          </cell>
          <cell r="K240">
            <v>2.7764140899587557E-2</v>
          </cell>
          <cell r="L240">
            <v>4.2930925546916625E-2</v>
          </cell>
          <cell r="M240">
            <v>3.7789340803334376E-2</v>
          </cell>
          <cell r="N240">
            <v>5.5124617810199721E-2</v>
          </cell>
          <cell r="O240">
            <v>5.8826734697614021E-2</v>
          </cell>
          <cell r="P240">
            <v>9.695271284646173E-2</v>
          </cell>
        </row>
        <row r="241">
          <cell r="B241" t="str">
            <v>ITOT-CHPGFC</v>
          </cell>
          <cell r="C241" t="str">
            <v>VAR_ncap</v>
          </cell>
          <cell r="D241" t="str">
            <v>-</v>
          </cell>
          <cell r="E241"/>
          <cell r="F241"/>
          <cell r="G241"/>
          <cell r="H241">
            <v>2.9335632255962901E-4</v>
          </cell>
          <cell r="I241">
            <v>2.15168759830974E-4</v>
          </cell>
          <cell r="J241">
            <v>1.8285288764081201E-4</v>
          </cell>
          <cell r="K241">
            <v>3.79148043095956E-4</v>
          </cell>
          <cell r="L241">
            <v>7.7233725313762295E-4</v>
          </cell>
          <cell r="M241">
            <v>8.4198703162577504E-6</v>
          </cell>
          <cell r="N241">
            <v>1.0164957185019501E-3</v>
          </cell>
          <cell r="O241">
            <v>5.1861756334096098E-4</v>
          </cell>
          <cell r="P241">
            <v>1.5347791763810101E-3</v>
          </cell>
        </row>
        <row r="242">
          <cell r="B242" t="str">
            <v>ITOT-CHPGFC</v>
          </cell>
          <cell r="C242" t="str">
            <v>VAR_cap</v>
          </cell>
          <cell r="D242" t="str">
            <v>-</v>
          </cell>
          <cell r="E242"/>
          <cell r="F242"/>
          <cell r="G242"/>
          <cell r="H242">
            <v>2.9335632255962901E-4</v>
          </cell>
          <cell r="I242">
            <v>5.0838623279452584E-4</v>
          </cell>
          <cell r="J242">
            <v>6.3499254679651499E-4</v>
          </cell>
          <cell r="K242">
            <v>7.7663172362733011E-4</v>
          </cell>
          <cell r="L242">
            <v>1.3334158681135612E-3</v>
          </cell>
          <cell r="M242">
            <v>1.1364289363808124E-3</v>
          </cell>
          <cell r="N242">
            <v>1.7961333157442997E-3</v>
          </cell>
          <cell r="O242">
            <v>1.6762640966732246E-3</v>
          </cell>
          <cell r="P242">
            <v>3.0685638153359479E-3</v>
          </cell>
        </row>
        <row r="243">
          <cell r="B243" t="str">
            <v>ITOT-SWSTG-CHP</v>
          </cell>
          <cell r="C243" t="str">
            <v>VAR_fout</v>
          </cell>
          <cell r="D243" t="str">
            <v>ITOT_LTH_CHP</v>
          </cell>
          <cell r="E243">
            <v>3.744407015314559E-3</v>
          </cell>
          <cell r="F243">
            <v>5.0351059426538927E-4</v>
          </cell>
          <cell r="G243">
            <v>0.22598501027280346</v>
          </cell>
          <cell r="H243">
            <v>4.7360073151732823E-2</v>
          </cell>
          <cell r="I243">
            <v>7.0793758203700222E-2</v>
          </cell>
          <cell r="J243">
            <v>0.24667925109673483</v>
          </cell>
          <cell r="K243">
            <v>0.54892270051390135</v>
          </cell>
          <cell r="L243">
            <v>0.86821488942023628</v>
          </cell>
          <cell r="M243">
            <v>0.79736452998989693</v>
          </cell>
          <cell r="N243">
            <v>0.87085923489884598</v>
          </cell>
          <cell r="O243">
            <v>0.86629389003637303</v>
          </cell>
          <cell r="P243">
            <v>0.98288699811995961</v>
          </cell>
        </row>
        <row r="244">
          <cell r="B244" t="str">
            <v>ITOT-SWSTG-CHP</v>
          </cell>
          <cell r="C244" t="str">
            <v>VAR_fout</v>
          </cell>
          <cell r="D244" t="str">
            <v>AUX_ITOT-CHP_OUT</v>
          </cell>
          <cell r="E244">
            <v>3.744407015314553E-3</v>
          </cell>
          <cell r="F244">
            <v>5.030993763843085E-4</v>
          </cell>
          <cell r="G244">
            <v>0.22569676408623118</v>
          </cell>
          <cell r="H244">
            <v>4.7360073151732913E-2</v>
          </cell>
          <cell r="I244">
            <v>7.0715098472362875E-2</v>
          </cell>
          <cell r="J244">
            <v>0.2466792510967353</v>
          </cell>
          <cell r="K244">
            <v>0.54838664318918107</v>
          </cell>
          <cell r="L244">
            <v>0.86821488942023628</v>
          </cell>
          <cell r="M244">
            <v>0.79736452998989693</v>
          </cell>
          <cell r="N244">
            <v>0.87085923489884609</v>
          </cell>
          <cell r="O244">
            <v>0.86629389003637303</v>
          </cell>
          <cell r="P244">
            <v>0.98288699811995961</v>
          </cell>
        </row>
        <row r="245">
          <cell r="B245" t="str">
            <v>ITOT-SWSTG-CHP</v>
          </cell>
          <cell r="C245" t="str">
            <v>VAR_fin</v>
          </cell>
          <cell r="D245" t="str">
            <v>ITOT_LTH_CHP</v>
          </cell>
          <cell r="E245">
            <v>4.6478600669767724E-3</v>
          </cell>
          <cell r="F245">
            <v>6.1894935852931099E-4</v>
          </cell>
          <cell r="G245">
            <v>0.26904266743903127</v>
          </cell>
          <cell r="H245">
            <v>5.444364658475645E-2</v>
          </cell>
          <cell r="I245">
            <v>7.8666314723816341E-2</v>
          </cell>
          <cell r="J245">
            <v>0.26525279039483568</v>
          </cell>
          <cell r="K245">
            <v>0.57180696675591414</v>
          </cell>
          <cell r="L245">
            <v>0.87699730446645119</v>
          </cell>
          <cell r="M245">
            <v>0.8054264846849879</v>
          </cell>
          <cell r="N245">
            <v>0.87967289883370281</v>
          </cell>
          <cell r="O245">
            <v>0.87505690104840861</v>
          </cell>
          <cell r="P245">
            <v>0.99284028497269716</v>
          </cell>
        </row>
        <row r="246">
          <cell r="B246" t="str">
            <v>ITOT-SWSTG-CHP</v>
          </cell>
          <cell r="C246" t="str">
            <v>VAR_fin</v>
          </cell>
          <cell r="D246" t="str">
            <v>AUX_ITOT-CHP_IN</v>
          </cell>
          <cell r="E246">
            <v>4.6478600669767724E-3</v>
          </cell>
          <cell r="F246">
            <v>6.1894935852931099E-4</v>
          </cell>
          <cell r="G246">
            <v>0.26904266743903127</v>
          </cell>
          <cell r="H246">
            <v>5.444364658475645E-2</v>
          </cell>
          <cell r="I246">
            <v>7.8666314723816341E-2</v>
          </cell>
          <cell r="J246">
            <v>0.26525279039483568</v>
          </cell>
          <cell r="K246">
            <v>0.57180696675591414</v>
          </cell>
          <cell r="L246">
            <v>0.87699730446645119</v>
          </cell>
          <cell r="M246">
            <v>0.8054264846849879</v>
          </cell>
          <cell r="N246">
            <v>0.87967289883370281</v>
          </cell>
          <cell r="O246">
            <v>0.87505690104840861</v>
          </cell>
          <cell r="P246">
            <v>0.99284028497269716</v>
          </cell>
        </row>
        <row r="247">
          <cell r="B247" t="str">
            <v>ITOT-SWSTG-CHP</v>
          </cell>
          <cell r="C247" t="str">
            <v>VAR_ncap</v>
          </cell>
          <cell r="D247" t="str">
            <v>-</v>
          </cell>
          <cell r="E247">
            <v>7.5374894662964603E-3</v>
          </cell>
          <cell r="F247">
            <v>9.68195423019464E-5</v>
          </cell>
          <cell r="G247">
            <v>6.63212658975257E-3</v>
          </cell>
          <cell r="H247">
            <v>5.0022589948974E-5</v>
          </cell>
          <cell r="I247">
            <v>8.6301619401250706E-3</v>
          </cell>
          <cell r="J247">
            <v>5.2660969800715302E-2</v>
          </cell>
          <cell r="K247">
            <v>5.39682270186497E-2</v>
          </cell>
          <cell r="L247">
            <v>4.2731594983305102E-2</v>
          </cell>
          <cell r="M247">
            <v>5.0289806740992003E-2</v>
          </cell>
          <cell r="N247">
            <v>6.8427052991607104E-2</v>
          </cell>
          <cell r="O247">
            <v>4.48485844123553E-2</v>
          </cell>
          <cell r="P247">
            <v>5.2275637398071999E-2</v>
          </cell>
        </row>
        <row r="248">
          <cell r="B248" t="str">
            <v>ITOT-SWSTG-CHP</v>
          </cell>
          <cell r="C248" t="str">
            <v>VAR_cap</v>
          </cell>
          <cell r="D248" t="str">
            <v>-</v>
          </cell>
          <cell r="E248">
            <v>7.5464210331241581E-3</v>
          </cell>
          <cell r="F248">
            <v>7.6262754634645576E-3</v>
          </cell>
          <cell r="G248">
            <v>1.4231792178790864E-2</v>
          </cell>
          <cell r="H248">
            <v>1.418374619458795E-2</v>
          </cell>
          <cell r="I248">
            <v>1.718933391228835E-2</v>
          </cell>
          <cell r="J248">
            <v>6.2661307111201631E-2</v>
          </cell>
          <cell r="K248">
            <v>0.11520426696000914</v>
          </cell>
          <cell r="L248">
            <v>0.14928127816857514</v>
          </cell>
          <cell r="M248">
            <v>0.14776684429187373</v>
          </cell>
          <cell r="N248">
            <v>0.16135324322744582</v>
          </cell>
          <cell r="O248">
            <v>0.15503528703646993</v>
          </cell>
          <cell r="P248">
            <v>0.16545218229128233</v>
          </cell>
        </row>
        <row r="249">
          <cell r="B249" t="str">
            <v>D-ELFO</v>
          </cell>
          <cell r="C249" t="str">
            <v>VAR_fout</v>
          </cell>
          <cell r="D249" t="str">
            <v>CO2</v>
          </cell>
          <cell r="E249">
            <v>28.537911530570501</v>
          </cell>
          <cell r="F249">
            <v>16.4222739899465</v>
          </cell>
          <cell r="G249">
            <v>4.8954521915518496</v>
          </cell>
          <cell r="H249">
            <v>2.7681198255876498</v>
          </cell>
          <cell r="I249">
            <v>3.4147621717880301</v>
          </cell>
          <cell r="J249">
            <v>3.8775398924287301</v>
          </cell>
          <cell r="K249">
            <v>7.2590218802311197</v>
          </cell>
          <cell r="L249">
            <v>12.8630198112883</v>
          </cell>
          <cell r="M249">
            <v>7.8121413148603596</v>
          </cell>
          <cell r="N249">
            <v>12.0594247381197</v>
          </cell>
          <cell r="O249">
            <v>8.8007985419048094</v>
          </cell>
          <cell r="P249">
            <v>16.690621440660902</v>
          </cell>
        </row>
        <row r="250">
          <cell r="B250" t="str">
            <v>D-ELFO</v>
          </cell>
          <cell r="C250" t="str">
            <v>VAR_fout</v>
          </cell>
          <cell r="D250" t="str">
            <v>ELFO</v>
          </cell>
          <cell r="E250">
            <v>0.3807502734064962</v>
          </cell>
          <cell r="F250">
            <v>0.21910451663326483</v>
          </cell>
          <cell r="G250">
            <v>6.5314687039557687E-2</v>
          </cell>
          <cell r="H250">
            <v>3.6932008121386611E-2</v>
          </cell>
          <cell r="I250">
            <v>4.5559452699742292E-2</v>
          </cell>
          <cell r="J250">
            <v>5.173379182303884E-2</v>
          </cell>
          <cell r="K250">
            <v>9.6849223272733612E-2</v>
          </cell>
          <cell r="L250">
            <v>0.17161726444959932</v>
          </cell>
          <cell r="M250">
            <v>0.1042288934961812</v>
          </cell>
          <cell r="N250">
            <v>0.16089577056980803</v>
          </cell>
          <cell r="O250">
            <v>0.11741947014714731</v>
          </cell>
          <cell r="P250">
            <v>0.22268478441557893</v>
          </cell>
        </row>
        <row r="251">
          <cell r="B251" t="str">
            <v>D-ELFO</v>
          </cell>
          <cell r="C251" t="str">
            <v>VAR_fin</v>
          </cell>
          <cell r="D251" t="str">
            <v>LFO</v>
          </cell>
          <cell r="E251">
            <v>0.38721725278928715</v>
          </cell>
          <cell r="F251">
            <v>0.22282597001284218</v>
          </cell>
          <cell r="G251">
            <v>6.642404601834255E-2</v>
          </cell>
          <cell r="H251">
            <v>3.7559292070388786E-2</v>
          </cell>
          <cell r="I251">
            <v>4.6333272344478059E-2</v>
          </cell>
          <cell r="J251">
            <v>5.2612481579765585E-2</v>
          </cell>
          <cell r="K251">
            <v>9.84941910479121E-2</v>
          </cell>
          <cell r="L251">
            <v>0.17453215483430481</v>
          </cell>
          <cell r="M251">
            <v>0.10599920372944863</v>
          </cell>
          <cell r="N251">
            <v>0.16362855818344249</v>
          </cell>
          <cell r="O251">
            <v>0.11941382010725655</v>
          </cell>
          <cell r="P251">
            <v>0.2264670480415312</v>
          </cell>
        </row>
        <row r="252">
          <cell r="B252" t="str">
            <v>ENUC_SMR_BMGL_V</v>
          </cell>
          <cell r="C252" t="str">
            <v>VAR_fout</v>
          </cell>
          <cell r="D252" t="str">
            <v>LTH</v>
          </cell>
          <cell r="E252"/>
          <cell r="F252"/>
          <cell r="G252"/>
          <cell r="H252"/>
          <cell r="I252"/>
          <cell r="J252"/>
          <cell r="K252">
            <v>0.12968645924493521</v>
          </cell>
          <cell r="L252">
            <v>0.35931925867608577</v>
          </cell>
          <cell r="M252">
            <v>0.35115300918449482</v>
          </cell>
          <cell r="N252">
            <v>0.33456955812708083</v>
          </cell>
          <cell r="O252">
            <v>0.36667419536581264</v>
          </cell>
          <cell r="P252">
            <v>0.33254116537229061</v>
          </cell>
        </row>
        <row r="253">
          <cell r="B253" t="str">
            <v>ENUC_SMR_BMGL_V</v>
          </cell>
          <cell r="C253" t="str">
            <v>VAR_fout</v>
          </cell>
          <cell r="D253" t="str">
            <v>ELC</v>
          </cell>
          <cell r="E253"/>
          <cell r="F253"/>
          <cell r="G253"/>
          <cell r="H253"/>
          <cell r="I253"/>
          <cell r="J253"/>
          <cell r="K253">
            <v>6.887621793030671E-2</v>
          </cell>
          <cell r="L253">
            <v>0.20502117842007683</v>
          </cell>
          <cell r="M253">
            <v>0.22389384255403899</v>
          </cell>
          <cell r="N253">
            <v>0.20637096912454342</v>
          </cell>
          <cell r="O253">
            <v>0.22868867649376853</v>
          </cell>
          <cell r="P253">
            <v>0.26196822378118617</v>
          </cell>
        </row>
        <row r="254">
          <cell r="B254" t="str">
            <v>ENUC_SMR_BMGL_V</v>
          </cell>
          <cell r="C254" t="str">
            <v>VAR_fin</v>
          </cell>
          <cell r="D254" t="str">
            <v>URN</v>
          </cell>
          <cell r="E254"/>
          <cell r="F254"/>
          <cell r="G254"/>
          <cell r="H254"/>
          <cell r="I254"/>
          <cell r="J254"/>
          <cell r="K254">
            <v>0.26537275830439361</v>
          </cell>
          <cell r="L254">
            <v>0.77805780745405606</v>
          </cell>
          <cell r="M254">
            <v>0.83135041093719664</v>
          </cell>
          <cell r="N254">
            <v>0.77112562312661559</v>
          </cell>
          <cell r="O254">
            <v>0.85272078087395708</v>
          </cell>
          <cell r="P254">
            <v>0.93790744145662175</v>
          </cell>
        </row>
        <row r="255">
          <cell r="B255" t="str">
            <v>ENUC_SMR_BMGL_V</v>
          </cell>
          <cell r="C255" t="str">
            <v>VAR_ncap</v>
          </cell>
          <cell r="D255" t="str">
            <v>-</v>
          </cell>
          <cell r="E255"/>
          <cell r="F255"/>
          <cell r="G255"/>
          <cell r="H255"/>
          <cell r="I255"/>
          <cell r="J255"/>
          <cell r="K255">
            <v>8.9831340787803401E-3</v>
          </cell>
          <cell r="L255">
            <v>2.8530315829173202E-6</v>
          </cell>
          <cell r="M255">
            <v>1.0308252826148601E-5</v>
          </cell>
          <cell r="N255">
            <v>4.6029131525705897E-5</v>
          </cell>
          <cell r="O255">
            <v>2.3620546787407001E-3</v>
          </cell>
        </row>
        <row r="256">
          <cell r="B256" t="str">
            <v>ENUC_SMR_BMGL_V</v>
          </cell>
          <cell r="C256" t="str">
            <v>VAR_cap</v>
          </cell>
          <cell r="D256" t="str">
            <v>-</v>
          </cell>
          <cell r="E256"/>
          <cell r="F256"/>
          <cell r="G256"/>
          <cell r="H256"/>
          <cell r="I256"/>
          <cell r="J256"/>
          <cell r="K256">
            <v>2.8477764851711699E-3</v>
          </cell>
          <cell r="L256">
            <v>8.9831340787803401E-3</v>
          </cell>
          <cell r="M256">
            <v>8.9897494079311802E-3</v>
          </cell>
          <cell r="N256">
            <v>8.9962953631894105E-3</v>
          </cell>
          <cell r="O256">
            <v>9.7911281652175598E-3</v>
          </cell>
          <cell r="P256">
            <v>1.1404379173455799E-2</v>
          </cell>
        </row>
        <row r="257">
          <cell r="B257" t="str">
            <v>ENUC_SMR_BMGL_VI</v>
          </cell>
          <cell r="C257" t="str">
            <v>VAR_fout</v>
          </cell>
          <cell r="D257" t="str">
            <v>LTH</v>
          </cell>
          <cell r="E257"/>
          <cell r="F257"/>
          <cell r="G257"/>
          <cell r="H257"/>
          <cell r="I257"/>
          <cell r="J257"/>
          <cell r="K257"/>
          <cell r="L257"/>
          <cell r="M257">
            <v>0.11062291776555754</v>
          </cell>
          <cell r="N257">
            <v>0.28755020197354314</v>
          </cell>
          <cell r="O257">
            <v>0.34046192274725234</v>
          </cell>
          <cell r="P257">
            <v>0.34069478623865912</v>
          </cell>
        </row>
        <row r="258">
          <cell r="B258" t="str">
            <v>ENUC_SMR_BMGL_VI</v>
          </cell>
          <cell r="C258" t="str">
            <v>VAR_fout</v>
          </cell>
          <cell r="D258" t="str">
            <v>ELC</v>
          </cell>
          <cell r="E258"/>
          <cell r="F258"/>
          <cell r="G258"/>
          <cell r="H258"/>
          <cell r="I258"/>
          <cell r="J258"/>
          <cell r="K258"/>
          <cell r="L258"/>
          <cell r="M258">
            <v>8.2333153262383621E-2</v>
          </cell>
          <cell r="N258">
            <v>0.18364650934730056</v>
          </cell>
          <cell r="O258">
            <v>0.2158925064137753</v>
          </cell>
          <cell r="P258">
            <v>0.26687834433203789</v>
          </cell>
        </row>
        <row r="259">
          <cell r="B259" t="str">
            <v>ENUC_SMR_BMGL_VI</v>
          </cell>
          <cell r="C259" t="str">
            <v>VAR_fin</v>
          </cell>
          <cell r="D259" t="str">
            <v>URN</v>
          </cell>
          <cell r="E259"/>
          <cell r="F259"/>
          <cell r="G259"/>
          <cell r="H259"/>
          <cell r="I259"/>
          <cell r="J259"/>
          <cell r="K259"/>
          <cell r="L259"/>
          <cell r="M259">
            <v>0.29747845854075755</v>
          </cell>
          <cell r="N259">
            <v>0.68168582907630682</v>
          </cell>
          <cell r="O259">
            <v>0.80247475824690417</v>
          </cell>
          <cell r="P259">
            <v>0.95634081736125243</v>
          </cell>
        </row>
        <row r="260">
          <cell r="B260" t="str">
            <v>ENUC_SMR_BMGL_VI</v>
          </cell>
          <cell r="C260" t="str">
            <v>VAR_ncap</v>
          </cell>
          <cell r="D260" t="str">
            <v>-</v>
          </cell>
          <cell r="E260"/>
          <cell r="F260"/>
          <cell r="G260"/>
          <cell r="H260"/>
          <cell r="I260"/>
          <cell r="J260"/>
          <cell r="K260"/>
          <cell r="L260">
            <v>6.3976444783760995E-5</v>
          </cell>
          <cell r="M260">
            <v>7.9235778081474997E-3</v>
          </cell>
          <cell r="N260">
            <v>1.2224683236306799E-4</v>
          </cell>
          <cell r="O260">
            <v>3.5157195117376402E-3</v>
          </cell>
        </row>
        <row r="261">
          <cell r="B261" t="str">
            <v>ENUC_SMR_BMGL_VI</v>
          </cell>
          <cell r="C261" t="str">
            <v>VAR_cap</v>
          </cell>
          <cell r="D261" t="str">
            <v>-</v>
          </cell>
          <cell r="E261"/>
          <cell r="F261"/>
          <cell r="G261"/>
          <cell r="H261"/>
          <cell r="I261"/>
          <cell r="J261"/>
          <cell r="K261"/>
          <cell r="L261"/>
          <cell r="M261">
            <v>3.2830537221417901E-3</v>
          </cell>
          <cell r="N261">
            <v>7.9875542529312706E-3</v>
          </cell>
          <cell r="O261">
            <v>9.2243323019254898E-3</v>
          </cell>
          <cell r="P261">
            <v>1.1625520597032001E-2</v>
          </cell>
        </row>
        <row r="262">
          <cell r="B262" t="str">
            <v>EHYD-DAM00</v>
          </cell>
          <cell r="C262" t="str">
            <v>VAR_fout</v>
          </cell>
          <cell r="D262" t="str">
            <v>ELC</v>
          </cell>
          <cell r="E262">
            <v>66.745680000022219</v>
          </cell>
          <cell r="F262">
            <v>49.755419956386767</v>
          </cell>
          <cell r="G262">
            <v>68.371806179063739</v>
          </cell>
          <cell r="H262">
            <v>68.874649934907382</v>
          </cell>
          <cell r="I262">
            <v>69.952398973702657</v>
          </cell>
          <cell r="J262">
            <v>71.035137251553451</v>
          </cell>
          <cell r="K262">
            <v>71.393313571322082</v>
          </cell>
          <cell r="L262">
            <v>71.336748076252732</v>
          </cell>
          <cell r="M262">
            <v>71.33665162519469</v>
          </cell>
          <cell r="N262">
            <v>71.337869135552381</v>
          </cell>
          <cell r="O262">
            <v>71.337725035565143</v>
          </cell>
          <cell r="P262">
            <v>71.336207274476706</v>
          </cell>
        </row>
        <row r="263">
          <cell r="B263" t="str">
            <v>EHYD-DAM00</v>
          </cell>
          <cell r="C263" t="str">
            <v>VAR_fin</v>
          </cell>
          <cell r="D263" t="str">
            <v>HYDD</v>
          </cell>
          <cell r="E263">
            <v>66.745680000022219</v>
          </cell>
          <cell r="F263">
            <v>49.755419956386767</v>
          </cell>
          <cell r="G263">
            <v>68.371806179063739</v>
          </cell>
          <cell r="H263">
            <v>68.874649934907382</v>
          </cell>
          <cell r="I263">
            <v>69.952398973702657</v>
          </cell>
          <cell r="J263">
            <v>71.035137251553451</v>
          </cell>
          <cell r="K263">
            <v>71.393313571322082</v>
          </cell>
          <cell r="L263">
            <v>71.336748076252732</v>
          </cell>
          <cell r="M263">
            <v>71.33665162519469</v>
          </cell>
          <cell r="N263">
            <v>71.337869135552381</v>
          </cell>
          <cell r="O263">
            <v>71.337725035565143</v>
          </cell>
          <cell r="P263">
            <v>71.336207274476706</v>
          </cell>
        </row>
        <row r="264">
          <cell r="B264" t="str">
            <v>EHYD-DAM00</v>
          </cell>
          <cell r="C264" t="str">
            <v>VAR_cap</v>
          </cell>
          <cell r="D264" t="str">
            <v>-</v>
          </cell>
          <cell r="E264">
            <v>7.3394300010600002</v>
          </cell>
          <cell r="F264">
            <v>7.3394300010600002</v>
          </cell>
          <cell r="G264">
            <v>7.3394300010600002</v>
          </cell>
          <cell r="H264">
            <v>7.3394300010600002</v>
          </cell>
          <cell r="I264">
            <v>7.3394300010600002</v>
          </cell>
          <cell r="J264">
            <v>7.3394300010600002</v>
          </cell>
          <cell r="K264">
            <v>7.3394300010600002</v>
          </cell>
          <cell r="L264">
            <v>7.3394300010600002</v>
          </cell>
          <cell r="M264">
            <v>7.3394300010600002</v>
          </cell>
          <cell r="N264">
            <v>7.3394300010600002</v>
          </cell>
          <cell r="O264">
            <v>7.3394300010600002</v>
          </cell>
          <cell r="P264">
            <v>7.3394300010600002</v>
          </cell>
        </row>
        <row r="265">
          <cell r="B265" t="str">
            <v>RHES-SHSTG-CHPWOD</v>
          </cell>
          <cell r="C265" t="str">
            <v>VAR_fout</v>
          </cell>
          <cell r="D265" t="str">
            <v>AUX_RES-CHPWOD_OUT</v>
          </cell>
          <cell r="E265">
            <v>3.062939814732453E-4</v>
          </cell>
          <cell r="F265">
            <v>2.8837108705802544E-4</v>
          </cell>
          <cell r="G265">
            <v>3.3927680874579419E-4</v>
          </cell>
          <cell r="H265">
            <v>2.4340421047084203E-3</v>
          </cell>
          <cell r="I265">
            <v>4.0213579905142858E-3</v>
          </cell>
          <cell r="J265">
            <v>4.5106094449665389E-3</v>
          </cell>
          <cell r="K265">
            <v>6.2618603398478601E-3</v>
          </cell>
          <cell r="L265">
            <v>1.4267966154324076E-2</v>
          </cell>
          <cell r="M265">
            <v>8.1722524406173964E-3</v>
          </cell>
          <cell r="N265">
            <v>1.6736247235040757E-2</v>
          </cell>
          <cell r="O265">
            <v>1.1762043342255786E-2</v>
          </cell>
          <cell r="P265">
            <v>2.7443020190007779E-2</v>
          </cell>
        </row>
        <row r="266">
          <cell r="B266" t="str">
            <v>RHES-SHSTG-CHPWOD</v>
          </cell>
          <cell r="C266" t="str">
            <v>VAR_fout</v>
          </cell>
          <cell r="D266" t="str">
            <v>RHES_LTH_CHPWOD</v>
          </cell>
          <cell r="E266">
            <v>3.0629398147324454E-4</v>
          </cell>
          <cell r="F266">
            <v>2.8856333444939687E-4</v>
          </cell>
          <cell r="G266">
            <v>3.3963022208823696E-4</v>
          </cell>
          <cell r="H266">
            <v>2.4340421047084203E-3</v>
          </cell>
          <cell r="I266">
            <v>4.025054091608503E-3</v>
          </cell>
          <cell r="J266">
            <v>4.5106094449665251E-3</v>
          </cell>
          <cell r="K266">
            <v>6.266976238818312E-3</v>
          </cell>
          <cell r="L266">
            <v>1.4267966154324062E-2</v>
          </cell>
          <cell r="M266">
            <v>8.172252440617386E-3</v>
          </cell>
          <cell r="N266">
            <v>1.6736247235040747E-2</v>
          </cell>
          <cell r="O266">
            <v>1.1762043342255779E-2</v>
          </cell>
          <cell r="P266">
            <v>2.7443020190007755E-2</v>
          </cell>
        </row>
        <row r="267">
          <cell r="B267" t="str">
            <v>RHES-SHSTG-CHPWOD</v>
          </cell>
          <cell r="C267" t="str">
            <v>VAR_fin</v>
          </cell>
          <cell r="D267" t="str">
            <v>AUX_RES-CHPWOD_IN</v>
          </cell>
          <cell r="E267">
            <v>2.3733190908469082E-4</v>
          </cell>
          <cell r="F267">
            <v>1.5433854993820059E-4</v>
          </cell>
          <cell r="G267">
            <v>2.656634561079585E-4</v>
          </cell>
          <cell r="H267">
            <v>3.037359736017512E-3</v>
          </cell>
          <cell r="I267">
            <v>4.8839590636950113E-3</v>
          </cell>
          <cell r="J267">
            <v>5.3066429847906417E-3</v>
          </cell>
          <cell r="K267">
            <v>7.1644404472456695E-3</v>
          </cell>
          <cell r="L267">
            <v>1.5862983312417415E-2</v>
          </cell>
          <cell r="M267">
            <v>9.0838587868681021E-3</v>
          </cell>
          <cell r="N267">
            <v>1.8605256019914564E-2</v>
          </cell>
          <cell r="O267">
            <v>1.3073999028503909E-2</v>
          </cell>
          <cell r="P267">
            <v>3.0503765027289093E-2</v>
          </cell>
        </row>
        <row r="268">
          <cell r="B268" t="str">
            <v>RHES-SHSTG-CHPWOD</v>
          </cell>
          <cell r="C268" t="str">
            <v>VAR_fin</v>
          </cell>
          <cell r="D268" t="str">
            <v>RHES_LTH_CHPWOD</v>
          </cell>
          <cell r="E268">
            <v>2.3733190908469082E-4</v>
          </cell>
          <cell r="F268">
            <v>1.5433854993820059E-4</v>
          </cell>
          <cell r="G268">
            <v>2.656634561079585E-4</v>
          </cell>
          <cell r="H268">
            <v>3.037359736017512E-3</v>
          </cell>
          <cell r="I268">
            <v>4.8839590636950113E-3</v>
          </cell>
          <cell r="J268">
            <v>5.3066429847906417E-3</v>
          </cell>
          <cell r="K268">
            <v>7.1644404472456695E-3</v>
          </cell>
          <cell r="L268">
            <v>1.5862983312417415E-2</v>
          </cell>
          <cell r="M268">
            <v>9.0838587868681021E-3</v>
          </cell>
          <cell r="N268">
            <v>1.8605256019914564E-2</v>
          </cell>
          <cell r="O268">
            <v>1.3073999028503909E-2</v>
          </cell>
          <cell r="P268">
            <v>3.0503765027289093E-2</v>
          </cell>
        </row>
        <row r="269">
          <cell r="B269" t="str">
            <v>RHES-SHSTG-CHPWOD</v>
          </cell>
          <cell r="C269" t="str">
            <v>VAR_ncap</v>
          </cell>
          <cell r="D269" t="str">
            <v>-</v>
          </cell>
          <cell r="E269">
            <v>3.5431557292858102E-3</v>
          </cell>
          <cell r="F269">
            <v>8.6354851875729605E-5</v>
          </cell>
          <cell r="G269">
            <v>1.5295172832589999E-4</v>
          </cell>
          <cell r="H269">
            <v>1.2576897976662499E-4</v>
          </cell>
          <cell r="I269">
            <v>3.8956816372084E-3</v>
          </cell>
          <cell r="J269">
            <v>1.71445635425071E-3</v>
          </cell>
          <cell r="K269">
            <v>3.97777594313186E-4</v>
          </cell>
          <cell r="L269">
            <v>6.3124264632901904E-3</v>
          </cell>
          <cell r="M269">
            <v>1.5083846681857301E-4</v>
          </cell>
          <cell r="N269">
            <v>4.9856203379289301E-3</v>
          </cell>
          <cell r="O269">
            <v>2.4108884176814601E-3</v>
          </cell>
          <cell r="P269">
            <v>1.17294372751315E-2</v>
          </cell>
        </row>
        <row r="270">
          <cell r="B270" t="str">
            <v>RHES-SHSTG-CHPWOD</v>
          </cell>
          <cell r="C270" t="str">
            <v>VAR_cap</v>
          </cell>
          <cell r="D270" t="str">
            <v>-</v>
          </cell>
          <cell r="E270">
            <v>3.5431557292858102E-3</v>
          </cell>
          <cell r="F270">
            <v>3.6198829906227696E-3</v>
          </cell>
          <cell r="G270">
            <v>3.7469910749254277E-3</v>
          </cell>
          <cell r="H270">
            <v>3.8246593171752481E-3</v>
          </cell>
          <cell r="I270">
            <v>5.0350575957892833E-3</v>
          </cell>
          <cell r="J270">
            <v>5.6757253537737121E-3</v>
          </cell>
          <cell r="K270">
            <v>5.9470310006897349E-3</v>
          </cell>
          <cell r="L270">
            <v>8.3599234938048772E-3</v>
          </cell>
          <cell r="M270">
            <v>6.881332879035338E-3</v>
          </cell>
          <cell r="N270">
            <v>1.1352215941957559E-2</v>
          </cell>
          <cell r="O270">
            <v>8.4792748652189765E-3</v>
          </cell>
          <cell r="P270">
            <v>1.9032210817862084E-2</v>
          </cell>
        </row>
        <row r="271">
          <cell r="B271" t="str">
            <v>ENUC_GOE_EXT</v>
          </cell>
          <cell r="C271" t="str">
            <v>VAR_fout</v>
          </cell>
          <cell r="D271" t="str">
            <v>ELC</v>
          </cell>
          <cell r="E271"/>
          <cell r="F271"/>
          <cell r="G271">
            <v>21.830373999756912</v>
          </cell>
          <cell r="H271">
            <v>24.009648178911583</v>
          </cell>
          <cell r="I271">
            <v>24.410633978744755</v>
          </cell>
          <cell r="J271"/>
          <cell r="K271"/>
          <cell r="L271"/>
        </row>
        <row r="272">
          <cell r="B272" t="str">
            <v>ENUC_GOE_EXT</v>
          </cell>
          <cell r="C272" t="str">
            <v>VAR_fin</v>
          </cell>
          <cell r="D272" t="str">
            <v>URN</v>
          </cell>
          <cell r="E272"/>
          <cell r="F272"/>
          <cell r="G272">
            <v>65.837559497173018</v>
          </cell>
          <cell r="H272">
            <v>72.409966063929332</v>
          </cell>
          <cell r="I272">
            <v>73.619286914517261</v>
          </cell>
          <cell r="J272"/>
          <cell r="K272"/>
          <cell r="L272"/>
        </row>
        <row r="273">
          <cell r="B273" t="str">
            <v>ENUC_GOE_EXT</v>
          </cell>
          <cell r="C273" t="str">
            <v>VAR_ncap</v>
          </cell>
          <cell r="D273" t="str">
            <v>-</v>
          </cell>
          <cell r="E273"/>
          <cell r="F273"/>
          <cell r="G273">
            <v>0.82972363600144505</v>
          </cell>
          <cell r="H273"/>
          <cell r="I273"/>
          <cell r="J273"/>
          <cell r="K273"/>
          <cell r="L273"/>
        </row>
        <row r="274">
          <cell r="B274" t="str">
            <v>ENUC_GOE_EXT</v>
          </cell>
          <cell r="C274" t="str">
            <v>VAR_cap</v>
          </cell>
          <cell r="D274" t="str">
            <v>-</v>
          </cell>
          <cell r="E274"/>
          <cell r="F274"/>
          <cell r="G274">
            <v>0.82972363600144505</v>
          </cell>
          <cell r="H274">
            <v>0.82972336153561965</v>
          </cell>
          <cell r="I274">
            <v>0.82972307549955382</v>
          </cell>
          <cell r="J274"/>
          <cell r="K274"/>
          <cell r="L274"/>
        </row>
        <row r="275">
          <cell r="B275" t="str">
            <v>ESOL-PV_A</v>
          </cell>
          <cell r="C275" t="str">
            <v>VAR_fout</v>
          </cell>
          <cell r="D275" t="str">
            <v>ELC35</v>
          </cell>
          <cell r="E275"/>
          <cell r="F275"/>
          <cell r="G275"/>
          <cell r="H275">
            <v>1.5419053390284458E-3</v>
          </cell>
          <cell r="I275">
            <v>5.7469034008938756E-3</v>
          </cell>
          <cell r="J275">
            <v>5.7603850923866997E-3</v>
          </cell>
          <cell r="K275">
            <v>5.7717851692876722E-3</v>
          </cell>
          <cell r="L275">
            <v>5.7868603956541427E-3</v>
          </cell>
          <cell r="M275">
            <v>5.8160099224802064E-3</v>
          </cell>
          <cell r="N275">
            <v>5.8251353285231847E-3</v>
          </cell>
          <cell r="O275">
            <v>7.9763544901370401E-3</v>
          </cell>
          <cell r="P275">
            <v>1.819892531519117E-2</v>
          </cell>
        </row>
        <row r="276">
          <cell r="B276" t="str">
            <v>ESOL-PV_A</v>
          </cell>
          <cell r="C276" t="str">
            <v>VAR_fin</v>
          </cell>
          <cell r="D276" t="str">
            <v>SOL</v>
          </cell>
          <cell r="E276"/>
          <cell r="F276"/>
          <cell r="G276"/>
          <cell r="H276">
            <v>1.5419053390284458E-3</v>
          </cell>
          <cell r="I276">
            <v>5.7469034008938756E-3</v>
          </cell>
          <cell r="J276">
            <v>5.7603850923866997E-3</v>
          </cell>
          <cell r="K276">
            <v>5.7717851692876722E-3</v>
          </cell>
          <cell r="L276">
            <v>5.7868603956541427E-3</v>
          </cell>
          <cell r="M276">
            <v>5.8160099224802064E-3</v>
          </cell>
          <cell r="N276">
            <v>5.8251353285231847E-3</v>
          </cell>
          <cell r="O276">
            <v>7.9763544901370401E-3</v>
          </cell>
          <cell r="P276">
            <v>1.819892531519117E-2</v>
          </cell>
        </row>
        <row r="277">
          <cell r="B277" t="str">
            <v>ESOL-PV_A</v>
          </cell>
          <cell r="C277" t="str">
            <v>VAR_fin</v>
          </cell>
          <cell r="D277" t="str">
            <v>SOLPVC</v>
          </cell>
          <cell r="E277"/>
          <cell r="F277"/>
          <cell r="G277"/>
          <cell r="H277">
            <v>1.5419053390284499E-3</v>
          </cell>
          <cell r="I277">
            <v>5.7469034008938696E-3</v>
          </cell>
          <cell r="J277">
            <v>5.7603850923866997E-3</v>
          </cell>
          <cell r="K277">
            <v>5.7717851692876696E-3</v>
          </cell>
          <cell r="L277">
            <v>5.7868603956541401E-3</v>
          </cell>
          <cell r="M277">
            <v>5.8160099224802099E-3</v>
          </cell>
          <cell r="N277">
            <v>5.8251353285231804E-3</v>
          </cell>
          <cell r="O277">
            <v>7.9763544901370401E-3</v>
          </cell>
          <cell r="P277">
            <v>1.8198925315191201E-2</v>
          </cell>
        </row>
        <row r="278">
          <cell r="B278" t="str">
            <v>ESOL-PV_A</v>
          </cell>
          <cell r="C278" t="str">
            <v>VAR_ncap</v>
          </cell>
          <cell r="D278" t="str">
            <v>-</v>
          </cell>
          <cell r="E278"/>
          <cell r="F278"/>
          <cell r="G278"/>
          <cell r="H278">
            <v>8.3355711286351504E-4</v>
          </cell>
          <cell r="I278">
            <v>2.8537277348171402E-6</v>
          </cell>
          <cell r="J278">
            <v>1.31712816288524E-6</v>
          </cell>
          <cell r="K278">
            <v>2.64430310199522E-6</v>
          </cell>
          <cell r="L278">
            <v>7.2766935973562804E-6</v>
          </cell>
          <cell r="M278">
            <v>8.32689254746321E-4</v>
          </cell>
          <cell r="N278">
            <v>4.9914221388294799E-5</v>
          </cell>
          <cell r="O278">
            <v>1.75170967473851E-3</v>
          </cell>
        </row>
        <row r="279">
          <cell r="B279" t="str">
            <v>ESOL-PV_A</v>
          </cell>
          <cell r="C279" t="str">
            <v>VAR_cap</v>
          </cell>
          <cell r="D279" t="str">
            <v>-</v>
          </cell>
          <cell r="E279"/>
          <cell r="F279"/>
          <cell r="G279"/>
          <cell r="H279">
            <v>2.23646077500453E-4</v>
          </cell>
          <cell r="I279">
            <v>8.3355711286351504E-4</v>
          </cell>
          <cell r="J279">
            <v>8.3581156651251702E-4</v>
          </cell>
          <cell r="K279">
            <v>8.3814193433186495E-4</v>
          </cell>
          <cell r="L279">
            <v>8.4037227186321199E-4</v>
          </cell>
          <cell r="M279">
            <v>8.4520719959927098E-4</v>
          </cell>
          <cell r="N279">
            <v>8.4678110734337498E-4</v>
          </cell>
          <cell r="O279">
            <v>1.1595300560818299E-3</v>
          </cell>
          <cell r="P279">
            <v>2.6442341475724699E-3</v>
          </cell>
        </row>
        <row r="280">
          <cell r="B280" t="str">
            <v>G-INTC-IND</v>
          </cell>
          <cell r="C280" t="str">
            <v>VAR_fout</v>
          </cell>
          <cell r="D280" t="str">
            <v>ELC35</v>
          </cell>
          <cell r="E280">
            <v>1.2214325723603153E-2</v>
          </cell>
          <cell r="F280">
            <v>4.6405064363475006E-3</v>
          </cell>
          <cell r="G280">
            <v>5.0072221980088484E-3</v>
          </cell>
          <cell r="H280">
            <v>2.0243653020835493E-3</v>
          </cell>
          <cell r="I280">
            <v>5.3089603679979365E-3</v>
          </cell>
          <cell r="J280">
            <v>3.8594982028393012E-3</v>
          </cell>
          <cell r="K280">
            <v>4.871659803983827E-3</v>
          </cell>
          <cell r="L280">
            <v>9.1283068014060102E-3</v>
          </cell>
          <cell r="M280">
            <v>5.5199647565649058E-3</v>
          </cell>
          <cell r="N280">
            <v>1.0930679602948214E-2</v>
          </cell>
          <cell r="O280">
            <v>8.3435207710089963E-3</v>
          </cell>
          <cell r="P280">
            <v>1.8491700634088361E-2</v>
          </cell>
        </row>
        <row r="281">
          <cell r="B281" t="str">
            <v>G-INTC-IND</v>
          </cell>
          <cell r="C281" t="str">
            <v>VAR_fout</v>
          </cell>
          <cell r="D281" t="str">
            <v>ITOT_ELC</v>
          </cell>
          <cell r="E281">
            <v>55.843201940323688</v>
          </cell>
          <cell r="F281">
            <v>57.481983385606938</v>
          </cell>
          <cell r="G281">
            <v>52.915647817922157</v>
          </cell>
          <cell r="H281">
            <v>52.016504717772953</v>
          </cell>
          <cell r="I281">
            <v>50.911661146698023</v>
          </cell>
          <cell r="J281">
            <v>51.000847701712232</v>
          </cell>
          <cell r="K281">
            <v>49.99639534018231</v>
          </cell>
          <cell r="L281">
            <v>49.196758122703052</v>
          </cell>
          <cell r="M281">
            <v>48.909898116555475</v>
          </cell>
          <cell r="N281">
            <v>50.127649683489288</v>
          </cell>
          <cell r="O281">
            <v>47.799135744481546</v>
          </cell>
          <cell r="P281">
            <v>47.228915847084636</v>
          </cell>
        </row>
        <row r="282">
          <cell r="B282" t="str">
            <v>G-INTC-IND</v>
          </cell>
          <cell r="C282" t="str">
            <v>VAR_fout</v>
          </cell>
          <cell r="D282" t="str">
            <v>ELC13</v>
          </cell>
          <cell r="E282">
            <v>1.1749754343102634E-2</v>
          </cell>
          <cell r="F282">
            <v>3.2860502265764104E-3</v>
          </cell>
          <cell r="G282">
            <v>3.700675547468345E-3</v>
          </cell>
          <cell r="H282">
            <v>1.5407183350732345E-3</v>
          </cell>
          <cell r="I282">
            <v>3.7998557475608808E-3</v>
          </cell>
          <cell r="J282">
            <v>2.9679769465069989E-3</v>
          </cell>
          <cell r="K282">
            <v>3.6476563114139055E-3</v>
          </cell>
          <cell r="L282">
            <v>7.2505035654831492E-3</v>
          </cell>
          <cell r="M282">
            <v>4.2339680278987556E-3</v>
          </cell>
          <cell r="N282">
            <v>8.4690783984337908E-3</v>
          </cell>
          <cell r="O282">
            <v>6.5228658917034768E-3</v>
          </cell>
          <cell r="P282">
            <v>1.4343721533271656E-2</v>
          </cell>
        </row>
        <row r="283">
          <cell r="B283" t="str">
            <v>G-INTC-IND</v>
          </cell>
          <cell r="C283" t="str">
            <v>VAR_fin</v>
          </cell>
          <cell r="D283" t="str">
            <v>ELC3</v>
          </cell>
          <cell r="E283">
            <v>25.771839664298074</v>
          </cell>
          <cell r="F283">
            <v>57.480238795058277</v>
          </cell>
          <cell r="G283">
            <v>52.91029299574619</v>
          </cell>
          <cell r="H283">
            <v>23.83339455809563</v>
          </cell>
          <cell r="I283">
            <v>50.909593784380689</v>
          </cell>
          <cell r="J283">
            <v>23.167539195329471</v>
          </cell>
          <cell r="K283">
            <v>49.993648220664582</v>
          </cell>
          <cell r="L283">
            <v>22.208592618261957</v>
          </cell>
          <cell r="M283">
            <v>48.905857269789976</v>
          </cell>
          <cell r="N283">
            <v>50.12002834983641</v>
          </cell>
          <cell r="O283">
            <v>47.794083051197013</v>
          </cell>
          <cell r="P283">
            <v>47.218008539558362</v>
          </cell>
        </row>
        <row r="284">
          <cell r="B284" t="str">
            <v>G-INTC-IND</v>
          </cell>
          <cell r="C284" t="str">
            <v>VAR_fin</v>
          </cell>
          <cell r="D284" t="str">
            <v>ELC5</v>
          </cell>
          <cell r="E284">
            <v>30.095245540037904</v>
          </cell>
          <cell r="F284">
            <v>9.5976004500708586E-3</v>
          </cell>
          <cell r="G284">
            <v>1.4000497785405425E-2</v>
          </cell>
          <cell r="H284">
            <v>28.186654931152031</v>
          </cell>
          <cell r="I284">
            <v>1.1153559191484802E-2</v>
          </cell>
          <cell r="J284">
            <v>27.840135981532072</v>
          </cell>
          <cell r="K284">
            <v>1.1227315348164357E-2</v>
          </cell>
          <cell r="L284">
            <v>27.004544314808001</v>
          </cell>
          <cell r="M284">
            <v>1.3747377068948945E-2</v>
          </cell>
          <cell r="N284">
            <v>2.6966601705172566E-2</v>
          </cell>
          <cell r="O284">
            <v>1.9868084738912373E-2</v>
          </cell>
          <cell r="P284">
            <v>4.3689644589184014E-2</v>
          </cell>
        </row>
        <row r="285">
          <cell r="B285" t="str">
            <v>G-INTC-IND</v>
          </cell>
          <cell r="C285" t="str">
            <v>VAR_ncap</v>
          </cell>
          <cell r="D285" t="str">
            <v>-</v>
          </cell>
          <cell r="E285">
            <v>7.7857605754859001E-7</v>
          </cell>
          <cell r="F285">
            <v>6.8217041267122304E-7</v>
          </cell>
          <cell r="G285">
            <v>6.9032662794997403E-7</v>
          </cell>
          <cell r="H285">
            <v>7.8068979255856002E-7</v>
          </cell>
          <cell r="I285">
            <v>1.60265440317353E-6</v>
          </cell>
          <cell r="J285">
            <v>1.7555211588005599E-6</v>
          </cell>
          <cell r="K285">
            <v>3.9973546874119999E-6</v>
          </cell>
          <cell r="L285">
            <v>2.86275554436278E-6</v>
          </cell>
          <cell r="M285">
            <v>7.2627892182493697E-6</v>
          </cell>
          <cell r="N285">
            <v>1.4897757900516101E-5</v>
          </cell>
          <cell r="O285">
            <v>2.7724024057815501E-5</v>
          </cell>
        </row>
        <row r="286">
          <cell r="B286" t="str">
            <v>G-INTC-IND</v>
          </cell>
          <cell r="C286" t="str">
            <v>VAR_cap</v>
          </cell>
          <cell r="D286" t="str">
            <v>-</v>
          </cell>
          <cell r="E286">
            <v>4.4927373631622096</v>
          </cell>
          <cell r="F286">
            <v>4.492737616306222</v>
          </cell>
          <cell r="G286">
            <v>4.4927388239086801</v>
          </cell>
          <cell r="H286">
            <v>4.4927399437625102</v>
          </cell>
          <cell r="I286">
            <v>4.4927406808729291</v>
          </cell>
          <cell r="J286">
            <v>4.4927425738938407</v>
          </cell>
          <cell r="K286">
            <v>4.4927455777829888</v>
          </cell>
          <cell r="L286">
            <v>4.4927476504553496</v>
          </cell>
          <cell r="M286">
            <v>4.4927545091201093</v>
          </cell>
          <cell r="N286">
            <v>4.492761363646526</v>
          </cell>
          <cell r="O286">
            <v>4.4927860225707414</v>
          </cell>
          <cell r="P286">
            <v>4.4928003977820703</v>
          </cell>
        </row>
        <row r="287">
          <cell r="B287" t="str">
            <v>D-IH2R</v>
          </cell>
          <cell r="C287" t="str">
            <v>VAR_fout</v>
          </cell>
          <cell r="D287" t="str">
            <v>IH2</v>
          </cell>
          <cell r="E287"/>
          <cell r="F287"/>
          <cell r="G287"/>
          <cell r="H287">
            <v>2.4380459561570756E-3</v>
          </cell>
          <cell r="I287">
            <v>1.0828496610715633E-2</v>
          </cell>
          <cell r="J287">
            <v>1.5020540662714271E-2</v>
          </cell>
          <cell r="K287">
            <v>1.516755344760588E-2</v>
          </cell>
          <cell r="L287">
            <v>1.953161784784458E-2</v>
          </cell>
          <cell r="M287">
            <v>1.3548987677444885E-2</v>
          </cell>
          <cell r="N287">
            <v>2.6305748806672649E-2</v>
          </cell>
          <cell r="O287">
            <v>2.4620254843318201E-2</v>
          </cell>
          <cell r="P287">
            <v>0.10356011252353256</v>
          </cell>
        </row>
        <row r="288">
          <cell r="B288" t="str">
            <v>D-IH2R</v>
          </cell>
          <cell r="C288" t="str">
            <v>VAR_fin</v>
          </cell>
          <cell r="D288" t="str">
            <v>H2</v>
          </cell>
          <cell r="E288"/>
          <cell r="F288"/>
          <cell r="G288"/>
          <cell r="H288">
            <v>2.4380459561570756E-3</v>
          </cell>
          <cell r="I288">
            <v>1.0828496610715633E-2</v>
          </cell>
          <cell r="J288">
            <v>1.5020540662714271E-2</v>
          </cell>
          <cell r="K288">
            <v>1.516755344760588E-2</v>
          </cell>
          <cell r="L288">
            <v>1.953161784784458E-2</v>
          </cell>
          <cell r="M288">
            <v>1.3548987677444885E-2</v>
          </cell>
          <cell r="N288">
            <v>2.6305748806672649E-2</v>
          </cell>
          <cell r="O288">
            <v>2.4620254843318201E-2</v>
          </cell>
          <cell r="P288">
            <v>0.10356011252353256</v>
          </cell>
        </row>
        <row r="289">
          <cell r="B289" t="str">
            <v>D-IH2R</v>
          </cell>
          <cell r="C289" t="str">
            <v>VAR_ncap</v>
          </cell>
          <cell r="D289" t="str">
            <v>-</v>
          </cell>
          <cell r="E289"/>
          <cell r="F289"/>
          <cell r="G289"/>
          <cell r="H289">
            <v>4.2434350555057697E-4</v>
          </cell>
          <cell r="I289">
            <v>7.4085441494591605E-4</v>
          </cell>
          <cell r="J289">
            <v>1.03086680061386E-3</v>
          </cell>
          <cell r="K289">
            <v>1.1870432678953199E-3</v>
          </cell>
          <cell r="L289">
            <v>1.6489272415360601E-4</v>
          </cell>
          <cell r="M289">
            <v>5.2932212133194995E-4</v>
          </cell>
          <cell r="N289">
            <v>1.16852014645497E-3</v>
          </cell>
          <cell r="O289">
            <v>1.2903840082761401E-3</v>
          </cell>
          <cell r="P289">
            <v>5.4682712621010997E-3</v>
          </cell>
        </row>
        <row r="290">
          <cell r="B290" t="str">
            <v>D-IH2R</v>
          </cell>
          <cell r="C290" t="str">
            <v>VAR_cap</v>
          </cell>
          <cell r="D290" t="str">
            <v>-</v>
          </cell>
          <cell r="E290"/>
          <cell r="F290"/>
          <cell r="G290"/>
          <cell r="H290">
            <v>4.2434350555057697E-4</v>
          </cell>
          <cell r="I290">
            <v>1.06300841883299E-3</v>
          </cell>
          <cell r="J290">
            <v>1.18644395915703E-3</v>
          </cell>
          <cell r="K290">
            <v>1.1870432678953199E-3</v>
          </cell>
          <cell r="L290">
            <v>1.3519359920489201E-3</v>
          </cell>
          <cell r="M290">
            <v>7.6177107711776905E-4</v>
          </cell>
          <cell r="N290">
            <v>1.5703720388548299E-3</v>
          </cell>
          <cell r="O290">
            <v>1.49735454398555E-3</v>
          </cell>
          <cell r="P290">
            <v>6.7586552703772403E-3</v>
          </cell>
        </row>
        <row r="291">
          <cell r="B291" t="str">
            <v>ESOL-PV_E</v>
          </cell>
          <cell r="C291" t="str">
            <v>VAR_fout</v>
          </cell>
          <cell r="D291" t="str">
            <v>CELC_E</v>
          </cell>
          <cell r="E291"/>
          <cell r="F291"/>
          <cell r="G291"/>
          <cell r="H291">
            <v>9.5999116268050133E-5</v>
          </cell>
          <cell r="I291">
            <v>1.5449043518572245E-3</v>
          </cell>
          <cell r="J291">
            <v>3.8086617281489579E-3</v>
          </cell>
          <cell r="K291">
            <v>4.2648197424579194E-3</v>
          </cell>
          <cell r="L291">
            <v>4.3093690314670056E-3</v>
          </cell>
          <cell r="M291">
            <v>4.3104523394091746E-3</v>
          </cell>
          <cell r="N291">
            <v>4.3708184763266052E-3</v>
          </cell>
          <cell r="O291">
            <v>3.527246220313919E-3</v>
          </cell>
          <cell r="P291">
            <v>6.8291698200090923E-3</v>
          </cell>
        </row>
        <row r="292">
          <cell r="B292" t="str">
            <v>ESOL-PV_E</v>
          </cell>
          <cell r="C292" t="str">
            <v>VAR_fin</v>
          </cell>
          <cell r="D292" t="str">
            <v>SOL</v>
          </cell>
          <cell r="E292"/>
          <cell r="F292"/>
          <cell r="G292"/>
          <cell r="H292">
            <v>9.5999116268050133E-5</v>
          </cell>
          <cell r="I292">
            <v>1.5449043518572245E-3</v>
          </cell>
          <cell r="J292">
            <v>3.8086617281489579E-3</v>
          </cell>
          <cell r="K292">
            <v>4.2648197424579194E-3</v>
          </cell>
          <cell r="L292">
            <v>4.3093690314670056E-3</v>
          </cell>
          <cell r="M292">
            <v>4.3104523394091746E-3</v>
          </cell>
          <cell r="N292">
            <v>4.3708184763266052E-3</v>
          </cell>
          <cell r="O292">
            <v>3.527246220313919E-3</v>
          </cell>
          <cell r="P292">
            <v>6.8291698200090923E-3</v>
          </cell>
        </row>
        <row r="293">
          <cell r="B293" t="str">
            <v>ESOL-PV_E</v>
          </cell>
          <cell r="C293" t="str">
            <v>VAR_fin</v>
          </cell>
          <cell r="D293" t="str">
            <v>SOLPVC</v>
          </cell>
          <cell r="E293"/>
          <cell r="F293"/>
          <cell r="G293"/>
          <cell r="H293">
            <v>9.5999116268050106E-5</v>
          </cell>
          <cell r="I293">
            <v>1.5449043518572199E-3</v>
          </cell>
          <cell r="J293">
            <v>3.80866172814896E-3</v>
          </cell>
          <cell r="K293">
            <v>4.2648197424579202E-3</v>
          </cell>
          <cell r="L293">
            <v>4.3093690314670004E-3</v>
          </cell>
          <cell r="M293">
            <v>4.3104523394091702E-3</v>
          </cell>
          <cell r="N293">
            <v>4.3708184763266104E-3</v>
          </cell>
          <cell r="O293">
            <v>3.5272462203139198E-3</v>
          </cell>
          <cell r="P293">
            <v>6.8291698200091001E-3</v>
          </cell>
        </row>
        <row r="294">
          <cell r="B294" t="str">
            <v>ESOL-PV_E</v>
          </cell>
          <cell r="C294" t="str">
            <v>VAR_ncap</v>
          </cell>
          <cell r="D294" t="str">
            <v>-</v>
          </cell>
          <cell r="E294"/>
          <cell r="F294"/>
          <cell r="G294"/>
          <cell r="H294">
            <v>2.7682564103117201E-5</v>
          </cell>
          <cell r="I294">
            <v>4.1766830528056699E-4</v>
          </cell>
          <cell r="J294">
            <v>6.5473735657007605E-4</v>
          </cell>
          <cell r="K294">
            <v>1.31595378435395E-4</v>
          </cell>
          <cell r="L294">
            <v>1.37275493326104E-5</v>
          </cell>
          <cell r="M294">
            <v>8.8353054506122007E-6</v>
          </cell>
          <cell r="N294">
            <v>3.7526887040466002E-5</v>
          </cell>
          <cell r="O294">
            <v>2.0442383968530099E-4</v>
          </cell>
          <cell r="P294">
            <v>1.5817304409655E-3</v>
          </cell>
        </row>
        <row r="295">
          <cell r="B295" t="str">
            <v>ESOL-PV_E</v>
          </cell>
          <cell r="C295" t="str">
            <v>VAR_cap</v>
          </cell>
          <cell r="D295" t="str">
            <v>-</v>
          </cell>
          <cell r="E295"/>
          <cell r="F295"/>
          <cell r="G295"/>
          <cell r="H295">
            <v>2.7682564103117201E-5</v>
          </cell>
          <cell r="I295">
            <v>4.4535086938368398E-4</v>
          </cell>
          <cell r="J295">
            <v>1.10008822595376E-3</v>
          </cell>
          <cell r="K295">
            <v>1.2316836043891599E-3</v>
          </cell>
          <cell r="L295">
            <v>1.24541115372177E-3</v>
          </cell>
          <cell r="M295">
            <v>1.2468191374192801E-3</v>
          </cell>
          <cell r="N295">
            <v>1.2640907821097299E-3</v>
          </cell>
          <cell r="O295">
            <v>1.0223254166606701E-3</v>
          </cell>
          <cell r="P295">
            <v>1.9778394009098898E-3</v>
          </cell>
        </row>
        <row r="296">
          <cell r="B296" t="str">
            <v>EWSTINC</v>
          </cell>
          <cell r="C296" t="str">
            <v>VAR_fout</v>
          </cell>
          <cell r="D296" t="str">
            <v>ELC35</v>
          </cell>
          <cell r="E296">
            <v>6.5070003240065519</v>
          </cell>
          <cell r="F296">
            <v>7.3027688545081206</v>
          </cell>
          <cell r="G296">
            <v>8.1976625740838038</v>
          </cell>
          <cell r="H296">
            <v>7.3981494654182063</v>
          </cell>
          <cell r="I296">
            <v>7.4918692978135297</v>
          </cell>
          <cell r="J296">
            <v>7.6680336810107521</v>
          </cell>
          <cell r="K296">
            <v>7.8484703195242398</v>
          </cell>
          <cell r="L296">
            <v>8.0333276156353524</v>
          </cell>
          <cell r="M296">
            <v>8.0333011282872544</v>
          </cell>
          <cell r="N296">
            <v>8.0333205907047986</v>
          </cell>
          <cell r="O296">
            <v>8.0333263419412333</v>
          </cell>
          <cell r="P296">
            <v>8.0334617339208574</v>
          </cell>
        </row>
        <row r="297">
          <cell r="B297" t="str">
            <v>EWSTINC</v>
          </cell>
          <cell r="C297" t="str">
            <v>VAR_fout</v>
          </cell>
          <cell r="D297" t="str">
            <v>CO2_E</v>
          </cell>
          <cell r="E297">
            <v>1689.2932805357</v>
          </cell>
          <cell r="F297">
            <v>1895.88408497727</v>
          </cell>
          <cell r="G297">
            <v>2128.20894620334</v>
          </cell>
          <cell r="H297">
            <v>1920.64600553678</v>
          </cell>
          <cell r="I297">
            <v>1944.97676859734</v>
          </cell>
          <cell r="J297">
            <v>1990.7110999307499</v>
          </cell>
          <cell r="K297">
            <v>2037.55455864071</v>
          </cell>
          <cell r="L297">
            <v>2085.5456716926701</v>
          </cell>
          <cell r="M297">
            <v>2085.5387952677502</v>
          </cell>
          <cell r="N297">
            <v>2085.5438479386498</v>
          </cell>
          <cell r="O297">
            <v>2085.5453410268001</v>
          </cell>
          <cell r="P297">
            <v>2085.58049036598</v>
          </cell>
        </row>
        <row r="298">
          <cell r="B298" t="str">
            <v>EWSTINC</v>
          </cell>
          <cell r="C298" t="str">
            <v>VAR_fin</v>
          </cell>
          <cell r="D298" t="str">
            <v>EWST</v>
          </cell>
          <cell r="E298">
            <v>18.203591385082948</v>
          </cell>
          <cell r="F298">
            <v>20.429785398461942</v>
          </cell>
          <cell r="G298">
            <v>22.933286058225594</v>
          </cell>
          <cell r="H298">
            <v>20.696616438973969</v>
          </cell>
          <cell r="I298">
            <v>20.958801385747147</v>
          </cell>
          <cell r="J298">
            <v>21.451628232012443</v>
          </cell>
          <cell r="K298">
            <v>21.956406881904268</v>
          </cell>
          <cell r="L298">
            <v>22.473552496688228</v>
          </cell>
          <cell r="M298">
            <v>22.473478397281809</v>
          </cell>
          <cell r="N298">
            <v>22.473532844166499</v>
          </cell>
          <cell r="O298">
            <v>22.47354893347844</v>
          </cell>
          <cell r="P298">
            <v>22.473927697909236</v>
          </cell>
        </row>
        <row r="299">
          <cell r="B299" t="str">
            <v>EWSTINC</v>
          </cell>
          <cell r="C299" t="str">
            <v>VAR_ncap</v>
          </cell>
          <cell r="D299" t="str">
            <v>-</v>
          </cell>
          <cell r="E299"/>
          <cell r="F299">
            <v>9.3564672661659898E-7</v>
          </cell>
          <cell r="G299">
            <v>1.29119006573063E-6</v>
          </cell>
          <cell r="H299">
            <v>5.41319671432237E-2</v>
          </cell>
          <cell r="I299">
            <v>0.104462253534509</v>
          </cell>
          <cell r="J299">
            <v>3.0522367872524599E-2</v>
          </cell>
          <cell r="K299">
            <v>7.8070067444292998E-2</v>
          </cell>
          <cell r="L299">
            <v>2.7760646164457298E-2</v>
          </cell>
          <cell r="M299">
            <v>1.9268129019683E-2</v>
          </cell>
          <cell r="N299">
            <v>3.9625624145459198E-2</v>
          </cell>
          <cell r="O299">
            <v>9.8281891151433404E-2</v>
          </cell>
          <cell r="P299">
            <v>4.85509987697628E-2</v>
          </cell>
        </row>
        <row r="300">
          <cell r="B300" t="str">
            <v>EWSTINC</v>
          </cell>
          <cell r="C300" t="str">
            <v>VAR_cap</v>
          </cell>
          <cell r="D300" t="str">
            <v>-</v>
          </cell>
          <cell r="E300">
            <v>0.30582980593205411</v>
          </cell>
          <cell r="F300">
            <v>0.30582257320788042</v>
          </cell>
          <cell r="G300">
            <v>0.30582026605086676</v>
          </cell>
          <cell r="H300">
            <v>0.27599316078435493</v>
          </cell>
          <cell r="I300">
            <v>0.27949030348622467</v>
          </cell>
          <cell r="J300">
            <v>0.28606244916389251</v>
          </cell>
          <cell r="K300">
            <v>0.29279348083188733</v>
          </cell>
          <cell r="L300">
            <v>0.29969331235072549</v>
          </cell>
          <cell r="M300">
            <v>0.29968908693363822</v>
          </cell>
          <cell r="N300">
            <v>0.2997056310141773</v>
          </cell>
          <cell r="O300">
            <v>0.30724872100363154</v>
          </cell>
          <cell r="P300">
            <v>0.31155324382310706</v>
          </cell>
        </row>
        <row r="301">
          <cell r="B301" t="str">
            <v>D-IBIO</v>
          </cell>
          <cell r="C301" t="str">
            <v>VAR_fout</v>
          </cell>
          <cell r="D301" t="str">
            <v>IBIO</v>
          </cell>
          <cell r="E301">
            <v>0.43673250724134999</v>
          </cell>
          <cell r="F301">
            <v>0.55206681675810632</v>
          </cell>
          <cell r="G301">
            <v>0.94316394259104497</v>
          </cell>
          <cell r="H301">
            <v>2.213304513261495</v>
          </cell>
          <cell r="I301">
            <v>3.6998932688499142</v>
          </cell>
          <cell r="J301">
            <v>5.7402395984733579</v>
          </cell>
          <cell r="K301">
            <v>5.7784905950642838</v>
          </cell>
          <cell r="L301">
            <v>5.7790548681008715</v>
          </cell>
          <cell r="M301">
            <v>5.8435577045222322</v>
          </cell>
          <cell r="N301">
            <v>6.1410178062606571</v>
          </cell>
          <cell r="O301">
            <v>6.141182430819244</v>
          </cell>
          <cell r="P301">
            <v>6.1533309885965624</v>
          </cell>
        </row>
        <row r="302">
          <cell r="B302" t="str">
            <v>D-IBIO</v>
          </cell>
          <cell r="C302" t="str">
            <v>VAR_fin</v>
          </cell>
          <cell r="D302" t="str">
            <v>BIO</v>
          </cell>
          <cell r="E302">
            <v>0.43673250724134999</v>
          </cell>
          <cell r="F302">
            <v>0.55206681675810632</v>
          </cell>
          <cell r="G302">
            <v>0.94316394259104497</v>
          </cell>
          <cell r="H302">
            <v>2.213304513261495</v>
          </cell>
          <cell r="I302">
            <v>3.6998932688499142</v>
          </cell>
          <cell r="J302">
            <v>5.7402395984733579</v>
          </cell>
          <cell r="K302">
            <v>5.7784905950642838</v>
          </cell>
          <cell r="L302">
            <v>5.7790548681008715</v>
          </cell>
          <cell r="M302">
            <v>5.8435577045222322</v>
          </cell>
          <cell r="N302">
            <v>6.1410178062606571</v>
          </cell>
          <cell r="O302">
            <v>6.141182430819244</v>
          </cell>
          <cell r="P302">
            <v>6.1533309885965624</v>
          </cell>
        </row>
        <row r="303">
          <cell r="B303" t="str">
            <v>D-EWOD</v>
          </cell>
          <cell r="C303" t="str">
            <v>VAR_fout</v>
          </cell>
          <cell r="D303" t="str">
            <v>EWOD</v>
          </cell>
          <cell r="E303">
            <v>3.6084950591650005</v>
          </cell>
          <cell r="F303">
            <v>1.9814074275992475</v>
          </cell>
          <cell r="G303">
            <v>4.1573630758165798</v>
          </cell>
          <cell r="H303">
            <v>5.0444361719712765</v>
          </cell>
          <cell r="I303">
            <v>5.2870720137418887</v>
          </cell>
          <cell r="J303">
            <v>4.9711741447689377</v>
          </cell>
          <cell r="K303">
            <v>3.128216237894454</v>
          </cell>
          <cell r="L303">
            <v>1.9967926162809997</v>
          </cell>
          <cell r="M303">
            <v>1.2836248639336456</v>
          </cell>
          <cell r="N303">
            <v>1.4158047065168511</v>
          </cell>
          <cell r="O303">
            <v>1.3631906344245759</v>
          </cell>
          <cell r="P303">
            <v>1.1993433353964589</v>
          </cell>
        </row>
        <row r="304">
          <cell r="B304" t="str">
            <v>D-EWOD</v>
          </cell>
          <cell r="C304" t="str">
            <v>VAR_fin</v>
          </cell>
          <cell r="D304" t="str">
            <v>WOD</v>
          </cell>
          <cell r="E304">
            <v>3.6084950591650005</v>
          </cell>
          <cell r="F304">
            <v>1.9814074275992475</v>
          </cell>
          <cell r="G304">
            <v>4.1573630758165798</v>
          </cell>
          <cell r="H304">
            <v>5.0444361719712765</v>
          </cell>
          <cell r="I304">
            <v>5.2870720137418887</v>
          </cell>
          <cell r="J304">
            <v>4.9711741447689377</v>
          </cell>
          <cell r="K304">
            <v>3.128216237894454</v>
          </cell>
          <cell r="L304">
            <v>1.9967926162809997</v>
          </cell>
          <cell r="M304">
            <v>1.2836248639336456</v>
          </cell>
          <cell r="N304">
            <v>1.4158047065168511</v>
          </cell>
          <cell r="O304">
            <v>1.3631906344245759</v>
          </cell>
          <cell r="P304">
            <v>1.1993433353964589</v>
          </cell>
        </row>
        <row r="305">
          <cell r="B305" t="str">
            <v>HPLWOD</v>
          </cell>
          <cell r="C305" t="str">
            <v>VAR_fout</v>
          </cell>
          <cell r="D305" t="str">
            <v>LTH</v>
          </cell>
          <cell r="E305">
            <v>1.3666093497075225</v>
          </cell>
          <cell r="F305">
            <v>1.2333625271226043</v>
          </cell>
          <cell r="G305">
            <v>1.0574640706360943</v>
          </cell>
          <cell r="H305">
            <v>0.81826870872943913</v>
          </cell>
          <cell r="I305">
            <v>0.68775047275913204</v>
          </cell>
          <cell r="J305">
            <v>0.53229966903497139</v>
          </cell>
          <cell r="K305">
            <v>0.41188910708057624</v>
          </cell>
          <cell r="L305">
            <v>0.31872786691897342</v>
          </cell>
          <cell r="M305">
            <v>0.24666658591098925</v>
          </cell>
          <cell r="N305">
            <v>0.19092487177836001</v>
          </cell>
          <cell r="O305">
            <v>0.14778721316502694</v>
          </cell>
          <cell r="P305">
            <v>0.11453400102077894</v>
          </cell>
        </row>
        <row r="306">
          <cell r="B306" t="str">
            <v>HPLWOD</v>
          </cell>
          <cell r="C306" t="str">
            <v>VAR_fin</v>
          </cell>
          <cell r="D306" t="str">
            <v>EWOD</v>
          </cell>
          <cell r="E306">
            <v>1.9522990710107471</v>
          </cell>
          <cell r="F306">
            <v>1.7619464673180054</v>
          </cell>
          <cell r="G306">
            <v>1.5106629580515629</v>
          </cell>
          <cell r="H306">
            <v>1.1689552981849136</v>
          </cell>
          <cell r="I306">
            <v>0.98250067537018837</v>
          </cell>
          <cell r="J306">
            <v>0.76042809862138783</v>
          </cell>
          <cell r="K306">
            <v>0.58841301011510827</v>
          </cell>
          <cell r="L306">
            <v>0.45532552416996169</v>
          </cell>
          <cell r="M306">
            <v>0.35238083701569872</v>
          </cell>
          <cell r="N306">
            <v>0.27274981682622879</v>
          </cell>
          <cell r="O306">
            <v>0.21112459023575278</v>
          </cell>
          <cell r="P306">
            <v>0.16362000145825575</v>
          </cell>
        </row>
        <row r="307">
          <cell r="B307" t="str">
            <v>HPLWOD</v>
          </cell>
          <cell r="C307" t="str">
            <v>VAR_ncap</v>
          </cell>
          <cell r="D307" t="str">
            <v>-</v>
          </cell>
          <cell r="E307">
            <v>0.173343839150148</v>
          </cell>
          <cell r="F307">
            <v>3.14766382686461E-6</v>
          </cell>
          <cell r="G307">
            <v>2.7031563995528001E-6</v>
          </cell>
          <cell r="H307">
            <v>2.5855103655171402E-6</v>
          </cell>
          <cell r="I307">
            <v>1.93813827731153E-5</v>
          </cell>
          <cell r="J307">
            <v>5.6308839550304402E-5</v>
          </cell>
          <cell r="K307">
            <v>5.2182699668028999E-2</v>
          </cell>
          <cell r="L307">
            <v>2.6464060854244999E-5</v>
          </cell>
          <cell r="M307">
            <v>1.7906566009482899E-5</v>
          </cell>
          <cell r="N307">
            <v>8.7069654197890795E-5</v>
          </cell>
          <cell r="O307">
            <v>1.92273417341145E-2</v>
          </cell>
          <cell r="P307">
            <v>2.73978192225125E-4</v>
          </cell>
        </row>
        <row r="308">
          <cell r="B308" t="str">
            <v>HPLWOD</v>
          </cell>
          <cell r="C308" t="str">
            <v>VAR_cap</v>
          </cell>
          <cell r="D308" t="str">
            <v>-</v>
          </cell>
          <cell r="E308">
            <v>0.173343839150148</v>
          </cell>
          <cell r="F308">
            <v>0.17334698681397501</v>
          </cell>
          <cell r="G308">
            <v>0.173349689970374</v>
          </cell>
          <cell r="H308">
            <v>0.17335227548074</v>
          </cell>
          <cell r="I308">
            <v>0.173371656863513</v>
          </cell>
          <cell r="J308">
            <v>7.1998419012772694E-2</v>
          </cell>
          <cell r="K308">
            <v>5.22606345467959E-2</v>
          </cell>
          <cell r="L308">
            <v>5.2284853951206599E-2</v>
          </cell>
          <cell r="M308">
            <v>5.2281801892773497E-2</v>
          </cell>
          <cell r="N308">
            <v>5.23141399490906E-2</v>
          </cell>
          <cell r="O308">
            <v>1.9358782015176101E-2</v>
          </cell>
          <cell r="P308">
            <v>1.9606296146546999E-2</v>
          </cell>
        </row>
        <row r="309">
          <cell r="B309" t="str">
            <v>ENGA-GTCC</v>
          </cell>
          <cell r="C309" t="str">
            <v>VAR_fout</v>
          </cell>
          <cell r="D309" t="str">
            <v>ELC13</v>
          </cell>
          <cell r="E309"/>
          <cell r="F309"/>
          <cell r="G309"/>
          <cell r="H309"/>
          <cell r="I309"/>
          <cell r="J309">
            <v>0.22564623675996853</v>
          </cell>
          <cell r="K309">
            <v>5.4851372657915425</v>
          </cell>
          <cell r="L309">
            <v>9.205906914622755</v>
          </cell>
          <cell r="M309">
            <v>9.7863337712048466</v>
          </cell>
          <cell r="N309">
            <v>11.444104531880349</v>
          </cell>
          <cell r="O309">
            <v>12.074432306558872</v>
          </cell>
          <cell r="P309">
            <v>10.974587627284787</v>
          </cell>
        </row>
        <row r="310">
          <cell r="B310" t="str">
            <v>ENGA-GTCC</v>
          </cell>
          <cell r="C310" t="str">
            <v>VAR_fout</v>
          </cell>
          <cell r="D310" t="str">
            <v>CO2_E</v>
          </cell>
          <cell r="E310"/>
          <cell r="F310"/>
          <cell r="G310"/>
          <cell r="H310"/>
          <cell r="I310"/>
          <cell r="J310">
            <v>21.146915608737199</v>
          </cell>
          <cell r="K310">
            <v>495.04098760099799</v>
          </cell>
          <cell r="L310">
            <v>827.86336599407696</v>
          </cell>
          <cell r="M310">
            <v>885.45571863177702</v>
          </cell>
          <cell r="N310">
            <v>1035.37203515478</v>
          </cell>
          <cell r="O310">
            <v>1092.47091430619</v>
          </cell>
          <cell r="P310">
            <v>993.15063825305197</v>
          </cell>
        </row>
        <row r="311">
          <cell r="B311" t="str">
            <v>ENGA-GTCC</v>
          </cell>
          <cell r="C311" t="str">
            <v>VAR_fin</v>
          </cell>
          <cell r="D311" t="str">
            <v>ENGA</v>
          </cell>
          <cell r="E311"/>
          <cell r="F311"/>
          <cell r="G311"/>
          <cell r="H311"/>
          <cell r="I311"/>
          <cell r="J311">
            <v>0.37494531221165284</v>
          </cell>
          <cell r="K311">
            <v>8.7773224751949943</v>
          </cell>
          <cell r="L311">
            <v>14.678428475072298</v>
          </cell>
          <cell r="M311">
            <v>15.699569479286813</v>
          </cell>
          <cell r="N311">
            <v>18.357660197779857</v>
          </cell>
          <cell r="O311">
            <v>19.37005167209557</v>
          </cell>
          <cell r="P311">
            <v>17.60905386973495</v>
          </cell>
        </row>
        <row r="312">
          <cell r="B312" t="str">
            <v>ENGA-GTCC</v>
          </cell>
          <cell r="C312" t="str">
            <v>VAR_fin</v>
          </cell>
          <cell r="D312" t="str">
            <v>GTC</v>
          </cell>
          <cell r="E312"/>
          <cell r="F312"/>
          <cell r="G312"/>
          <cell r="H312"/>
          <cell r="I312"/>
          <cell r="J312">
            <v>2.7192902948645001E-2</v>
          </cell>
          <cell r="K312">
            <v>0.24332220143475758</v>
          </cell>
          <cell r="L312">
            <v>0.42934053912932829</v>
          </cell>
          <cell r="M312">
            <v>0.58088696218157898</v>
          </cell>
          <cell r="N312">
            <v>0.67689171467030873</v>
          </cell>
          <cell r="O312">
            <v>0.7238488670898906</v>
          </cell>
          <cell r="P312">
            <v>0.657713511565308</v>
          </cell>
        </row>
        <row r="313">
          <cell r="B313" t="str">
            <v>ENGA-GTCC</v>
          </cell>
          <cell r="C313" t="str">
            <v>VAR_ncap</v>
          </cell>
          <cell r="D313" t="str">
            <v>-</v>
          </cell>
          <cell r="E313"/>
          <cell r="F313"/>
          <cell r="G313"/>
          <cell r="H313"/>
          <cell r="I313"/>
          <cell r="J313">
            <v>7.0585102034653097E-2</v>
          </cell>
          <cell r="K313">
            <v>0.35876179995211099</v>
          </cell>
          <cell r="L313">
            <v>3.4151872662852599E-2</v>
          </cell>
          <cell r="M313">
            <v>0.213379665289957</v>
          </cell>
          <cell r="N313">
            <v>1.3218999711145E-4</v>
          </cell>
          <cell r="O313">
            <v>0.167962134113431</v>
          </cell>
        </row>
        <row r="314">
          <cell r="B314" t="str">
            <v>ENGA-GTCC</v>
          </cell>
          <cell r="C314" t="str">
            <v>VAR_cap</v>
          </cell>
          <cell r="D314" t="str">
            <v>-</v>
          </cell>
          <cell r="E314"/>
          <cell r="F314"/>
          <cell r="G314"/>
          <cell r="H314"/>
          <cell r="I314"/>
          <cell r="J314">
            <v>2.7192902948645001E-2</v>
          </cell>
          <cell r="K314">
            <v>0.24332220143475852</v>
          </cell>
          <cell r="L314">
            <v>0.42934053912932868</v>
          </cell>
          <cell r="M314">
            <v>0.58088696218157898</v>
          </cell>
          <cell r="N314">
            <v>0.67689171467030906</v>
          </cell>
          <cell r="O314">
            <v>0.7238488670898916</v>
          </cell>
          <cell r="P314">
            <v>0.65771351156530844</v>
          </cell>
        </row>
        <row r="315">
          <cell r="B315" t="str">
            <v>D-SNGA</v>
          </cell>
          <cell r="C315" t="str">
            <v>VAR_fout</v>
          </cell>
          <cell r="D315" t="str">
            <v>CO2</v>
          </cell>
          <cell r="E315">
            <v>1524.15919213196</v>
          </cell>
          <cell r="F315">
            <v>1432.7620448882701</v>
          </cell>
          <cell r="G315">
            <v>1524.54496100598</v>
          </cell>
          <cell r="H315">
            <v>1849.4435701331399</v>
          </cell>
          <cell r="I315">
            <v>2147.46611237762</v>
          </cell>
          <cell r="J315">
            <v>2130.6666376345502</v>
          </cell>
          <cell r="K315">
            <v>2018.0712924880199</v>
          </cell>
          <cell r="L315">
            <v>1751.4615225247401</v>
          </cell>
          <cell r="M315">
            <v>1720.05876336798</v>
          </cell>
          <cell r="N315">
            <v>1697.88831491825</v>
          </cell>
          <cell r="O315">
            <v>1706.7495052457</v>
          </cell>
          <cell r="P315">
            <v>1680.6940304197799</v>
          </cell>
        </row>
        <row r="316">
          <cell r="B316" t="str">
            <v>D-SNGA</v>
          </cell>
          <cell r="C316" t="str">
            <v>VAR_fout</v>
          </cell>
          <cell r="D316" t="str">
            <v>SNGA</v>
          </cell>
          <cell r="E316">
            <v>27.239797721375464</v>
          </cell>
          <cell r="F316">
            <v>28.488503902189063</v>
          </cell>
          <cell r="G316">
            <v>27.007352148490895</v>
          </cell>
          <cell r="H316">
            <v>32.689011644219519</v>
          </cell>
          <cell r="I316">
            <v>37.956265342708761</v>
          </cell>
          <cell r="J316">
            <v>37.659358450478237</v>
          </cell>
          <cell r="K316">
            <v>35.669369272847298</v>
          </cell>
          <cell r="L316">
            <v>30.957260583202551</v>
          </cell>
          <cell r="M316">
            <v>30.402270094950214</v>
          </cell>
          <cell r="N316">
            <v>30.010376597130993</v>
          </cell>
          <cell r="O316">
            <v>30.166980733432077</v>
          </cell>
          <cell r="P316">
            <v>29.707776923959532</v>
          </cell>
        </row>
        <row r="317">
          <cell r="B317" t="str">
            <v>D-SNGA</v>
          </cell>
          <cell r="C317" t="str">
            <v>VAR_fout</v>
          </cell>
          <cell r="D317" t="str">
            <v>RSH2</v>
          </cell>
          <cell r="E317"/>
          <cell r="F317"/>
          <cell r="G317"/>
          <cell r="H317">
            <v>3.6451807185851862E-3</v>
          </cell>
          <cell r="I317">
            <v>8.2801105154599146E-3</v>
          </cell>
          <cell r="J317">
            <v>9.1215656519528423E-3</v>
          </cell>
          <cell r="K317">
            <v>9.0468416656881157E-3</v>
          </cell>
          <cell r="L317">
            <v>2.5961657586819537E-2</v>
          </cell>
          <cell r="M317">
            <v>2.3337044052933777E-2</v>
          </cell>
          <cell r="N317">
            <v>6.3641862947029421E-2</v>
          </cell>
          <cell r="O317">
            <v>7.2639436057445328E-2</v>
          </cell>
          <cell r="P317">
            <v>8.7024840694329919E-2</v>
          </cell>
        </row>
        <row r="318">
          <cell r="B318" t="str">
            <v>D-SNGA</v>
          </cell>
          <cell r="C318" t="str">
            <v>VAR_fin</v>
          </cell>
          <cell r="D318" t="str">
            <v>NGA</v>
          </cell>
          <cell r="E318">
            <v>27.02409915127587</v>
          </cell>
          <cell r="F318">
            <v>25.403582356174955</v>
          </cell>
          <cell r="G318">
            <v>27.030939024928649</v>
          </cell>
          <cell r="H318">
            <v>32.791552661935043</v>
          </cell>
          <cell r="I318">
            <v>38.075640290383241</v>
          </cell>
          <cell r="J318">
            <v>37.777777263023914</v>
          </cell>
          <cell r="K318">
            <v>35.781405895177734</v>
          </cell>
          <cell r="L318">
            <v>31.054282314268477</v>
          </cell>
          <cell r="M318">
            <v>30.497495804396888</v>
          </cell>
          <cell r="N318">
            <v>30.104402746777588</v>
          </cell>
          <cell r="O318">
            <v>30.261516050455725</v>
          </cell>
          <cell r="P318">
            <v>29.799539546449918</v>
          </cell>
        </row>
        <row r="319">
          <cell r="B319" t="str">
            <v>D-SNGA</v>
          </cell>
          <cell r="C319" t="str">
            <v>VAR_fin</v>
          </cell>
          <cell r="D319" t="str">
            <v>BNGA</v>
          </cell>
          <cell r="E319">
            <v>0.30271936147516754</v>
          </cell>
          <cell r="F319">
            <v>3.1759314786146451</v>
          </cell>
          <cell r="G319">
            <v>6.2691339757528358E-2</v>
          </cell>
          <cell r="H319">
            <v>1.9247272588335104E-3</v>
          </cell>
          <cell r="I319">
            <v>1.931454118199007E-3</v>
          </cell>
          <cell r="J319">
            <v>1.9434390779299946E-3</v>
          </cell>
          <cell r="K319">
            <v>1.9557848005509063E-3</v>
          </cell>
          <cell r="L319">
            <v>1.9848517369181595E-3</v>
          </cell>
          <cell r="M319">
            <v>1.9908995693442293E-3</v>
          </cell>
          <cell r="N319">
            <v>2.0721815649323004E-3</v>
          </cell>
          <cell r="O319">
            <v>2.1019161777058931E-3</v>
          </cell>
          <cell r="P319">
            <v>3.4472845627768456E-3</v>
          </cell>
        </row>
        <row r="320">
          <cell r="B320" t="str">
            <v>D-SNGA</v>
          </cell>
          <cell r="C320" t="str">
            <v>VAR_fin</v>
          </cell>
          <cell r="D320" t="str">
            <v>H2</v>
          </cell>
          <cell r="E320"/>
          <cell r="F320"/>
          <cell r="G320"/>
          <cell r="H320">
            <v>3.6425610885852497E-3</v>
          </cell>
          <cell r="I320">
            <v>8.2767844990257744E-3</v>
          </cell>
          <cell r="J320">
            <v>9.1142345062576353E-3</v>
          </cell>
          <cell r="K320">
            <v>9.0395105199929313E-3</v>
          </cell>
          <cell r="L320">
            <v>2.5950137215013203E-2</v>
          </cell>
          <cell r="M320">
            <v>2.3329712907238752E-2</v>
          </cell>
          <cell r="N320">
            <v>6.3637673720918261E-2</v>
          </cell>
          <cell r="O320">
            <v>7.2635246831333419E-2</v>
          </cell>
          <cell r="P320">
            <v>8.7001799950717218E-2</v>
          </cell>
        </row>
        <row r="321">
          <cell r="B321" t="str">
            <v>D-SNGA</v>
          </cell>
          <cell r="C321" t="str">
            <v>VAR_ncap</v>
          </cell>
          <cell r="D321" t="str">
            <v>-</v>
          </cell>
          <cell r="E321">
            <v>6.9048118777049605E-7</v>
          </cell>
          <cell r="F321">
            <v>6.3919311859975097E-7</v>
          </cell>
          <cell r="G321">
            <v>8.4249781315238905E-7</v>
          </cell>
          <cell r="H321">
            <v>9.7946615750462798E-7</v>
          </cell>
          <cell r="I321">
            <v>1.3692380806549699E-6</v>
          </cell>
          <cell r="J321">
            <v>3.1678796688097801E-6</v>
          </cell>
          <cell r="K321">
            <v>4.9525938258944996E-6</v>
          </cell>
          <cell r="L321">
            <v>1.2201954148681</v>
          </cell>
          <cell r="M321">
            <v>0.44584295341476099</v>
          </cell>
          <cell r="N321">
            <v>4.2497087451886102E-5</v>
          </cell>
          <cell r="O321">
            <v>1.14460273480178E-5</v>
          </cell>
          <cell r="P321">
            <v>1.3952264000169099E-4</v>
          </cell>
        </row>
        <row r="322">
          <cell r="B322" t="str">
            <v>D-SNGA</v>
          </cell>
          <cell r="C322" t="str">
            <v>VAR_cap</v>
          </cell>
          <cell r="D322" t="str">
            <v>-</v>
          </cell>
          <cell r="E322">
            <v>2.235052892106328</v>
          </cell>
          <cell r="F322">
            <v>2.2350535312994464</v>
          </cell>
          <cell r="G322">
            <v>2.2350543737972597</v>
          </cell>
          <cell r="H322">
            <v>2.2350553532634172</v>
          </cell>
          <cell r="I322">
            <v>2.2350567225014979</v>
          </cell>
          <cell r="J322">
            <v>2.2350598903811667</v>
          </cell>
          <cell r="K322">
            <v>2.2350648429749924</v>
          </cell>
          <cell r="L322">
            <v>1.9836957138073661</v>
          </cell>
          <cell r="M322">
            <v>1.6660510096327199</v>
          </cell>
          <cell r="N322">
            <v>1.6660926835981</v>
          </cell>
          <cell r="O322">
            <v>1.66610261929605</v>
          </cell>
          <cell r="P322">
            <v>1.6662413237492399</v>
          </cell>
        </row>
        <row r="323">
          <cell r="B323" t="str">
            <v>RHES-CHPWOD</v>
          </cell>
          <cell r="C323" t="str">
            <v>VAR_fout</v>
          </cell>
          <cell r="D323" t="str">
            <v>RHES_KEV_WOD_ELC_CHP</v>
          </cell>
          <cell r="E323"/>
          <cell r="F323"/>
          <cell r="G323"/>
          <cell r="H323">
            <v>1.5266807176140631E-3</v>
          </cell>
          <cell r="I323">
            <v>2.794425299201448E-3</v>
          </cell>
          <cell r="J323">
            <v>2.8963851837862141E-3</v>
          </cell>
          <cell r="K323">
            <v>3.0888581652081673E-3</v>
          </cell>
          <cell r="L323">
            <v>4.9492237770755662E-3</v>
          </cell>
          <cell r="M323">
            <v>4.4503534823503044E-3</v>
          </cell>
          <cell r="N323">
            <v>5.4186694484442402E-3</v>
          </cell>
          <cell r="O323">
            <v>6.049660205631871E-3</v>
          </cell>
          <cell r="P323">
            <v>1.1375944557201631E-2</v>
          </cell>
        </row>
        <row r="324">
          <cell r="B324" t="str">
            <v>RHES-CHPWOD</v>
          </cell>
          <cell r="C324" t="str">
            <v>VAR_fout</v>
          </cell>
          <cell r="D324" t="str">
            <v>RHES_LTH_CHPWOD</v>
          </cell>
          <cell r="E324"/>
          <cell r="F324"/>
          <cell r="G324"/>
          <cell r="H324">
            <v>4.1213781400284049E-3</v>
          </cell>
          <cell r="I324">
            <v>7.3878782097486937E-3</v>
          </cell>
          <cell r="J324">
            <v>7.4958895550965863E-3</v>
          </cell>
          <cell r="K324">
            <v>7.8354012402825843E-3</v>
          </cell>
          <cell r="L324">
            <v>1.2300387058694344E-2</v>
          </cell>
          <cell r="M324">
            <v>1.1060536529884446E-2</v>
          </cell>
          <cell r="N324">
            <v>1.3467108088284814E-2</v>
          </cell>
          <cell r="O324">
            <v>1.5035319770249347E-2</v>
          </cell>
          <cell r="P324">
            <v>2.8272821661442283E-2</v>
          </cell>
        </row>
        <row r="325">
          <cell r="B325" t="str">
            <v>RHES-CHPWOD</v>
          </cell>
          <cell r="C325" t="str">
            <v>VAR_fin</v>
          </cell>
          <cell r="D325" t="str">
            <v>RWOD</v>
          </cell>
          <cell r="E325"/>
          <cell r="F325"/>
          <cell r="G325"/>
          <cell r="H325">
            <v>8.1352674586866111E-3</v>
          </cell>
          <cell r="I325">
            <v>1.3610038285900905E-2</v>
          </cell>
          <cell r="J325">
            <v>1.3768720033593546E-2</v>
          </cell>
          <cell r="K325">
            <v>1.491136822799586E-2</v>
          </cell>
          <cell r="L325">
            <v>2.5135157439456598E-2</v>
          </cell>
          <cell r="M325">
            <v>2.0152397179063444E-2</v>
          </cell>
          <cell r="N325">
            <v>2.657478996808544E-2</v>
          </cell>
          <cell r="O325">
            <v>2.8228790927978118E-2</v>
          </cell>
          <cell r="P325">
            <v>5.4955458268662487E-2</v>
          </cell>
        </row>
        <row r="326">
          <cell r="B326" t="str">
            <v>RHES-CHPWOD</v>
          </cell>
          <cell r="C326" t="str">
            <v>VAR_ncap</v>
          </cell>
          <cell r="D326" t="str">
            <v>-</v>
          </cell>
          <cell r="E326"/>
          <cell r="F326"/>
          <cell r="G326"/>
          <cell r="H326">
            <v>1.35823295870799E-4</v>
          </cell>
          <cell r="I326">
            <v>1.12906725569317E-4</v>
          </cell>
          <cell r="J326">
            <v>3.50749152828865E-5</v>
          </cell>
          <cell r="K326">
            <v>1.26987559422612E-4</v>
          </cell>
          <cell r="L326">
            <v>2.7859746017683598E-4</v>
          </cell>
          <cell r="M326">
            <v>2.12549297304848E-6</v>
          </cell>
          <cell r="N326">
            <v>2.0187490354249299E-4</v>
          </cell>
          <cell r="O326">
            <v>2.8593414536148902E-4</v>
          </cell>
          <cell r="P326">
            <v>5.2480709783438498E-4</v>
          </cell>
        </row>
        <row r="327">
          <cell r="B327" t="str">
            <v>RHES-CHPWOD</v>
          </cell>
          <cell r="C327" t="str">
            <v>VAR_cap</v>
          </cell>
          <cell r="D327" t="str">
            <v>-</v>
          </cell>
          <cell r="E327"/>
          <cell r="F327"/>
          <cell r="G327"/>
          <cell r="H327">
            <v>1.35823295870799E-4</v>
          </cell>
          <cell r="I327">
            <v>2.4868150772963037E-4</v>
          </cell>
          <cell r="J327">
            <v>2.5774480480215511E-4</v>
          </cell>
          <cell r="K327">
            <v>2.7476812719642049E-4</v>
          </cell>
          <cell r="L327">
            <v>4.403607589747879E-4</v>
          </cell>
          <cell r="M327">
            <v>3.9582927458062657E-4</v>
          </cell>
          <cell r="N327">
            <v>4.8222498724134619E-4</v>
          </cell>
          <cell r="O327">
            <v>5.3807197274529761E-4</v>
          </cell>
          <cell r="P327">
            <v>1.0121900663997471E-3</v>
          </cell>
        </row>
        <row r="328">
          <cell r="B328" t="str">
            <v>G-INTC-RES</v>
          </cell>
          <cell r="C328" t="str">
            <v>VAR_fout</v>
          </cell>
          <cell r="D328" t="str">
            <v>RHNS_ELC</v>
          </cell>
          <cell r="E328">
            <v>13.175546413761834</v>
          </cell>
          <cell r="F328">
            <v>15.368935123685267</v>
          </cell>
          <cell r="G328">
            <v>14.955539733452222</v>
          </cell>
          <cell r="H328">
            <v>14.938907377411232</v>
          </cell>
          <cell r="I328">
            <v>16.975268783644147</v>
          </cell>
          <cell r="J328">
            <v>16.94774443408954</v>
          </cell>
          <cell r="K328">
            <v>17.874079360745505</v>
          </cell>
          <cell r="L328">
            <v>18.92101620230213</v>
          </cell>
          <cell r="M328">
            <v>18.813054104121502</v>
          </cell>
          <cell r="N328">
            <v>20.591544516231306</v>
          </cell>
          <cell r="O328">
            <v>20.192598494662253</v>
          </cell>
          <cell r="P328">
            <v>21.698629691781179</v>
          </cell>
        </row>
        <row r="329">
          <cell r="B329" t="str">
            <v>G-INTC-RES</v>
          </cell>
          <cell r="C329" t="str">
            <v>VAR_fout</v>
          </cell>
          <cell r="D329" t="str">
            <v>ELC35</v>
          </cell>
          <cell r="E329">
            <v>46.294896693940984</v>
          </cell>
          <cell r="F329">
            <v>1.1732640266965178E-2</v>
          </cell>
          <cell r="G329">
            <v>1.5332065495320525E-2</v>
          </cell>
          <cell r="H329">
            <v>5.7293188394612355E-3</v>
          </cell>
          <cell r="I329">
            <v>1.1915190170562147E-2</v>
          </cell>
          <cell r="J329">
            <v>1.0970039018123502E-2</v>
          </cell>
          <cell r="K329">
            <v>1.1321470554399311E-2</v>
          </cell>
          <cell r="L329">
            <v>2.903888205878713E-2</v>
          </cell>
          <cell r="M329">
            <v>1.3598219848049011E-2</v>
          </cell>
          <cell r="N329">
            <v>2.6823595582623986E-2</v>
          </cell>
          <cell r="O329">
            <v>2.0590821238448923E-2</v>
          </cell>
          <cell r="P329">
            <v>4.4763694915410754E-2</v>
          </cell>
        </row>
        <row r="330">
          <cell r="B330" t="str">
            <v>G-INTC-RES</v>
          </cell>
          <cell r="C330" t="str">
            <v>VAR_fout</v>
          </cell>
          <cell r="D330" t="str">
            <v>RHES_ELC</v>
          </cell>
          <cell r="E330">
            <v>22.284868194930084</v>
          </cell>
          <cell r="F330">
            <v>18.967587900574081</v>
          </cell>
          <cell r="G330">
            <v>18.125001952790932</v>
          </cell>
          <cell r="H330">
            <v>16.068907811139891</v>
          </cell>
          <cell r="I330">
            <v>18.324716974270693</v>
          </cell>
          <cell r="J330">
            <v>17.29915574456626</v>
          </cell>
          <cell r="K330">
            <v>17.726106954280155</v>
          </cell>
          <cell r="L330">
            <v>17.642648975277822</v>
          </cell>
          <cell r="M330">
            <v>17.902232501909644</v>
          </cell>
          <cell r="N330">
            <v>18.886080898833963</v>
          </cell>
          <cell r="O330">
            <v>18.227531403981938</v>
          </cell>
          <cell r="P330">
            <v>19.705786495622164</v>
          </cell>
        </row>
        <row r="331">
          <cell r="B331" t="str">
            <v>G-INTC-RES</v>
          </cell>
          <cell r="C331" t="str">
            <v>VAR_fout</v>
          </cell>
          <cell r="D331" t="str">
            <v>RHNM_ELC</v>
          </cell>
          <cell r="E331">
            <v>11.837166144933859</v>
          </cell>
          <cell r="F331">
            <v>13.9198647953173</v>
          </cell>
          <cell r="G331">
            <v>14.5972391862945</v>
          </cell>
          <cell r="H331">
            <v>14.163886613880903</v>
          </cell>
          <cell r="I331">
            <v>16.033476384664802</v>
          </cell>
          <cell r="J331">
            <v>15.866909351459592</v>
          </cell>
          <cell r="K331">
            <v>16.649715421491873</v>
          </cell>
          <cell r="L331">
            <v>16.981848616150018</v>
          </cell>
          <cell r="M331">
            <v>17.582506281005902</v>
          </cell>
          <cell r="N331">
            <v>18.590997365973404</v>
          </cell>
          <cell r="O331">
            <v>18.458193410275001</v>
          </cell>
          <cell r="P331">
            <v>20.140026329046723</v>
          </cell>
        </row>
        <row r="332">
          <cell r="B332" t="str">
            <v>G-INTC-RES</v>
          </cell>
          <cell r="C332" t="str">
            <v>VAR_fout</v>
          </cell>
          <cell r="D332" t="str">
            <v>RHEM_ELC</v>
          </cell>
          <cell r="E332">
            <v>23.291712892430528</v>
          </cell>
          <cell r="F332">
            <v>19.776653928283377</v>
          </cell>
          <cell r="G332">
            <v>19.209851979165713</v>
          </cell>
          <cell r="H332">
            <v>17.4026778335557</v>
          </cell>
          <cell r="I332">
            <v>19.179708762389854</v>
          </cell>
          <cell r="J332">
            <v>19.001783795527484</v>
          </cell>
          <cell r="K332">
            <v>19.514206104140605</v>
          </cell>
          <cell r="L332">
            <v>19.659315801581531</v>
          </cell>
          <cell r="M332">
            <v>19.522319720102114</v>
          </cell>
          <cell r="N332">
            <v>20.532105679863427</v>
          </cell>
          <cell r="O332">
            <v>20.271271600138423</v>
          </cell>
          <cell r="P332">
            <v>21.792025028267894</v>
          </cell>
        </row>
        <row r="333">
          <cell r="B333" t="str">
            <v>G-INTC-RES</v>
          </cell>
          <cell r="C333" t="str">
            <v>VAR_fin</v>
          </cell>
          <cell r="D333" t="str">
            <v>ELC5</v>
          </cell>
          <cell r="E333">
            <v>116.88414230993966</v>
          </cell>
          <cell r="F333">
            <v>68.044774388126996</v>
          </cell>
          <cell r="G333">
            <v>66.902964917198673</v>
          </cell>
          <cell r="H333">
            <v>62.580108954827253</v>
          </cell>
          <cell r="I333">
            <v>70.525086095140097</v>
          </cell>
          <cell r="J333">
            <v>69.126563364661024</v>
          </cell>
          <cell r="K333">
            <v>71.775429311212548</v>
          </cell>
          <cell r="L333">
            <v>73.233868477370322</v>
          </cell>
          <cell r="M333">
            <v>73.833710826987257</v>
          </cell>
          <cell r="N333">
            <v>78.627552056484774</v>
          </cell>
          <cell r="O333">
            <v>77.170185730296083</v>
          </cell>
          <cell r="P333">
            <v>83.381231239633394</v>
          </cell>
        </row>
        <row r="334">
          <cell r="B334" t="str">
            <v>G-INTC-RES</v>
          </cell>
          <cell r="C334" t="str">
            <v>VAR_ncap</v>
          </cell>
          <cell r="D334" t="str">
            <v>-</v>
          </cell>
          <cell r="E334">
            <v>8.2110380290349594E-8</v>
          </cell>
          <cell r="F334">
            <v>8.8288811904363797E-8</v>
          </cell>
          <cell r="G334">
            <v>1.03235318886835E-7</v>
          </cell>
          <cell r="H334">
            <v>1.29298653256303E-7</v>
          </cell>
          <cell r="I334">
            <v>2.9928944600862002E-7</v>
          </cell>
          <cell r="J334">
            <v>3.6878332260379503E-7</v>
          </cell>
          <cell r="K334">
            <v>5.7149248028331101E-7</v>
          </cell>
          <cell r="L334">
            <v>7.0240801482667599E-7</v>
          </cell>
          <cell r="M334">
            <v>8.7594014572543998E-7</v>
          </cell>
          <cell r="N334">
            <v>1.70170361679827E-6</v>
          </cell>
          <cell r="O334">
            <v>3.3842741703036101E-6</v>
          </cell>
        </row>
        <row r="335">
          <cell r="B335" t="str">
            <v>G-INTC-RES</v>
          </cell>
          <cell r="C335" t="str">
            <v>VAR_cap</v>
          </cell>
          <cell r="D335" t="str">
            <v>-</v>
          </cell>
          <cell r="E335">
            <v>4.3300925142827298</v>
          </cell>
          <cell r="F335">
            <v>4.3300925409798658</v>
          </cell>
          <cell r="G335">
            <v>4.3300926846819223</v>
          </cell>
          <cell r="H335">
            <v>4.3300928590559815</v>
          </cell>
          <cell r="I335">
            <v>4.3300929892901427</v>
          </cell>
          <cell r="J335">
            <v>4.3300933585790755</v>
          </cell>
          <cell r="K335">
            <v>4.3300938604560075</v>
          </cell>
          <cell r="L335">
            <v>4.3300941567811426</v>
          </cell>
          <cell r="M335">
            <v>4.3300953411220897</v>
          </cell>
          <cell r="N335">
            <v>4.3300961449299544</v>
          </cell>
          <cell r="O335">
            <v>4.3300990663237195</v>
          </cell>
          <cell r="P335">
            <v>4.3301008211070906</v>
          </cell>
        </row>
        <row r="336">
          <cell r="B336" t="str">
            <v>SCOM-CHPNGA</v>
          </cell>
          <cell r="C336" t="str">
            <v>VAR_fout</v>
          </cell>
          <cell r="D336" t="str">
            <v>CO2_S</v>
          </cell>
          <cell r="E336">
            <v>95.378258908983796</v>
          </cell>
          <cell r="F336">
            <v>98.063942522976006</v>
          </cell>
          <cell r="G336">
            <v>83.174762411568906</v>
          </cell>
          <cell r="H336">
            <v>351.526814462282</v>
          </cell>
          <cell r="I336">
            <v>630.37606635892701</v>
          </cell>
          <cell r="J336">
            <v>604.05266674849202</v>
          </cell>
          <cell r="K336">
            <v>590.28084321341998</v>
          </cell>
          <cell r="L336">
            <v>417.41471210358299</v>
          </cell>
          <cell r="M336">
            <v>417.46316563662299</v>
          </cell>
          <cell r="N336">
            <v>427.359778099099</v>
          </cell>
          <cell r="O336">
            <v>464.27578421099503</v>
          </cell>
          <cell r="P336">
            <v>491.934290903359</v>
          </cell>
        </row>
        <row r="337">
          <cell r="B337" t="str">
            <v>SCOM-CHPNGA</v>
          </cell>
          <cell r="C337" t="str">
            <v>VAR_fout</v>
          </cell>
          <cell r="D337" t="str">
            <v>SCOM_NKEV_GAS_ELC_CHP</v>
          </cell>
          <cell r="E337">
            <v>0.59442730529032106</v>
          </cell>
          <cell r="F337">
            <v>0.6259127368918731</v>
          </cell>
          <cell r="G337">
            <v>0.52889980646974999</v>
          </cell>
          <cell r="H337">
            <v>2.2379538137678892</v>
          </cell>
          <cell r="I337">
            <v>4.00715465500409</v>
          </cell>
          <cell r="J337">
            <v>3.8250165384616261</v>
          </cell>
          <cell r="K337">
            <v>3.739977519756216</v>
          </cell>
          <cell r="L337">
            <v>2.64402224484712</v>
          </cell>
          <cell r="M337">
            <v>2.6441483258475529</v>
          </cell>
          <cell r="N337">
            <v>2.7031174669823086</v>
          </cell>
          <cell r="O337">
            <v>2.9429158148231362</v>
          </cell>
          <cell r="P337">
            <v>3.1140321314270669</v>
          </cell>
        </row>
        <row r="338">
          <cell r="B338" t="str">
            <v>SCOM-CHPNGA</v>
          </cell>
          <cell r="C338" t="str">
            <v>VAR_fout</v>
          </cell>
          <cell r="D338" t="str">
            <v>SCOM_LTH_CHPNGA</v>
          </cell>
          <cell r="E338">
            <v>0.69261055055655318</v>
          </cell>
          <cell r="F338">
            <v>0.75025377877274713</v>
          </cell>
          <cell r="G338">
            <v>0.66053219399566498</v>
          </cell>
          <cell r="H338">
            <v>2.9822668590784769</v>
          </cell>
          <cell r="I338">
            <v>5.6753059277481519</v>
          </cell>
          <cell r="J338">
            <v>5.7375248076924343</v>
          </cell>
          <cell r="K338">
            <v>5.6099662796343202</v>
          </cell>
          <cell r="L338">
            <v>3.9660333672706778</v>
          </cell>
          <cell r="M338">
            <v>3.9662224887713311</v>
          </cell>
          <cell r="N338">
            <v>4.0546762004734598</v>
          </cell>
          <cell r="O338">
            <v>4.4143737222347017</v>
          </cell>
          <cell r="P338">
            <v>4.6710481971405953</v>
          </cell>
        </row>
        <row r="339">
          <cell r="B339" t="str">
            <v>SCOM-CHPNGA</v>
          </cell>
          <cell r="C339" t="str">
            <v>VAR_fin</v>
          </cell>
          <cell r="D339" t="str">
            <v>SNGA</v>
          </cell>
          <cell r="E339">
            <v>1.6911038813649586</v>
          </cell>
          <cell r="F339">
            <v>1.7387223851591471</v>
          </cell>
          <cell r="G339">
            <v>1.4747298299923552</v>
          </cell>
          <cell r="H339">
            <v>6.2327449372744921</v>
          </cell>
          <cell r="I339">
            <v>11.17688060920084</v>
          </cell>
          <cell r="J339">
            <v>10.710153665753415</v>
          </cell>
          <cell r="K339">
            <v>10.465972397401073</v>
          </cell>
          <cell r="L339">
            <v>7.4009700727585654</v>
          </cell>
          <cell r="M339">
            <v>7.4018291779543084</v>
          </cell>
          <cell r="N339">
            <v>7.5773010301258772</v>
          </cell>
          <cell r="O339">
            <v>8.231840145585009</v>
          </cell>
          <cell r="P339">
            <v>8.7222392004141653</v>
          </cell>
        </row>
        <row r="340">
          <cell r="B340" t="str">
            <v>SCOM-CHPNGA</v>
          </cell>
          <cell r="C340" t="str">
            <v>VAR_ncap</v>
          </cell>
          <cell r="D340" t="str">
            <v>-</v>
          </cell>
          <cell r="E340"/>
          <cell r="F340">
            <v>2.7176665654340199E-2</v>
          </cell>
          <cell r="G340">
            <v>1.36950895726521E-5</v>
          </cell>
          <cell r="H340">
            <v>0.115024358821321</v>
          </cell>
          <cell r="I340">
            <v>0.13359913295638501</v>
          </cell>
          <cell r="J340">
            <v>1.0115431546097601E-2</v>
          </cell>
          <cell r="K340">
            <v>5.51945601270157E-2</v>
          </cell>
          <cell r="L340">
            <v>2.2796612669479599E-3</v>
          </cell>
          <cell r="M340">
            <v>9.4280262319555996E-2</v>
          </cell>
          <cell r="N340">
            <v>5.3656359132072798E-2</v>
          </cell>
          <cell r="O340">
            <v>7.3353116404838006E-2</v>
          </cell>
          <cell r="P340">
            <v>1.52135860676944E-2</v>
          </cell>
        </row>
        <row r="341">
          <cell r="B341" t="str">
            <v>SCOM-CHPNGA</v>
          </cell>
          <cell r="C341" t="str">
            <v>VAR_cap</v>
          </cell>
          <cell r="D341" t="str">
            <v>-</v>
          </cell>
          <cell r="E341">
            <v>6.5199342090216314E-2</v>
          </cell>
          <cell r="F341">
            <v>4.7879924485640518E-2</v>
          </cell>
          <cell r="G341">
            <v>3.9986688228537938E-2</v>
          </cell>
          <cell r="H341">
            <v>0.15324622477518074</v>
          </cell>
          <cell r="I341">
            <v>0.27785977299138837</v>
          </cell>
          <cell r="J341">
            <v>0.27545631505721646</v>
          </cell>
          <cell r="K341">
            <v>0.27746893762174268</v>
          </cell>
          <cell r="L341">
            <v>0.20118577753177752</v>
          </cell>
          <cell r="M341">
            <v>0.20108129931575536</v>
          </cell>
          <cell r="N341">
            <v>0.20540699773196472</v>
          </cell>
          <cell r="O341">
            <v>0.22356571933628819</v>
          </cell>
          <cell r="P341">
            <v>0.23649802659759964</v>
          </cell>
        </row>
        <row r="342">
          <cell r="B342" t="str">
            <v>ENUC_SMR_BMGL_II</v>
          </cell>
          <cell r="C342" t="str">
            <v>VAR_fout</v>
          </cell>
          <cell r="D342" t="str">
            <v>LTH</v>
          </cell>
          <cell r="E342"/>
          <cell r="F342"/>
          <cell r="G342"/>
          <cell r="H342"/>
          <cell r="I342"/>
          <cell r="J342"/>
          <cell r="K342">
            <v>0.1296864592336294</v>
          </cell>
          <cell r="L342">
            <v>0.35931925864614805</v>
          </cell>
          <cell r="M342">
            <v>0.35115300916093189</v>
          </cell>
          <cell r="N342">
            <v>0.33456955806547606</v>
          </cell>
          <cell r="O342">
            <v>0.36667419534585832</v>
          </cell>
          <cell r="P342">
            <v>0.33254116533138894</v>
          </cell>
        </row>
        <row r="343">
          <cell r="B343" t="str">
            <v>ENUC_SMR_BMGL_II</v>
          </cell>
          <cell r="C343" t="str">
            <v>VAR_fout</v>
          </cell>
          <cell r="D343" t="str">
            <v>ELC</v>
          </cell>
          <cell r="E343"/>
          <cell r="F343"/>
          <cell r="G343"/>
          <cell r="H343"/>
          <cell r="I343"/>
          <cell r="J343"/>
          <cell r="K343">
            <v>6.88762179245552E-2</v>
          </cell>
          <cell r="L343">
            <v>0.20502117840286141</v>
          </cell>
          <cell r="M343">
            <v>0.22389384253897543</v>
          </cell>
          <cell r="N343">
            <v>0.2063709691247394</v>
          </cell>
          <cell r="O343">
            <v>0.22868867647682686</v>
          </cell>
          <cell r="P343">
            <v>0.26196822374097051</v>
          </cell>
        </row>
        <row r="344">
          <cell r="B344" t="str">
            <v>ENUC_SMR_BMGL_II</v>
          </cell>
          <cell r="C344" t="str">
            <v>VAR_fin</v>
          </cell>
          <cell r="D344" t="str">
            <v>URN</v>
          </cell>
          <cell r="E344"/>
          <cell r="F344"/>
          <cell r="G344"/>
          <cell r="H344"/>
          <cell r="I344"/>
          <cell r="J344"/>
          <cell r="K344">
            <v>0.26537275828199647</v>
          </cell>
          <cell r="L344">
            <v>0.77805780738882691</v>
          </cell>
          <cell r="M344">
            <v>0.83135041088129658</v>
          </cell>
          <cell r="N344">
            <v>0.77112562309981647</v>
          </cell>
          <cell r="O344">
            <v>0.8527207808139905</v>
          </cell>
          <cell r="P344">
            <v>0.93790744131715109</v>
          </cell>
        </row>
        <row r="345">
          <cell r="B345" t="str">
            <v>ENUC_SMR_BMGL_II</v>
          </cell>
          <cell r="C345" t="str">
            <v>VAR_ncap</v>
          </cell>
          <cell r="D345" t="str">
            <v>-</v>
          </cell>
          <cell r="E345"/>
          <cell r="F345"/>
          <cell r="G345"/>
          <cell r="H345"/>
          <cell r="I345"/>
          <cell r="J345"/>
          <cell r="K345">
            <v>8.9831340780354204E-3</v>
          </cell>
          <cell r="L345">
            <v>2.8530317329287898E-6</v>
          </cell>
          <cell r="M345">
            <v>1.0308252884573699E-5</v>
          </cell>
          <cell r="N345">
            <v>4.6029131809488999E-5</v>
          </cell>
          <cell r="O345">
            <v>2.3620546772891598E-3</v>
          </cell>
        </row>
        <row r="346">
          <cell r="B346" t="str">
            <v>ENUC_SMR_BMGL_II</v>
          </cell>
          <cell r="C346" t="str">
            <v>VAR_cap</v>
          </cell>
          <cell r="D346" t="str">
            <v>-</v>
          </cell>
          <cell r="E346"/>
          <cell r="F346"/>
          <cell r="G346"/>
          <cell r="H346"/>
          <cell r="I346"/>
          <cell r="J346"/>
          <cell r="K346">
            <v>2.8477764849350199E-3</v>
          </cell>
          <cell r="L346">
            <v>8.9831340780354204E-3</v>
          </cell>
          <cell r="M346">
            <v>8.9897494073370304E-3</v>
          </cell>
          <cell r="N346">
            <v>8.9962953626529195E-3</v>
          </cell>
          <cell r="O346">
            <v>9.7911281645046908E-3</v>
          </cell>
          <cell r="P346">
            <v>1.14043791717516E-2</v>
          </cell>
        </row>
        <row r="347">
          <cell r="B347" t="str">
            <v>D-IPLT</v>
          </cell>
          <cell r="C347" t="str">
            <v>VAR_fout</v>
          </cell>
          <cell r="D347" t="str">
            <v>IPLT</v>
          </cell>
          <cell r="E347">
            <v>0.62579209085372056</v>
          </cell>
          <cell r="F347">
            <v>0.73757457342511135</v>
          </cell>
          <cell r="G347">
            <v>0.73633690485592784</v>
          </cell>
          <cell r="H347">
            <v>0.73429242770664949</v>
          </cell>
          <cell r="I347">
            <v>0.73479989224596232</v>
          </cell>
          <cell r="J347">
            <v>0.73278407171022075</v>
          </cell>
          <cell r="K347">
            <v>0.73078997830004389</v>
          </cell>
          <cell r="L347">
            <v>0.7288268925957414</v>
          </cell>
          <cell r="M347">
            <v>0.72888580187402752</v>
          </cell>
          <cell r="N347">
            <v>0.72902255660785265</v>
          </cell>
          <cell r="O347">
            <v>0.72922609345179878</v>
          </cell>
          <cell r="P347">
            <v>0.72996121510081835</v>
          </cell>
        </row>
        <row r="348">
          <cell r="B348" t="str">
            <v>D-IPLT</v>
          </cell>
          <cell r="C348" t="str">
            <v>VAR_fin</v>
          </cell>
          <cell r="D348" t="str">
            <v>PLT</v>
          </cell>
          <cell r="E348">
            <v>0.62579209085372056</v>
          </cell>
          <cell r="F348">
            <v>0.73757457342511135</v>
          </cell>
          <cell r="G348">
            <v>0.73633690485592784</v>
          </cell>
          <cell r="H348">
            <v>0.73429242770664949</v>
          </cell>
          <cell r="I348">
            <v>0.73479989224596232</v>
          </cell>
          <cell r="J348">
            <v>0.73278407171022075</v>
          </cell>
          <cell r="K348">
            <v>0.73078997830004389</v>
          </cell>
          <cell r="L348">
            <v>0.7288268925957414</v>
          </cell>
          <cell r="M348">
            <v>0.72888580187402752</v>
          </cell>
          <cell r="N348">
            <v>0.72902255660785265</v>
          </cell>
          <cell r="O348">
            <v>0.72922609345179878</v>
          </cell>
          <cell r="P348">
            <v>0.72996121510081835</v>
          </cell>
        </row>
        <row r="349">
          <cell r="B349" t="str">
            <v>LTH-STG</v>
          </cell>
          <cell r="C349" t="str">
            <v>VAR_fout</v>
          </cell>
          <cell r="D349" t="str">
            <v>AUX_LTH-STG_OUT</v>
          </cell>
          <cell r="E349">
            <v>1.4685193475666638E-3</v>
          </cell>
          <cell r="F349">
            <v>6.1032512981593892E-4</v>
          </cell>
          <cell r="G349">
            <v>1.1080687258703363E-2</v>
          </cell>
          <cell r="H349">
            <v>3.9477235394190591E-3</v>
          </cell>
          <cell r="I349">
            <v>4.6269861094021241E-3</v>
          </cell>
          <cell r="J349">
            <v>7.0986822562568294E-3</v>
          </cell>
          <cell r="K349">
            <v>9.6842075799215797E-3</v>
          </cell>
          <cell r="L349">
            <v>0.12670561727912777</v>
          </cell>
          <cell r="M349">
            <v>0.19331794134333913</v>
          </cell>
          <cell r="N349">
            <v>0.14473338532149774</v>
          </cell>
          <cell r="O349">
            <v>0.17081969069743916</v>
          </cell>
          <cell r="P349">
            <v>7.3708010658930762E-2</v>
          </cell>
        </row>
        <row r="350">
          <cell r="B350" t="str">
            <v>LTH-STG</v>
          </cell>
          <cell r="C350" t="str">
            <v>VAR_fout</v>
          </cell>
          <cell r="D350" t="str">
            <v>LTH</v>
          </cell>
          <cell r="E350">
            <v>1.4685193475666596E-3</v>
          </cell>
          <cell r="F350">
            <v>6.1073201323581469E-4</v>
          </cell>
          <cell r="G350">
            <v>1.1092229641264504E-2</v>
          </cell>
          <cell r="H350">
            <v>3.9477235394190591E-3</v>
          </cell>
          <cell r="I350">
            <v>4.6312388539879656E-3</v>
          </cell>
          <cell r="J350">
            <v>7.0986822562568034E-3</v>
          </cell>
          <cell r="K350">
            <v>9.6921195142188696E-3</v>
          </cell>
          <cell r="L350">
            <v>0.12670561727912755</v>
          </cell>
          <cell r="M350">
            <v>0.19331794134333896</v>
          </cell>
          <cell r="N350">
            <v>0.14473338532149757</v>
          </cell>
          <cell r="O350">
            <v>0.17081969069743905</v>
          </cell>
          <cell r="P350">
            <v>7.3708010658930664E-2</v>
          </cell>
        </row>
        <row r="351">
          <cell r="B351" t="str">
            <v>LTH-STG</v>
          </cell>
          <cell r="C351" t="str">
            <v>VAR_fin</v>
          </cell>
          <cell r="D351" t="str">
            <v>AUX_LTH-STG_IN</v>
          </cell>
          <cell r="E351">
            <v>1.9538365706476607E-3</v>
          </cell>
          <cell r="F351">
            <v>7.9761637949598326E-4</v>
          </cell>
          <cell r="G351">
            <v>1.4314220669476659E-2</v>
          </cell>
          <cell r="H351">
            <v>4.937490879453079E-3</v>
          </cell>
          <cell r="I351">
            <v>5.6134046644591429E-3</v>
          </cell>
          <cell r="J351">
            <v>8.3545328092972156E-3</v>
          </cell>
          <cell r="K351">
            <v>1.1079849935833603E-2</v>
          </cell>
          <cell r="L351">
            <v>0.14079025940040102</v>
          </cell>
          <cell r="M351">
            <v>0.2148008436139007</v>
          </cell>
          <cell r="N351">
            <v>0.16082106914305008</v>
          </cell>
          <cell r="O351">
            <v>0.18980327826557256</v>
          </cell>
          <cell r="P351">
            <v>8.1902153398230398E-2</v>
          </cell>
        </row>
        <row r="352">
          <cell r="B352" t="str">
            <v>LTH-STG</v>
          </cell>
          <cell r="C352" t="str">
            <v>VAR_fin</v>
          </cell>
          <cell r="D352" t="str">
            <v>LTH</v>
          </cell>
          <cell r="E352">
            <v>1.9538365706476607E-3</v>
          </cell>
          <cell r="F352">
            <v>7.9761637949598326E-4</v>
          </cell>
          <cell r="G352">
            <v>1.4314220669476659E-2</v>
          </cell>
          <cell r="H352">
            <v>4.937490879453079E-3</v>
          </cell>
          <cell r="I352">
            <v>5.6134046644591429E-3</v>
          </cell>
          <cell r="J352">
            <v>8.3545328092972156E-3</v>
          </cell>
          <cell r="K352">
            <v>1.1079849935833603E-2</v>
          </cell>
          <cell r="L352">
            <v>0.14079025940040102</v>
          </cell>
          <cell r="M352">
            <v>0.2148008436139007</v>
          </cell>
          <cell r="N352">
            <v>0.16082106914305008</v>
          </cell>
          <cell r="O352">
            <v>0.18980327826557256</v>
          </cell>
          <cell r="P352">
            <v>8.1902153398230398E-2</v>
          </cell>
        </row>
        <row r="353">
          <cell r="B353" t="str">
            <v>LTH-STG</v>
          </cell>
          <cell r="C353" t="str">
            <v>VAR_ncap</v>
          </cell>
          <cell r="D353" t="str">
            <v>-</v>
          </cell>
          <cell r="E353">
            <v>6.1042380063358896E-4</v>
          </cell>
          <cell r="F353">
            <v>9.7365895918320804E-6</v>
          </cell>
          <cell r="G353">
            <v>1.15431808660041E-5</v>
          </cell>
          <cell r="H353">
            <v>7.3671854434245102E-6</v>
          </cell>
          <cell r="I353">
            <v>8.0667487069835194E-5</v>
          </cell>
          <cell r="J353">
            <v>2.9429696800489601E-4</v>
          </cell>
          <cell r="K353">
            <v>2.4739267534193101E-4</v>
          </cell>
          <cell r="L353">
            <v>5.74071876859421E-2</v>
          </cell>
          <cell r="M353">
            <v>4.2324409987083899E-3</v>
          </cell>
          <cell r="N353">
            <v>4.3387505952966701E-5</v>
          </cell>
          <cell r="O353">
            <v>4.8193662740136998E-5</v>
          </cell>
          <cell r="P353">
            <v>4.5216253234857699E-4</v>
          </cell>
        </row>
        <row r="354">
          <cell r="B354" t="str">
            <v>LTH-STG</v>
          </cell>
          <cell r="C354" t="str">
            <v>VAR_cap</v>
          </cell>
          <cell r="D354" t="str">
            <v>-</v>
          </cell>
          <cell r="E354">
            <v>7.7462257418623674E-4</v>
          </cell>
          <cell r="F354">
            <v>7.8011431983660224E-4</v>
          </cell>
          <cell r="G354">
            <v>7.8611816209167042E-4</v>
          </cell>
          <cell r="H354">
            <v>7.0023463064419712E-4</v>
          </cell>
          <cell r="I354">
            <v>7.0155549068327675E-4</v>
          </cell>
          <cell r="J354">
            <v>6.3234976349210541E-4</v>
          </cell>
          <cell r="K354">
            <v>6.1721969358187955E-4</v>
          </cell>
          <cell r="L354">
            <v>5.8012628273549124E-2</v>
          </cell>
          <cell r="M354">
            <v>6.2147236844669176E-2</v>
          </cell>
          <cell r="N354">
            <v>6.1780528580128641E-2</v>
          </cell>
          <cell r="O354">
            <v>5.7947363039235679E-2</v>
          </cell>
          <cell r="P354">
            <v>4.7095740026994381E-3</v>
          </cell>
        </row>
        <row r="355">
          <cell r="B355" t="str">
            <v>ITOT-CHPOIL</v>
          </cell>
          <cell r="C355" t="str">
            <v>VAR_fout</v>
          </cell>
          <cell r="D355" t="str">
            <v>ITOT_LTH_CHP</v>
          </cell>
          <cell r="E355">
            <v>0.92940645986895043</v>
          </cell>
          <cell r="F355">
            <v>2.070938405665474</v>
          </cell>
          <cell r="G355">
            <v>3.1825931444956441E-2</v>
          </cell>
          <cell r="H355">
            <v>1.2716385977451705</v>
          </cell>
          <cell r="I355">
            <v>0.81108173455037502</v>
          </cell>
          <cell r="J355">
            <v>4.6991661308867429E-2</v>
          </cell>
          <cell r="K355">
            <v>5.3931849249623243E-2</v>
          </cell>
          <cell r="L355">
            <v>6.3963276671859429E-2</v>
          </cell>
          <cell r="M355">
            <v>6.0216959654553613E-2</v>
          </cell>
          <cell r="N355">
            <v>6.2038837165488324E-2</v>
          </cell>
          <cell r="O355">
            <v>6.1069706407903691E-2</v>
          </cell>
          <cell r="P355">
            <v>6.293054288507581E-2</v>
          </cell>
        </row>
        <row r="356">
          <cell r="B356" t="str">
            <v>ITOT-CHPOIL</v>
          </cell>
          <cell r="C356" t="str">
            <v>VAR_fout</v>
          </cell>
          <cell r="D356" t="str">
            <v>ITOT_NKEV_OIL_ELC_CHP</v>
          </cell>
          <cell r="E356">
            <v>7.0506696955575487E-2</v>
          </cell>
          <cell r="F356">
            <v>0.17135999711245065</v>
          </cell>
          <cell r="G356">
            <v>3.0483021365038236E-3</v>
          </cell>
          <cell r="H356">
            <v>0.16516354809372127</v>
          </cell>
          <cell r="I356">
            <v>0.16359068805493493</v>
          </cell>
          <cell r="J356">
            <v>2.1198736010250831E-2</v>
          </cell>
          <cell r="K356">
            <v>2.4329572586778644E-2</v>
          </cell>
          <cell r="L356">
            <v>2.8854919761296317E-2</v>
          </cell>
          <cell r="M356">
            <v>2.7164892568203914E-2</v>
          </cell>
          <cell r="N356">
            <v>2.7986772436282305E-2</v>
          </cell>
          <cell r="O356">
            <v>2.7549581102389767E-2</v>
          </cell>
          <cell r="P356">
            <v>2.8389036021391995E-2</v>
          </cell>
        </row>
        <row r="357">
          <cell r="B357" t="str">
            <v>ITOT-CHPOIL</v>
          </cell>
          <cell r="C357" t="str">
            <v>VAR_fout</v>
          </cell>
          <cell r="D357" t="str">
            <v>CO2_I</v>
          </cell>
          <cell r="E357">
            <v>22.578065500607099</v>
          </cell>
          <cell r="F357">
            <v>51.2111848114818</v>
          </cell>
          <cell r="G357">
            <v>1.1213823549428501</v>
          </cell>
          <cell r="H357">
            <v>46.381145864747701</v>
          </cell>
          <cell r="I357">
            <v>45.885786344588297</v>
          </cell>
          <cell r="J357">
            <v>6.0565046836401502</v>
          </cell>
          <cell r="K357">
            <v>7.0482592891960199</v>
          </cell>
          <cell r="L357">
            <v>8.5661282686098605</v>
          </cell>
          <cell r="M357">
            <v>7.9365229239057102</v>
          </cell>
          <cell r="N357">
            <v>8.2258809116532703</v>
          </cell>
          <cell r="O357">
            <v>8.0492037384207205</v>
          </cell>
          <cell r="P357">
            <v>8.5534533060711997</v>
          </cell>
        </row>
        <row r="358">
          <cell r="B358" t="str">
            <v>ITOT-CHPOIL</v>
          </cell>
          <cell r="C358" t="str">
            <v>VAR_fin</v>
          </cell>
          <cell r="D358" t="str">
            <v>ILFO</v>
          </cell>
          <cell r="E358">
            <v>0.30635095658897016</v>
          </cell>
          <cell r="F358">
            <v>0.69486003814765007</v>
          </cell>
          <cell r="G358">
            <v>1.5215500067067188E-2</v>
          </cell>
          <cell r="H358">
            <v>0.6293235531173359</v>
          </cell>
          <cell r="I358">
            <v>0.62260225705004457</v>
          </cell>
          <cell r="J358">
            <v>8.217781117557868E-2</v>
          </cell>
          <cell r="K358">
            <v>9.5634454398860508E-2</v>
          </cell>
          <cell r="L358">
            <v>0.11622969156865486</v>
          </cell>
          <cell r="M358">
            <v>0.1076868782076757</v>
          </cell>
          <cell r="N358">
            <v>0.11161303814997653</v>
          </cell>
          <cell r="O358">
            <v>0.10921579020923634</v>
          </cell>
          <cell r="P358">
            <v>0.11605771107287924</v>
          </cell>
        </row>
        <row r="359">
          <cell r="B359" t="str">
            <v>ITOT-CHPOIL</v>
          </cell>
          <cell r="C359" t="str">
            <v>VAR_ncap</v>
          </cell>
          <cell r="D359" t="str">
            <v>-</v>
          </cell>
          <cell r="E359"/>
          <cell r="F359">
            <v>5.4996986200728896E-3</v>
          </cell>
          <cell r="G359">
            <v>1.81172904523659E-5</v>
          </cell>
          <cell r="H359">
            <v>1.9209852269982099E-2</v>
          </cell>
          <cell r="I359">
            <v>1.5651993621035101E-2</v>
          </cell>
          <cell r="J359">
            <v>1.8041250386434001E-2</v>
          </cell>
          <cell r="K359">
            <v>2.38471579068852E-2</v>
          </cell>
          <cell r="L359">
            <v>2.2967719260211999E-2</v>
          </cell>
          <cell r="M359">
            <v>1.9447494459850199E-2</v>
          </cell>
          <cell r="N359">
            <v>2.4215581683449599E-2</v>
          </cell>
          <cell r="O359">
            <v>2.51838302082226E-2</v>
          </cell>
          <cell r="P359">
            <v>1.6919217652673499E-2</v>
          </cell>
        </row>
        <row r="360">
          <cell r="B360" t="str">
            <v>ITOT-CHPOIL</v>
          </cell>
          <cell r="C360" t="str">
            <v>VAR_cap</v>
          </cell>
          <cell r="D360" t="str">
            <v>-</v>
          </cell>
          <cell r="E360">
            <v>8.3038017138905643E-3</v>
          </cell>
          <cell r="F360">
            <v>6.4317137555827452E-3</v>
          </cell>
          <cell r="G360">
            <v>6.4461326871884618E-3</v>
          </cell>
          <cell r="H360">
            <v>2.5654250341241941E-2</v>
          </cell>
          <cell r="I360">
            <v>3.7698969707381826E-2</v>
          </cell>
          <cell r="J360">
            <v>4.9248910000622328E-2</v>
          </cell>
          <cell r="K360">
            <v>5.7537974416109708E-2</v>
          </cell>
          <cell r="L360">
            <v>6.4852459088190345E-2</v>
          </cell>
          <cell r="M360">
            <v>6.5871068149135209E-2</v>
          </cell>
          <cell r="N360">
            <v>6.6626994411788779E-2</v>
          </cell>
          <cell r="O360">
            <v>6.674474197222556E-2</v>
          </cell>
          <cell r="P360">
            <v>6.6313919618256695E-2</v>
          </cell>
        </row>
        <row r="361">
          <cell r="B361" t="str">
            <v>ENUC_GOE</v>
          </cell>
          <cell r="C361" t="str">
            <v>VAR_fout</v>
          </cell>
          <cell r="D361" t="str">
            <v>ELC</v>
          </cell>
          <cell r="E361">
            <v>29.714401682863098</v>
          </cell>
          <cell r="F361">
            <v>29.71437353461716</v>
          </cell>
          <cell r="G361">
            <v>0.75274447962736135</v>
          </cell>
          <cell r="H361"/>
          <cell r="I361"/>
          <cell r="J361"/>
          <cell r="K361"/>
          <cell r="L361"/>
        </row>
        <row r="362">
          <cell r="B362" t="str">
            <v>ENUC_GOE</v>
          </cell>
          <cell r="C362" t="str">
            <v>VAR_fin</v>
          </cell>
          <cell r="D362" t="str">
            <v>URN</v>
          </cell>
          <cell r="E362">
            <v>89.580580427079127</v>
          </cell>
          <cell r="F362">
            <v>89.580495568018591</v>
          </cell>
          <cell r="G362">
            <v>2.2693133154078504</v>
          </cell>
          <cell r="H362"/>
          <cell r="I362"/>
          <cell r="J362"/>
          <cell r="K362"/>
          <cell r="L362"/>
        </row>
        <row r="363">
          <cell r="B363" t="str">
            <v>ENUC_GOE</v>
          </cell>
          <cell r="C363" t="str">
            <v>VAR_cap</v>
          </cell>
          <cell r="D363" t="str">
            <v>-</v>
          </cell>
          <cell r="E363">
            <v>1.0099999611060719</v>
          </cell>
          <cell r="F363">
            <v>1.0099997999785553</v>
          </cell>
          <cell r="G363">
            <v>2.8941855606800959E-2</v>
          </cell>
          <cell r="H363"/>
          <cell r="I363"/>
          <cell r="J363"/>
          <cell r="K363"/>
          <cell r="L363"/>
        </row>
        <row r="364">
          <cell r="B364" t="str">
            <v>D-RNGA</v>
          </cell>
          <cell r="C364" t="str">
            <v>VAR_fout</v>
          </cell>
          <cell r="D364" t="str">
            <v>CO2</v>
          </cell>
          <cell r="E364">
            <v>2655.0635603993201</v>
          </cell>
          <cell r="F364">
            <v>2731.66438525696</v>
          </cell>
          <cell r="G364">
            <v>2924.34639522928</v>
          </cell>
          <cell r="H364">
            <v>3103.7638984180098</v>
          </cell>
          <cell r="I364">
            <v>3239.6494288143299</v>
          </cell>
          <cell r="J364">
            <v>3197.3259253267302</v>
          </cell>
          <cell r="K364">
            <v>3140.8170712577198</v>
          </cell>
          <cell r="L364">
            <v>3160.6090997005999</v>
          </cell>
          <cell r="M364">
            <v>3020.0156225065198</v>
          </cell>
          <cell r="N364">
            <v>2863.4965914775098</v>
          </cell>
          <cell r="O364">
            <v>2929.0560391988702</v>
          </cell>
          <cell r="P364">
            <v>2495.4146971642699</v>
          </cell>
        </row>
        <row r="365">
          <cell r="B365" t="str">
            <v>D-RNGA</v>
          </cell>
          <cell r="C365" t="str">
            <v>VAR_fout</v>
          </cell>
          <cell r="D365" t="str">
            <v>RNGA</v>
          </cell>
          <cell r="E365">
            <v>47.234037177022444</v>
          </cell>
          <cell r="F365">
            <v>48.282972645133455</v>
          </cell>
          <cell r="G365">
            <v>51.68844223202305</v>
          </cell>
          <cell r="H365">
            <v>54.85944384303685</v>
          </cell>
          <cell r="I365">
            <v>57.26107447107735</v>
          </cell>
          <cell r="J365">
            <v>56.513043105434555</v>
          </cell>
          <cell r="K365">
            <v>55.514312852667928</v>
          </cell>
          <cell r="L365">
            <v>55.864058204233054</v>
          </cell>
          <cell r="M365">
            <v>53.379226698291106</v>
          </cell>
          <cell r="N365">
            <v>50.612674249374265</v>
          </cell>
          <cell r="O365">
            <v>51.771329467519394</v>
          </cell>
          <cell r="P365">
            <v>44.107466801539644</v>
          </cell>
        </row>
        <row r="366">
          <cell r="B366" t="str">
            <v>D-RNGA</v>
          </cell>
          <cell r="C366" t="str">
            <v>VAR_fout</v>
          </cell>
          <cell r="D366" t="str">
            <v>RSH2</v>
          </cell>
          <cell r="E366"/>
          <cell r="F366"/>
          <cell r="G366"/>
          <cell r="H366">
            <v>3.1915512453828819E-3</v>
          </cell>
          <cell r="I366">
            <v>7.7817702414476773E-3</v>
          </cell>
          <cell r="J366">
            <v>9.2298826618722237E-3</v>
          </cell>
          <cell r="K366">
            <v>1.0884019495137004E-2</v>
          </cell>
          <cell r="L366">
            <v>2.9998444206411481E-2</v>
          </cell>
          <cell r="M366">
            <v>2.7655780154239459E-2</v>
          </cell>
          <cell r="N366">
            <v>0.10386566608612439</v>
          </cell>
          <cell r="O366">
            <v>0.12289241542016009</v>
          </cell>
          <cell r="P366">
            <v>0.1319703444519148</v>
          </cell>
        </row>
        <row r="367">
          <cell r="B367" t="str">
            <v>D-RNGA</v>
          </cell>
          <cell r="C367" t="str">
            <v>VAR_fin</v>
          </cell>
          <cell r="D367" t="str">
            <v>NGA</v>
          </cell>
          <cell r="E367">
            <v>47.07559504254116</v>
          </cell>
          <cell r="F367">
            <v>48.43376569604532</v>
          </cell>
          <cell r="G367">
            <v>51.850113390590131</v>
          </cell>
          <cell r="H367">
            <v>55.031274794645654</v>
          </cell>
          <cell r="I367">
            <v>57.440592709473989</v>
          </cell>
          <cell r="J367">
            <v>56.690175980970487</v>
          </cell>
          <cell r="K367">
            <v>55.688245944285818</v>
          </cell>
          <cell r="L367">
            <v>56.039168434407877</v>
          </cell>
          <cell r="M367">
            <v>53.546376285576549</v>
          </cell>
          <cell r="N367">
            <v>50.771216160948732</v>
          </cell>
          <cell r="O367">
            <v>51.933617716292112</v>
          </cell>
          <cell r="P367">
            <v>44.244941439082808</v>
          </cell>
        </row>
        <row r="368">
          <cell r="B368" t="str">
            <v>D-RNGA</v>
          </cell>
          <cell r="C368" t="str">
            <v>VAR_fin</v>
          </cell>
          <cell r="D368" t="str">
            <v>BNGA</v>
          </cell>
          <cell r="E368">
            <v>0.30933691487034354</v>
          </cell>
          <cell r="F368">
            <v>3.4526792701548088E-3</v>
          </cell>
          <cell r="G368">
            <v>3.4537514637976428E-3</v>
          </cell>
          <cell r="H368">
            <v>3.4577426236367657E-3</v>
          </cell>
          <cell r="I368">
            <v>3.4605000995950601E-3</v>
          </cell>
          <cell r="J368">
            <v>3.4677451911584974E-3</v>
          </cell>
          <cell r="K368">
            <v>3.4742208687164877E-3</v>
          </cell>
          <cell r="L368">
            <v>3.4918567818726931E-3</v>
          </cell>
          <cell r="M368">
            <v>3.4905165494399201E-3</v>
          </cell>
          <cell r="N368">
            <v>3.5220870033230906E-3</v>
          </cell>
          <cell r="O368">
            <v>3.5384454486796124E-3</v>
          </cell>
          <cell r="P368">
            <v>3.9036985778925755E-3</v>
          </cell>
        </row>
        <row r="369">
          <cell r="B369" t="str">
            <v>D-RNGA</v>
          </cell>
          <cell r="C369" t="str">
            <v>VAR_fin</v>
          </cell>
          <cell r="D369" t="str">
            <v>H2</v>
          </cell>
          <cell r="E369"/>
          <cell r="F369"/>
          <cell r="G369"/>
          <cell r="H369">
            <v>3.188931615382991E-3</v>
          </cell>
          <cell r="I369">
            <v>7.7784442250135189E-3</v>
          </cell>
          <cell r="J369">
            <v>9.2246461292328254E-3</v>
          </cell>
          <cell r="K369">
            <v>1.0878782962497099E-2</v>
          </cell>
          <cell r="L369">
            <v>2.9993207673771557E-2</v>
          </cell>
          <cell r="M369">
            <v>2.7650543621600462E-2</v>
          </cell>
          <cell r="N369">
            <v>0.10386252416654032</v>
          </cell>
          <cell r="O369">
            <v>0.12289136811363319</v>
          </cell>
          <cell r="P369">
            <v>0.13195987138663776</v>
          </cell>
        </row>
        <row r="370">
          <cell r="B370" t="str">
            <v>D-RNGA</v>
          </cell>
          <cell r="C370" t="str">
            <v>VAR_ncap</v>
          </cell>
          <cell r="D370" t="str">
            <v>-</v>
          </cell>
          <cell r="E370">
            <v>3.4861778795352699E-6</v>
          </cell>
          <cell r="F370">
            <v>9.7811511494671791E-7</v>
          </cell>
          <cell r="G370">
            <v>6.2966534542735901E-6</v>
          </cell>
          <cell r="H370">
            <v>0.112060667080081</v>
          </cell>
          <cell r="I370">
            <v>0.14207655086082699</v>
          </cell>
          <cell r="J370">
            <v>1.49361410901854E-5</v>
          </cell>
          <cell r="K370">
            <v>6.0468900962628099E-6</v>
          </cell>
          <cell r="L370">
            <v>1.98357221741315</v>
          </cell>
          <cell r="M370">
            <v>0.87672966461725099</v>
          </cell>
          <cell r="N370">
            <v>7.1639237796555401E-6</v>
          </cell>
          <cell r="O370">
            <v>1.0259007755726901E-5</v>
          </cell>
          <cell r="P370">
            <v>2.1116921044693001E-5</v>
          </cell>
        </row>
        <row r="371">
          <cell r="B371" t="str">
            <v>D-RNGA</v>
          </cell>
          <cell r="C371" t="str">
            <v>VAR_cap</v>
          </cell>
          <cell r="D371" t="str">
            <v>-</v>
          </cell>
          <cell r="E371">
            <v>3.0972434935737998</v>
          </cell>
          <cell r="F371">
            <v>3.0972444716889145</v>
          </cell>
          <cell r="G371">
            <v>3.0972507683423687</v>
          </cell>
          <cell r="H371">
            <v>3.2093114354224501</v>
          </cell>
          <cell r="I371">
            <v>3.3513879862832772</v>
          </cell>
          <cell r="J371">
            <v>3.3514029224243673</v>
          </cell>
          <cell r="K371">
            <v>3.351408969314464</v>
          </cell>
          <cell r="L371">
            <v>3.2957498095191697</v>
          </cell>
          <cell r="M371">
            <v>3.1144708439489501</v>
          </cell>
          <cell r="N371">
            <v>3.1144749487971999</v>
          </cell>
          <cell r="O371">
            <v>3.0789538555959099</v>
          </cell>
          <cell r="P371">
            <v>3.0024379557750001</v>
          </cell>
        </row>
        <row r="372">
          <cell r="B372" t="str">
            <v>RHES-CHPGFC</v>
          </cell>
          <cell r="C372" t="str">
            <v>VAR_fout</v>
          </cell>
          <cell r="D372" t="str">
            <v>CO2_R</v>
          </cell>
          <cell r="E372"/>
          <cell r="F372"/>
          <cell r="G372"/>
          <cell r="H372">
            <v>4.9678438451806299E-2</v>
          </cell>
          <cell r="I372">
            <v>0.17317360491519701</v>
          </cell>
          <cell r="J372">
            <v>0.171857020451682</v>
          </cell>
          <cell r="K372">
            <v>0.17792722182332801</v>
          </cell>
          <cell r="L372">
            <v>0.42150986271319202</v>
          </cell>
          <cell r="M372">
            <v>0.34142601228119501</v>
          </cell>
          <cell r="N372">
            <v>0.54674744196509795</v>
          </cell>
          <cell r="O372">
            <v>0.528207096220631</v>
          </cell>
          <cell r="P372">
            <v>0.98728069727606504</v>
          </cell>
        </row>
        <row r="373">
          <cell r="B373" t="str">
            <v>RHES-CHPGFC</v>
          </cell>
          <cell r="C373" t="str">
            <v>VAR_fout</v>
          </cell>
          <cell r="D373" t="str">
            <v>RHES_NKEV_GAS_ELC_CHP</v>
          </cell>
          <cell r="E373"/>
          <cell r="F373"/>
          <cell r="G373"/>
          <cell r="H373">
            <v>3.6994581825813209E-4</v>
          </cell>
          <cell r="I373">
            <v>1.3202952147789852E-3</v>
          </cell>
          <cell r="J373">
            <v>1.3407285283464532E-3</v>
          </cell>
          <cell r="K373">
            <v>1.4038583991379608E-3</v>
          </cell>
          <cell r="L373">
            <v>3.3631106067541919E-3</v>
          </cell>
          <cell r="M373">
            <v>2.7241437150095338E-3</v>
          </cell>
          <cell r="N373">
            <v>4.3623466114236535E-3</v>
          </cell>
          <cell r="O373">
            <v>4.2144183209092871E-3</v>
          </cell>
          <cell r="P373">
            <v>7.8772396059260501E-3</v>
          </cell>
        </row>
        <row r="374">
          <cell r="B374" t="str">
            <v>RHES-CHPGFC</v>
          </cell>
          <cell r="C374" t="str">
            <v>VAR_fout</v>
          </cell>
          <cell r="D374" t="str">
            <v>RHES_LTH_CHPNGA</v>
          </cell>
          <cell r="E374"/>
          <cell r="F374"/>
          <cell r="G374"/>
          <cell r="H374">
            <v>4.1433931644910803E-4</v>
          </cell>
          <cell r="I374">
            <v>1.4391217841090928E-3</v>
          </cell>
          <cell r="J374">
            <v>1.4211722400472408E-3</v>
          </cell>
          <cell r="K374">
            <v>1.4459741511120992E-3</v>
          </cell>
          <cell r="L374">
            <v>3.3631106067541919E-3</v>
          </cell>
          <cell r="M374">
            <v>2.7241437150095338E-3</v>
          </cell>
          <cell r="N374">
            <v>4.3623466114236535E-3</v>
          </cell>
          <cell r="O374">
            <v>4.2144183209092871E-3</v>
          </cell>
          <cell r="P374">
            <v>7.8772396059260501E-3</v>
          </cell>
        </row>
        <row r="375">
          <cell r="B375" t="str">
            <v>RHES-CHPGFC</v>
          </cell>
          <cell r="C375" t="str">
            <v>VAR_fin</v>
          </cell>
          <cell r="D375" t="str">
            <v>RNGA</v>
          </cell>
          <cell r="E375"/>
          <cell r="F375"/>
          <cell r="G375"/>
          <cell r="H375">
            <v>8.808233768050767E-4</v>
          </cell>
          <cell r="I375">
            <v>3.0704539878581055E-3</v>
          </cell>
          <cell r="J375">
            <v>3.0471102916964834E-3</v>
          </cell>
          <cell r="K375">
            <v>3.1547379755909226E-3</v>
          </cell>
          <cell r="L375">
            <v>7.4735791261204224E-3</v>
          </cell>
          <cell r="M375">
            <v>6.0536527000211865E-3</v>
          </cell>
          <cell r="N375">
            <v>9.6941035809414485E-3</v>
          </cell>
          <cell r="O375">
            <v>9.3653740464650706E-3</v>
          </cell>
          <cell r="P375">
            <v>1.7504976902057875E-2</v>
          </cell>
        </row>
        <row r="376">
          <cell r="B376" t="str">
            <v>RHES-CHPGFC</v>
          </cell>
          <cell r="C376" t="str">
            <v>VAR_ncap</v>
          </cell>
          <cell r="D376" t="str">
            <v>-</v>
          </cell>
          <cell r="E376"/>
          <cell r="F376"/>
          <cell r="G376"/>
          <cell r="H376">
            <v>3.2940362997695101E-5</v>
          </cell>
          <cell r="I376">
            <v>8.4794564291202295E-5</v>
          </cell>
          <cell r="J376">
            <v>1.70593739129679E-6</v>
          </cell>
          <cell r="K376">
            <v>1.6174366930254401E-5</v>
          </cell>
          <cell r="L376">
            <v>1.9742457980767699E-4</v>
          </cell>
          <cell r="M376">
            <v>2.2798778059940201E-6</v>
          </cell>
          <cell r="N376">
            <v>1.73286636157028E-4</v>
          </cell>
          <cell r="O376">
            <v>2.9028195668659201E-6</v>
          </cell>
          <cell r="P376">
            <v>5.24093585839404E-4</v>
          </cell>
        </row>
        <row r="377">
          <cell r="B377" t="str">
            <v>RHES-CHPGFC</v>
          </cell>
          <cell r="C377" t="str">
            <v>VAR_cap</v>
          </cell>
          <cell r="D377" t="str">
            <v>-</v>
          </cell>
          <cell r="E377"/>
          <cell r="F377"/>
          <cell r="G377"/>
          <cell r="H377">
            <v>3.2940362997695101E-5</v>
          </cell>
          <cell r="I377">
            <v>1.1770467521697716E-4</v>
          </cell>
          <cell r="J377">
            <v>1.1931528818651578E-4</v>
          </cell>
          <cell r="K377">
            <v>1.2489375313985088E-4</v>
          </cell>
          <cell r="L377">
            <v>2.99593281072356E-4</v>
          </cell>
          <cell r="M377">
            <v>2.4227819754929684E-4</v>
          </cell>
          <cell r="N377">
            <v>3.8842242144363252E-4</v>
          </cell>
          <cell r="O377">
            <v>3.7512062507025326E-4</v>
          </cell>
          <cell r="P377">
            <v>7.0163711595354068E-4</v>
          </cell>
        </row>
        <row r="378">
          <cell r="B378" t="str">
            <v>ITOT-CHPHFC</v>
          </cell>
          <cell r="C378" t="str">
            <v>VAR_fout</v>
          </cell>
          <cell r="D378" t="str">
            <v>ITOT_LTH_CHP</v>
          </cell>
          <cell r="E378"/>
          <cell r="F378"/>
          <cell r="G378"/>
          <cell r="H378">
            <v>3.6302158192602282E-3</v>
          </cell>
          <cell r="I378">
            <v>9.8563069595377847E-3</v>
          </cell>
          <cell r="J378">
            <v>1.4538938386191051E-2</v>
          </cell>
          <cell r="K378">
            <v>1.3080109034063526E-2</v>
          </cell>
          <cell r="L378">
            <v>3.1264183254807537E-2</v>
          </cell>
          <cell r="M378">
            <v>2.8094678213779315E-2</v>
          </cell>
          <cell r="N378">
            <v>7.4057869447839153E-2</v>
          </cell>
          <cell r="O378">
            <v>7.1281447243107934E-2</v>
          </cell>
          <cell r="P378">
            <v>9.1511220124117207E-2</v>
          </cell>
        </row>
        <row r="379">
          <cell r="B379" t="str">
            <v>ITOT-CHPHFC</v>
          </cell>
          <cell r="C379" t="str">
            <v>VAR_fout</v>
          </cell>
          <cell r="D379" t="str">
            <v>ITOT_KEV_HFC_ELC_CHP</v>
          </cell>
          <cell r="E379"/>
          <cell r="F379"/>
          <cell r="G379"/>
          <cell r="H379">
            <v>4.8566400825238165E-3</v>
          </cell>
          <cell r="I379">
            <v>1.4629301184321451E-2</v>
          </cell>
          <cell r="J379">
            <v>2.4231563976985074E-2</v>
          </cell>
          <cell r="K379">
            <v>2.3782016425570061E-2</v>
          </cell>
          <cell r="L379">
            <v>6.2528366509615088E-2</v>
          </cell>
          <cell r="M379">
            <v>5.6189356427558623E-2</v>
          </cell>
          <cell r="N379">
            <v>0.14811573889567822</v>
          </cell>
          <cell r="O379">
            <v>0.14256289448621584</v>
          </cell>
          <cell r="P379">
            <v>0.18302244024823439</v>
          </cell>
        </row>
        <row r="380">
          <cell r="B380" t="str">
            <v>ITOT-CHPHFC</v>
          </cell>
          <cell r="C380" t="str">
            <v>VAR_fin</v>
          </cell>
          <cell r="D380" t="str">
            <v>IH2</v>
          </cell>
          <cell r="E380"/>
          <cell r="F380"/>
          <cell r="G380"/>
          <cell r="H380">
            <v>9.8113941061087114E-3</v>
          </cell>
          <cell r="I380">
            <v>2.7998662553725275E-2</v>
          </cell>
          <cell r="J380">
            <v>4.4057389049063721E-2</v>
          </cell>
          <cell r="K380">
            <v>4.1360028566208788E-2</v>
          </cell>
          <cell r="L380">
            <v>0.10421394418269175</v>
          </cell>
          <cell r="M380">
            <v>9.3648927379264266E-2</v>
          </cell>
          <cell r="N380">
            <v>0.24685956482613042</v>
          </cell>
          <cell r="O380">
            <v>0.23760482414369311</v>
          </cell>
          <cell r="P380">
            <v>0.3050374004137239</v>
          </cell>
        </row>
        <row r="381">
          <cell r="B381" t="str">
            <v>ITOT-CHPHFC</v>
          </cell>
          <cell r="C381" t="str">
            <v>VAR_ncap</v>
          </cell>
          <cell r="D381" t="str">
            <v>-</v>
          </cell>
          <cell r="E381"/>
          <cell r="F381"/>
          <cell r="G381"/>
          <cell r="H381">
            <v>4.0850687433292902E-4</v>
          </cell>
          <cell r="I381">
            <v>6.1026221139470196E-4</v>
          </cell>
          <cell r="J381">
            <v>4.3072544563711301E-4</v>
          </cell>
          <cell r="K381">
            <v>3.0728868857170802E-4</v>
          </cell>
          <cell r="L381">
            <v>2.2792493734686602E-3</v>
          </cell>
          <cell r="M381">
            <v>9.6343679924250907E-6</v>
          </cell>
          <cell r="N381">
            <v>4.3896498222966299E-3</v>
          </cell>
          <cell r="O381">
            <v>1.52571213428243E-3</v>
          </cell>
          <cell r="P381">
            <v>3.2979289487539399E-3</v>
          </cell>
        </row>
        <row r="382">
          <cell r="B382" t="str">
            <v>ITOT-CHPHFC</v>
          </cell>
          <cell r="C382" t="str">
            <v>VAR_cap</v>
          </cell>
          <cell r="D382" t="str">
            <v>-</v>
          </cell>
          <cell r="E382"/>
          <cell r="F382"/>
          <cell r="G382"/>
          <cell r="H382">
            <v>4.0850687433292902E-4</v>
          </cell>
          <cell r="I382">
            <v>1.018571578634625E-3</v>
          </cell>
          <cell r="J382">
            <v>1.3708964601804722E-3</v>
          </cell>
          <cell r="K382">
            <v>1.3474128733181405E-3</v>
          </cell>
          <cell r="L382">
            <v>3.0160144302315227E-3</v>
          </cell>
          <cell r="M382">
            <v>2.6199485582907179E-3</v>
          </cell>
          <cell r="N382">
            <v>6.6768964801249666E-3</v>
          </cell>
          <cell r="O382">
            <v>6.3235419345316086E-3</v>
          </cell>
          <cell r="P382">
            <v>9.2113882178345291E-3</v>
          </cell>
        </row>
        <row r="383">
          <cell r="B383" t="str">
            <v>G-INTC-TRA</v>
          </cell>
          <cell r="C383" t="str">
            <v>VAR_fout</v>
          </cell>
          <cell r="D383" t="str">
            <v>TRAN_ELC</v>
          </cell>
          <cell r="E383">
            <v>5.2201541652155301</v>
          </cell>
          <cell r="F383">
            <v>12.021689226020111</v>
          </cell>
          <cell r="G383">
            <v>15.190355065870182</v>
          </cell>
          <cell r="H383">
            <v>22.542499968108103</v>
          </cell>
          <cell r="I383">
            <v>24.420541483272462</v>
          </cell>
          <cell r="J383">
            <v>23.69619632878419</v>
          </cell>
          <cell r="K383">
            <v>25.493677594946771</v>
          </cell>
          <cell r="L383">
            <v>24.903813581266419</v>
          </cell>
          <cell r="M383">
            <v>23.857813307709783</v>
          </cell>
          <cell r="N383">
            <v>25.210667514300923</v>
          </cell>
          <cell r="O383">
            <v>25.612211135422143</v>
          </cell>
          <cell r="P383">
            <v>26.030811494114445</v>
          </cell>
        </row>
        <row r="384">
          <cell r="B384" t="str">
            <v>G-INTC-TRA</v>
          </cell>
          <cell r="C384" t="str">
            <v>VAR_fin</v>
          </cell>
          <cell r="D384" t="str">
            <v>ELC3</v>
          </cell>
          <cell r="E384">
            <v>4.8186038448143362</v>
          </cell>
          <cell r="F384">
            <v>12.01264053066704</v>
          </cell>
          <cell r="G384">
            <v>15.176423469048204</v>
          </cell>
          <cell r="H384">
            <v>15.846707898373023</v>
          </cell>
          <cell r="I384">
            <v>24.409357971125296</v>
          </cell>
          <cell r="J384">
            <v>12.370808377527055</v>
          </cell>
          <cell r="K384">
            <v>25.482631281764785</v>
          </cell>
          <cell r="L384">
            <v>11.427382814188709</v>
          </cell>
          <cell r="M384">
            <v>23.843887021827296</v>
          </cell>
          <cell r="N384">
            <v>25.182031307316361</v>
          </cell>
          <cell r="O384">
            <v>25.589382496565232</v>
          </cell>
          <cell r="P384">
            <v>25.979995039405757</v>
          </cell>
        </row>
        <row r="385">
          <cell r="B385" t="str">
            <v>G-INTC-TRA</v>
          </cell>
          <cell r="C385" t="str">
            <v>VAR_fin</v>
          </cell>
          <cell r="D385" t="str">
            <v>ELC5</v>
          </cell>
          <cell r="E385">
            <v>0.40155032040119476</v>
          </cell>
          <cell r="F385">
            <v>9.0486953530740342E-3</v>
          </cell>
          <cell r="G385">
            <v>1.3931596821988359E-2</v>
          </cell>
          <cell r="H385">
            <v>6.6957920697350772</v>
          </cell>
          <cell r="I385">
            <v>1.1183512147159163E-2</v>
          </cell>
          <cell r="J385">
            <v>11.325387951257124</v>
          </cell>
          <cell r="K385">
            <v>1.1046313181960381E-2</v>
          </cell>
          <cell r="L385">
            <v>13.476430767077721</v>
          </cell>
          <cell r="M385">
            <v>1.3926285882448828E-2</v>
          </cell>
          <cell r="N385">
            <v>2.8636206984540072E-2</v>
          </cell>
          <cell r="O385">
            <v>2.2828638856913115E-2</v>
          </cell>
          <cell r="P385">
            <v>5.0816454708638853E-2</v>
          </cell>
        </row>
        <row r="386">
          <cell r="B386" t="str">
            <v>G-INTC-TRA</v>
          </cell>
          <cell r="C386" t="str">
            <v>VAR_ncap</v>
          </cell>
          <cell r="D386" t="str">
            <v>-</v>
          </cell>
          <cell r="E386">
            <v>3.7338238430587799E-7</v>
          </cell>
          <cell r="F386">
            <v>6.6916559286393898E-7</v>
          </cell>
          <cell r="G386">
            <v>8.2986937536561898E-7</v>
          </cell>
          <cell r="H386">
            <v>9.7934675931354702E-7</v>
          </cell>
          <cell r="I386">
            <v>1.3646727888986799E-6</v>
          </cell>
          <cell r="J386">
            <v>1.74342454040435E-6</v>
          </cell>
          <cell r="K386">
            <v>2.3372958333718501E-6</v>
          </cell>
          <cell r="L386">
            <v>3.8148772875476102E-6</v>
          </cell>
          <cell r="M386">
            <v>4.7966460601704101E-6</v>
          </cell>
          <cell r="N386">
            <v>9.5472353271428908E-6</v>
          </cell>
          <cell r="O386">
            <v>1.7339724687838399E-5</v>
          </cell>
        </row>
        <row r="387">
          <cell r="B387" t="str">
            <v>G-INTC-TRA</v>
          </cell>
          <cell r="C387" t="str">
            <v>VAR_cap</v>
          </cell>
          <cell r="D387" t="str">
            <v>-</v>
          </cell>
          <cell r="E387">
            <v>0.86351880627381705</v>
          </cell>
          <cell r="F387">
            <v>0.86351892767430694</v>
          </cell>
          <cell r="G387">
            <v>0.86351984882179422</v>
          </cell>
          <cell r="H387">
            <v>0.86352121751731792</v>
          </cell>
          <cell r="I387">
            <v>0.86352198667553126</v>
          </cell>
          <cell r="J387">
            <v>0.863523694364834</v>
          </cell>
          <cell r="K387">
            <v>0.86352589151750092</v>
          </cell>
          <cell r="L387">
            <v>0.86352710343109162</v>
          </cell>
          <cell r="M387">
            <v>0.86353355737191517</v>
          </cell>
          <cell r="N387">
            <v>0.86353801409937159</v>
          </cell>
          <cell r="O387">
            <v>0.86355361107653505</v>
          </cell>
          <cell r="P387">
            <v>0.86356260191445433</v>
          </cell>
        </row>
        <row r="388">
          <cell r="B388" t="str">
            <v>SCOM-SWHSTG-CHPBIO</v>
          </cell>
          <cell r="C388" t="str">
            <v>VAR_fout</v>
          </cell>
          <cell r="D388" t="str">
            <v>AUX_SCOM-CHPBIO_OUT</v>
          </cell>
          <cell r="E388">
            <v>1.5557822440330554E-5</v>
          </cell>
          <cell r="F388">
            <v>3.4451923776230165E-4</v>
          </cell>
          <cell r="G388">
            <v>2.2856833675993962E-2</v>
          </cell>
          <cell r="H388">
            <v>2.3756702499785006E-2</v>
          </cell>
          <cell r="I388">
            <v>8.6680762932442534E-2</v>
          </cell>
          <cell r="J388">
            <v>8.2124548102512407E-2</v>
          </cell>
          <cell r="K388">
            <v>0.1123801550005967</v>
          </cell>
          <cell r="L388">
            <v>0.22847553484884917</v>
          </cell>
          <cell r="M388">
            <v>0.17033979828369497</v>
          </cell>
          <cell r="N388">
            <v>0.24487102588432363</v>
          </cell>
          <cell r="O388">
            <v>0.21403756583754313</v>
          </cell>
          <cell r="P388">
            <v>0.38631239435929532</v>
          </cell>
        </row>
        <row r="389">
          <cell r="B389" t="str">
            <v>SCOM-SWHSTG-CHPBIO</v>
          </cell>
          <cell r="C389" t="str">
            <v>VAR_fout</v>
          </cell>
          <cell r="D389" t="str">
            <v>SCOM_LTH_CHPBIO</v>
          </cell>
          <cell r="E389">
            <v>1.5557822440330581E-5</v>
          </cell>
          <cell r="F389">
            <v>3.4480083713927238E-4</v>
          </cell>
          <cell r="G389">
            <v>2.2886025034456286E-2</v>
          </cell>
          <cell r="H389">
            <v>2.3756702499784989E-2</v>
          </cell>
          <cell r="I389">
            <v>8.6777182023579744E-2</v>
          </cell>
          <cell r="J389">
            <v>8.2124548102512282E-2</v>
          </cell>
          <cell r="K389">
            <v>0.11249000852454641</v>
          </cell>
          <cell r="L389">
            <v>0.22847553484884917</v>
          </cell>
          <cell r="M389">
            <v>0.17033979828369497</v>
          </cell>
          <cell r="N389">
            <v>0.24487102588432361</v>
          </cell>
          <cell r="O389">
            <v>0.21403756583754313</v>
          </cell>
          <cell r="P389">
            <v>0.38631239435929526</v>
          </cell>
        </row>
        <row r="390">
          <cell r="B390" t="str">
            <v>SCOM-SWHSTG-CHPBIO</v>
          </cell>
          <cell r="C390" t="str">
            <v>VAR_fin</v>
          </cell>
          <cell r="D390" t="str">
            <v>SCOM_LTH_CHPBIO</v>
          </cell>
          <cell r="E390">
            <v>2.5491027191153592E-5</v>
          </cell>
          <cell r="F390">
            <v>4.226076575256274E-4</v>
          </cell>
          <cell r="G390">
            <v>2.7241078672043072E-2</v>
          </cell>
          <cell r="H390">
            <v>2.731275116108246E-2</v>
          </cell>
          <cell r="I390">
            <v>9.6427425951774767E-2</v>
          </cell>
          <cell r="J390">
            <v>8.83185333799405E-2</v>
          </cell>
          <cell r="K390">
            <v>0.11718457651171048</v>
          </cell>
          <cell r="L390">
            <v>0.23080850389098956</v>
          </cell>
          <cell r="M390">
            <v>0.17206907490826953</v>
          </cell>
          <cell r="N390">
            <v>0.24736960594685098</v>
          </cell>
          <cell r="O390">
            <v>0.21621247823261139</v>
          </cell>
          <cell r="P390">
            <v>0.39024246501117499</v>
          </cell>
        </row>
        <row r="391">
          <cell r="B391" t="str">
            <v>SCOM-SWHSTG-CHPBIO</v>
          </cell>
          <cell r="C391" t="str">
            <v>VAR_fin</v>
          </cell>
          <cell r="D391" t="str">
            <v>AUX_SCOM-CHPBIO_IN</v>
          </cell>
          <cell r="E391">
            <v>2.5491027191153592E-5</v>
          </cell>
          <cell r="F391">
            <v>4.226076575256274E-4</v>
          </cell>
          <cell r="G391">
            <v>2.7241078672043072E-2</v>
          </cell>
          <cell r="H391">
            <v>2.731275116108246E-2</v>
          </cell>
          <cell r="I391">
            <v>9.6427425951774767E-2</v>
          </cell>
          <cell r="J391">
            <v>8.83185333799405E-2</v>
          </cell>
          <cell r="K391">
            <v>0.11718457651171048</v>
          </cell>
          <cell r="L391">
            <v>0.23080850389098956</v>
          </cell>
          <cell r="M391">
            <v>0.17206907490826953</v>
          </cell>
          <cell r="N391">
            <v>0.24736960594685098</v>
          </cell>
          <cell r="O391">
            <v>0.21621247823261139</v>
          </cell>
          <cell r="P391">
            <v>0.39024246501117499</v>
          </cell>
        </row>
        <row r="392">
          <cell r="B392" t="str">
            <v>SCOM-SWHSTG-CHPBIO</v>
          </cell>
          <cell r="C392" t="str">
            <v>VAR_ncap</v>
          </cell>
          <cell r="D392" t="str">
            <v>-</v>
          </cell>
          <cell r="E392">
            <v>6.3158399023572898E-3</v>
          </cell>
          <cell r="F392">
            <v>9.0516102481588603E-5</v>
          </cell>
          <cell r="G392">
            <v>1.2249186954589001E-3</v>
          </cell>
          <cell r="H392">
            <v>3.69967791348685E-4</v>
          </cell>
          <cell r="I392">
            <v>1.3853474092906E-2</v>
          </cell>
          <cell r="J392">
            <v>1.0574936928052501E-3</v>
          </cell>
          <cell r="K392">
            <v>1.1156670067027101E-3</v>
          </cell>
          <cell r="L392">
            <v>1.72977966775664E-2</v>
          </cell>
          <cell r="M392">
            <v>4.2554760262731998E-4</v>
          </cell>
          <cell r="N392">
            <v>6.19980712152536E-3</v>
          </cell>
          <cell r="O392">
            <v>1.29056054089453E-2</v>
          </cell>
          <cell r="P392">
            <v>1.17239447681706E-2</v>
          </cell>
        </row>
        <row r="393">
          <cell r="B393" t="str">
            <v>SCOM-SWHSTG-CHPBIO</v>
          </cell>
          <cell r="C393" t="str">
            <v>VAR_cap</v>
          </cell>
          <cell r="D393" t="str">
            <v>-</v>
          </cell>
          <cell r="E393">
            <v>6.3158399023572898E-3</v>
          </cell>
          <cell r="F393">
            <v>6.3965756772173454E-3</v>
          </cell>
          <cell r="G393">
            <v>7.5952128342722689E-3</v>
          </cell>
          <cell r="H393">
            <v>7.9006633843322349E-3</v>
          </cell>
          <cell r="I393">
            <v>1.7027724208446771E-2</v>
          </cell>
          <cell r="J393">
            <v>1.5388216813862069E-2</v>
          </cell>
          <cell r="K393">
            <v>1.5968422800922595E-2</v>
          </cell>
          <cell r="L393">
            <v>1.9402447834648395E-2</v>
          </cell>
          <cell r="M393">
            <v>1.8674490389517996E-2</v>
          </cell>
          <cell r="N393">
            <v>2.3828188941406692E-2</v>
          </cell>
          <cell r="O393">
            <v>2.2300723063352564E-2</v>
          </cell>
          <cell r="P393">
            <v>3.0722053897866961E-2</v>
          </cell>
        </row>
        <row r="394">
          <cell r="B394" t="str">
            <v>SCOM-SWHSTG-CHPHFC</v>
          </cell>
          <cell r="C394" t="str">
            <v>VAR_fout</v>
          </cell>
          <cell r="D394" t="str">
            <v>AUX_SCOM-CHPHFC_OUT</v>
          </cell>
          <cell r="E394">
            <v>1.2215783340565535E-4</v>
          </cell>
          <cell r="F394">
            <v>6.1933167287566237E-5</v>
          </cell>
          <cell r="G394">
            <v>6.3260306585217446E-5</v>
          </cell>
          <cell r="H394">
            <v>4.7411590889723139E-3</v>
          </cell>
          <cell r="I394">
            <v>1.4095823078344167E-2</v>
          </cell>
          <cell r="J394">
            <v>2.1633379182856589E-2</v>
          </cell>
          <cell r="K394">
            <v>5.0149250021494882E-2</v>
          </cell>
          <cell r="L394">
            <v>0.23165879962167568</v>
          </cell>
          <cell r="M394">
            <v>0.19798472663929143</v>
          </cell>
          <cell r="N394">
            <v>0.34748227575763019</v>
          </cell>
          <cell r="O394">
            <v>0.26740983734006035</v>
          </cell>
          <cell r="P394">
            <v>0.51867270335992066</v>
          </cell>
        </row>
        <row r="395">
          <cell r="B395" t="str">
            <v>SCOM-SWHSTG-CHPHFC</v>
          </cell>
          <cell r="C395" t="str">
            <v>VAR_fout</v>
          </cell>
          <cell r="D395" t="str">
            <v>SCOM_LTH_CHPHFC</v>
          </cell>
          <cell r="E395">
            <v>1.2215783340565559E-4</v>
          </cell>
          <cell r="F395">
            <v>6.198378954435308E-5</v>
          </cell>
          <cell r="G395">
            <v>6.3341098803078514E-5</v>
          </cell>
          <cell r="H395">
            <v>4.7411590889723052E-3</v>
          </cell>
          <cell r="I395">
            <v>1.4111502525594804E-2</v>
          </cell>
          <cell r="J395">
            <v>2.1633379182856554E-2</v>
          </cell>
          <cell r="K395">
            <v>5.0198271771271494E-2</v>
          </cell>
          <cell r="L395">
            <v>0.23165879962167568</v>
          </cell>
          <cell r="M395">
            <v>0.19798472663929143</v>
          </cell>
          <cell r="N395">
            <v>0.34748227575763019</v>
          </cell>
          <cell r="O395">
            <v>0.2674098373400603</v>
          </cell>
          <cell r="P395">
            <v>0.51867270335992066</v>
          </cell>
        </row>
        <row r="396">
          <cell r="B396" t="str">
            <v>SCOM-SWHSTG-CHPHFC</v>
          </cell>
          <cell r="C396" t="str">
            <v>VAR_fin</v>
          </cell>
          <cell r="D396" t="str">
            <v>SCOM_LTH_CHPHFC</v>
          </cell>
          <cell r="E396">
            <v>1.2215783340565559E-4</v>
          </cell>
          <cell r="F396">
            <v>6.198378954435308E-5</v>
          </cell>
          <cell r="G396">
            <v>6.3341098803078514E-5</v>
          </cell>
          <cell r="H396">
            <v>5.452706430081191E-3</v>
          </cell>
          <cell r="I396">
            <v>1.5683767390083755E-2</v>
          </cell>
          <cell r="J396">
            <v>2.3267981885265882E-2</v>
          </cell>
          <cell r="K396">
            <v>5.22959757164718E-2</v>
          </cell>
          <cell r="L396">
            <v>0.23400917328644993</v>
          </cell>
          <cell r="M396">
            <v>0.19999046346209168</v>
          </cell>
          <cell r="N396">
            <v>0.3510021471470513</v>
          </cell>
          <cell r="O396">
            <v>0.27011696882070696</v>
          </cell>
          <cell r="P396">
            <v>0.52392369104990921</v>
          </cell>
        </row>
        <row r="397">
          <cell r="B397" t="str">
            <v>SCOM-SWHSTG-CHPHFC</v>
          </cell>
          <cell r="C397" t="str">
            <v>VAR_fin</v>
          </cell>
          <cell r="D397" t="str">
            <v>AUX_SCOM-CHPHFC_IN</v>
          </cell>
          <cell r="E397">
            <v>1.2215783340565559E-4</v>
          </cell>
          <cell r="F397">
            <v>6.198378954435308E-5</v>
          </cell>
          <cell r="G397">
            <v>6.3341098803078514E-5</v>
          </cell>
          <cell r="H397">
            <v>5.452706430081191E-3</v>
          </cell>
          <cell r="I397">
            <v>1.5683767390083755E-2</v>
          </cell>
          <cell r="J397">
            <v>2.3267981885265882E-2</v>
          </cell>
          <cell r="K397">
            <v>5.22959757164718E-2</v>
          </cell>
          <cell r="L397">
            <v>0.23400917328644993</v>
          </cell>
          <cell r="M397">
            <v>0.19999046346209168</v>
          </cell>
          <cell r="N397">
            <v>0.3510021471470513</v>
          </cell>
          <cell r="O397">
            <v>0.27011696882070696</v>
          </cell>
          <cell r="P397">
            <v>0.52392369104990921</v>
          </cell>
        </row>
        <row r="398">
          <cell r="B398" t="str">
            <v>SCOM-SWHSTG-CHPHFC</v>
          </cell>
          <cell r="C398" t="str">
            <v>VAR_ncap</v>
          </cell>
          <cell r="D398" t="str">
            <v>-</v>
          </cell>
          <cell r="E398">
            <v>3.1592024158149999E-3</v>
          </cell>
          <cell r="F398">
            <v>1.0057867256363E-4</v>
          </cell>
          <cell r="G398">
            <v>2.2042751640683001E-4</v>
          </cell>
          <cell r="H398">
            <v>2.2920164066686201E-4</v>
          </cell>
          <cell r="I398">
            <v>3.4993223696085899E-3</v>
          </cell>
          <cell r="J398">
            <v>2.2876239690074701E-3</v>
          </cell>
          <cell r="K398">
            <v>4.16439887001949E-4</v>
          </cell>
          <cell r="L398">
            <v>1.1877935431452E-2</v>
          </cell>
          <cell r="M398">
            <v>1.2323169317577301E-4</v>
          </cell>
          <cell r="N398">
            <v>9.9224273229487903E-3</v>
          </cell>
          <cell r="O398">
            <v>4.8081531632000801E-3</v>
          </cell>
          <cell r="P398">
            <v>1.8062730951239E-2</v>
          </cell>
        </row>
        <row r="399">
          <cell r="B399" t="str">
            <v>SCOM-SWHSTG-CHPHFC</v>
          </cell>
          <cell r="C399" t="str">
            <v>VAR_cap</v>
          </cell>
          <cell r="D399" t="str">
            <v>-</v>
          </cell>
          <cell r="E399">
            <v>3.1592024158149999E-3</v>
          </cell>
          <cell r="F399">
            <v>3.2498803356215697E-3</v>
          </cell>
          <cell r="G399">
            <v>3.4460507367770634E-3</v>
          </cell>
          <cell r="H399">
            <v>3.6374506822939752E-3</v>
          </cell>
          <cell r="I399">
            <v>4.7221121623583721E-3</v>
          </cell>
          <cell r="J399">
            <v>5.9375880748926257E-3</v>
          </cell>
          <cell r="K399">
            <v>6.1406912514313898E-3</v>
          </cell>
          <cell r="L399">
            <v>1.4523019786967746E-2</v>
          </cell>
          <cell r="M399">
            <v>1.2499732571694523E-2</v>
          </cell>
          <cell r="N399">
            <v>2.1827069194935964E-2</v>
          </cell>
          <cell r="O399">
            <v>1.6779820064327721E-2</v>
          </cell>
          <cell r="P399">
            <v>3.2696553572140359E-2</v>
          </cell>
        </row>
        <row r="400">
          <cell r="B400" t="str">
            <v>ENUC_SMR_GOE_III</v>
          </cell>
          <cell r="C400" t="str">
            <v>VAR_fout</v>
          </cell>
          <cell r="D400" t="str">
            <v>LTH</v>
          </cell>
          <cell r="E400"/>
          <cell r="F400"/>
          <cell r="G400"/>
          <cell r="H400"/>
          <cell r="I400"/>
          <cell r="J400"/>
          <cell r="K400">
            <v>0.13900872220357982</v>
          </cell>
          <cell r="L400">
            <v>0.38627349244011217</v>
          </cell>
          <cell r="M400">
            <v>0.37781442609238536</v>
          </cell>
          <cell r="N400">
            <v>0.35963158468667805</v>
          </cell>
          <cell r="O400">
            <v>0.39049287821048162</v>
          </cell>
          <cell r="P400">
            <v>0.34948488410641787</v>
          </cell>
        </row>
        <row r="401">
          <cell r="B401" t="str">
            <v>ENUC_SMR_GOE_III</v>
          </cell>
          <cell r="C401" t="str">
            <v>VAR_fout</v>
          </cell>
          <cell r="D401" t="str">
            <v>ELC</v>
          </cell>
          <cell r="E401"/>
          <cell r="F401"/>
          <cell r="G401"/>
          <cell r="H401"/>
          <cell r="I401"/>
          <cell r="J401"/>
          <cell r="K401">
            <v>7.4039228962221135E-2</v>
          </cell>
          <cell r="L401">
            <v>0.22006988293220553</v>
          </cell>
          <cell r="M401">
            <v>0.24025743793695742</v>
          </cell>
          <cell r="N401">
            <v>0.22159323476814763</v>
          </cell>
          <cell r="O401">
            <v>0.2434855460410934</v>
          </cell>
          <cell r="P401">
            <v>0.27592281461282048</v>
          </cell>
        </row>
        <row r="402">
          <cell r="B402" t="str">
            <v>ENUC_SMR_GOE_III</v>
          </cell>
          <cell r="C402" t="str">
            <v>VAR_fin</v>
          </cell>
          <cell r="D402" t="str">
            <v>URN</v>
          </cell>
          <cell r="E402"/>
          <cell r="F402"/>
          <cell r="G402"/>
          <cell r="H402"/>
          <cell r="I402"/>
          <cell r="J402"/>
          <cell r="K402">
            <v>0.28509139061785371</v>
          </cell>
          <cell r="L402">
            <v>0.83543005204072041</v>
          </cell>
          <cell r="M402">
            <v>0.89255792492810859</v>
          </cell>
          <cell r="N402">
            <v>0.82817816229089536</v>
          </cell>
          <cell r="O402">
            <v>0.90793678136279599</v>
          </cell>
          <cell r="P402">
            <v>0.98752611671475454</v>
          </cell>
        </row>
        <row r="403">
          <cell r="B403" t="str">
            <v>ENUC_SMR_GOE_III</v>
          </cell>
          <cell r="C403" t="str">
            <v>VAR_ncap</v>
          </cell>
          <cell r="D403" t="str">
            <v>-</v>
          </cell>
          <cell r="E403"/>
          <cell r="F403"/>
          <cell r="G403"/>
          <cell r="H403"/>
          <cell r="I403"/>
          <cell r="J403"/>
          <cell r="K403">
            <v>9.6392838993287593E-3</v>
          </cell>
          <cell r="L403">
            <v>3.7820390855202499E-6</v>
          </cell>
          <cell r="M403">
            <v>9.2433893793725607E-6</v>
          </cell>
          <cell r="N403">
            <v>4.9877792756765497E-5</v>
          </cell>
          <cell r="O403">
            <v>2.29698161035743E-3</v>
          </cell>
        </row>
        <row r="404">
          <cell r="B404" t="str">
            <v>ENUC_SMR_GOE_III</v>
          </cell>
          <cell r="C404" t="str">
            <v>VAR_cap</v>
          </cell>
          <cell r="D404" t="str">
            <v>-</v>
          </cell>
          <cell r="E404"/>
          <cell r="F404"/>
          <cell r="G404"/>
          <cell r="H404"/>
          <cell r="I404"/>
          <cell r="J404"/>
          <cell r="K404">
            <v>3.0557849612019299E-3</v>
          </cell>
          <cell r="L404">
            <v>9.6392838993287593E-3</v>
          </cell>
          <cell r="M404">
            <v>9.6462515516757205E-3</v>
          </cell>
          <cell r="N404">
            <v>9.6523093277936598E-3</v>
          </cell>
          <cell r="O404">
            <v>1.04303617375027E-2</v>
          </cell>
          <cell r="P404">
            <v>1.1999168730907899E-2</v>
          </cell>
        </row>
        <row r="405">
          <cell r="B405" t="str">
            <v>D-IHFO</v>
          </cell>
          <cell r="C405" t="str">
            <v>VAR_fout</v>
          </cell>
          <cell r="D405" t="str">
            <v>CO2</v>
          </cell>
          <cell r="E405">
            <v>213.78070443707099</v>
          </cell>
          <cell r="F405">
            <v>175.881617246052</v>
          </cell>
          <cell r="G405">
            <v>0.677350909262182</v>
          </cell>
          <cell r="H405">
            <v>0.198943828986028</v>
          </cell>
          <cell r="I405">
            <v>0.294765891488112</v>
          </cell>
          <cell r="J405">
            <v>0.27638339370577403</v>
          </cell>
          <cell r="K405">
            <v>0.34438710103901399</v>
          </cell>
          <cell r="L405"/>
        </row>
        <row r="406">
          <cell r="B406" t="str">
            <v>D-IHFO</v>
          </cell>
          <cell r="C406" t="str">
            <v>VAR_fout</v>
          </cell>
          <cell r="D406" t="str">
            <v>IHFO</v>
          </cell>
          <cell r="E406">
            <v>2.7300041238171344</v>
          </cell>
          <cell r="F406">
            <v>2.246028432031336</v>
          </cell>
          <cell r="G406">
            <v>8.6498488272189859E-3</v>
          </cell>
          <cell r="H406">
            <v>2.5405355219965745E-3</v>
          </cell>
          <cell r="I406">
            <v>3.7641942543044549E-3</v>
          </cell>
          <cell r="J406">
            <v>3.5294476485058265E-3</v>
          </cell>
          <cell r="K406">
            <v>4.3978627935651283E-3</v>
          </cell>
          <cell r="L406"/>
        </row>
        <row r="407">
          <cell r="B407" t="str">
            <v>D-IHFO</v>
          </cell>
          <cell r="C407" t="str">
            <v>VAR_fin</v>
          </cell>
          <cell r="D407" t="str">
            <v>HFO</v>
          </cell>
          <cell r="E407">
            <v>2.7763727848970223</v>
          </cell>
          <cell r="F407">
            <v>2.284176847351322</v>
          </cell>
          <cell r="G407">
            <v>8.7967650553530084E-3</v>
          </cell>
          <cell r="H407">
            <v>2.5836860907276415E-3</v>
          </cell>
          <cell r="I407">
            <v>3.8281284608845684E-3</v>
          </cell>
          <cell r="J407">
            <v>3.5893947234516134E-3</v>
          </cell>
          <cell r="K407">
            <v>4.4725597537534313E-3</v>
          </cell>
          <cell r="L407"/>
        </row>
        <row r="408">
          <cell r="B408" t="str">
            <v>RHNM-CHPNGA</v>
          </cell>
          <cell r="C408" t="str">
            <v>VAR_fout</v>
          </cell>
          <cell r="D408" t="str">
            <v>CO2_R</v>
          </cell>
          <cell r="E408"/>
          <cell r="F408">
            <v>0.28410882255813102</v>
          </cell>
          <cell r="G408">
            <v>5.3838667003410396</v>
          </cell>
          <cell r="H408">
            <v>71.285023618644203</v>
          </cell>
          <cell r="I408">
            <v>74.066286970114305</v>
          </cell>
          <cell r="J408">
            <v>76.609272795874304</v>
          </cell>
          <cell r="K408">
            <v>81.668592457375397</v>
          </cell>
          <cell r="L408">
            <v>78.660873207289001</v>
          </cell>
          <cell r="M408">
            <v>77.600038803747097</v>
          </cell>
          <cell r="N408">
            <v>76.150105609263505</v>
          </cell>
          <cell r="O408">
            <v>47.205119009435698</v>
          </cell>
          <cell r="P408">
            <v>14.0647927210033</v>
          </cell>
        </row>
        <row r="409">
          <cell r="B409" t="str">
            <v>RHNM-CHPNGA</v>
          </cell>
          <cell r="C409" t="str">
            <v>VAR_fout</v>
          </cell>
          <cell r="D409" t="str">
            <v>RHNM_NKEV_GAS_ELC_CHP</v>
          </cell>
          <cell r="E409"/>
          <cell r="F409">
            <v>1.426740820880652E-3</v>
          </cell>
          <cell r="G409">
            <v>2.6447449243525604E-2</v>
          </cell>
          <cell r="H409">
            <v>0.37728002105798492</v>
          </cell>
          <cell r="I409">
            <v>0.39375344068974827</v>
          </cell>
          <cell r="J409">
            <v>0.40994200668951475</v>
          </cell>
          <cell r="K409">
            <v>0.44096920685743218</v>
          </cell>
          <cell r="L409">
            <v>0.4261142116200286</v>
          </cell>
          <cell r="M409">
            <v>0.42250639440031484</v>
          </cell>
          <cell r="N409">
            <v>0.4121370045567036</v>
          </cell>
          <cell r="O409">
            <v>0.25561088344447397</v>
          </cell>
          <cell r="P409">
            <v>7.0312314382607238E-2</v>
          </cell>
        </row>
        <row r="410">
          <cell r="B410" t="str">
            <v>RHNM-CHPNGA</v>
          </cell>
          <cell r="C410" t="str">
            <v>VAR_fout</v>
          </cell>
          <cell r="D410" t="str">
            <v>RHNM_LTH_CHPNGA</v>
          </cell>
          <cell r="E410"/>
          <cell r="F410">
            <v>3.0692966900692322E-3</v>
          </cell>
          <cell r="G410">
            <v>5.6056432649495704E-2</v>
          </cell>
          <cell r="H410">
            <v>0.77971204351983647</v>
          </cell>
          <cell r="I410">
            <v>0.80385948328792411</v>
          </cell>
          <cell r="J410">
            <v>0.82660437414443166</v>
          </cell>
          <cell r="K410">
            <v>0.87844050884820069</v>
          </cell>
          <cell r="L410">
            <v>0.83848280351037852</v>
          </cell>
          <cell r="M410">
            <v>0.83138355027158661</v>
          </cell>
          <cell r="N410">
            <v>0.81097926703093215</v>
          </cell>
          <cell r="O410">
            <v>0.50297625451977179</v>
          </cell>
          <cell r="P410">
            <v>0.13835648959158187</v>
          </cell>
        </row>
        <row r="411">
          <cell r="B411" t="str">
            <v>RHNM-CHPNGA</v>
          </cell>
          <cell r="C411" t="str">
            <v>VAR_fin</v>
          </cell>
          <cell r="D411" t="str">
            <v>RNGA</v>
          </cell>
          <cell r="E411"/>
          <cell r="F411">
            <v>5.0373904708888488E-3</v>
          </cell>
          <cell r="G411">
            <v>9.5458629438670978E-2</v>
          </cell>
          <cell r="H411">
            <v>1.2639188584866012</v>
          </cell>
          <cell r="I411">
            <v>1.3132320384772029</v>
          </cell>
          <cell r="J411">
            <v>1.3583204396431627</v>
          </cell>
          <cell r="K411">
            <v>1.4480246889605561</v>
          </cell>
          <cell r="L411">
            <v>1.3946963334625695</v>
          </cell>
          <cell r="M411">
            <v>1.3758872128323942</v>
          </cell>
          <cell r="N411">
            <v>1.3501791774692111</v>
          </cell>
          <cell r="O411">
            <v>0.83697019520276073</v>
          </cell>
          <cell r="P411">
            <v>0.24937575746459717</v>
          </cell>
        </row>
        <row r="412">
          <cell r="B412" t="str">
            <v>RHNM-CHPNGA</v>
          </cell>
          <cell r="C412" t="str">
            <v>VAR_ncap</v>
          </cell>
          <cell r="D412" t="str">
            <v>-</v>
          </cell>
          <cell r="E412"/>
          <cell r="F412">
            <v>1.8644080373409399E-4</v>
          </cell>
          <cell r="G412">
            <v>1.7768016421032299E-3</v>
          </cell>
          <cell r="H412">
            <v>2.6033713823722299E-2</v>
          </cell>
          <cell r="I412">
            <v>1.22482465499101E-3</v>
          </cell>
          <cell r="J412">
            <v>1.2733950069641899E-3</v>
          </cell>
          <cell r="K412">
            <v>1.21311779528505E-2</v>
          </cell>
          <cell r="L412">
            <v>1.6996347021285399E-2</v>
          </cell>
          <cell r="M412">
            <v>7.5230400099897605E-4</v>
          </cell>
          <cell r="N412">
            <v>7.0859858570154505E-4</v>
          </cell>
          <cell r="O412">
            <v>5.1525765854554099E-4</v>
          </cell>
          <cell r="P412">
            <v>3.2527865067606401E-3</v>
          </cell>
        </row>
        <row r="413">
          <cell r="B413" t="str">
            <v>RHNM-CHPNGA</v>
          </cell>
          <cell r="C413" t="str">
            <v>VAR_cap</v>
          </cell>
          <cell r="D413" t="str">
            <v>-</v>
          </cell>
          <cell r="E413"/>
          <cell r="F413">
            <v>1.8644080373409399E-4</v>
          </cell>
          <cell r="G413">
            <v>1.9631112564061945E-3</v>
          </cell>
          <cell r="H413">
            <v>2.7996615820876751E-2</v>
          </cell>
          <cell r="I413">
            <v>2.9220578418206005E-2</v>
          </cell>
          <cell r="J413">
            <v>3.0421071812719677E-2</v>
          </cell>
          <cell r="K413">
            <v>3.2722651094980508E-2</v>
          </cell>
          <cell r="L413">
            <v>3.1623637334107106E-2</v>
          </cell>
          <cell r="M413">
            <v>3.1353687439313244E-2</v>
          </cell>
          <cell r="N413">
            <v>3.058571151023904E-2</v>
          </cell>
          <cell r="O413">
            <v>1.8969899635668131E-2</v>
          </cell>
          <cell r="P413">
            <v>5.22528638875329E-3</v>
          </cell>
        </row>
        <row r="414">
          <cell r="B414" t="str">
            <v>G-INTC-EXP00-DE</v>
          </cell>
          <cell r="C414" t="str">
            <v>VAR_fout</v>
          </cell>
          <cell r="D414" t="str">
            <v>ELC_E-DE</v>
          </cell>
          <cell r="E414">
            <v>26.492979874323456</v>
          </cell>
          <cell r="F414">
            <v>1.0876975922808499E-3</v>
          </cell>
          <cell r="G414">
            <v>1.1657627798135901E-3</v>
          </cell>
          <cell r="H414">
            <v>1.1506661778645079E-3</v>
          </cell>
          <cell r="I414">
            <v>1.6493951896227954E-3</v>
          </cell>
          <cell r="J414">
            <v>1.7341945219820011E-3</v>
          </cell>
          <cell r="K414">
            <v>1.6957903314783812E-3</v>
          </cell>
          <cell r="L414">
            <v>1.4077314861445796E-3</v>
          </cell>
          <cell r="M414">
            <v>1.0430692811526146E-3</v>
          </cell>
          <cell r="N414">
            <v>2.0091434913157348E-3</v>
          </cell>
          <cell r="O414">
            <v>1.9931385731974472E-3</v>
          </cell>
          <cell r="P414">
            <v>4.0498958789099895E-3</v>
          </cell>
        </row>
        <row r="415">
          <cell r="B415" t="str">
            <v>G-INTC-EXP00-DE</v>
          </cell>
          <cell r="C415" t="str">
            <v>VAR_fin</v>
          </cell>
          <cell r="D415" t="str">
            <v>ELC</v>
          </cell>
          <cell r="E415">
            <v>26.492979874323456</v>
          </cell>
          <cell r="F415">
            <v>1.0876975922808499E-3</v>
          </cell>
          <cell r="G415">
            <v>1.1657627798135901E-3</v>
          </cell>
          <cell r="H415">
            <v>1.1506661778645079E-3</v>
          </cell>
          <cell r="I415">
            <v>1.6493951896227954E-3</v>
          </cell>
          <cell r="J415">
            <v>1.7341945219820011E-3</v>
          </cell>
          <cell r="K415">
            <v>1.6957903314783812E-3</v>
          </cell>
          <cell r="L415">
            <v>1.4077314861445796E-3</v>
          </cell>
          <cell r="M415">
            <v>1.0430692811526146E-3</v>
          </cell>
          <cell r="N415">
            <v>2.0091434913157348E-3</v>
          </cell>
          <cell r="O415">
            <v>1.9931385731974472E-3</v>
          </cell>
          <cell r="P415">
            <v>4.0498958789099895E-3</v>
          </cell>
        </row>
        <row r="416">
          <cell r="B416" t="str">
            <v>G-INTC-EXP00-DE</v>
          </cell>
          <cell r="C416" t="str">
            <v>VAR_ncap</v>
          </cell>
          <cell r="D416" t="str">
            <v>-</v>
          </cell>
          <cell r="E416">
            <v>4.2161986394066497E-6</v>
          </cell>
          <cell r="F416">
            <v>4.6855398378373402E-6</v>
          </cell>
          <cell r="G416">
            <v>1.32468943721513E-5</v>
          </cell>
          <cell r="H416">
            <v>1.0528530959358599E-5</v>
          </cell>
          <cell r="I416">
            <v>3.21813369908849E-5</v>
          </cell>
          <cell r="J416">
            <v>8.9097535861336103E-4</v>
          </cell>
          <cell r="K416">
            <v>1.05682902925463E-4</v>
          </cell>
          <cell r="L416">
            <v>7.7731720810273104E-4</v>
          </cell>
          <cell r="M416">
            <v>4.3509301149467403E-5</v>
          </cell>
          <cell r="N416">
            <v>1.7236120282430401E-3</v>
          </cell>
        </row>
        <row r="417">
          <cell r="B417" t="str">
            <v>G-INTC-EXP00-DE</v>
          </cell>
          <cell r="C417" t="str">
            <v>VAR_cap</v>
          </cell>
          <cell r="D417" t="str">
            <v>-</v>
          </cell>
          <cell r="E417">
            <v>4.0279798458906848</v>
          </cell>
          <cell r="F417">
            <v>1.3133297252494458E-3</v>
          </cell>
          <cell r="G417">
            <v>1.2776603742299386E-3</v>
          </cell>
          <cell r="H417">
            <v>1.2051720385839459E-3</v>
          </cell>
          <cell r="I417">
            <v>1.2171103003106865E-3</v>
          </cell>
          <cell r="J417">
            <v>1.2140137478686697E-3</v>
          </cell>
          <cell r="K417">
            <v>1.3679215985744619E-3</v>
          </cell>
          <cell r="L417">
            <v>1.3250518324530169E-3</v>
          </cell>
          <cell r="M417">
            <v>1.0103322523407428E-3</v>
          </cell>
          <cell r="N417">
            <v>1.8042372961753763E-3</v>
          </cell>
          <cell r="O417">
            <v>1.8173779817637031E-3</v>
          </cell>
          <cell r="P417">
            <v>3.5261162043574413E-3</v>
          </cell>
        </row>
        <row r="418">
          <cell r="B418" t="str">
            <v>ENUC_BMGL_EXT</v>
          </cell>
          <cell r="C418" t="str">
            <v>VAR_fout</v>
          </cell>
          <cell r="D418" t="str">
            <v>ELC</v>
          </cell>
          <cell r="E418"/>
          <cell r="F418">
            <v>33.158873955812474</v>
          </cell>
          <cell r="G418">
            <v>32.150214327447337</v>
          </cell>
          <cell r="H418">
            <v>33.158868883129848</v>
          </cell>
          <cell r="I418">
            <v>33.158869356935533</v>
          </cell>
          <cell r="J418">
            <v>33.158876230422791</v>
          </cell>
          <cell r="K418"/>
          <cell r="L418"/>
        </row>
        <row r="419">
          <cell r="B419" t="str">
            <v>ENUC_BMGL_EXT</v>
          </cell>
          <cell r="C419" t="str">
            <v>VAR_fin</v>
          </cell>
          <cell r="D419" t="str">
            <v>URN</v>
          </cell>
          <cell r="E419"/>
          <cell r="F419">
            <v>100.00283719140008</v>
          </cell>
          <cell r="G419">
            <v>96.96085136488044</v>
          </cell>
          <cell r="H419">
            <v>100.00282189285116</v>
          </cell>
          <cell r="I419">
            <v>100.00282332178736</v>
          </cell>
          <cell r="J419">
            <v>100.00284405132813</v>
          </cell>
          <cell r="K419"/>
          <cell r="L419"/>
        </row>
        <row r="420">
          <cell r="B420" t="str">
            <v>ENUC_BMGL_EXT</v>
          </cell>
          <cell r="C420" t="str">
            <v>VAR_ncap</v>
          </cell>
          <cell r="D420" t="str">
            <v>-</v>
          </cell>
          <cell r="E420"/>
          <cell r="F420">
            <v>1.2325669439731</v>
          </cell>
          <cell r="G420"/>
          <cell r="H420"/>
          <cell r="I420"/>
          <cell r="J420"/>
          <cell r="K420"/>
          <cell r="L420"/>
        </row>
        <row r="421">
          <cell r="B421" t="str">
            <v>ENUC_BMGL_EXT</v>
          </cell>
          <cell r="C421" t="str">
            <v>VAR_cap</v>
          </cell>
          <cell r="D421" t="str">
            <v>-</v>
          </cell>
          <cell r="E421"/>
          <cell r="F421">
            <v>1.2325669439731</v>
          </cell>
          <cell r="G421">
            <v>1.2325667792774739</v>
          </cell>
          <cell r="H421">
            <v>1.2325666777936217</v>
          </cell>
          <cell r="I421">
            <v>1.2325665393809913</v>
          </cell>
          <cell r="J421">
            <v>1.2325663172896091</v>
          </cell>
          <cell r="K421"/>
          <cell r="L421"/>
        </row>
        <row r="422">
          <cell r="B422" t="str">
            <v>CEN-EBAT</v>
          </cell>
          <cell r="C422" t="str">
            <v>VAR_fout</v>
          </cell>
          <cell r="D422" t="str">
            <v>ELC13</v>
          </cell>
          <cell r="E422">
            <v>9.2475116178565801E-3</v>
          </cell>
          <cell r="F422">
            <v>7.5133922283555608E-3</v>
          </cell>
          <cell r="G422">
            <v>8.9306646055141662E-3</v>
          </cell>
          <cell r="H422">
            <v>8.3842168271776405E-3</v>
          </cell>
          <cell r="I422">
            <v>2.0099160391847535E-2</v>
          </cell>
          <cell r="J422">
            <v>0.16093455318785424</v>
          </cell>
          <cell r="K422">
            <v>0.18922064904932101</v>
          </cell>
          <cell r="L422">
            <v>0.29696083430342834</v>
          </cell>
          <cell r="M422">
            <v>0.30143325532277693</v>
          </cell>
          <cell r="N422">
            <v>0.37969788056131859</v>
          </cell>
          <cell r="O422">
            <v>0.38294499080408045</v>
          </cell>
          <cell r="P422">
            <v>0.41364545537847713</v>
          </cell>
        </row>
        <row r="423">
          <cell r="B423" t="str">
            <v>CEN-EBAT</v>
          </cell>
          <cell r="C423" t="str">
            <v>VAR_fout</v>
          </cell>
          <cell r="D423" t="str">
            <v>AUX_CEN-EBAT_OUT</v>
          </cell>
          <cell r="E423">
            <v>9.2475116178565558E-3</v>
          </cell>
          <cell r="F423">
            <v>7.5133922283555426E-3</v>
          </cell>
          <cell r="G423">
            <v>8.9306646055141402E-3</v>
          </cell>
          <cell r="H423">
            <v>8.3842168271776197E-3</v>
          </cell>
          <cell r="I423">
            <v>2.0099160391847486E-2</v>
          </cell>
          <cell r="J423">
            <v>0.16093455318785371</v>
          </cell>
          <cell r="K423">
            <v>0.18922064904932037</v>
          </cell>
          <cell r="L423">
            <v>0.29696083430342757</v>
          </cell>
          <cell r="M423">
            <v>0.30143325532277632</v>
          </cell>
          <cell r="N423">
            <v>0.37969788056131737</v>
          </cell>
          <cell r="O423">
            <v>0.3829449908040794</v>
          </cell>
          <cell r="P423">
            <v>0.41364545537847591</v>
          </cell>
        </row>
        <row r="424">
          <cell r="B424" t="str">
            <v>CEN-EBAT</v>
          </cell>
          <cell r="C424" t="str">
            <v>VAR_fin</v>
          </cell>
          <cell r="D424" t="str">
            <v>AUX_CEN-EBAT_IN</v>
          </cell>
          <cell r="E424">
            <v>1.0668412108914957E-2</v>
          </cell>
          <cell r="F424">
            <v>8.6726753126057533E-3</v>
          </cell>
          <cell r="G424">
            <v>1.0300247020978414E-2</v>
          </cell>
          <cell r="H424">
            <v>9.6709824524404131E-3</v>
          </cell>
          <cell r="I424">
            <v>2.3182219099564447E-2</v>
          </cell>
          <cell r="J424">
            <v>0.18561436224811351</v>
          </cell>
          <cell r="K424">
            <v>0.21823797894898536</v>
          </cell>
          <cell r="L424">
            <v>0.34250324119085745</v>
          </cell>
          <cell r="M424">
            <v>0.34765823810425506</v>
          </cell>
          <cell r="N424">
            <v>0.43792924551937473</v>
          </cell>
          <cell r="O424">
            <v>0.44167221947991886</v>
          </cell>
          <cell r="P424">
            <v>0.47708534963905075</v>
          </cell>
        </row>
        <row r="425">
          <cell r="B425" t="str">
            <v>CEN-EBAT</v>
          </cell>
          <cell r="C425" t="str">
            <v>VAR_fin</v>
          </cell>
          <cell r="D425" t="str">
            <v>ELC13</v>
          </cell>
          <cell r="E425">
            <v>1.0668412108914957E-2</v>
          </cell>
          <cell r="F425">
            <v>8.6726753126057533E-3</v>
          </cell>
          <cell r="G425">
            <v>1.0300247020978414E-2</v>
          </cell>
          <cell r="H425">
            <v>9.6709824524404131E-3</v>
          </cell>
          <cell r="I425">
            <v>2.3182219099564447E-2</v>
          </cell>
          <cell r="J425">
            <v>0.18561436224811351</v>
          </cell>
          <cell r="K425">
            <v>0.21823797894898536</v>
          </cell>
          <cell r="L425">
            <v>0.34250324119085745</v>
          </cell>
          <cell r="M425">
            <v>0.34765823810425506</v>
          </cell>
          <cell r="N425">
            <v>0.43792924551937473</v>
          </cell>
          <cell r="O425">
            <v>0.44167221947991886</v>
          </cell>
          <cell r="P425">
            <v>0.47708534963905075</v>
          </cell>
        </row>
        <row r="426">
          <cell r="B426" t="str">
            <v>CEN-EBAT</v>
          </cell>
          <cell r="C426" t="str">
            <v>VAR_ncap</v>
          </cell>
          <cell r="D426" t="str">
            <v>-</v>
          </cell>
          <cell r="E426">
            <v>1.5822023627908E-3</v>
          </cell>
          <cell r="F426">
            <v>2.4645004912685798E-6</v>
          </cell>
          <cell r="G426">
            <v>9.9939977477860999E-6</v>
          </cell>
          <cell r="H426">
            <v>2.6456969115552098E-4</v>
          </cell>
          <cell r="I426">
            <v>3.1590717065841599E-3</v>
          </cell>
          <cell r="J426">
            <v>4.1384134711770999E-2</v>
          </cell>
          <cell r="K426">
            <v>2.5410641082908102E-2</v>
          </cell>
          <cell r="L426">
            <v>2.8973810594040601E-2</v>
          </cell>
          <cell r="M426">
            <v>2.82020285654597E-2</v>
          </cell>
          <cell r="N426">
            <v>2.5721414572864601E-2</v>
          </cell>
          <cell r="O426">
            <v>3.8340963634056202E-2</v>
          </cell>
          <cell r="P426">
            <v>2.05330968820342E-2</v>
          </cell>
        </row>
        <row r="427">
          <cell r="B427" t="str">
            <v>CEN-EBAT</v>
          </cell>
          <cell r="C427" t="str">
            <v>VAR_cap</v>
          </cell>
          <cell r="D427" t="str">
            <v>-</v>
          </cell>
          <cell r="E427">
            <v>1.5822023627908E-3</v>
          </cell>
          <cell r="F427">
            <v>1.5835396780094803E-3</v>
          </cell>
          <cell r="G427">
            <v>1.5917347178358238E-3</v>
          </cell>
          <cell r="H427">
            <v>1.4285959531380313E-3</v>
          </cell>
          <cell r="I427">
            <v>3.4266744214558557E-3</v>
          </cell>
          <cell r="J427">
            <v>4.4596334448078173E-2</v>
          </cell>
          <cell r="K427">
            <v>6.842983976953719E-2</v>
          </cell>
          <cell r="L427">
            <v>6.8514462900468878E-2</v>
          </cell>
          <cell r="M427">
            <v>6.8601715588394258E-2</v>
          </cell>
          <cell r="N427">
            <v>6.8760135336349837E-2</v>
          </cell>
          <cell r="O427">
            <v>6.905180478498732E-2</v>
          </cell>
          <cell r="P427">
            <v>7.6221378373858242E-2</v>
          </cell>
        </row>
        <row r="428">
          <cell r="B428" t="str">
            <v>ESOL-PV</v>
          </cell>
          <cell r="C428" t="str">
            <v>VAR_fout</v>
          </cell>
          <cell r="D428" t="str">
            <v>ELC35</v>
          </cell>
          <cell r="E428"/>
          <cell r="F428"/>
          <cell r="G428">
            <v>0.15618976333301607</v>
          </cell>
          <cell r="H428">
            <v>0.30074072510754118</v>
          </cell>
          <cell r="I428">
            <v>1.0480819543460167</v>
          </cell>
          <cell r="J428">
            <v>1.0516827658341379</v>
          </cell>
          <cell r="K428">
            <v>0.857066295805468</v>
          </cell>
          <cell r="L428">
            <v>0.75181078984981187</v>
          </cell>
          <cell r="M428">
            <v>0.23209784980497919</v>
          </cell>
          <cell r="N428">
            <v>0.18766388879974491</v>
          </cell>
          <cell r="O428">
            <v>0.18820669142940893</v>
          </cell>
          <cell r="P428">
            <v>1.6402974024333721</v>
          </cell>
        </row>
        <row r="429">
          <cell r="B429" t="str">
            <v>ESOL-PV</v>
          </cell>
          <cell r="C429" t="str">
            <v>VAR_fin</v>
          </cell>
          <cell r="D429" t="str">
            <v>SOL</v>
          </cell>
          <cell r="E429"/>
          <cell r="F429"/>
          <cell r="G429">
            <v>0.15618976333301607</v>
          </cell>
          <cell r="H429">
            <v>0.30074072510754118</v>
          </cell>
          <cell r="I429">
            <v>1.0480819543460167</v>
          </cell>
          <cell r="J429">
            <v>1.0516827658341379</v>
          </cell>
          <cell r="K429">
            <v>0.857066295805468</v>
          </cell>
          <cell r="L429">
            <v>0.75181078984981187</v>
          </cell>
          <cell r="M429">
            <v>0.23209784980497919</v>
          </cell>
          <cell r="N429">
            <v>0.18766388879974491</v>
          </cell>
          <cell r="O429">
            <v>0.18820669142940893</v>
          </cell>
          <cell r="P429">
            <v>1.6402974024333721</v>
          </cell>
        </row>
        <row r="430">
          <cell r="B430" t="str">
            <v>ESOL-PV</v>
          </cell>
          <cell r="C430" t="str">
            <v>VAR_fin</v>
          </cell>
          <cell r="D430" t="str">
            <v>SOLPVC</v>
          </cell>
          <cell r="E430"/>
          <cell r="F430"/>
          <cell r="G430">
            <v>0.15618976333301601</v>
          </cell>
          <cell r="H430">
            <v>0.30074072510754102</v>
          </cell>
          <cell r="I430">
            <v>1.04808195434602</v>
          </cell>
          <cell r="J430">
            <v>1.0516827658341401</v>
          </cell>
          <cell r="K430">
            <v>0.857066295805469</v>
          </cell>
          <cell r="L430">
            <v>0.75181078984981198</v>
          </cell>
          <cell r="M430">
            <v>0.232097849804979</v>
          </cell>
          <cell r="N430">
            <v>0.18766388879974499</v>
          </cell>
          <cell r="O430">
            <v>0.18820669142940899</v>
          </cell>
          <cell r="P430">
            <v>1.6402974024333701</v>
          </cell>
        </row>
        <row r="431">
          <cell r="B431" t="str">
            <v>ESOL-PV</v>
          </cell>
          <cell r="C431" t="str">
            <v>VAR_ncap</v>
          </cell>
          <cell r="D431" t="str">
            <v>-</v>
          </cell>
          <cell r="E431"/>
          <cell r="F431"/>
          <cell r="G431">
            <v>4.4924586395967601E-2</v>
          </cell>
          <cell r="H431">
            <v>2.3702538806812799E-2</v>
          </cell>
          <cell r="I431">
            <v>0.17053678438988301</v>
          </cell>
          <cell r="J431">
            <v>8.2190660378648399E-4</v>
          </cell>
          <cell r="K431">
            <v>7.1497559870884107E-5</v>
          </cell>
          <cell r="L431">
            <v>1.26895741512313E-4</v>
          </cell>
          <cell r="M431">
            <v>2.8427643022581399E-4</v>
          </cell>
          <cell r="N431">
            <v>4.2342818708215102E-2</v>
          </cell>
          <cell r="O431">
            <v>1.96384916496266E-4</v>
          </cell>
          <cell r="P431">
            <v>0.33148447136139603</v>
          </cell>
        </row>
        <row r="432">
          <cell r="B432" t="str">
            <v>ESOL-PV</v>
          </cell>
          <cell r="C432" t="str">
            <v>VAR_cap</v>
          </cell>
          <cell r="D432" t="str">
            <v>-</v>
          </cell>
          <cell r="E432"/>
          <cell r="F432"/>
          <cell r="G432">
            <v>4.4924586395967601E-2</v>
          </cell>
          <cell r="H432">
            <v>6.8627125202780401E-2</v>
          </cell>
          <cell r="I432">
            <v>0.23916390959266401</v>
          </cell>
          <cell r="J432">
            <v>0.23998581619645001</v>
          </cell>
          <cell r="K432">
            <v>0.19557582720684</v>
          </cell>
          <cell r="L432">
            <v>0.17155708429505301</v>
          </cell>
          <cell r="M432">
            <v>5.2963908215715803E-2</v>
          </cell>
          <cell r="N432">
            <v>4.2825488439824103E-2</v>
          </cell>
          <cell r="O432">
            <v>4.2950375796449503E-2</v>
          </cell>
          <cell r="P432">
            <v>0.374307951416333</v>
          </cell>
        </row>
        <row r="433">
          <cell r="B433" t="str">
            <v>ENUC_SMR_BMGL_IV</v>
          </cell>
          <cell r="C433" t="str">
            <v>VAR_fout</v>
          </cell>
          <cell r="D433" t="str">
            <v>LTH</v>
          </cell>
          <cell r="E433"/>
          <cell r="F433"/>
          <cell r="K433">
            <v>0.12968645924335587</v>
          </cell>
          <cell r="L433">
            <v>0.35931925867980508</v>
          </cell>
          <cell r="M433">
            <v>0.35115300918472764</v>
          </cell>
          <cell r="N433">
            <v>0.3345695581195906</v>
          </cell>
          <cell r="O433">
            <v>0.36667419535757612</v>
          </cell>
          <cell r="P433">
            <v>0.33254116534365818</v>
          </cell>
        </row>
        <row r="434">
          <cell r="B434" t="str">
            <v>ENUC_SMR_BMGL_IV</v>
          </cell>
          <cell r="C434" t="str">
            <v>VAR_fout</v>
          </cell>
          <cell r="D434" t="str">
            <v>ELC</v>
          </cell>
          <cell r="E434"/>
          <cell r="F434"/>
          <cell r="K434">
            <v>6.887621792953362E-2</v>
          </cell>
          <cell r="L434">
            <v>0.20502117841704828</v>
          </cell>
          <cell r="M434">
            <v>0.22389384255341704</v>
          </cell>
          <cell r="N434">
            <v>0.20637096912881792</v>
          </cell>
          <cell r="O434">
            <v>0.22868867648481331</v>
          </cell>
          <cell r="P434">
            <v>0.26196822375376205</v>
          </cell>
        </row>
        <row r="435">
          <cell r="B435" t="str">
            <v>ENUC_SMR_BMGL_IV</v>
          </cell>
          <cell r="C435" t="str">
            <v>VAR_fin</v>
          </cell>
          <cell r="D435" t="str">
            <v>URN</v>
          </cell>
          <cell r="E435"/>
          <cell r="F435"/>
          <cell r="K435">
            <v>0.26537275830133511</v>
          </cell>
          <cell r="L435">
            <v>0.77805780744657627</v>
          </cell>
          <cell r="M435">
            <v>0.83135041093541995</v>
          </cell>
          <cell r="N435">
            <v>0.7711256231361775</v>
          </cell>
          <cell r="O435">
            <v>0.85272078084328606</v>
          </cell>
          <cell r="P435">
            <v>0.93790744136118331</v>
          </cell>
        </row>
        <row r="436">
          <cell r="B436" t="str">
            <v>ENUC_SMR_BMGL_IV</v>
          </cell>
          <cell r="C436" t="str">
            <v>VAR_ncap</v>
          </cell>
          <cell r="D436" t="str">
            <v>-</v>
          </cell>
          <cell r="E436"/>
          <cell r="F436"/>
          <cell r="G436"/>
          <cell r="H436"/>
          <cell r="I436"/>
          <cell r="J436"/>
          <cell r="K436">
            <v>8.9831340786787998E-3</v>
          </cell>
          <cell r="L436">
            <v>2.8530316782149998E-6</v>
          </cell>
          <cell r="M436">
            <v>1.0308252820726401E-5</v>
          </cell>
          <cell r="N436">
            <v>4.6029131542921401E-5</v>
          </cell>
          <cell r="O436">
            <v>2.3620546775443099E-3</v>
          </cell>
        </row>
        <row r="437">
          <cell r="B437" t="str">
            <v>ENUC_SMR_BMGL_IV</v>
          </cell>
          <cell r="C437" t="str">
            <v>VAR_cap</v>
          </cell>
          <cell r="D437" t="str">
            <v>-</v>
          </cell>
          <cell r="E437"/>
          <cell r="F437"/>
          <cell r="G437"/>
          <cell r="H437"/>
          <cell r="I437"/>
          <cell r="J437"/>
          <cell r="K437">
            <v>2.84777648513898E-3</v>
          </cell>
          <cell r="L437">
            <v>8.9831340786787998E-3</v>
          </cell>
          <cell r="M437">
            <v>8.9897494079080893E-3</v>
          </cell>
          <cell r="N437">
            <v>8.9962953631777393E-3</v>
          </cell>
          <cell r="O437">
            <v>9.7911281648438292E-3</v>
          </cell>
          <cell r="P437">
            <v>1.1404379172265E-2</v>
          </cell>
        </row>
        <row r="438">
          <cell r="B438" t="str">
            <v>RHEM-SHSTG-CHPNGA</v>
          </cell>
          <cell r="C438" t="str">
            <v>VAR_fout</v>
          </cell>
          <cell r="D438" t="str">
            <v>RHEM_LTH_CHPNGA</v>
          </cell>
          <cell r="E438">
            <v>4.0577733249791664E-2</v>
          </cell>
          <cell r="F438">
            <v>2.3791925067700488E-4</v>
          </cell>
          <cell r="G438">
            <v>7.7979324877241836E-3</v>
          </cell>
          <cell r="H438">
            <v>4.6017379857779622E-2</v>
          </cell>
          <cell r="I438">
            <v>6.465907098017365E-2</v>
          </cell>
          <cell r="J438">
            <v>6.6732779059473474E-2</v>
          </cell>
          <cell r="K438">
            <v>5.3451966162369864E-2</v>
          </cell>
          <cell r="L438">
            <v>0.10992916510895213</v>
          </cell>
          <cell r="M438">
            <v>7.1279390550292657E-2</v>
          </cell>
          <cell r="N438">
            <v>0.12576126898522419</v>
          </cell>
          <cell r="O438">
            <v>9.2212163805243857E-2</v>
          </cell>
          <cell r="P438">
            <v>0.22609881453001168</v>
          </cell>
        </row>
        <row r="439">
          <cell r="B439" t="str">
            <v>RHEM-SHSTG-CHPNGA</v>
          </cell>
          <cell r="C439" t="str">
            <v>VAR_fout</v>
          </cell>
          <cell r="D439" t="str">
            <v>AUX_REM-CHPNGA_OUT</v>
          </cell>
          <cell r="E439">
            <v>4.0577733249791775E-2</v>
          </cell>
          <cell r="F439">
            <v>2.3776074351466241E-4</v>
          </cell>
          <cell r="G439">
            <v>7.7898180938764036E-3</v>
          </cell>
          <cell r="H439">
            <v>4.6017379857779622E-2</v>
          </cell>
          <cell r="I439">
            <v>6.4599696259347153E-2</v>
          </cell>
          <cell r="J439">
            <v>6.6732779059473668E-2</v>
          </cell>
          <cell r="K439">
            <v>5.3408331904278218E-2</v>
          </cell>
          <cell r="L439">
            <v>0.1099291651089523</v>
          </cell>
          <cell r="M439">
            <v>7.1279390550292712E-2</v>
          </cell>
          <cell r="N439">
            <v>0.12576126898522433</v>
          </cell>
          <cell r="O439">
            <v>9.2212163805243913E-2</v>
          </cell>
          <cell r="P439">
            <v>0.22609881453001185</v>
          </cell>
        </row>
        <row r="440">
          <cell r="B440" t="str">
            <v>RHEM-SHSTG-CHPNGA</v>
          </cell>
          <cell r="C440" t="str">
            <v>VAR_fin</v>
          </cell>
          <cell r="D440" t="str">
            <v>AUX_REM-CHPNGA_IN</v>
          </cell>
          <cell r="E440">
            <v>5.4053373619664377E-2</v>
          </cell>
          <cell r="F440">
            <v>3.1676085644250168E-4</v>
          </cell>
          <cell r="G440">
            <v>1.0057702782921297E-2</v>
          </cell>
          <cell r="H440">
            <v>5.7516051911900734E-2</v>
          </cell>
          <cell r="I440">
            <v>7.8375067868866596E-2</v>
          </cell>
          <cell r="J440">
            <v>7.8510984621072713E-2</v>
          </cell>
          <cell r="K440">
            <v>6.1087088573023723E-2</v>
          </cell>
          <cell r="L440">
            <v>0.12214447681875748</v>
          </cell>
          <cell r="M440">
            <v>7.920325023311621E-2</v>
          </cell>
          <cell r="N440">
            <v>0.13973666337888221</v>
          </cell>
          <cell r="O440">
            <v>0.10246005439665466</v>
          </cell>
          <cell r="P440">
            <v>0.25122491970830202</v>
          </cell>
        </row>
        <row r="441">
          <cell r="B441" t="str">
            <v>RHEM-SHSTG-CHPNGA</v>
          </cell>
          <cell r="C441" t="str">
            <v>VAR_fin</v>
          </cell>
          <cell r="D441" t="str">
            <v>RHEM_LTH_CHPNGA</v>
          </cell>
          <cell r="E441">
            <v>5.4053373619664377E-2</v>
          </cell>
          <cell r="F441">
            <v>3.1676085644250168E-4</v>
          </cell>
          <cell r="G441">
            <v>1.0057702782921297E-2</v>
          </cell>
          <cell r="H441">
            <v>5.7516051911900734E-2</v>
          </cell>
          <cell r="I441">
            <v>7.8375067868866596E-2</v>
          </cell>
          <cell r="J441">
            <v>7.8510984621072713E-2</v>
          </cell>
          <cell r="K441">
            <v>6.1087088573023723E-2</v>
          </cell>
          <cell r="L441">
            <v>0.12214447681875748</v>
          </cell>
          <cell r="M441">
            <v>7.920325023311621E-2</v>
          </cell>
          <cell r="N441">
            <v>0.13973666337888221</v>
          </cell>
          <cell r="O441">
            <v>0.10246005439665466</v>
          </cell>
          <cell r="P441">
            <v>0.25122491970830202</v>
          </cell>
        </row>
        <row r="442">
          <cell r="B442" t="str">
            <v>RHEM-SHSTG-CHPNGA</v>
          </cell>
          <cell r="C442" t="str">
            <v>VAR_ncap</v>
          </cell>
          <cell r="D442" t="str">
            <v>-</v>
          </cell>
          <cell r="E442">
            <v>9.4116425016694399E-3</v>
          </cell>
          <cell r="F442">
            <v>1.20657764409728E-4</v>
          </cell>
          <cell r="G442">
            <v>1.5142247672660599E-4</v>
          </cell>
          <cell r="H442">
            <v>1.36660896804009E-2</v>
          </cell>
          <cell r="I442">
            <v>5.6825953407994099E-3</v>
          </cell>
          <cell r="J442">
            <v>1.4063376057908999E-2</v>
          </cell>
          <cell r="K442">
            <v>5.3784422788800404E-4</v>
          </cell>
          <cell r="L442">
            <v>1.3749207318957599E-2</v>
          </cell>
          <cell r="M442">
            <v>7.9717608091402197E-3</v>
          </cell>
          <cell r="N442">
            <v>3.1915401461225499E-3</v>
          </cell>
          <cell r="O442">
            <v>9.8509667006295692E-3</v>
          </cell>
          <cell r="P442">
            <v>2.90270916586952E-2</v>
          </cell>
        </row>
        <row r="443">
          <cell r="B443" t="str">
            <v>RHEM-SHSTG-CHPNGA</v>
          </cell>
          <cell r="C443" t="str">
            <v>VAR_cap</v>
          </cell>
          <cell r="D443" t="str">
            <v>-</v>
          </cell>
          <cell r="E443">
            <v>9.4116425016694399E-3</v>
          </cell>
          <cell r="F443">
            <v>9.5167249100881948E-3</v>
          </cell>
          <cell r="G443">
            <v>9.6217792792752665E-3</v>
          </cell>
          <cell r="H443">
            <v>2.3178254222994875E-2</v>
          </cell>
          <cell r="I443">
            <v>2.1833433787713828E-2</v>
          </cell>
          <cell r="J443">
            <v>3.0764221892511462E-2</v>
          </cell>
          <cell r="K443">
            <v>1.958720725809187E-2</v>
          </cell>
          <cell r="L443">
            <v>2.8228412493383648E-2</v>
          </cell>
          <cell r="M443">
            <v>2.4082915548833773E-2</v>
          </cell>
          <cell r="N443">
            <v>2.4726763279425443E-2</v>
          </cell>
          <cell r="O443">
            <v>2.0687199857421647E-2</v>
          </cell>
          <cell r="P443">
            <v>4.1928583980792758E-2</v>
          </cell>
        </row>
        <row r="444">
          <cell r="B444" t="str">
            <v>RHNS-ESOLPV</v>
          </cell>
          <cell r="C444" t="str">
            <v>VAR_fout</v>
          </cell>
          <cell r="D444" t="str">
            <v>RHNS_SOL_ELC</v>
          </cell>
          <cell r="E444"/>
          <cell r="F444">
            <v>8.3544323137559772E-5</v>
          </cell>
          <cell r="G444">
            <v>6.6791117515063595E-3</v>
          </cell>
          <cell r="H444">
            <v>7.6451644147257324E-3</v>
          </cell>
          <cell r="I444">
            <v>8.0435077416055982E-3</v>
          </cell>
          <cell r="J444">
            <v>8.4546112039387659E-3</v>
          </cell>
          <cell r="K444">
            <v>8.8868659769919464E-3</v>
          </cell>
          <cell r="L444">
            <v>9.3427891335335078E-3</v>
          </cell>
          <cell r="M444">
            <v>9.8218917304127625E-3</v>
          </cell>
          <cell r="N444">
            <v>1.03304736256392E-2</v>
          </cell>
          <cell r="O444">
            <v>1.0866719565908674E-2</v>
          </cell>
          <cell r="P444">
            <v>1.1675169645044763E-2</v>
          </cell>
        </row>
        <row r="445">
          <cell r="B445" t="str">
            <v>RHNS-ESOLPV</v>
          </cell>
          <cell r="C445" t="str">
            <v>VAR_fin</v>
          </cell>
          <cell r="D445" t="str">
            <v>SOL</v>
          </cell>
          <cell r="E445"/>
          <cell r="F445">
            <v>8.3544323137559772E-5</v>
          </cell>
          <cell r="G445">
            <v>6.6791117515063595E-3</v>
          </cell>
          <cell r="H445">
            <v>7.6451644147257324E-3</v>
          </cell>
          <cell r="I445">
            <v>8.0435077416055982E-3</v>
          </cell>
          <cell r="J445">
            <v>8.4546112039387659E-3</v>
          </cell>
          <cell r="K445">
            <v>8.8868659769919464E-3</v>
          </cell>
          <cell r="L445">
            <v>9.3427891335335078E-3</v>
          </cell>
          <cell r="M445">
            <v>9.8218917304127625E-3</v>
          </cell>
          <cell r="N445">
            <v>1.03304736256392E-2</v>
          </cell>
          <cell r="O445">
            <v>1.0866719565908674E-2</v>
          </cell>
          <cell r="P445">
            <v>1.1675169645044763E-2</v>
          </cell>
        </row>
        <row r="446">
          <cell r="B446" t="str">
            <v>RHNS-ESOLPV</v>
          </cell>
          <cell r="C446" t="str">
            <v>VAR_fin</v>
          </cell>
          <cell r="D446" t="str">
            <v>SOLPVC</v>
          </cell>
          <cell r="E446"/>
          <cell r="F446">
            <v>8.3544323137559704E-5</v>
          </cell>
          <cell r="G446">
            <v>6.6791117515063603E-3</v>
          </cell>
          <cell r="H446">
            <v>7.6451644147257298E-3</v>
          </cell>
          <cell r="I446">
            <v>8.0435077416055895E-3</v>
          </cell>
          <cell r="J446">
            <v>8.4546112039387694E-3</v>
          </cell>
          <cell r="K446">
            <v>8.8868659769919395E-3</v>
          </cell>
          <cell r="L446">
            <v>9.3427891335335096E-3</v>
          </cell>
          <cell r="M446">
            <v>9.8218917304127695E-3</v>
          </cell>
          <cell r="N446">
            <v>1.03304736256392E-2</v>
          </cell>
          <cell r="O446">
            <v>1.08667195659087E-2</v>
          </cell>
          <cell r="P446">
            <v>1.16751696450448E-2</v>
          </cell>
        </row>
        <row r="447">
          <cell r="B447" t="str">
            <v>RHNS-ESOLPV</v>
          </cell>
          <cell r="C447" t="str">
            <v>VAR_ncap</v>
          </cell>
          <cell r="D447" t="str">
            <v>-</v>
          </cell>
          <cell r="F447">
            <v>2.8489881732215999E-5</v>
          </cell>
          <cell r="G447">
            <v>2.10383437248435E-3</v>
          </cell>
          <cell r="H447">
            <v>7.5473749907141105E-5</v>
          </cell>
          <cell r="I447">
            <v>1.1453872641799E-4</v>
          </cell>
          <cell r="J447">
            <v>1.2956964365688501E-4</v>
          </cell>
          <cell r="K447">
            <v>1.89543017806903E-3</v>
          </cell>
          <cell r="L447">
            <v>5.5547124733906295E-4</v>
          </cell>
          <cell r="M447">
            <v>2.35198257940139E-4</v>
          </cell>
          <cell r="N447">
            <v>2.9359103242935098E-4</v>
          </cell>
          <cell r="O447">
            <v>2.0505930261209698E-3</v>
          </cell>
          <cell r="P447">
            <v>7.9009254936480305E-4</v>
          </cell>
        </row>
        <row r="448">
          <cell r="B448" t="str">
            <v>RHNS-ESOLPV</v>
          </cell>
          <cell r="C448" t="str">
            <v>VAR_cap</v>
          </cell>
          <cell r="D448" t="str">
            <v>-</v>
          </cell>
          <cell r="F448">
            <v>2.8489881732215999E-5</v>
          </cell>
          <cell r="G448">
            <v>2.1323242542165598E-3</v>
          </cell>
          <cell r="H448">
            <v>2.2077980041237E-3</v>
          </cell>
          <cell r="I448">
            <v>2.32233673054169E-3</v>
          </cell>
          <cell r="J448">
            <v>2.4409306503329099E-3</v>
          </cell>
          <cell r="K448">
            <v>2.5637212763460399E-3</v>
          </cell>
          <cell r="L448">
            <v>2.6950097954829698E-3</v>
          </cell>
          <cell r="M448">
            <v>2.8332713740774102E-3</v>
          </cell>
          <cell r="N448">
            <v>2.9796907157775901E-3</v>
          </cell>
          <cell r="O448">
            <v>3.1348535638295199E-3</v>
          </cell>
          <cell r="P448">
            <v>3.3694748658552598E-3</v>
          </cell>
        </row>
        <row r="449">
          <cell r="B449" t="str">
            <v>RHSA-WHSTG-CHP</v>
          </cell>
          <cell r="C449" t="str">
            <v>VAR_fout</v>
          </cell>
          <cell r="D449" t="str">
            <v>AUX_RHSA-CHP_OUT</v>
          </cell>
          <cell r="E449">
            <v>8.0775597292120285</v>
          </cell>
          <cell r="F449">
            <v>3.7576111167585786E-4</v>
          </cell>
          <cell r="G449">
            <v>1.0456154842932372E-2</v>
          </cell>
          <cell r="H449">
            <v>4.2676198908368351E-2</v>
          </cell>
          <cell r="I449">
            <v>0.15553071441699287</v>
          </cell>
          <cell r="J449">
            <v>0.14520073064975439</v>
          </cell>
          <cell r="K449">
            <v>6.8639679896638175E-2</v>
          </cell>
          <cell r="L449">
            <v>0.17046186176971467</v>
          </cell>
          <cell r="M449">
            <v>8.0377795891853482E-2</v>
          </cell>
          <cell r="N449">
            <v>0.22361993597264895</v>
          </cell>
          <cell r="O449">
            <v>9.1558695640836268E-2</v>
          </cell>
          <cell r="P449">
            <v>1.1586329270518181</v>
          </cell>
        </row>
        <row r="450">
          <cell r="B450" t="str">
            <v>RHSA-WHSTG-CHP</v>
          </cell>
          <cell r="C450" t="str">
            <v>VAR_fout</v>
          </cell>
          <cell r="D450" t="str">
            <v>RHSA_LTH</v>
          </cell>
          <cell r="E450">
            <v>8.0775597292120089</v>
          </cell>
          <cell r="F450">
            <v>3.7601161908364079E-4</v>
          </cell>
          <cell r="G450">
            <v>1.0467046670893746E-2</v>
          </cell>
          <cell r="H450">
            <v>4.2676198908368351E-2</v>
          </cell>
          <cell r="I450">
            <v>0.15567366544127284</v>
          </cell>
          <cell r="J450">
            <v>0.14520073064975375</v>
          </cell>
          <cell r="K450">
            <v>6.8695758066488241E-2</v>
          </cell>
          <cell r="L450">
            <v>0.17046186176971448</v>
          </cell>
          <cell r="M450">
            <v>8.0377795891853412E-2</v>
          </cell>
          <cell r="N450">
            <v>0.22361993597264865</v>
          </cell>
          <cell r="O450">
            <v>9.1558695640836157E-2</v>
          </cell>
          <cell r="P450">
            <v>1.1586329270518168</v>
          </cell>
        </row>
        <row r="451">
          <cell r="B451" t="str">
            <v>RHSA-WHSTG-CHP</v>
          </cell>
          <cell r="C451" t="str">
            <v>VAR_fin</v>
          </cell>
          <cell r="D451" t="str">
            <v>RHSA_LTH</v>
          </cell>
          <cell r="E451">
            <v>10.770012611331529</v>
          </cell>
          <cell r="F451">
            <v>5.1578553647992304E-4</v>
          </cell>
          <cell r="G451">
            <v>1.3481041461606795E-2</v>
          </cell>
          <cell r="H451">
            <v>5.3359169084724753E-2</v>
          </cell>
          <cell r="I451">
            <v>0.18868418078039989</v>
          </cell>
          <cell r="J451">
            <v>0.17082626542389817</v>
          </cell>
          <cell r="K451">
            <v>7.8499488378259749E-2</v>
          </cell>
          <cell r="L451">
            <v>0.18942353841684756</v>
          </cell>
          <cell r="M451">
            <v>8.9319047891796718E-2</v>
          </cell>
          <cell r="N451">
            <v>0.24848893806441841</v>
          </cell>
          <cell r="O451">
            <v>0.10174768091883091</v>
          </cell>
          <cell r="P451">
            <v>1.2873673006801105</v>
          </cell>
        </row>
        <row r="452">
          <cell r="B452" t="str">
            <v>RHSA-WHSTG-CHP</v>
          </cell>
          <cell r="C452" t="str">
            <v>VAR_fin</v>
          </cell>
          <cell r="D452" t="str">
            <v>AUX_RHSA-CHP_IN</v>
          </cell>
          <cell r="E452">
            <v>10.770012611331529</v>
          </cell>
          <cell r="F452">
            <v>5.1578553647992304E-4</v>
          </cell>
          <cell r="G452">
            <v>1.3481041461606795E-2</v>
          </cell>
          <cell r="H452">
            <v>5.3359169084724753E-2</v>
          </cell>
          <cell r="I452">
            <v>0.18868418078039989</v>
          </cell>
          <cell r="J452">
            <v>0.17082626542389817</v>
          </cell>
          <cell r="K452">
            <v>7.8499488378259749E-2</v>
          </cell>
          <cell r="L452">
            <v>0.18942353841684756</v>
          </cell>
          <cell r="M452">
            <v>8.9319047891796718E-2</v>
          </cell>
          <cell r="N452">
            <v>0.24848893806441841</v>
          </cell>
          <cell r="O452">
            <v>0.10174768091883091</v>
          </cell>
          <cell r="P452">
            <v>1.2873673006801105</v>
          </cell>
        </row>
        <row r="453">
          <cell r="B453" t="str">
            <v>RHSA-WHSTG-CHP</v>
          </cell>
          <cell r="C453" t="str">
            <v>VAR_ncap</v>
          </cell>
          <cell r="D453" t="str">
            <v>-</v>
          </cell>
          <cell r="E453">
            <v>0.51162947723855701</v>
          </cell>
          <cell r="F453">
            <v>5.73200252402582E-5</v>
          </cell>
          <cell r="G453">
            <v>6.4379598874715106E-5</v>
          </cell>
          <cell r="H453">
            <v>6.1332400076913603E-5</v>
          </cell>
          <cell r="I453">
            <v>7.4177055936014993E-2</v>
          </cell>
          <cell r="J453">
            <v>3.03832399164446E-3</v>
          </cell>
          <cell r="K453">
            <v>4.2009164086976501E-4</v>
          </cell>
          <cell r="L453">
            <v>2.2007983623591399E-2</v>
          </cell>
          <cell r="M453">
            <v>3.6284666515233198E-4</v>
          </cell>
          <cell r="N453">
            <v>2.1426877488398598E-3</v>
          </cell>
          <cell r="O453">
            <v>7.1561338387426104E-3</v>
          </cell>
          <cell r="P453">
            <v>6.5022114272746095E-2</v>
          </cell>
        </row>
        <row r="454">
          <cell r="B454" t="str">
            <v>RHSA-WHSTG-CHP</v>
          </cell>
          <cell r="C454" t="str">
            <v>VAR_cap</v>
          </cell>
          <cell r="D454" t="str">
            <v>-</v>
          </cell>
          <cell r="E454">
            <v>0.51231061828719715</v>
          </cell>
          <cell r="F454">
            <v>2.4390601006927914E-2</v>
          </cell>
          <cell r="G454">
            <v>2.299118519380694E-2</v>
          </cell>
          <cell r="H454">
            <v>1.983189978261618E-2</v>
          </cell>
          <cell r="I454">
            <v>7.9342192497670994E-2</v>
          </cell>
          <cell r="J454">
            <v>7.7224142626001913E-2</v>
          </cell>
          <cell r="K454">
            <v>2.2017877183570997E-2</v>
          </cell>
          <cell r="L454">
            <v>2.5354107073961109E-2</v>
          </cell>
          <cell r="M454">
            <v>2.2993131908509417E-2</v>
          </cell>
          <cell r="N454">
            <v>2.4313551876854415E-2</v>
          </cell>
          <cell r="O454">
            <v>1.321864065973887E-2</v>
          </cell>
          <cell r="P454">
            <v>7.4182026767524431E-2</v>
          </cell>
        </row>
        <row r="455">
          <cell r="B455" t="str">
            <v>G-INTC-SER</v>
          </cell>
          <cell r="C455" t="str">
            <v>VAR_fout</v>
          </cell>
          <cell r="D455" t="str">
            <v>ELC35</v>
          </cell>
          <cell r="E455">
            <v>53.846647261201682</v>
          </cell>
          <cell r="F455">
            <v>1.1989273320536375E-2</v>
          </cell>
          <cell r="G455">
            <v>1.5252981812972851E-2</v>
          </cell>
          <cell r="H455">
            <v>5.8644261540523974E-3</v>
          </cell>
          <cell r="I455">
            <v>1.1860430875370814E-2</v>
          </cell>
          <cell r="J455">
            <v>1.1347722120736892E-2</v>
          </cell>
          <cell r="K455">
            <v>1.179531633407405E-2</v>
          </cell>
          <cell r="L455">
            <v>2.9980063703810029E-2</v>
          </cell>
          <cell r="M455">
            <v>1.4049505451769802E-2</v>
          </cell>
          <cell r="N455">
            <v>2.7727807114060338E-2</v>
          </cell>
          <cell r="O455">
            <v>2.1515736635181429E-2</v>
          </cell>
          <cell r="P455">
            <v>4.8576527130275444E-2</v>
          </cell>
        </row>
        <row r="456">
          <cell r="B456" t="str">
            <v>G-INTC-SER</v>
          </cell>
          <cell r="C456" t="str">
            <v>VAR_fout</v>
          </cell>
          <cell r="D456" t="str">
            <v>SCOM_ELC</v>
          </cell>
          <cell r="E456">
            <v>60.643219305276233</v>
          </cell>
          <cell r="F456">
            <v>58.716974767796536</v>
          </cell>
          <cell r="G456">
            <v>63.483505829889189</v>
          </cell>
          <cell r="H456">
            <v>64.787041332447174</v>
          </cell>
          <cell r="I456">
            <v>64.117689703417142</v>
          </cell>
          <cell r="J456">
            <v>68.729682025354947</v>
          </cell>
          <cell r="K456">
            <v>65.654398982966413</v>
          </cell>
          <cell r="L456">
            <v>63.580495028069649</v>
          </cell>
          <cell r="M456">
            <v>65.069782542916201</v>
          </cell>
          <cell r="N456">
            <v>66.269782919415704</v>
          </cell>
          <cell r="O456">
            <v>68.958665981003222</v>
          </cell>
          <cell r="P456">
            <v>70.601287357022287</v>
          </cell>
        </row>
        <row r="457">
          <cell r="B457" t="str">
            <v>G-INTC-SER</v>
          </cell>
          <cell r="C457" t="str">
            <v>VAR_fin</v>
          </cell>
          <cell r="D457" t="str">
            <v>ELC5</v>
          </cell>
          <cell r="E457">
            <v>114.48986283441815</v>
          </cell>
          <cell r="F457">
            <v>58.728964041117052</v>
          </cell>
          <cell r="G457">
            <v>63.498758811702182</v>
          </cell>
          <cell r="H457">
            <v>64.79290575860125</v>
          </cell>
          <cell r="I457">
            <v>64.129550134292501</v>
          </cell>
          <cell r="J457">
            <v>68.741029747475665</v>
          </cell>
          <cell r="K457">
            <v>65.666194299300514</v>
          </cell>
          <cell r="L457">
            <v>63.610475091773402</v>
          </cell>
          <cell r="M457">
            <v>65.083832048368009</v>
          </cell>
          <cell r="N457">
            <v>66.297510726529765</v>
          </cell>
          <cell r="O457">
            <v>68.980181717638402</v>
          </cell>
          <cell r="P457">
            <v>70.649863884152538</v>
          </cell>
        </row>
        <row r="458">
          <cell r="B458" t="str">
            <v>G-INTC-SER</v>
          </cell>
          <cell r="C458" t="str">
            <v>VAR_ncap</v>
          </cell>
          <cell r="D458" t="str">
            <v>-</v>
          </cell>
          <cell r="E458">
            <v>1.1424460956304499E-7</v>
          </cell>
          <cell r="F458">
            <v>1.1887454397001999E-7</v>
          </cell>
          <cell r="G458">
            <v>1.33402479676495E-7</v>
          </cell>
          <cell r="H458">
            <v>1.5082343826967099E-7</v>
          </cell>
          <cell r="I458">
            <v>2.0595623953232499E-7</v>
          </cell>
          <cell r="J458">
            <v>2.4602282930101901E-7</v>
          </cell>
          <cell r="K458">
            <v>3.1760997466191798E-7</v>
          </cell>
          <cell r="L458">
            <v>4.1526780476327098E-7</v>
          </cell>
          <cell r="M458">
            <v>5.07492920185146E-7</v>
          </cell>
          <cell r="N458">
            <v>9.2422940505332795E-7</v>
          </cell>
          <cell r="O458">
            <v>1.6634371870827301E-6</v>
          </cell>
        </row>
        <row r="459">
          <cell r="B459" t="str">
            <v>G-INTC-SER</v>
          </cell>
          <cell r="C459" t="str">
            <v>VAR_cap</v>
          </cell>
          <cell r="D459" t="str">
            <v>-</v>
          </cell>
          <cell r="E459">
            <v>4.3683888589490198</v>
          </cell>
          <cell r="F459">
            <v>4.3683888960941886</v>
          </cell>
          <cell r="G459">
            <v>4.3683890920681732</v>
          </cell>
          <cell r="H459">
            <v>4.3683893084521008</v>
          </cell>
          <cell r="I459">
            <v>4.368389425892035</v>
          </cell>
          <cell r="J459">
            <v>4.3683896770305992</v>
          </cell>
          <cell r="K459">
            <v>4.3683899811988702</v>
          </cell>
          <cell r="L459">
            <v>4.3683901458831347</v>
          </cell>
          <cell r="M459">
            <v>4.3683908403681349</v>
          </cell>
          <cell r="N459">
            <v>4.3683912912148219</v>
          </cell>
          <cell r="O459">
            <v>4.3683927937999796</v>
          </cell>
          <cell r="P459">
            <v>4.3683936563104515</v>
          </cell>
        </row>
        <row r="460">
          <cell r="B460" t="str">
            <v>CHPWOD</v>
          </cell>
          <cell r="C460" t="str">
            <v>VAR_fout</v>
          </cell>
          <cell r="D460" t="str">
            <v>ELC35</v>
          </cell>
          <cell r="E460">
            <v>0.40339295109917378</v>
          </cell>
          <cell r="F460">
            <v>5.4852438912277229E-2</v>
          </cell>
          <cell r="G460">
            <v>0.68617867028987223</v>
          </cell>
          <cell r="H460">
            <v>1.0655132018418774</v>
          </cell>
          <cell r="I460">
            <v>1.2506344625896668</v>
          </cell>
          <cell r="J460">
            <v>1.2886133311308661</v>
          </cell>
          <cell r="K460">
            <v>0.77661014228941905</v>
          </cell>
          <cell r="L460">
            <v>0.46963908438428781</v>
          </cell>
          <cell r="M460">
            <v>0.28392159688451557</v>
          </cell>
          <cell r="N460">
            <v>0.34769795894954947</v>
          </cell>
          <cell r="O460">
            <v>0.35072318177432543</v>
          </cell>
          <cell r="P460">
            <v>0.31245291468579323</v>
          </cell>
        </row>
        <row r="461">
          <cell r="B461" t="str">
            <v>CHPWOD</v>
          </cell>
          <cell r="C461" t="str">
            <v>VAR_fout</v>
          </cell>
          <cell r="D461" t="str">
            <v>LTH</v>
          </cell>
          <cell r="E461">
            <v>1.0549470881141347</v>
          </cell>
          <cell r="F461">
            <v>0.14344926094714763</v>
          </cell>
          <cell r="G461">
            <v>1.7944839843529259</v>
          </cell>
          <cell r="H461">
            <v>2.7865138609075708</v>
          </cell>
          <cell r="I461">
            <v>3.270640156227703</v>
          </cell>
          <cell r="J461">
            <v>3.3699619135073888</v>
          </cell>
          <cell r="K461">
            <v>2.0309789895329824</v>
          </cell>
          <cell r="L461">
            <v>1.2281929646658332</v>
          </cell>
          <cell r="M461">
            <v>0.74250742624503174</v>
          </cell>
          <cell r="N461">
            <v>0.90929439480185004</v>
          </cell>
          <cell r="O461">
            <v>0.91720591135462537</v>
          </cell>
          <cell r="P461">
            <v>0.81712209304201455</v>
          </cell>
        </row>
        <row r="462">
          <cell r="B462" t="str">
            <v>CHPWOD</v>
          </cell>
          <cell r="C462" t="str">
            <v>VAR_fin</v>
          </cell>
          <cell r="D462" t="str">
            <v>EWOD</v>
          </cell>
          <cell r="E462">
            <v>1.6561959881542505</v>
          </cell>
          <cell r="F462">
            <v>0.21946096028124226</v>
          </cell>
          <cell r="G462">
            <v>2.64670011776502</v>
          </cell>
          <cell r="H462">
            <v>3.8754808737863637</v>
          </cell>
          <cell r="I462">
            <v>4.304571338371705</v>
          </cell>
          <cell r="J462">
            <v>4.2095713180975993</v>
          </cell>
          <cell r="K462">
            <v>2.5383075902102288</v>
          </cell>
          <cell r="L462">
            <v>1.538258142374904</v>
          </cell>
          <cell r="M462">
            <v>0.92958346822938265</v>
          </cell>
          <cell r="N462">
            <v>1.140014732279756</v>
          </cell>
          <cell r="O462">
            <v>1.1493956575291426</v>
          </cell>
          <cell r="P462">
            <v>1.029750020427836</v>
          </cell>
        </row>
        <row r="463">
          <cell r="B463" t="str">
            <v>CHPWOD</v>
          </cell>
          <cell r="C463" t="str">
            <v>VAR_ncap</v>
          </cell>
          <cell r="D463" t="str">
            <v>-</v>
          </cell>
          <cell r="F463">
            <v>4.39887354841661E-7</v>
          </cell>
          <cell r="G463">
            <v>1.55836344944812E-2</v>
          </cell>
          <cell r="H463">
            <v>1.4821604076380701E-2</v>
          </cell>
          <cell r="I463">
            <v>8.7049818715557708E-3</v>
          </cell>
          <cell r="J463">
            <v>7.4220289251888099E-3</v>
          </cell>
          <cell r="K463">
            <v>1.5092094997662699E-5</v>
          </cell>
          <cell r="L463">
            <v>1.5374112464057899E-3</v>
          </cell>
          <cell r="M463">
            <v>3.4884089883112899E-4</v>
          </cell>
          <cell r="N463">
            <v>1.1499497069233901E-2</v>
          </cell>
          <cell r="O463">
            <v>3.3733340316192202E-5</v>
          </cell>
          <cell r="P463">
            <v>3.8709509956236803E-5</v>
          </cell>
        </row>
        <row r="464">
          <cell r="B464" t="str">
            <v>CHPWOD</v>
          </cell>
          <cell r="C464" t="str">
            <v>VAR_cap</v>
          </cell>
          <cell r="D464" t="str">
            <v>-</v>
          </cell>
          <cell r="E464">
            <v>1.5199249052816603E-2</v>
          </cell>
          <cell r="F464">
            <v>1.001769283256234E-2</v>
          </cell>
          <cell r="G464">
            <v>2.5600119159644802E-2</v>
          </cell>
          <cell r="H464">
            <v>3.9755040988744293E-2</v>
          </cell>
          <cell r="I464">
            <v>4.6662566571181535E-2</v>
          </cell>
          <cell r="J464">
            <v>4.8076798476502633E-2</v>
          </cell>
          <cell r="K464">
            <v>2.9017510079660736E-2</v>
          </cell>
          <cell r="L464">
            <v>1.767494682067039E-2</v>
          </cell>
          <cell r="M464">
            <v>1.0976892184349897E-2</v>
          </cell>
          <cell r="N464">
            <v>1.339609605353124E-2</v>
          </cell>
          <cell r="O464">
            <v>1.3413115132724227E-2</v>
          </cell>
          <cell r="P464">
            <v>1.1912723064815535E-2</v>
          </cell>
        </row>
        <row r="465">
          <cell r="B465" t="str">
            <v>D-EH2R</v>
          </cell>
          <cell r="C465" t="str">
            <v>VAR_fout</v>
          </cell>
          <cell r="D465" t="str">
            <v>EH2</v>
          </cell>
          <cell r="J465">
            <v>2.6363639060738059E-3</v>
          </cell>
          <cell r="K465">
            <v>2.5743108458310851E-3</v>
          </cell>
          <cell r="L465">
            <v>4.8966185473853837E-3</v>
          </cell>
          <cell r="M465">
            <v>3.6003059921998694E-3</v>
          </cell>
          <cell r="N465">
            <v>8.7377667796876418E-3</v>
          </cell>
          <cell r="O465">
            <v>7.5520136721283024E-3</v>
          </cell>
          <cell r="P465">
            <v>3.1200213284834879E-2</v>
          </cell>
        </row>
        <row r="466">
          <cell r="B466" t="str">
            <v>D-EH2R</v>
          </cell>
          <cell r="C466" t="str">
            <v>VAR_fin</v>
          </cell>
          <cell r="D466" t="str">
            <v>H2</v>
          </cell>
          <cell r="J466">
            <v>2.6363639060738059E-3</v>
          </cell>
          <cell r="K466">
            <v>2.5743108458310851E-3</v>
          </cell>
          <cell r="L466">
            <v>4.8966185473853837E-3</v>
          </cell>
          <cell r="M466">
            <v>3.6003059921998694E-3</v>
          </cell>
          <cell r="N466">
            <v>8.7377667796876418E-3</v>
          </cell>
          <cell r="O466">
            <v>7.5520136721283024E-3</v>
          </cell>
          <cell r="P466">
            <v>3.1200213284834879E-2</v>
          </cell>
        </row>
        <row r="467">
          <cell r="B467" t="str">
            <v>D-EH2R</v>
          </cell>
          <cell r="C467" t="str">
            <v>VAR_ncap</v>
          </cell>
          <cell r="D467" t="str">
            <v>-</v>
          </cell>
          <cell r="I467">
            <v>2.2636324905345E-6</v>
          </cell>
          <cell r="J467">
            <v>6.9719371210292397E-4</v>
          </cell>
          <cell r="K467">
            <v>6.93226996309862E-4</v>
          </cell>
          <cell r="L467">
            <v>1.85243732355172E-4</v>
          </cell>
          <cell r="M467">
            <v>3.1480014088119799E-4</v>
          </cell>
          <cell r="N467">
            <v>6.8885504741840898E-4</v>
          </cell>
          <cell r="O467">
            <v>6.3975597582049504E-4</v>
          </cell>
          <cell r="P467">
            <v>2.7238918107832101E-3</v>
          </cell>
        </row>
        <row r="468">
          <cell r="B468" t="str">
            <v>D-EH2R</v>
          </cell>
          <cell r="C468" t="str">
            <v>VAR_cap</v>
          </cell>
          <cell r="D468" t="str">
            <v>-</v>
          </cell>
          <cell r="I468">
            <v>2.2636324905345E-6</v>
          </cell>
          <cell r="J468">
            <v>6.9766906799439E-4</v>
          </cell>
          <cell r="K468">
            <v>6.93226996309862E-4</v>
          </cell>
          <cell r="L468">
            <v>8.7847072866503403E-4</v>
          </cell>
          <cell r="M468">
            <v>4.7754997493412997E-4</v>
          </cell>
          <cell r="N468">
            <v>9.2784568703597797E-4</v>
          </cell>
          <cell r="O468">
            <v>7.6176730666733898E-4</v>
          </cell>
          <cell r="P468">
            <v>3.3636477866037101E-3</v>
          </cell>
        </row>
        <row r="469">
          <cell r="B469" t="str">
            <v>G-INTC1</v>
          </cell>
          <cell r="C469" t="str">
            <v>VAR_fout</v>
          </cell>
          <cell r="D469" t="str">
            <v>ELC13</v>
          </cell>
          <cell r="E469">
            <v>125.03590592354693</v>
          </cell>
          <cell r="F469">
            <v>139.74326908916268</v>
          </cell>
          <cell r="G469">
            <v>123.15697811103436</v>
          </cell>
          <cell r="H469">
            <v>107.2221545979029</v>
          </cell>
          <cell r="I469">
            <v>114.38132326795453</v>
          </cell>
          <cell r="J469">
            <v>116.73036677580384</v>
          </cell>
          <cell r="K469">
            <v>106.67282814729701</v>
          </cell>
          <cell r="L469">
            <v>101.17534970282671</v>
          </cell>
          <cell r="M469">
            <v>99.048877991034317</v>
          </cell>
          <cell r="N469">
            <v>104.99702230372213</v>
          </cell>
          <cell r="O469">
            <v>106.5527259098503</v>
          </cell>
          <cell r="P469">
            <v>112.73791223981453</v>
          </cell>
        </row>
        <row r="470">
          <cell r="B470" t="str">
            <v>G-INTC1</v>
          </cell>
          <cell r="C470" t="str">
            <v>VAR_fin</v>
          </cell>
          <cell r="D470" t="str">
            <v>ELC</v>
          </cell>
          <cell r="E470">
            <v>126.35266372216914</v>
          </cell>
          <cell r="F470">
            <v>143.36539155226825</v>
          </cell>
          <cell r="G470">
            <v>126.07491200498585</v>
          </cell>
          <cell r="H470">
            <v>109.36686457225038</v>
          </cell>
          <cell r="I470">
            <v>116.25016390931533</v>
          </cell>
          <cell r="J470">
            <v>118.21297214296837</v>
          </cell>
          <cell r="K470">
            <v>107.64242878924891</v>
          </cell>
          <cell r="L470">
            <v>101.73217024087212</v>
          </cell>
          <cell r="M470">
            <v>99.593995449958356</v>
          </cell>
          <cell r="N470">
            <v>105.57487549250793</v>
          </cell>
          <cell r="O470">
            <v>107.13914094419988</v>
          </cell>
          <cell r="P470">
            <v>113.35836756945614</v>
          </cell>
        </row>
        <row r="471">
          <cell r="B471" t="str">
            <v>G-INTC1</v>
          </cell>
          <cell r="C471" t="str">
            <v>VAR_ncap</v>
          </cell>
          <cell r="D471" t="str">
            <v>-</v>
          </cell>
          <cell r="E471">
            <v>2.3393363394649301E-7</v>
          </cell>
          <cell r="F471">
            <v>2.20753072490443E-7</v>
          </cell>
          <cell r="G471">
            <v>2.4067124319068697E-7</v>
          </cell>
          <cell r="H471">
            <v>2.7663189365050801E-7</v>
          </cell>
          <cell r="I471">
            <v>3.74622566141577E-7</v>
          </cell>
          <cell r="J471">
            <v>5.1533464523496404E-7</v>
          </cell>
          <cell r="K471">
            <v>6.3110021515652599E-7</v>
          </cell>
          <cell r="L471">
            <v>9.8492539739069691E-7</v>
          </cell>
          <cell r="M471">
            <v>1.3714849622159599E-6</v>
          </cell>
          <cell r="N471">
            <v>4.8773029526797198E-6</v>
          </cell>
        </row>
        <row r="472">
          <cell r="B472" t="str">
            <v>G-INTC1</v>
          </cell>
          <cell r="C472" t="str">
            <v>VAR_cap</v>
          </cell>
          <cell r="D472" t="str">
            <v>-</v>
          </cell>
          <cell r="E472">
            <v>15.305609183965201</v>
          </cell>
          <cell r="F472">
            <v>15.305609183965201</v>
          </cell>
          <cell r="G472">
            <v>15.305609183965201</v>
          </cell>
          <cell r="H472">
            <v>15.305609402631251</v>
          </cell>
          <cell r="I472">
            <v>15.305609945941056</v>
          </cell>
          <cell r="J472">
            <v>15.305610155955044</v>
          </cell>
          <cell r="K472">
            <v>15.305610544899364</v>
          </cell>
          <cell r="L472">
            <v>15.305611045912256</v>
          </cell>
          <cell r="M472">
            <v>15.305611580041349</v>
          </cell>
          <cell r="N472">
            <v>15.305612992215963</v>
          </cell>
          <cell r="O472">
            <v>15.305614033422831</v>
          </cell>
          <cell r="P472">
            <v>15.305618910725784</v>
          </cell>
        </row>
        <row r="473">
          <cell r="B473" t="str">
            <v>EHYD-RUNS00</v>
          </cell>
          <cell r="C473" t="str">
            <v>VAR_fout</v>
          </cell>
          <cell r="D473" t="str">
            <v>ELC35</v>
          </cell>
          <cell r="E473">
            <v>12.240000061467287</v>
          </cell>
          <cell r="F473">
            <v>12.238537995965896</v>
          </cell>
          <cell r="G473">
            <v>12.239173251871597</v>
          </cell>
          <cell r="H473">
            <v>12.246861459953493</v>
          </cell>
          <cell r="I473">
            <v>12.254794916996062</v>
          </cell>
          <cell r="J473">
            <v>12.262837612252326</v>
          </cell>
          <cell r="K473">
            <v>12.271030173146556</v>
          </cell>
          <cell r="L473">
            <v>12.279460857050223</v>
          </cell>
          <cell r="M473">
            <v>12.279104093917958</v>
          </cell>
          <cell r="N473">
            <v>12.279136418484899</v>
          </cell>
          <cell r="O473">
            <v>12.278960662776287</v>
          </cell>
          <cell r="P473">
            <v>12.273808048978788</v>
          </cell>
        </row>
        <row r="474">
          <cell r="B474" t="str">
            <v>EHYD-RUNS00</v>
          </cell>
          <cell r="C474" t="str">
            <v>VAR_fin</v>
          </cell>
          <cell r="D474" t="str">
            <v>HYDR</v>
          </cell>
          <cell r="E474">
            <v>12.240000061467287</v>
          </cell>
          <cell r="F474">
            <v>12.238537995965896</v>
          </cell>
          <cell r="G474">
            <v>12.239173251871597</v>
          </cell>
          <cell r="H474">
            <v>12.246861459953493</v>
          </cell>
          <cell r="I474">
            <v>12.254794916996062</v>
          </cell>
          <cell r="J474">
            <v>12.262837612252326</v>
          </cell>
          <cell r="K474">
            <v>12.271030173146556</v>
          </cell>
          <cell r="L474">
            <v>12.279460857050223</v>
          </cell>
          <cell r="M474">
            <v>12.279104093917958</v>
          </cell>
          <cell r="N474">
            <v>12.279136418484899</v>
          </cell>
          <cell r="O474">
            <v>12.278960662776287</v>
          </cell>
          <cell r="P474">
            <v>12.273808048978788</v>
          </cell>
        </row>
        <row r="475">
          <cell r="B475" t="str">
            <v>EHYD-RUNS00</v>
          </cell>
          <cell r="C475" t="str">
            <v>VAR_cap</v>
          </cell>
          <cell r="D475" t="str">
            <v>-</v>
          </cell>
          <cell r="E475">
            <v>0.85785999999999896</v>
          </cell>
          <cell r="F475">
            <v>0.88297936593724102</v>
          </cell>
          <cell r="G475">
            <v>0.89707999999999899</v>
          </cell>
          <cell r="H475">
            <v>0.89707999999999899</v>
          </cell>
          <cell r="I475">
            <v>0.89707999999999899</v>
          </cell>
          <cell r="J475">
            <v>0.89707999999999899</v>
          </cell>
          <cell r="K475">
            <v>0.89707999999999899</v>
          </cell>
          <cell r="L475">
            <v>0.89707999999999899</v>
          </cell>
          <cell r="M475">
            <v>0.89707999999999899</v>
          </cell>
          <cell r="N475">
            <v>0.89707999999999899</v>
          </cell>
          <cell r="O475">
            <v>0.89707999999999899</v>
          </cell>
          <cell r="P475">
            <v>0.89707999999999899</v>
          </cell>
        </row>
        <row r="476">
          <cell r="B476" t="str">
            <v>RHNS-SHSTG-CHPWOD</v>
          </cell>
          <cell r="C476" t="str">
            <v>VAR_fout</v>
          </cell>
          <cell r="D476" t="str">
            <v>AUX_RNS-CHPWOD_OUT</v>
          </cell>
          <cell r="E476">
            <v>3.062936827578777E-4</v>
          </cell>
          <cell r="F476">
            <v>2.8837036999197063E-4</v>
          </cell>
          <cell r="G476">
            <v>3.3927689329283348E-4</v>
          </cell>
          <cell r="H476">
            <v>3.1751622132680977E-3</v>
          </cell>
          <cell r="I476">
            <v>5.3320716911474976E-3</v>
          </cell>
          <cell r="J476">
            <v>5.4443513406768626E-3</v>
          </cell>
          <cell r="K476">
            <v>8.2221550446434435E-3</v>
          </cell>
          <cell r="L476">
            <v>2.001373009180607E-2</v>
          </cell>
          <cell r="M476">
            <v>1.0001906958430739E-2</v>
          </cell>
          <cell r="N476">
            <v>2.032635961875312E-2</v>
          </cell>
          <cell r="O476">
            <v>1.7859823440230134E-2</v>
          </cell>
          <cell r="P476">
            <v>4.5248229222649337E-2</v>
          </cell>
        </row>
        <row r="477">
          <cell r="B477" t="str">
            <v>RHNS-SHSTG-CHPWOD</v>
          </cell>
          <cell r="C477" t="str">
            <v>VAR_fout</v>
          </cell>
          <cell r="D477" t="str">
            <v>RHNS_LTH_CHPWOD</v>
          </cell>
          <cell r="E477">
            <v>3.0629368275787673E-4</v>
          </cell>
          <cell r="F477">
            <v>2.8856261690529797E-4</v>
          </cell>
          <cell r="G477">
            <v>3.3963030672334637E-4</v>
          </cell>
          <cell r="H477">
            <v>3.1751622132680977E-3</v>
          </cell>
          <cell r="I477">
            <v>5.3369724923342044E-3</v>
          </cell>
          <cell r="J477">
            <v>5.4443513406768436E-3</v>
          </cell>
          <cell r="K477">
            <v>8.2288724915753151E-3</v>
          </cell>
          <cell r="L477">
            <v>2.0013730091806053E-2</v>
          </cell>
          <cell r="M477">
            <v>1.000190695843073E-2</v>
          </cell>
          <cell r="N477">
            <v>2.0326359618753106E-2</v>
          </cell>
          <cell r="O477">
            <v>1.785982344023012E-2</v>
          </cell>
          <cell r="P477">
            <v>4.524822922264931E-2</v>
          </cell>
        </row>
        <row r="478">
          <cell r="B478" t="str">
            <v>RHNS-SHSTG-CHPWOD</v>
          </cell>
          <cell r="C478" t="str">
            <v>VAR_fin</v>
          </cell>
          <cell r="D478" t="str">
            <v>AUX_RNS-CHPWOD_IN</v>
          </cell>
          <cell r="E478">
            <v>2.3733151079736531E-4</v>
          </cell>
          <cell r="F478">
            <v>1.5433760580123605E-4</v>
          </cell>
          <cell r="G478">
            <v>2.6566356531379184E-4</v>
          </cell>
          <cell r="H478">
            <v>3.963432588431637E-3</v>
          </cell>
          <cell r="I478">
            <v>6.4744250124210215E-3</v>
          </cell>
          <cell r="J478">
            <v>6.4030246112751809E-3</v>
          </cell>
          <cell r="K478">
            <v>9.4043384291235474E-3</v>
          </cell>
          <cell r="L478">
            <v>2.2248212771686086E-2</v>
          </cell>
          <cell r="M478">
            <v>1.1115193653545855E-2</v>
          </cell>
          <cell r="N478">
            <v>2.2595317086136973E-2</v>
          </cell>
          <cell r="O478">
            <v>1.9849921177297686E-2</v>
          </cell>
          <cell r="P478">
            <v>5.0283490495204058E-2</v>
          </cell>
        </row>
        <row r="479">
          <cell r="B479" t="str">
            <v>RHNS-SHSTG-CHPWOD</v>
          </cell>
          <cell r="C479" t="str">
            <v>VAR_fin</v>
          </cell>
          <cell r="D479" t="str">
            <v>RHNS_LTH_CHPWOD</v>
          </cell>
          <cell r="E479">
            <v>2.3733151079736531E-4</v>
          </cell>
          <cell r="F479">
            <v>1.5433760580123605E-4</v>
          </cell>
          <cell r="G479">
            <v>2.6566356531379184E-4</v>
          </cell>
          <cell r="H479">
            <v>3.963432588431637E-3</v>
          </cell>
          <cell r="I479">
            <v>6.4744250124210215E-3</v>
          </cell>
          <cell r="J479">
            <v>6.4030246112751809E-3</v>
          </cell>
          <cell r="K479">
            <v>9.4043384291235474E-3</v>
          </cell>
          <cell r="L479">
            <v>2.2248212771686086E-2</v>
          </cell>
          <cell r="M479">
            <v>1.1115193653545855E-2</v>
          </cell>
          <cell r="N479">
            <v>2.2595317086136973E-2</v>
          </cell>
          <cell r="O479">
            <v>1.9849921177297686E-2</v>
          </cell>
          <cell r="P479">
            <v>5.0283490495204058E-2</v>
          </cell>
        </row>
        <row r="480">
          <cell r="B480" t="str">
            <v>RHNS-SHSTG-CHPWOD</v>
          </cell>
          <cell r="C480" t="str">
            <v>VAR_ncap</v>
          </cell>
          <cell r="D480" t="str">
            <v>-</v>
          </cell>
          <cell r="E480">
            <v>3.54329547753139E-3</v>
          </cell>
          <cell r="F480">
            <v>8.6361980845068003E-5</v>
          </cell>
          <cell r="G480">
            <v>1.5291917204998399E-4</v>
          </cell>
          <cell r="H480">
            <v>1.2589236084902501E-4</v>
          </cell>
          <cell r="I480">
            <v>3.8968506618081702E-3</v>
          </cell>
          <cell r="J480">
            <v>1.7127259030694101E-3</v>
          </cell>
          <cell r="K480">
            <v>3.9872431045438099E-4</v>
          </cell>
          <cell r="L480">
            <v>6.2876901803473198E-3</v>
          </cell>
          <cell r="M480">
            <v>1.5069702834748E-4</v>
          </cell>
          <cell r="N480">
            <v>5.0088433358699896E-3</v>
          </cell>
          <cell r="O480">
            <v>2.3985751806565002E-3</v>
          </cell>
          <cell r="P480">
            <v>1.1720119733797E-2</v>
          </cell>
        </row>
        <row r="481">
          <cell r="B481" t="str">
            <v>RHNS-SHSTG-CHPWOD</v>
          </cell>
          <cell r="C481" t="str">
            <v>VAR_cap</v>
          </cell>
          <cell r="D481" t="str">
            <v>-</v>
          </cell>
          <cell r="E481">
            <v>3.54329547753139E-3</v>
          </cell>
          <cell r="F481">
            <v>3.6200343903303473E-3</v>
          </cell>
          <cell r="G481">
            <v>3.7471336517342613E-3</v>
          </cell>
          <cell r="H481">
            <v>3.8250483414820303E-3</v>
          </cell>
          <cell r="I481">
            <v>5.0365003827941004E-3</v>
          </cell>
          <cell r="J481">
            <v>5.6759539035908446E-3</v>
          </cell>
          <cell r="K481">
            <v>5.9479479876774844E-3</v>
          </cell>
          <cell r="L481">
            <v>8.3346218578436819E-3</v>
          </cell>
          <cell r="M481">
            <v>6.8629928748926133E-3</v>
          </cell>
          <cell r="N481">
            <v>1.1353347340783757E-2</v>
          </cell>
          <cell r="O481">
            <v>8.4850995276241591E-3</v>
          </cell>
          <cell r="P481">
            <v>1.9032504516630227E-2</v>
          </cell>
        </row>
        <row r="482">
          <cell r="B482" t="str">
            <v>HPLOIL</v>
          </cell>
          <cell r="C482" t="str">
            <v>VAR_fout</v>
          </cell>
          <cell r="D482" t="str">
            <v>LTH</v>
          </cell>
          <cell r="E482">
            <v>0.18408846093124132</v>
          </cell>
          <cell r="F482">
            <v>0.18580595205516853</v>
          </cell>
          <cell r="G482">
            <v>3.6282123923757816E-3</v>
          </cell>
          <cell r="H482">
            <v>3.6094334045338266E-3</v>
          </cell>
          <cell r="I482">
            <v>2.9698784268752535E-3</v>
          </cell>
          <cell r="J482">
            <v>2.6293849679437098E-3</v>
          </cell>
          <cell r="K482">
            <v>2.6651718360870534E-3</v>
          </cell>
          <cell r="L482">
            <v>1.168082491565125E-3</v>
          </cell>
          <cell r="M482">
            <v>2.1077645958373519E-3</v>
          </cell>
          <cell r="N482">
            <v>1.1312981502597378E-3</v>
          </cell>
          <cell r="O482">
            <v>2.2186312784331402E-3</v>
          </cell>
          <cell r="P482">
            <v>1.1241261343010642E-3</v>
          </cell>
        </row>
        <row r="483">
          <cell r="B483" t="str">
            <v>HPLOIL</v>
          </cell>
          <cell r="C483" t="str">
            <v>VAR_fout</v>
          </cell>
          <cell r="D483" t="str">
            <v>CO2_E</v>
          </cell>
          <cell r="E483">
            <v>15.878331093156699</v>
          </cell>
          <cell r="F483">
            <v>16.026471245870901</v>
          </cell>
          <cell r="G483">
            <v>0.31294714155905001</v>
          </cell>
          <cell r="H483">
            <v>0.31132738231373602</v>
          </cell>
          <cell r="I483">
            <v>0.25616332892240301</v>
          </cell>
          <cell r="J483">
            <v>0.22679447088198201</v>
          </cell>
          <cell r="K483">
            <v>0.22988122459969301</v>
          </cell>
          <cell r="L483">
            <v>0.100751565043058</v>
          </cell>
          <cell r="M483">
            <v>0.181802726525263</v>
          </cell>
          <cell r="N483">
            <v>9.7578775464961007E-2</v>
          </cell>
          <cell r="O483">
            <v>0.19136540027760299</v>
          </cell>
          <cell r="P483">
            <v>9.6960161764671704E-2</v>
          </cell>
        </row>
        <row r="484">
          <cell r="B484" t="str">
            <v>HPLOIL</v>
          </cell>
          <cell r="C484" t="str">
            <v>VAR_fin</v>
          </cell>
          <cell r="D484" t="str">
            <v>ELFO</v>
          </cell>
          <cell r="E484">
            <v>0.2154454693779741</v>
          </cell>
          <cell r="F484">
            <v>0.21745551215564288</v>
          </cell>
          <cell r="G484">
            <v>4.2462298719002653E-3</v>
          </cell>
          <cell r="H484">
            <v>4.2242521345147365E-3</v>
          </cell>
          <cell r="I484">
            <v>3.4757575159077804E-3</v>
          </cell>
          <cell r="J484">
            <v>3.0772655479237758E-3</v>
          </cell>
          <cell r="K484">
            <v>3.1191482306606949E-3</v>
          </cell>
          <cell r="L484">
            <v>1.3670497292138165E-3</v>
          </cell>
          <cell r="M484">
            <v>2.4667941183889137E-3</v>
          </cell>
          <cell r="N484">
            <v>1.3239996670958063E-3</v>
          </cell>
          <cell r="O484">
            <v>2.596545458312117E-3</v>
          </cell>
          <cell r="P484">
            <v>1.315605994093239E-3</v>
          </cell>
        </row>
        <row r="485">
          <cell r="B485" t="str">
            <v>HPLOIL</v>
          </cell>
          <cell r="C485" t="str">
            <v>VAR_ncap</v>
          </cell>
          <cell r="D485" t="str">
            <v>-</v>
          </cell>
          <cell r="E485">
            <v>5.6696391731731797E-5</v>
          </cell>
          <cell r="F485">
            <v>3.8704518276846598E-5</v>
          </cell>
          <cell r="G485">
            <v>3.3469937903211998E-5</v>
          </cell>
          <cell r="H485">
            <v>2.9829117496667701E-5</v>
          </cell>
          <cell r="I485">
            <v>1.2979114110206701E-3</v>
          </cell>
          <cell r="J485">
            <v>9.0346066614223407E-5</v>
          </cell>
          <cell r="K485">
            <v>1.9837390635790101E-4</v>
          </cell>
          <cell r="L485">
            <v>6.9566398705073304E-4</v>
          </cell>
          <cell r="M485">
            <v>2.2185647595331299E-4</v>
          </cell>
          <cell r="N485">
            <v>1.22650320679022E-3</v>
          </cell>
          <cell r="O485">
            <v>2.8587632595909198E-4</v>
          </cell>
          <cell r="P485">
            <v>2.71694075700179E-3</v>
          </cell>
        </row>
        <row r="486">
          <cell r="B486" t="str">
            <v>HPLOIL</v>
          </cell>
          <cell r="C486" t="str">
            <v>VAR_cap</v>
          </cell>
          <cell r="D486" t="str">
            <v>-</v>
          </cell>
          <cell r="E486">
            <v>2.6327653073167631E-2</v>
          </cell>
          <cell r="F486">
            <v>2.3961557804954577E-2</v>
          </cell>
          <cell r="G486">
            <v>5.8443778362976956E-3</v>
          </cell>
          <cell r="H486">
            <v>2.5549798714670554E-3</v>
          </cell>
          <cell r="I486">
            <v>1.3970488135664665E-3</v>
          </cell>
          <cell r="J486">
            <v>1.4399772886754723E-3</v>
          </cell>
          <cell r="K486">
            <v>1.5837535146675471E-3</v>
          </cell>
          <cell r="L486">
            <v>2.2355270371961942E-3</v>
          </cell>
          <cell r="M486">
            <v>1.5327097184741952E-3</v>
          </cell>
          <cell r="N486">
            <v>2.2911221458112906E-3</v>
          </cell>
          <cell r="O486">
            <v>2.3751793057670283E-3</v>
          </cell>
          <cell r="P486">
            <v>4.3765852288319947E-3</v>
          </cell>
        </row>
        <row r="487">
          <cell r="B487" t="str">
            <v>V2G</v>
          </cell>
          <cell r="C487" t="str">
            <v>VAR_fout</v>
          </cell>
          <cell r="D487" t="str">
            <v>ELC35</v>
          </cell>
          <cell r="H487">
            <v>1.1296071450952923</v>
          </cell>
          <cell r="I487">
            <v>1.012199747825979</v>
          </cell>
          <cell r="J487">
            <v>1.0637793599928682</v>
          </cell>
          <cell r="K487">
            <v>0.68733942807067516</v>
          </cell>
          <cell r="L487">
            <v>1.6043189786750141</v>
          </cell>
          <cell r="M487">
            <v>2.5516954802975054</v>
          </cell>
          <cell r="N487">
            <v>2.9003206880950767</v>
          </cell>
          <cell r="O487">
            <v>2.7026228899477225</v>
          </cell>
          <cell r="P487">
            <v>2.8880692448704406</v>
          </cell>
        </row>
        <row r="488">
          <cell r="B488" t="str">
            <v>V2G</v>
          </cell>
          <cell r="C488" t="str">
            <v>VAR_fin</v>
          </cell>
          <cell r="D488" t="str">
            <v>T-ELC-Bus_c_BatSTGout_S1</v>
          </cell>
          <cell r="H488">
            <v>3.814005812385543E-3</v>
          </cell>
          <cell r="I488">
            <v>1.055155589531165E-2</v>
          </cell>
          <cell r="J488">
            <v>5.6718481315446347E-3</v>
          </cell>
          <cell r="K488">
            <v>6.2187568329405687E-3</v>
          </cell>
          <cell r="L488">
            <v>5.6485616145746593E-3</v>
          </cell>
          <cell r="M488">
            <v>5.1346714179763588E-3</v>
          </cell>
          <cell r="N488">
            <v>7.1307724554029164E-3</v>
          </cell>
          <cell r="O488">
            <v>6.1525606134817988E-3</v>
          </cell>
          <cell r="P488">
            <v>8.939968638352825E-3</v>
          </cell>
        </row>
        <row r="489">
          <cell r="B489" t="str">
            <v>V2G</v>
          </cell>
          <cell r="C489" t="str">
            <v>VAR_fin</v>
          </cell>
          <cell r="D489" t="str">
            <v>T-ELC-Bus_c_BatSTGout_S2</v>
          </cell>
          <cell r="H489">
            <v>3.2053365453288464E-3</v>
          </cell>
          <cell r="I489">
            <v>4.8528580421531506E-3</v>
          </cell>
          <cell r="J489">
            <v>4.2307586787915952E-3</v>
          </cell>
          <cell r="K489">
            <v>4.6189553299557581E-3</v>
          </cell>
          <cell r="L489">
            <v>5.8949480391458902E-3</v>
          </cell>
          <cell r="M489">
            <v>5.0349838028831157E-3</v>
          </cell>
          <cell r="N489">
            <v>6.7880428832966791E-3</v>
          </cell>
          <cell r="O489">
            <v>5.7933661933312255E-3</v>
          </cell>
          <cell r="P489">
            <v>7.8734175928344904E-3</v>
          </cell>
        </row>
        <row r="490">
          <cell r="B490" t="str">
            <v>V2G</v>
          </cell>
          <cell r="C490" t="str">
            <v>VAR_fin</v>
          </cell>
          <cell r="D490" t="str">
            <v>T-ELC-Bus_c_BatSTGout_S3</v>
          </cell>
          <cell r="H490">
            <v>8.5036237987472251E-4</v>
          </cell>
          <cell r="I490">
            <v>5.8774588796865355E-4</v>
          </cell>
          <cell r="J490">
            <v>6.4402011217966413E-4</v>
          </cell>
          <cell r="K490">
            <v>1.3297837153724407E-3</v>
          </cell>
          <cell r="L490">
            <v>2.0328990584148558E-3</v>
          </cell>
          <cell r="M490">
            <v>1.9763721263029062E-3</v>
          </cell>
          <cell r="N490">
            <v>2.5239918621186991E-3</v>
          </cell>
          <cell r="O490">
            <v>2.804402593004459E-3</v>
          </cell>
          <cell r="P490">
            <v>4.5051783445935467E-3</v>
          </cell>
        </row>
        <row r="491">
          <cell r="B491" t="str">
            <v>V2G</v>
          </cell>
          <cell r="C491" t="str">
            <v>VAR_fin</v>
          </cell>
          <cell r="D491" t="str">
            <v>T-ELC-Bus_c_BatSTGout_S4</v>
          </cell>
          <cell r="H491">
            <v>6.5544110197664446E-4</v>
          </cell>
          <cell r="I491">
            <v>5.9741426918914406E-4</v>
          </cell>
          <cell r="J491">
            <v>9.6084467306731898E-4</v>
          </cell>
          <cell r="K491">
            <v>1.0385660584144617E-3</v>
          </cell>
          <cell r="L491">
            <v>1.7669720265707301E-3</v>
          </cell>
          <cell r="M491">
            <v>1.710322982353157E-3</v>
          </cell>
          <cell r="N491">
            <v>1.8140471301193084E-3</v>
          </cell>
          <cell r="O491">
            <v>2.2774036992101012E-3</v>
          </cell>
          <cell r="P491">
            <v>3.0929692621382535E-3</v>
          </cell>
        </row>
        <row r="492">
          <cell r="B492" t="str">
            <v>V2G</v>
          </cell>
          <cell r="C492" t="str">
            <v>VAR_fin</v>
          </cell>
          <cell r="D492" t="str">
            <v>T-ELC-car-BatSTGOut_S1</v>
          </cell>
          <cell r="H492">
            <v>8.026570813628521E-2</v>
          </cell>
          <cell r="I492">
            <v>7.5325809376661473E-2</v>
          </cell>
          <cell r="J492">
            <v>0.25114430225695156</v>
          </cell>
          <cell r="K492">
            <v>0.17962391881434756</v>
          </cell>
          <cell r="L492">
            <v>0.39007251564638928</v>
          </cell>
          <cell r="M492">
            <v>0.55805811984154818</v>
          </cell>
          <cell r="N492">
            <v>0.65259301325273733</v>
          </cell>
          <cell r="O492">
            <v>0.70444593916390186</v>
          </cell>
          <cell r="P492">
            <v>0.80428526759235541</v>
          </cell>
        </row>
        <row r="493">
          <cell r="B493" t="str">
            <v>V2G</v>
          </cell>
          <cell r="C493" t="str">
            <v>VAR_fin</v>
          </cell>
          <cell r="D493" t="str">
            <v>T-ELC-car-BatSTGOut_S2</v>
          </cell>
          <cell r="H493">
            <v>0.16394134271353053</v>
          </cell>
          <cell r="I493">
            <v>0.11083738498079186</v>
          </cell>
          <cell r="J493">
            <v>0.10900139523707751</v>
          </cell>
          <cell r="K493">
            <v>5.9164583288345354E-2</v>
          </cell>
          <cell r="L493">
            <v>0.11340587951716433</v>
          </cell>
          <cell r="M493">
            <v>0.21055184912191463</v>
          </cell>
          <cell r="N493">
            <v>0.2337301812311387</v>
          </cell>
          <cell r="O493">
            <v>0.22981030360642962</v>
          </cell>
          <cell r="P493">
            <v>0.27831307257042676</v>
          </cell>
        </row>
        <row r="494">
          <cell r="B494" t="str">
            <v>V2G</v>
          </cell>
          <cell r="C494" t="str">
            <v>VAR_fin</v>
          </cell>
          <cell r="D494" t="str">
            <v>T-ELC-car-BatSTGOut_S3</v>
          </cell>
          <cell r="H494">
            <v>0.17408643199510906</v>
          </cell>
          <cell r="I494">
            <v>0.10599055299083773</v>
          </cell>
          <cell r="J494">
            <v>0.10772879934129051</v>
          </cell>
          <cell r="K494">
            <v>6.1361770947257435E-2</v>
          </cell>
          <cell r="L494">
            <v>0.1224700499192386</v>
          </cell>
          <cell r="M494">
            <v>0.21831069256129579</v>
          </cell>
          <cell r="N494">
            <v>0.24032769659908318</v>
          </cell>
          <cell r="O494">
            <v>0.22483978894476064</v>
          </cell>
          <cell r="P494">
            <v>0.27955307563451937</v>
          </cell>
        </row>
        <row r="495">
          <cell r="B495" t="str">
            <v>V2G</v>
          </cell>
          <cell r="C495" t="str">
            <v>VAR_fin</v>
          </cell>
          <cell r="D495" t="str">
            <v>T-ELC-car-BatSTGOut_S4</v>
          </cell>
          <cell r="H495">
            <v>0.27350928772869476</v>
          </cell>
          <cell r="I495">
            <v>0.20729059220259141</v>
          </cell>
          <cell r="J495">
            <v>0.18607034625989943</v>
          </cell>
          <cell r="K495">
            <v>9.0848836866902746E-2</v>
          </cell>
          <cell r="L495">
            <v>0.18462392971841141</v>
          </cell>
          <cell r="M495">
            <v>0.34652892608231617</v>
          </cell>
          <cell r="N495">
            <v>0.41817758875343375</v>
          </cell>
          <cell r="O495">
            <v>0.36984692367451377</v>
          </cell>
          <cell r="P495">
            <v>0.48570339745044622</v>
          </cell>
        </row>
        <row r="496">
          <cell r="B496" t="str">
            <v>V2G</v>
          </cell>
          <cell r="C496" t="str">
            <v>VAR_fin</v>
          </cell>
          <cell r="D496" t="str">
            <v>T-ELC-car-PlgSTGOut_S1</v>
          </cell>
          <cell r="H496">
            <v>1.1330734015939758E-3</v>
          </cell>
          <cell r="I496">
            <v>3.1527238290500934E-3</v>
          </cell>
          <cell r="J496">
            <v>4.8249026768788983E-3</v>
          </cell>
          <cell r="K496">
            <v>6.7190433481283847E-3</v>
          </cell>
          <cell r="L496">
            <v>1.4146330008530139E-2</v>
          </cell>
          <cell r="M496">
            <v>1.5604005071576079E-2</v>
          </cell>
          <cell r="N496">
            <v>1.8645618983806265E-2</v>
          </cell>
          <cell r="O496">
            <v>1.8485304987584345E-2</v>
          </cell>
          <cell r="P496">
            <v>2.4692628160027326E-2</v>
          </cell>
        </row>
        <row r="497">
          <cell r="B497" t="str">
            <v>V2G</v>
          </cell>
          <cell r="C497" t="str">
            <v>VAR_fin</v>
          </cell>
          <cell r="D497" t="str">
            <v>T-ELC-car-PlgSTGOut_S2</v>
          </cell>
          <cell r="H497">
            <v>6.1788932274463879E-4</v>
          </cell>
          <cell r="I497">
            <v>1.3821060087129508E-3</v>
          </cell>
          <cell r="J497">
            <v>2.331820794989497E-3</v>
          </cell>
          <cell r="K497">
            <v>3.6497098068583168E-3</v>
          </cell>
          <cell r="L497">
            <v>8.1747609674490251E-3</v>
          </cell>
          <cell r="M497">
            <v>1.3079833633088563E-2</v>
          </cell>
          <cell r="N497">
            <v>9.2206850023063471E-3</v>
          </cell>
          <cell r="O497">
            <v>8.2304793970415391E-3</v>
          </cell>
          <cell r="P497">
            <v>1.2486229848028142E-2</v>
          </cell>
        </row>
        <row r="498">
          <cell r="B498" t="str">
            <v>V2G</v>
          </cell>
          <cell r="C498" t="str">
            <v>VAR_fin</v>
          </cell>
          <cell r="D498" t="str">
            <v>T-ELC-car-PlgSTGOut_S3</v>
          </cell>
          <cell r="H498">
            <v>0.38370946863371291</v>
          </cell>
          <cell r="I498">
            <v>0.18690669383875835</v>
          </cell>
          <cell r="J498">
            <v>4.7754338825977329E-2</v>
          </cell>
          <cell r="K498">
            <v>4.8937286090698986E-2</v>
          </cell>
          <cell r="L498">
            <v>0.20055692357159177</v>
          </cell>
          <cell r="M498">
            <v>0.51173232924165246</v>
          </cell>
          <cell r="N498">
            <v>0.55041944866494885</v>
          </cell>
          <cell r="O498">
            <v>0.55260457238698479</v>
          </cell>
          <cell r="P498">
            <v>8.5730124358170262E-2</v>
          </cell>
        </row>
        <row r="499">
          <cell r="B499" t="str">
            <v>V2G</v>
          </cell>
          <cell r="C499" t="str">
            <v>VAR_fin</v>
          </cell>
          <cell r="D499" t="str">
            <v>T-ELC-TWSTGout_S1</v>
          </cell>
          <cell r="H499">
            <v>7.4117263831685841E-3</v>
          </cell>
          <cell r="I499">
            <v>1.1713100120689875E-2</v>
          </cell>
          <cell r="J499">
            <v>1.0814643298280417E-2</v>
          </cell>
          <cell r="K499">
            <v>1.1740608597685978E-2</v>
          </cell>
          <cell r="L499">
            <v>2.3921529187142253E-2</v>
          </cell>
          <cell r="M499">
            <v>1.754887344746937E-2</v>
          </cell>
          <cell r="N499">
            <v>3.0627364673995065E-2</v>
          </cell>
          <cell r="O499">
            <v>2.2862580563590296E-2</v>
          </cell>
          <cell r="P499">
            <v>4.9849504581176568E-2</v>
          </cell>
        </row>
        <row r="500">
          <cell r="B500" t="str">
            <v>V2G</v>
          </cell>
          <cell r="C500" t="str">
            <v>VAR_fin</v>
          </cell>
          <cell r="D500" t="str">
            <v>T-ELC-car-PlgSTGOut_S4</v>
          </cell>
          <cell r="H500">
            <v>5.9362833578990024E-4</v>
          </cell>
          <cell r="I500">
            <v>0.22517243418534968</v>
          </cell>
          <cell r="J500">
            <v>0.26283576919788026</v>
          </cell>
          <cell r="K500">
            <v>0.14437092972439941</v>
          </cell>
          <cell r="L500">
            <v>0.39859603154129525</v>
          </cell>
          <cell r="M500">
            <v>0.53987316317543832</v>
          </cell>
          <cell r="N500">
            <v>0.56776676602033838</v>
          </cell>
          <cell r="O500">
            <v>0.4078692911405431</v>
          </cell>
          <cell r="P500">
            <v>0.5639381359075637</v>
          </cell>
        </row>
        <row r="501">
          <cell r="B501" t="str">
            <v>V2G</v>
          </cell>
          <cell r="C501" t="str">
            <v>VAR_fin</v>
          </cell>
          <cell r="D501" t="str">
            <v>T-ELC-TWSTGout_S2</v>
          </cell>
          <cell r="H501">
            <v>8.7247525618916865E-3</v>
          </cell>
          <cell r="I501">
            <v>1.3935468083700452E-2</v>
          </cell>
          <cell r="J501">
            <v>1.3559159792733042E-2</v>
          </cell>
          <cell r="K501">
            <v>1.2910386303636784E-2</v>
          </cell>
          <cell r="L501">
            <v>2.5951493884546328E-2</v>
          </cell>
          <cell r="M501">
            <v>2.2339367939007534E-2</v>
          </cell>
          <cell r="N501">
            <v>3.5772271395401997E-2</v>
          </cell>
          <cell r="O501">
            <v>2.7591681220062524E-2</v>
          </cell>
          <cell r="P501">
            <v>5.5666534670143597E-2</v>
          </cell>
        </row>
        <row r="502">
          <cell r="B502" t="str">
            <v>V2G</v>
          </cell>
          <cell r="C502" t="str">
            <v>VAR_fin</v>
          </cell>
          <cell r="D502" t="str">
            <v>T-ELC-TWSTGout_S3</v>
          </cell>
          <cell r="H502">
            <v>1.0128998815649682E-2</v>
          </cell>
          <cell r="I502">
            <v>2.293500071274979E-2</v>
          </cell>
          <cell r="J502">
            <v>2.2349567140174557E-2</v>
          </cell>
          <cell r="K502">
            <v>1.9598902819108047E-2</v>
          </cell>
          <cell r="L502">
            <v>4.1498085233376815E-2</v>
          </cell>
          <cell r="M502">
            <v>3.2457967885732311E-2</v>
          </cell>
          <cell r="N502">
            <v>4.5539450677503465E-2</v>
          </cell>
          <cell r="O502">
            <v>4.4798938434432882E-2</v>
          </cell>
          <cell r="P502">
            <v>7.9202432672633688E-2</v>
          </cell>
        </row>
        <row r="503">
          <cell r="B503" t="str">
            <v>V2G</v>
          </cell>
          <cell r="C503" t="str">
            <v>VAR_fin</v>
          </cell>
          <cell r="D503" t="str">
            <v>T-ELC-TWSTGout_S4</v>
          </cell>
          <cell r="H503">
            <v>1.1755964706006339E-2</v>
          </cell>
          <cell r="I503">
            <v>2.3470092565461786E-2</v>
          </cell>
          <cell r="J503">
            <v>2.6542383604280361E-2</v>
          </cell>
          <cell r="K503">
            <v>2.7105566598945724E-2</v>
          </cell>
          <cell r="L503">
            <v>4.9234568008333195E-2</v>
          </cell>
          <cell r="M503">
            <v>4.0362839635395012E-2</v>
          </cell>
          <cell r="N503">
            <v>6.0510566632358272E-2</v>
          </cell>
          <cell r="O503">
            <v>5.7089816399347758E-2</v>
          </cell>
          <cell r="P503">
            <v>0.10347229688352295</v>
          </cell>
        </row>
        <row r="504">
          <cell r="B504" t="str">
            <v>V2G</v>
          </cell>
          <cell r="C504" t="str">
            <v>VAR_fin</v>
          </cell>
          <cell r="D504" t="str">
            <v>T-ELC-Bus_u_BatSTGout_S1</v>
          </cell>
          <cell r="H504">
            <v>4.6855495947058923E-4</v>
          </cell>
          <cell r="I504">
            <v>8.529505662118207E-4</v>
          </cell>
          <cell r="J504">
            <v>7.5620632900023422E-4</v>
          </cell>
          <cell r="K504">
            <v>1.0683492486148656E-3</v>
          </cell>
          <cell r="L504">
            <v>2.3089337258132342E-3</v>
          </cell>
          <cell r="M504">
            <v>1.7577201190996702E-3</v>
          </cell>
          <cell r="N504">
            <v>3.0903909548571549E-3</v>
          </cell>
          <cell r="O504">
            <v>2.5136397805653019E-3</v>
          </cell>
          <cell r="P504">
            <v>5.9016078276348518E-3</v>
          </cell>
        </row>
        <row r="505">
          <cell r="B505" t="str">
            <v>V2G</v>
          </cell>
          <cell r="C505" t="str">
            <v>VAR_fin</v>
          </cell>
          <cell r="D505" t="str">
            <v>T-ELC-Bus_u_BatSTGout_S2</v>
          </cell>
          <cell r="H505">
            <v>4.180339420247734E-4</v>
          </cell>
          <cell r="I505">
            <v>7.2724101271126715E-4</v>
          </cell>
          <cell r="J505">
            <v>7.2457376261163742E-4</v>
          </cell>
          <cell r="K505">
            <v>9.6443160396919201E-4</v>
          </cell>
          <cell r="L505">
            <v>2.1890386534703112E-3</v>
          </cell>
          <cell r="M505">
            <v>1.6310117971884272E-3</v>
          </cell>
          <cell r="N505">
            <v>2.8753159710165148E-3</v>
          </cell>
          <cell r="O505">
            <v>2.2287809482715551E-3</v>
          </cell>
          <cell r="P505">
            <v>5.0344032774473236E-3</v>
          </cell>
        </row>
        <row r="506">
          <cell r="B506" t="str">
            <v>V2G</v>
          </cell>
          <cell r="C506" t="str">
            <v>VAR_fin</v>
          </cell>
          <cell r="D506" t="str">
            <v>T-ELC-Bus_u_BatSTGout_S3</v>
          </cell>
          <cell r="H506">
            <v>1.6729062942725061E-4</v>
          </cell>
          <cell r="I506">
            <v>2.8085312516354908E-4</v>
          </cell>
          <cell r="J506">
            <v>2.9424332729915644E-4</v>
          </cell>
          <cell r="K506">
            <v>4.2730256133327479E-4</v>
          </cell>
          <cell r="L506">
            <v>9.8524109303109149E-4</v>
          </cell>
          <cell r="M506">
            <v>6.6782143580715748E-4</v>
          </cell>
          <cell r="N506">
            <v>1.0152030164747596E-3</v>
          </cell>
          <cell r="O506">
            <v>8.8384563444624225E-4</v>
          </cell>
          <cell r="P506">
            <v>1.9219172549999124E-3</v>
          </cell>
        </row>
        <row r="507">
          <cell r="B507" t="str">
            <v>V2G</v>
          </cell>
          <cell r="C507" t="str">
            <v>VAR_fin</v>
          </cell>
          <cell r="D507" t="str">
            <v>T-ELC-Bus_u_BatSTGout_S4</v>
          </cell>
          <cell r="H507">
            <v>3.9109572093077726E-4</v>
          </cell>
          <cell r="I507">
            <v>5.0258580067421654E-4</v>
          </cell>
          <cell r="J507">
            <v>6.099887793112786E-4</v>
          </cell>
          <cell r="K507">
            <v>6.8533372990987635E-4</v>
          </cell>
          <cell r="L507">
            <v>1.6458735193433231E-3</v>
          </cell>
          <cell r="M507">
            <v>1.1859951760308436E-3</v>
          </cell>
          <cell r="N507">
            <v>1.6270409248009209E-3</v>
          </cell>
          <cell r="O507">
            <v>1.7046736229159292E-3</v>
          </cell>
          <cell r="P507">
            <v>3.0645806677802598E-3</v>
          </cell>
        </row>
        <row r="508">
          <cell r="B508" t="str">
            <v>V2G</v>
          </cell>
          <cell r="C508" t="str">
            <v>VAR_fin</v>
          </cell>
          <cell r="D508" t="str">
            <v>T-ELC-LGV_BatSTGout</v>
          </cell>
          <cell r="H508">
            <v>2.1948917739229761E-3</v>
          </cell>
          <cell r="I508">
            <v>2.5670315461694998E-3</v>
          </cell>
          <cell r="J508">
            <v>1.9912336289498326E-3</v>
          </cell>
          <cell r="K508">
            <v>2.4965950364599361E-3</v>
          </cell>
          <cell r="L508">
            <v>4.837853597591403E-3</v>
          </cell>
          <cell r="M508">
            <v>2.9171449436402445E-3</v>
          </cell>
          <cell r="N508">
            <v>5.4231361751665673E-3</v>
          </cell>
          <cell r="O508">
            <v>3.6969893824091095E-3</v>
          </cell>
          <cell r="P508">
            <v>8.9766297729333908E-3</v>
          </cell>
        </row>
        <row r="509">
          <cell r="B509" t="str">
            <v>V2G</v>
          </cell>
          <cell r="C509" t="str">
            <v>VAR_fin</v>
          </cell>
          <cell r="D509" t="str">
            <v>T-ELC-HGV_BatSTGout</v>
          </cell>
          <cell r="H509">
            <v>1.6523302006951404E-3</v>
          </cell>
          <cell r="I509">
            <v>2.6776603328324284E-3</v>
          </cell>
          <cell r="J509">
            <v>3.0555842774012579E-3</v>
          </cell>
          <cell r="K509">
            <v>2.5847516778313615E-3</v>
          </cell>
          <cell r="L509">
            <v>4.5689426507442357E-3</v>
          </cell>
          <cell r="M509">
            <v>3.3979952535294448E-3</v>
          </cell>
          <cell r="N509">
            <v>4.945438419855383E-3</v>
          </cell>
          <cell r="O509">
            <v>6.2651740672461037E-3</v>
          </cell>
          <cell r="P509">
            <v>1.6148293386166426E-2</v>
          </cell>
        </row>
        <row r="510">
          <cell r="B510" t="str">
            <v>V2G</v>
          </cell>
          <cell r="C510" t="str">
            <v>VAR_ncap</v>
          </cell>
          <cell r="D510" t="str">
            <v>-</v>
          </cell>
          <cell r="H510">
            <v>0.26283334595364499</v>
          </cell>
          <cell r="I510">
            <v>2.2891782187651698E-3</v>
          </cell>
          <cell r="J510">
            <v>0.159275160616978</v>
          </cell>
          <cell r="K510">
            <v>0.16814550408416101</v>
          </cell>
          <cell r="L510">
            <v>3.2774024025869097E-2</v>
          </cell>
          <cell r="M510">
            <v>0.34347292818804198</v>
          </cell>
          <cell r="N510">
            <v>0.43515249268769601</v>
          </cell>
          <cell r="O510">
            <v>0.67384996429196597</v>
          </cell>
          <cell r="P510">
            <v>0.34644800019993999</v>
          </cell>
        </row>
        <row r="511">
          <cell r="B511" t="str">
            <v>V2G</v>
          </cell>
          <cell r="C511" t="str">
            <v>VAR_cap</v>
          </cell>
          <cell r="D511" t="str">
            <v>-</v>
          </cell>
          <cell r="H511">
            <v>0.26283334595364499</v>
          </cell>
          <cell r="I511">
            <v>0.26509113954672442</v>
          </cell>
          <cell r="J511">
            <v>0.37433781134078653</v>
          </cell>
          <cell r="K511">
            <v>0.32968129375786909</v>
          </cell>
          <cell r="L511">
            <v>0.36014178029853705</v>
          </cell>
          <cell r="M511">
            <v>0.5465286577977847</v>
          </cell>
          <cell r="N511">
            <v>0.81134318344940659</v>
          </cell>
          <cell r="O511">
            <v>1.3493098913639587</v>
          </cell>
          <cell r="P511">
            <v>1.4553870582688346</v>
          </cell>
        </row>
        <row r="512">
          <cell r="B512" t="str">
            <v>D-EBIO</v>
          </cell>
          <cell r="C512" t="str">
            <v>VAR_fout</v>
          </cell>
          <cell r="D512" t="str">
            <v>EBIO</v>
          </cell>
          <cell r="E512">
            <v>1.1839529842623817</v>
          </cell>
          <cell r="F512">
            <v>1.9875677472452287</v>
          </cell>
          <cell r="G512">
            <v>1.9875689380313097</v>
          </cell>
          <cell r="H512">
            <v>1.9875689036516504</v>
          </cell>
          <cell r="I512">
            <v>1.9875734495849273</v>
          </cell>
          <cell r="J512">
            <v>1.9875801207447232</v>
          </cell>
          <cell r="K512">
            <v>1.9875875088118393</v>
          </cell>
          <cell r="L512">
            <v>1.9875993816380391</v>
          </cell>
          <cell r="M512">
            <v>1.9876082222979172</v>
          </cell>
          <cell r="N512">
            <v>1.9876301414718436</v>
          </cell>
          <cell r="O512">
            <v>1.9876537500819786</v>
          </cell>
          <cell r="P512">
            <v>1.9877693136458383</v>
          </cell>
        </row>
        <row r="513">
          <cell r="B513" t="str">
            <v>D-EBIO</v>
          </cell>
          <cell r="C513" t="str">
            <v>VAR_fin</v>
          </cell>
          <cell r="D513" t="str">
            <v>BIO</v>
          </cell>
          <cell r="E513">
            <v>1.1839529842623817</v>
          </cell>
          <cell r="F513">
            <v>1.9875677472452287</v>
          </cell>
          <cell r="G513">
            <v>1.9875689380313097</v>
          </cell>
          <cell r="H513">
            <v>1.9875689036516504</v>
          </cell>
          <cell r="I513">
            <v>1.9875734495849273</v>
          </cell>
          <cell r="J513">
            <v>1.9875801207447232</v>
          </cell>
          <cell r="K513">
            <v>1.9875875088118393</v>
          </cell>
          <cell r="L513">
            <v>1.9875993816380391</v>
          </cell>
          <cell r="M513">
            <v>1.9876082222979172</v>
          </cell>
          <cell r="N513">
            <v>1.9876301414718436</v>
          </cell>
          <cell r="O513">
            <v>1.9876537500819786</v>
          </cell>
          <cell r="P513">
            <v>1.9877693136458383</v>
          </cell>
        </row>
        <row r="514">
          <cell r="B514" t="str">
            <v>G-INTC3</v>
          </cell>
          <cell r="C514" t="str">
            <v>VAR_fout</v>
          </cell>
          <cell r="D514" t="str">
            <v>ELC35</v>
          </cell>
          <cell r="E514">
            <v>145.34817090325353</v>
          </cell>
          <cell r="F514">
            <v>105.51707202790402</v>
          </cell>
          <cell r="G514">
            <v>100.9478735558435</v>
          </cell>
          <cell r="H514">
            <v>113.77110768034711</v>
          </cell>
          <cell r="I514">
            <v>84.994598884171921</v>
          </cell>
          <cell r="J514">
            <v>127.11257288467365</v>
          </cell>
          <cell r="K514">
            <v>82.965504536715144</v>
          </cell>
          <cell r="L514">
            <v>122.32969992884394</v>
          </cell>
          <cell r="M514">
            <v>81.883023803431257</v>
          </cell>
          <cell r="N514">
            <v>86.644432221040503</v>
          </cell>
          <cell r="O514">
            <v>90.476712542663222</v>
          </cell>
          <cell r="P514">
            <v>95.841797469468318</v>
          </cell>
        </row>
        <row r="515">
          <cell r="B515" t="str">
            <v>G-INTC3</v>
          </cell>
          <cell r="C515" t="str">
            <v>VAR_fout</v>
          </cell>
          <cell r="D515" t="str">
            <v>ELC3</v>
          </cell>
          <cell r="E515">
            <v>30.590443509112411</v>
          </cell>
          <cell r="F515">
            <v>69.492879325725369</v>
          </cell>
          <cell r="G515">
            <v>68.086716464794392</v>
          </cell>
          <cell r="H515">
            <v>39.680102456468639</v>
          </cell>
          <cell r="I515">
            <v>75.318951755505907</v>
          </cell>
          <cell r="J515">
            <v>35.538347572856516</v>
          </cell>
          <cell r="K515">
            <v>75.476279502429492</v>
          </cell>
          <cell r="L515">
            <v>33.635975432450621</v>
          </cell>
          <cell r="M515">
            <v>72.749744291617276</v>
          </cell>
          <cell r="N515">
            <v>75.302059657152697</v>
          </cell>
          <cell r="O515">
            <v>73.383465547762242</v>
          </cell>
          <cell r="P515">
            <v>73.198003578964105</v>
          </cell>
        </row>
        <row r="516">
          <cell r="B516" t="str">
            <v>G-INTC3</v>
          </cell>
          <cell r="C516" t="str">
            <v>VAR_fout</v>
          </cell>
          <cell r="D516" t="str">
            <v>ELC</v>
          </cell>
          <cell r="E516">
            <v>6.7463722236180315E-2</v>
          </cell>
          <cell r="F516">
            <v>6.4984434901909187E-3</v>
          </cell>
          <cell r="G516">
            <v>8.5446221516390381E-3</v>
          </cell>
          <cell r="H516">
            <v>0.13176182511165901</v>
          </cell>
          <cell r="I516">
            <v>8.2847032073365811E-3</v>
          </cell>
          <cell r="J516">
            <v>8.0262000186528681E-3</v>
          </cell>
          <cell r="K516">
            <v>8.5943615878727609E-3</v>
          </cell>
          <cell r="L516">
            <v>1.9732293553141267E-2</v>
          </cell>
          <cell r="M516">
            <v>9.4336109892040748E-3</v>
          </cell>
          <cell r="N516">
            <v>1.907446813110748E-2</v>
          </cell>
          <cell r="O516">
            <v>1.5088200615940645E-2</v>
          </cell>
          <cell r="P516">
            <v>3.2003940575411761E-2</v>
          </cell>
        </row>
        <row r="517">
          <cell r="B517" t="str">
            <v>G-INTC3</v>
          </cell>
          <cell r="C517" t="str">
            <v>VAR_fin</v>
          </cell>
          <cell r="D517" t="str">
            <v>ELC13</v>
          </cell>
          <cell r="E517">
            <v>179.69320399495675</v>
          </cell>
          <cell r="F517">
            <v>183.26446036590431</v>
          </cell>
          <cell r="G517">
            <v>176.42797743862397</v>
          </cell>
          <cell r="H517">
            <v>159.41939663584031</v>
          </cell>
          <cell r="I517">
            <v>165.51286256899536</v>
          </cell>
          <cell r="J517">
            <v>167.02083999156687</v>
          </cell>
          <cell r="K517">
            <v>161.82753240579581</v>
          </cell>
          <cell r="L517">
            <v>158.46077684564065</v>
          </cell>
          <cell r="M517">
            <v>157.09630160729114</v>
          </cell>
          <cell r="N517">
            <v>164.53588464231296</v>
          </cell>
          <cell r="O517">
            <v>166.47589063799182</v>
          </cell>
          <cell r="P517">
            <v>171.7548959910165</v>
          </cell>
        </row>
        <row r="518">
          <cell r="B518" t="str">
            <v>G-INTC3</v>
          </cell>
          <cell r="C518" t="str">
            <v>VAR_ncap</v>
          </cell>
          <cell r="D518" t="str">
            <v>-</v>
          </cell>
          <cell r="E518">
            <v>2.8149290573967599E-7</v>
          </cell>
          <cell r="F518">
            <v>2.9082781111214099E-7</v>
          </cell>
          <cell r="G518">
            <v>3.3270506049831498E-7</v>
          </cell>
          <cell r="H518">
            <v>3.8005767807625798E-7</v>
          </cell>
          <cell r="I518">
            <v>5.27336163811422E-7</v>
          </cell>
          <cell r="J518">
            <v>6.5087248538506702E-7</v>
          </cell>
          <cell r="K518">
            <v>8.7532385063523799E-7</v>
          </cell>
          <cell r="L518">
            <v>1.35877688000746E-6</v>
          </cell>
          <cell r="M518">
            <v>1.8425082725134799E-6</v>
          </cell>
          <cell r="N518">
            <v>6.4503434046927199E-6</v>
          </cell>
        </row>
        <row r="519">
          <cell r="B519" t="str">
            <v>G-INTC3</v>
          </cell>
          <cell r="C519" t="str">
            <v>VAR_cap</v>
          </cell>
          <cell r="D519" t="str">
            <v>-</v>
          </cell>
          <cell r="E519">
            <v>13.914190167241101</v>
          </cell>
          <cell r="F519">
            <v>13.914190167241101</v>
          </cell>
          <cell r="G519">
            <v>13.914190167241101</v>
          </cell>
          <cell r="H519">
            <v>13.91419044062965</v>
          </cell>
          <cell r="I519">
            <v>13.914191163791561</v>
          </cell>
          <cell r="J519">
            <v>13.914191452324555</v>
          </cell>
          <cell r="K519">
            <v>13.914191988151993</v>
          </cell>
          <cell r="L519">
            <v>13.914192630533206</v>
          </cell>
          <cell r="M519">
            <v>13.914193371359977</v>
          </cell>
          <cell r="N519">
            <v>13.914195308342864</v>
          </cell>
          <cell r="O519">
            <v>13.914196707142208</v>
          </cell>
          <cell r="P519">
            <v>13.914203157485613</v>
          </cell>
        </row>
        <row r="520">
          <cell r="B520" t="str">
            <v>HPLBIO</v>
          </cell>
          <cell r="C520" t="str">
            <v>VAR_fout</v>
          </cell>
          <cell r="D520" t="str">
            <v>LTH</v>
          </cell>
          <cell r="E520">
            <v>0.90177656910431103</v>
          </cell>
          <cell r="F520">
            <v>1.5138624994385568</v>
          </cell>
          <cell r="G520">
            <v>1.5138634064196617</v>
          </cell>
          <cell r="H520">
            <v>1.5138633802338493</v>
          </cell>
          <cell r="I520">
            <v>1.5138668427160322</v>
          </cell>
          <cell r="J520">
            <v>1.5138719239107019</v>
          </cell>
          <cell r="K520">
            <v>1.5138775511492033</v>
          </cell>
          <cell r="L520">
            <v>1.5138865942755915</v>
          </cell>
          <cell r="M520">
            <v>1.5138933279044096</v>
          </cell>
          <cell r="N520">
            <v>1.5139100229908888</v>
          </cell>
          <cell r="O520">
            <v>1.5139280048632533</v>
          </cell>
          <cell r="P520">
            <v>1.5140160256846191</v>
          </cell>
        </row>
        <row r="521">
          <cell r="B521" t="str">
            <v>HPLBIO</v>
          </cell>
          <cell r="C521" t="str">
            <v>VAR_fin</v>
          </cell>
          <cell r="D521" t="str">
            <v>EBIO</v>
          </cell>
          <cell r="E521">
            <v>1.1839529842623817</v>
          </cell>
          <cell r="F521">
            <v>1.9875677472452287</v>
          </cell>
          <cell r="G521">
            <v>1.9875689380313097</v>
          </cell>
          <cell r="H521">
            <v>1.9875689036516504</v>
          </cell>
          <cell r="I521">
            <v>1.9875734495849273</v>
          </cell>
          <cell r="J521">
            <v>1.9875801207447232</v>
          </cell>
          <cell r="K521">
            <v>1.9875875088118393</v>
          </cell>
          <cell r="L521">
            <v>1.9875993816380391</v>
          </cell>
          <cell r="M521">
            <v>1.9876082222979172</v>
          </cell>
          <cell r="N521">
            <v>1.9876301414718436</v>
          </cell>
          <cell r="O521">
            <v>1.9876537500819786</v>
          </cell>
          <cell r="P521">
            <v>1.9877693136458383</v>
          </cell>
        </row>
        <row r="522">
          <cell r="B522" t="str">
            <v>HPLBIO</v>
          </cell>
          <cell r="C522" t="str">
            <v>VAR_ncap</v>
          </cell>
          <cell r="D522" t="str">
            <v>-</v>
          </cell>
          <cell r="E522">
            <v>2.9949783192828599E-4</v>
          </cell>
          <cell r="F522">
            <v>7.7463727795753001E-2</v>
          </cell>
          <cell r="G522">
            <v>3.9734943431696199E-5</v>
          </cell>
          <cell r="H522">
            <v>6.2839099208020902E-2</v>
          </cell>
          <cell r="I522">
            <v>5.1467397953276199E-2</v>
          </cell>
          <cell r="J522">
            <v>3.0047643206141401E-2</v>
          </cell>
          <cell r="K522">
            <v>6.7648993375614794E-2</v>
          </cell>
          <cell r="L522">
            <v>4.4305803486109997E-2</v>
          </cell>
          <cell r="M522">
            <v>8.3975377676634599E-2</v>
          </cell>
          <cell r="N522">
            <v>5.38024901458159E-4</v>
          </cell>
          <cell r="O522">
            <v>8.0846896428219794E-2</v>
          </cell>
          <cell r="P522">
            <v>2.7064828467505998E-2</v>
          </cell>
        </row>
        <row r="523">
          <cell r="B523" t="str">
            <v>HPLBIO</v>
          </cell>
          <cell r="C523" t="str">
            <v>VAR_cap</v>
          </cell>
          <cell r="D523" t="str">
            <v>-</v>
          </cell>
          <cell r="E523">
            <v>0.11467367179889899</v>
          </cell>
          <cell r="F523">
            <v>0.19210801945812658</v>
          </cell>
          <cell r="G523">
            <v>0.19213124673022164</v>
          </cell>
          <cell r="H523">
            <v>0.19203159515994295</v>
          </cell>
          <cell r="I523">
            <v>0.1920471824081445</v>
          </cell>
          <cell r="J523">
            <v>0.19204520705243108</v>
          </cell>
          <cell r="K523">
            <v>0.19205628574215711</v>
          </cell>
          <cell r="L523">
            <v>0.19342025059158888</v>
          </cell>
          <cell r="M523">
            <v>0.23756311973798824</v>
          </cell>
          <cell r="N523">
            <v>0.19639767500660119</v>
          </cell>
          <cell r="O523">
            <v>0.20961217196001655</v>
          </cell>
          <cell r="P523">
            <v>0.19235055274112636</v>
          </cell>
        </row>
        <row r="524">
          <cell r="B524" t="str">
            <v>ENUC_SMR_BEZ_I</v>
          </cell>
          <cell r="C524" t="str">
            <v>VAR_fout</v>
          </cell>
          <cell r="D524" t="str">
            <v>LTH</v>
          </cell>
          <cell r="K524">
            <v>2.7138889812969129</v>
          </cell>
          <cell r="L524">
            <v>3.2492294305638811</v>
          </cell>
          <cell r="M524">
            <v>3.1601898172663536</v>
          </cell>
          <cell r="N524">
            <v>3.0652368086295798</v>
          </cell>
          <cell r="O524">
            <v>2.7732146673790381</v>
          </cell>
          <cell r="P524">
            <v>2.436648058816909</v>
          </cell>
        </row>
        <row r="525">
          <cell r="B525" t="str">
            <v>ENUC_SMR_BEZ_I</v>
          </cell>
          <cell r="C525" t="str">
            <v>VAR_fout</v>
          </cell>
          <cell r="D525" t="str">
            <v>ELC</v>
          </cell>
          <cell r="K525">
            <v>1.2862205025382334</v>
          </cell>
          <cell r="L525">
            <v>1.5633762471274779</v>
          </cell>
          <cell r="M525">
            <v>1.7088263030730408</v>
          </cell>
          <cell r="N525">
            <v>1.5780316868530155</v>
          </cell>
          <cell r="O525">
            <v>1.4885768920467024</v>
          </cell>
          <cell r="P525">
            <v>1.517653095783501</v>
          </cell>
        </row>
        <row r="526">
          <cell r="B526" t="str">
            <v>ENUC_SMR_BEZ_I</v>
          </cell>
          <cell r="C526" t="str">
            <v>VAR_fin</v>
          </cell>
          <cell r="D526" t="str">
            <v>URN</v>
          </cell>
          <cell r="K526">
            <v>5.0856999865857411</v>
          </cell>
          <cell r="L526">
            <v>6.1595776089505954</v>
          </cell>
          <cell r="M526">
            <v>6.5586536522254999</v>
          </cell>
          <cell r="N526">
            <v>6.1219715545105746</v>
          </cell>
          <cell r="O526">
            <v>5.7223639015424856</v>
          </cell>
          <cell r="P526">
            <v>5.6604080846008484</v>
          </cell>
        </row>
        <row r="527">
          <cell r="B527" t="str">
            <v>ENUC_SMR_BEZ_I</v>
          </cell>
          <cell r="C527" t="str">
            <v>VAR_ncap</v>
          </cell>
          <cell r="D527" t="str">
            <v>-</v>
          </cell>
          <cell r="J527">
            <v>6.9439633662626704E-2</v>
          </cell>
          <cell r="K527">
            <v>3.0290102435099699E-6</v>
          </cell>
          <cell r="L527">
            <v>6.0766945402466499E-6</v>
          </cell>
          <cell r="M527">
            <v>1.19210248922185E-5</v>
          </cell>
          <cell r="N527">
            <v>2.8077433708206799E-5</v>
          </cell>
          <cell r="O527">
            <v>2.4417912645796099E-4</v>
          </cell>
        </row>
        <row r="528">
          <cell r="B528" t="str">
            <v>ENUC_SMR_BEZ_I</v>
          </cell>
          <cell r="C528" t="str">
            <v>VAR_cap</v>
          </cell>
          <cell r="D528" t="str">
            <v>-</v>
          </cell>
          <cell r="K528">
            <v>5.71403521977581E-2</v>
          </cell>
          <cell r="L528">
            <v>6.9442662672870303E-2</v>
          </cell>
          <cell r="M528">
            <v>6.9447585486737698E-2</v>
          </cell>
          <cell r="N528">
            <v>6.9460660392302698E-2</v>
          </cell>
          <cell r="O528">
            <v>6.9478912863724401E-2</v>
          </cell>
          <cell r="P528">
            <v>6.9732916952468901E-2</v>
          </cell>
        </row>
        <row r="529">
          <cell r="B529" t="str">
            <v>CHPGFC</v>
          </cell>
          <cell r="C529" t="str">
            <v>VAR_fout</v>
          </cell>
          <cell r="D529" t="str">
            <v>ELC35</v>
          </cell>
          <cell r="J529">
            <v>0.39559556300377602</v>
          </cell>
          <cell r="K529">
            <v>0.72283510226504977</v>
          </cell>
          <cell r="L529">
            <v>0.88158674588996222</v>
          </cell>
          <cell r="M529">
            <v>0.83052211545870491</v>
          </cell>
          <cell r="N529">
            <v>0.48566074770973477</v>
          </cell>
          <cell r="O529">
            <v>0.1246676204922739</v>
          </cell>
          <cell r="P529">
            <v>4.3853316887397062E-2</v>
          </cell>
        </row>
        <row r="530">
          <cell r="B530" t="str">
            <v>CHPGFC</v>
          </cell>
          <cell r="C530" t="str">
            <v>VAR_fout</v>
          </cell>
          <cell r="D530" t="str">
            <v>LTH</v>
          </cell>
          <cell r="J530">
            <v>0.5043843428298147</v>
          </cell>
          <cell r="K530">
            <v>0.93968563294456486</v>
          </cell>
          <cell r="L530">
            <v>1.1681024383042</v>
          </cell>
          <cell r="M530">
            <v>1.1004418029827847</v>
          </cell>
          <cell r="N530">
            <v>0.64350049071539916</v>
          </cell>
          <cell r="O530">
            <v>0.165184597152263</v>
          </cell>
          <cell r="P530">
            <v>5.8105644875801145E-2</v>
          </cell>
        </row>
        <row r="531">
          <cell r="B531" t="str">
            <v>CHPGFC</v>
          </cell>
          <cell r="C531" t="str">
            <v>VAR_fout</v>
          </cell>
          <cell r="D531" t="str">
            <v>CO2_E</v>
          </cell>
          <cell r="J531">
            <v>55.7789743835325</v>
          </cell>
          <cell r="K531">
            <v>101.919749419372</v>
          </cell>
          <cell r="L531">
            <v>124.30373117048499</v>
          </cell>
          <cell r="M531">
            <v>117.10361827967699</v>
          </cell>
          <cell r="N531">
            <v>68.478165427072597</v>
          </cell>
          <cell r="O531">
            <v>17.578134489410601</v>
          </cell>
          <cell r="P531">
            <v>6.1833176811229897</v>
          </cell>
        </row>
        <row r="532">
          <cell r="B532" t="str">
            <v>CHPGFC</v>
          </cell>
          <cell r="C532" t="str">
            <v>VAR_fin</v>
          </cell>
          <cell r="D532" t="str">
            <v>ENGA</v>
          </cell>
          <cell r="J532">
            <v>0.98898890750944035</v>
          </cell>
          <cell r="K532">
            <v>1.8070877556626239</v>
          </cell>
          <cell r="L532">
            <v>2.2039668647249044</v>
          </cell>
          <cell r="M532">
            <v>2.0763052886467621</v>
          </cell>
          <cell r="N532">
            <v>1.2141518692743356</v>
          </cell>
          <cell r="O532">
            <v>0.31166905123068461</v>
          </cell>
          <cell r="P532">
            <v>0.10963329221849272</v>
          </cell>
        </row>
        <row r="533">
          <cell r="B533" t="str">
            <v>CHPGFC</v>
          </cell>
          <cell r="C533" t="str">
            <v>VAR_ncap</v>
          </cell>
          <cell r="D533" t="str">
            <v>-</v>
          </cell>
          <cell r="J533">
            <v>1.47618344294291E-2</v>
          </cell>
          <cell r="K533">
            <v>1.2211342390809199E-2</v>
          </cell>
          <cell r="L533">
            <v>5.9284594336069703E-3</v>
          </cell>
          <cell r="M533">
            <v>4.9447175452026201E-5</v>
          </cell>
          <cell r="N533">
            <v>1.10564112351663E-4</v>
          </cell>
          <cell r="O533">
            <v>1.64286103609164E-5</v>
          </cell>
          <cell r="P533">
            <v>2.5685027744336598E-3</v>
          </cell>
        </row>
        <row r="534">
          <cell r="B534" t="str">
            <v>CHPGFC</v>
          </cell>
          <cell r="C534" t="str">
            <v>VAR_cap</v>
          </cell>
          <cell r="D534" t="str">
            <v>-</v>
          </cell>
          <cell r="J534">
            <v>1.47618344294291E-2</v>
          </cell>
          <cell r="K534">
            <v>2.6972904115662159E-2</v>
          </cell>
          <cell r="L534">
            <v>3.2900379860454049E-2</v>
          </cell>
          <cell r="M534">
            <v>3.0992701684196679E-2</v>
          </cell>
          <cell r="N534">
            <v>1.829649384263422E-2</v>
          </cell>
          <cell r="O534">
            <v>6.0988423525846326E-3</v>
          </cell>
          <cell r="P534">
            <v>2.7394641574160069E-3</v>
          </cell>
        </row>
        <row r="535">
          <cell r="B535" t="str">
            <v>G-INTC5</v>
          </cell>
          <cell r="C535" t="str">
            <v>VAR_fout</v>
          </cell>
          <cell r="D535" t="str">
            <v>ELC5</v>
          </cell>
          <cell r="E535">
            <v>258.87654165601509</v>
          </cell>
          <cell r="F535">
            <v>120.25345883247682</v>
          </cell>
          <cell r="G535">
            <v>117.6256299493477</v>
          </cell>
          <cell r="H535">
            <v>131.92579569781688</v>
          </cell>
          <cell r="I535">
            <v>105.02198511350969</v>
          </cell>
          <cell r="J535">
            <v>147.08325223540217</v>
          </cell>
          <cell r="K535">
            <v>103.78780786130255</v>
          </cell>
          <cell r="L535">
            <v>142.97907800915092</v>
          </cell>
          <cell r="M535">
            <v>103.55580506214125</v>
          </cell>
          <cell r="N535">
            <v>107.60909283661502</v>
          </cell>
          <cell r="O535">
            <v>110.38040829479354</v>
          </cell>
          <cell r="P535">
            <v>116.77867261699934</v>
          </cell>
        </row>
        <row r="536">
          <cell r="B536" t="str">
            <v>G-INTC5</v>
          </cell>
          <cell r="C536" t="str">
            <v>VAR_fout</v>
          </cell>
          <cell r="D536" t="str">
            <v>ELC13</v>
          </cell>
          <cell r="E536">
            <v>0.29520619900980011</v>
          </cell>
          <cell r="F536">
            <v>5.1433159874544002E-3</v>
          </cell>
          <cell r="G536">
            <v>7.4407761108097594E-3</v>
          </cell>
          <cell r="H536">
            <v>3.1713382257191384E-3</v>
          </cell>
          <cell r="I536">
            <v>6.5969998374424939E-3</v>
          </cell>
          <cell r="J536">
            <v>6.2538990775636398E-3</v>
          </cell>
          <cell r="K536">
            <v>6.7649458447963141E-3</v>
          </cell>
          <cell r="L536">
            <v>1.7068144155449983E-2</v>
          </cell>
          <cell r="M536">
            <v>8.3009865169986641E-3</v>
          </cell>
          <cell r="N536">
            <v>1.6739555119836231E-2</v>
          </cell>
          <cell r="O536">
            <v>1.3159064736390379E-2</v>
          </cell>
          <cell r="P536">
            <v>2.7883049982989301E-2</v>
          </cell>
        </row>
        <row r="537">
          <cell r="B537" t="str">
            <v>G-INTC5</v>
          </cell>
          <cell r="C537" t="str">
            <v>VAR_fin</v>
          </cell>
          <cell r="D537" t="str">
            <v>ELC35</v>
          </cell>
          <cell r="E537">
            <v>267.35736803553323</v>
          </cell>
          <cell r="F537">
            <v>125.94600552739618</v>
          </cell>
          <cell r="G537">
            <v>122.92887859018117</v>
          </cell>
          <cell r="H537">
            <v>137.37137214664219</v>
          </cell>
          <cell r="I537">
            <v>108.96845731182877</v>
          </cell>
          <cell r="J537">
            <v>152.06099185418458</v>
          </cell>
          <cell r="K537">
            <v>106.92005351031865</v>
          </cell>
          <cell r="L537">
            <v>146.77861011070539</v>
          </cell>
          <cell r="M537">
            <v>106.30353301188087</v>
          </cell>
          <cell r="N537">
            <v>110.47269814901455</v>
          </cell>
          <cell r="O537">
            <v>113.31364388535781</v>
          </cell>
          <cell r="P537">
            <v>119.89626541569541</v>
          </cell>
        </row>
        <row r="538">
          <cell r="B538" t="str">
            <v>G-INTC5</v>
          </cell>
          <cell r="C538" t="str">
            <v>VAR_ncap</v>
          </cell>
          <cell r="D538" t="str">
            <v>-</v>
          </cell>
          <cell r="E538">
            <v>1.2071851524957999E-6</v>
          </cell>
          <cell r="F538">
            <v>1.2564372869941301E-6</v>
          </cell>
          <cell r="G538">
            <v>1.4285669845275301E-6</v>
          </cell>
          <cell r="H538">
            <v>1.72881157852948E-6</v>
          </cell>
          <cell r="I538">
            <v>2.6763526382911098E-6</v>
          </cell>
          <cell r="J538">
            <v>4.78794590186154E-6</v>
          </cell>
          <cell r="K538">
            <v>6.2521163709132401E-6</v>
          </cell>
          <cell r="L538">
            <v>1.15421743842045E-5</v>
          </cell>
          <cell r="M538">
            <v>9.2314026957911707E-6</v>
          </cell>
          <cell r="N538">
            <v>6.6410937011510194E-5</v>
          </cell>
        </row>
        <row r="539">
          <cell r="B539" t="str">
            <v>G-INTC5</v>
          </cell>
          <cell r="C539" t="str">
            <v>VAR_cap</v>
          </cell>
          <cell r="D539" t="str">
            <v>-</v>
          </cell>
          <cell r="E539">
            <v>12.649263788401001</v>
          </cell>
          <cell r="F539">
            <v>12.649263788401001</v>
          </cell>
          <cell r="G539">
            <v>12.649263788401001</v>
          </cell>
          <cell r="H539">
            <v>12.649264964587458</v>
          </cell>
          <cell r="I539">
            <v>12.649268096919156</v>
          </cell>
          <cell r="J539">
            <v>12.649269409402004</v>
          </cell>
          <cell r="K539">
            <v>12.649272361266702</v>
          </cell>
          <cell r="L539">
            <v>12.649276873700543</v>
          </cell>
          <cell r="M539">
            <v>12.649282165153739</v>
          </cell>
          <cell r="N539">
            <v>12.649296891078087</v>
          </cell>
          <cell r="O539">
            <v>12.649303899393994</v>
          </cell>
          <cell r="P539">
            <v>12.649370310331006</v>
          </cell>
        </row>
        <row r="540">
          <cell r="B540" t="str">
            <v>D-SLFO</v>
          </cell>
          <cell r="C540" t="str">
            <v>VAR_fout</v>
          </cell>
          <cell r="D540" t="str">
            <v>CO2</v>
          </cell>
          <cell r="E540">
            <v>2267.78874396118</v>
          </cell>
          <cell r="F540">
            <v>2014.16795009053</v>
          </cell>
          <cell r="G540">
            <v>1905.2960348070401</v>
          </cell>
          <cell r="H540">
            <v>1614.5926267339601</v>
          </cell>
          <cell r="I540">
            <v>1272.3265587865601</v>
          </cell>
          <cell r="J540">
            <v>1073.9992601290601</v>
          </cell>
          <cell r="K540">
            <v>966.94041350769203</v>
          </cell>
          <cell r="L540">
            <v>803.77275028589702</v>
          </cell>
          <cell r="M540">
            <v>664.88667127292103</v>
          </cell>
          <cell r="N540">
            <v>553.07324500763502</v>
          </cell>
          <cell r="O540">
            <v>304.45334880915198</v>
          </cell>
          <cell r="P540">
            <v>102.728304181929</v>
          </cell>
        </row>
        <row r="541">
          <cell r="B541" t="str">
            <v>D-SLFO</v>
          </cell>
          <cell r="C541" t="str">
            <v>VAR_fout</v>
          </cell>
          <cell r="D541" t="str">
            <v>SLFO</v>
          </cell>
          <cell r="E541">
            <v>30.256635401172776</v>
          </cell>
          <cell r="F541">
            <v>26.872849362577067</v>
          </cell>
          <cell r="G541">
            <v>25.420544260016158</v>
          </cell>
          <cell r="H541">
            <v>21.542320800924575</v>
          </cell>
          <cell r="I541">
            <v>16.976441614788758</v>
          </cell>
          <cell r="J541">
            <v>14.32979737028127</v>
          </cell>
          <cell r="K541">
            <v>12.901431594580515</v>
          </cell>
          <cell r="L541">
            <v>10.725100313837938</v>
          </cell>
          <cell r="M541">
            <v>8.8714655587649904</v>
          </cell>
          <cell r="N541">
            <v>7.3802866729451795</v>
          </cell>
          <cell r="O541">
            <v>4.0629323292930852</v>
          </cell>
          <cell r="P541">
            <v>1.3726714091776095</v>
          </cell>
        </row>
        <row r="542">
          <cell r="B542" t="str">
            <v>D-SLFO</v>
          </cell>
          <cell r="C542" t="str">
            <v>VAR_fin</v>
          </cell>
          <cell r="D542" t="str">
            <v>LFO</v>
          </cell>
          <cell r="E542">
            <v>30.770539266773181</v>
          </cell>
          <cell r="F542">
            <v>27.3292801911876</v>
          </cell>
          <cell r="G542">
            <v>25.852049318955743</v>
          </cell>
          <cell r="H542">
            <v>21.907634012672386</v>
          </cell>
          <cell r="I542">
            <v>17.26358967145941</v>
          </cell>
          <cell r="J542">
            <v>14.572581548562608</v>
          </cell>
          <cell r="K542">
            <v>13.119951336603673</v>
          </cell>
          <cell r="L542">
            <v>10.906007466565775</v>
          </cell>
          <cell r="M542">
            <v>9.0215287825362562</v>
          </cell>
          <cell r="N542">
            <v>7.5043859566843203</v>
          </cell>
          <cell r="O542">
            <v>4.1309816663385694</v>
          </cell>
          <cell r="P542">
            <v>1.3938711557927901</v>
          </cell>
        </row>
        <row r="543">
          <cell r="B543" t="str">
            <v>D-SLFO</v>
          </cell>
          <cell r="C543" t="str">
            <v>VAR_fin</v>
          </cell>
          <cell r="D543" t="str">
            <v>BDS</v>
          </cell>
          <cell r="G543">
            <v>2.5845009794413253E-4</v>
          </cell>
          <cell r="H543">
            <v>5.7948540148550437E-4</v>
          </cell>
          <cell r="I543">
            <v>1.194671715489993E-3</v>
          </cell>
          <cell r="J543">
            <v>6.0502095435004425E-4</v>
          </cell>
          <cell r="K543">
            <v>6.0882979968245076E-4</v>
          </cell>
          <cell r="L543">
            <v>1.2565113925373317E-3</v>
          </cell>
          <cell r="M543">
            <v>6.1805067713719655E-4</v>
          </cell>
          <cell r="N543">
            <v>1.2532456113074364E-3</v>
          </cell>
          <cell r="O543">
            <v>9.5995734723345314E-4</v>
          </cell>
          <cell r="P543">
            <v>2.1127704848307189E-3</v>
          </cell>
        </row>
        <row r="544">
          <cell r="B544" t="str">
            <v>D-RCOA</v>
          </cell>
          <cell r="C544" t="str">
            <v>VAR_fout</v>
          </cell>
          <cell r="D544" t="str">
            <v>CO2</v>
          </cell>
          <cell r="E544">
            <v>9.2700950489061604</v>
          </cell>
          <cell r="F544">
            <v>9.2700633362314608</v>
          </cell>
          <cell r="G544">
            <v>0.52747082177212001</v>
          </cell>
          <cell r="H544">
            <v>0.44507791756814702</v>
          </cell>
          <cell r="I544">
            <v>0.18061800400389999</v>
          </cell>
        </row>
        <row r="545">
          <cell r="B545" t="str">
            <v>D-RCOA</v>
          </cell>
          <cell r="C545" t="str">
            <v>VAR_fout</v>
          </cell>
          <cell r="D545" t="str">
            <v>RCOA</v>
          </cell>
          <cell r="E545">
            <v>0.10000102533879353</v>
          </cell>
          <cell r="F545">
            <v>0.10000068323874284</v>
          </cell>
          <cell r="G545">
            <v>5.6900843772612819E-3</v>
          </cell>
          <cell r="H545">
            <v>4.8012720341763428E-3</v>
          </cell>
          <cell r="I545">
            <v>1.9484142826742188E-3</v>
          </cell>
        </row>
        <row r="546">
          <cell r="B546" t="str">
            <v>D-RCOA</v>
          </cell>
          <cell r="C546" t="str">
            <v>VAR_fin</v>
          </cell>
          <cell r="D546" t="str">
            <v>COA</v>
          </cell>
          <cell r="E546">
            <v>0.10000102533879353</v>
          </cell>
          <cell r="F546">
            <v>0.10000068323874284</v>
          </cell>
          <cell r="G546">
            <v>5.6900843772612819E-3</v>
          </cell>
          <cell r="H546">
            <v>4.8012720341763428E-3</v>
          </cell>
          <cell r="I546">
            <v>1.9484142826742188E-3</v>
          </cell>
        </row>
        <row r="547">
          <cell r="B547" t="str">
            <v>EHYD-RUN00</v>
          </cell>
          <cell r="C547" t="str">
            <v>VAR_fout</v>
          </cell>
          <cell r="D547" t="str">
            <v>ELC13</v>
          </cell>
          <cell r="E547">
            <v>54.392400345560979</v>
          </cell>
          <cell r="F547">
            <v>43.512160325657717</v>
          </cell>
          <cell r="G547">
            <v>53.288860205687776</v>
          </cell>
          <cell r="H547">
            <v>52.195141640509931</v>
          </cell>
          <cell r="I547">
            <v>51.102280249855944</v>
          </cell>
          <cell r="J547">
            <v>50.009094371330761</v>
          </cell>
          <cell r="K547">
            <v>48.916230197500113</v>
          </cell>
          <cell r="L547">
            <v>47.823509942576003</v>
          </cell>
          <cell r="M547">
            <v>47.823335789312985</v>
          </cell>
          <cell r="N547">
            <v>47.823303065093533</v>
          </cell>
          <cell r="O547">
            <v>47.823099420710967</v>
          </cell>
          <cell r="P547">
            <v>47.817446271906256</v>
          </cell>
        </row>
        <row r="548">
          <cell r="B548" t="str">
            <v>EHYD-RUN00</v>
          </cell>
          <cell r="C548" t="str">
            <v>VAR_fin</v>
          </cell>
          <cell r="D548" t="str">
            <v>HYDR</v>
          </cell>
          <cell r="E548">
            <v>54.392400345560979</v>
          </cell>
          <cell r="F548">
            <v>43.512160325657717</v>
          </cell>
          <cell r="G548">
            <v>53.288860205687776</v>
          </cell>
          <cell r="H548">
            <v>52.195141640509931</v>
          </cell>
          <cell r="I548">
            <v>51.102280249855944</v>
          </cell>
          <cell r="J548">
            <v>50.009094371330761</v>
          </cell>
          <cell r="K548">
            <v>48.916230197500113</v>
          </cell>
          <cell r="L548">
            <v>47.823509942576003</v>
          </cell>
          <cell r="M548">
            <v>47.823335789312985</v>
          </cell>
          <cell r="N548">
            <v>47.823303065093533</v>
          </cell>
          <cell r="O548">
            <v>47.823099420710967</v>
          </cell>
          <cell r="P548">
            <v>47.817446271906256</v>
          </cell>
        </row>
        <row r="549">
          <cell r="B549" t="str">
            <v>EHYD-RUN00</v>
          </cell>
          <cell r="C549" t="str">
            <v>VAR_cap</v>
          </cell>
          <cell r="D549" t="str">
            <v>-</v>
          </cell>
          <cell r="E549">
            <v>3.86687</v>
          </cell>
          <cell r="F549">
            <v>3.9240852000672399</v>
          </cell>
          <cell r="G549">
            <v>3.9610124303882599</v>
          </cell>
          <cell r="H549">
            <v>3.9647700000000001</v>
          </cell>
          <cell r="I549">
            <v>3.9647700000000001</v>
          </cell>
          <cell r="J549">
            <v>3.9647700000000001</v>
          </cell>
          <cell r="K549">
            <v>3.9647700000000001</v>
          </cell>
          <cell r="L549">
            <v>3.9647700000000001</v>
          </cell>
          <cell r="M549">
            <v>3.9647700000000001</v>
          </cell>
          <cell r="N549">
            <v>3.9647700000000001</v>
          </cell>
          <cell r="O549">
            <v>3.9647700000000001</v>
          </cell>
          <cell r="P549">
            <v>3.9647700000000001</v>
          </cell>
        </row>
        <row r="550">
          <cell r="B550" t="str">
            <v>HPLELCHP</v>
          </cell>
          <cell r="C550" t="str">
            <v>VAR_fout</v>
          </cell>
          <cell r="D550" t="str">
            <v>LTH</v>
          </cell>
          <cell r="F550">
            <v>3.3246110134158084</v>
          </cell>
          <cell r="G550">
            <v>3.4253511833544135</v>
          </cell>
          <cell r="H550">
            <v>3.6000788997044588</v>
          </cell>
          <cell r="I550">
            <v>3.7837215531870987</v>
          </cell>
          <cell r="J550">
            <v>3.9767314703356922</v>
          </cell>
          <cell r="K550">
            <v>4.1795870814946277</v>
          </cell>
          <cell r="L550">
            <v>4.3927926530247365</v>
          </cell>
          <cell r="M550">
            <v>4.6168720470454963</v>
          </cell>
          <cell r="N550">
            <v>4.8523871734503592</v>
          </cell>
          <cell r="O550">
            <v>5.0999178211557528</v>
          </cell>
          <cell r="P550">
            <v>5.3600997332659901</v>
          </cell>
        </row>
        <row r="551">
          <cell r="B551" t="str">
            <v>HPLELCHP</v>
          </cell>
          <cell r="C551" t="str">
            <v>VAR_fin</v>
          </cell>
          <cell r="D551" t="str">
            <v>ELC35</v>
          </cell>
          <cell r="F551">
            <v>1.1082036711386034</v>
          </cell>
          <cell r="G551">
            <v>1.1417837277848046</v>
          </cell>
          <cell r="H551">
            <v>1.2000262999014866</v>
          </cell>
          <cell r="I551">
            <v>1.2612405177290333</v>
          </cell>
          <cell r="J551">
            <v>1.3255771567785646</v>
          </cell>
          <cell r="K551">
            <v>1.3931956938315413</v>
          </cell>
          <cell r="L551">
            <v>1.4642642176749125</v>
          </cell>
          <cell r="M551">
            <v>1.5389573490151665</v>
          </cell>
          <cell r="N551">
            <v>1.6174623911501205</v>
          </cell>
          <cell r="O551">
            <v>1.6999726070519185</v>
          </cell>
          <cell r="P551">
            <v>1.7866999110886617</v>
          </cell>
        </row>
        <row r="552">
          <cell r="B552" t="str">
            <v>HPLELCHP</v>
          </cell>
          <cell r="C552" t="str">
            <v>VAR_fin</v>
          </cell>
          <cell r="D552" t="str">
            <v>WWTPCC</v>
          </cell>
          <cell r="F552">
            <v>6.6492220268316196</v>
          </cell>
          <cell r="G552">
            <v>6.8507023667088296</v>
          </cell>
          <cell r="H552">
            <v>7.2001577994089203</v>
          </cell>
          <cell r="I552">
            <v>7.5674431063742098</v>
          </cell>
          <cell r="J552">
            <v>7.9534629406713897</v>
          </cell>
          <cell r="K552">
            <v>8.35917416298925</v>
          </cell>
          <cell r="L552">
            <v>8.7855853060494695</v>
          </cell>
          <cell r="M552">
            <v>9.2337440940909996</v>
          </cell>
          <cell r="N552">
            <v>9.7047743469007308</v>
          </cell>
          <cell r="O552">
            <v>10.1998356423115</v>
          </cell>
          <cell r="P552">
            <v>10.720199466532</v>
          </cell>
        </row>
        <row r="553">
          <cell r="B553" t="str">
            <v>HPLELCHP</v>
          </cell>
          <cell r="C553" t="str">
            <v>VAR_ncap</v>
          </cell>
          <cell r="D553" t="str">
            <v>-</v>
          </cell>
          <cell r="F553">
            <v>0.20488066811073999</v>
          </cell>
          <cell r="G553">
            <v>6.21830499568936E-3</v>
          </cell>
          <cell r="H553">
            <v>1.06694488725666E-2</v>
          </cell>
          <cell r="I553">
            <v>1.1396023789375801E-2</v>
          </cell>
          <cell r="J553">
            <v>9.2624031266306597E-2</v>
          </cell>
          <cell r="K553">
            <v>0.14621678051749101</v>
          </cell>
          <cell r="L553">
            <v>2.058008582714E-2</v>
          </cell>
          <cell r="M553">
            <v>3.5544178552404097E-2</v>
          </cell>
          <cell r="N553">
            <v>9.8962959368112002E-2</v>
          </cell>
          <cell r="O553">
            <v>0.16119700420910099</v>
          </cell>
          <cell r="P553">
            <v>3.6134108345370501E-2</v>
          </cell>
        </row>
        <row r="554">
          <cell r="B554" t="str">
            <v>HPLELCHP</v>
          </cell>
          <cell r="C554" t="str">
            <v>VAR_cap</v>
          </cell>
          <cell r="D554" t="str">
            <v>-</v>
          </cell>
          <cell r="F554">
            <v>0.20488066811073999</v>
          </cell>
          <cell r="G554">
            <v>0.21109816145697852</v>
          </cell>
          <cell r="H554">
            <v>0.22176593207950351</v>
          </cell>
          <cell r="I554">
            <v>0.23315730938032045</v>
          </cell>
          <cell r="J554">
            <v>0.24684520837350665</v>
          </cell>
          <cell r="K554">
            <v>0.25861413441297337</v>
          </cell>
          <cell r="L554">
            <v>0.27080498743946452</v>
          </cell>
          <cell r="M554">
            <v>0.2861373040634031</v>
          </cell>
          <cell r="N554">
            <v>0.30128889319417274</v>
          </cell>
          <cell r="O554">
            <v>0.31626950623925115</v>
          </cell>
          <cell r="P554">
            <v>0.33181773342742948</v>
          </cell>
        </row>
        <row r="555">
          <cell r="B555" t="str">
            <v>D-ITOT_LTH</v>
          </cell>
          <cell r="C555" t="str">
            <v>VAR_fout</v>
          </cell>
          <cell r="D555" t="str">
            <v>ITOT_LTH_DH</v>
          </cell>
          <cell r="E555">
            <v>7.1200251353564621</v>
          </cell>
          <cell r="F555">
            <v>7.6289168031731593</v>
          </cell>
          <cell r="G555">
            <v>7.3930076227438173</v>
          </cell>
          <cell r="H555">
            <v>7.8105899621730286</v>
          </cell>
          <cell r="I555">
            <v>7.3798266406560584</v>
          </cell>
          <cell r="J555">
            <v>7.2754691167952323</v>
          </cell>
          <cell r="K555">
            <v>8.8814536349795929</v>
          </cell>
          <cell r="L555">
            <v>9.2265677920740412</v>
          </cell>
          <cell r="M555">
            <v>9.1450093626187385</v>
          </cell>
          <cell r="N555">
            <v>9.385315469046402</v>
          </cell>
          <cell r="O555">
            <v>9.0427894829380051</v>
          </cell>
          <cell r="P555">
            <v>8.9636582647404826</v>
          </cell>
        </row>
        <row r="556">
          <cell r="B556" t="str">
            <v>D-ITOT_LTH</v>
          </cell>
          <cell r="C556" t="str">
            <v>VAR_fin</v>
          </cell>
          <cell r="D556" t="str">
            <v>LTH</v>
          </cell>
          <cell r="E556">
            <v>7.7403630158372456</v>
          </cell>
          <cell r="F556">
            <v>8.2914126206211769</v>
          </cell>
          <cell r="G556">
            <v>8.031850764644517</v>
          </cell>
          <cell r="H556">
            <v>8.4799477618401067</v>
          </cell>
          <cell r="I556">
            <v>8.0070132369058467</v>
          </cell>
          <cell r="J556">
            <v>7.8886125009476213</v>
          </cell>
          <cell r="K556">
            <v>9.6236339783570362</v>
          </cell>
          <cell r="L556">
            <v>9.9910430277758184</v>
          </cell>
          <cell r="M556">
            <v>9.9027270042740305</v>
          </cell>
          <cell r="N556">
            <v>10.162943880501667</v>
          </cell>
          <cell r="O556">
            <v>9.7920376082602978</v>
          </cell>
          <cell r="P556">
            <v>9.7063499046994153</v>
          </cell>
        </row>
        <row r="557">
          <cell r="B557" t="str">
            <v>D-ITOT_LTH</v>
          </cell>
          <cell r="C557" t="str">
            <v>VAR_ncap</v>
          </cell>
          <cell r="D557" t="str">
            <v>-</v>
          </cell>
          <cell r="E557">
            <v>0.795473528655254</v>
          </cell>
          <cell r="F557">
            <v>1.63187734427994E-7</v>
          </cell>
          <cell r="G557">
            <v>1.8423863634507801E-7</v>
          </cell>
          <cell r="H557">
            <v>2.0883583055187899E-7</v>
          </cell>
          <cell r="I557">
            <v>6.6097161256164102E-7</v>
          </cell>
          <cell r="J557">
            <v>3.4350669224313202E-7</v>
          </cell>
          <cell r="K557">
            <v>4.38971373946319E-7</v>
          </cell>
          <cell r="L557">
            <v>6.2940534355298796E-7</v>
          </cell>
          <cell r="M557">
            <v>6.1554154780135195E-7</v>
          </cell>
          <cell r="N557">
            <v>1.31268815409742E-6</v>
          </cell>
          <cell r="O557">
            <v>1.9559923514657202E-6</v>
          </cell>
          <cell r="P557">
            <v>7.0240280958621101E-6</v>
          </cell>
        </row>
        <row r="558">
          <cell r="B558" t="str">
            <v>D-ITOT_LTH</v>
          </cell>
          <cell r="C558" t="str">
            <v>VAR_cap</v>
          </cell>
          <cell r="D558" t="str">
            <v>-</v>
          </cell>
          <cell r="E558">
            <v>0.795473528655254</v>
          </cell>
          <cell r="F558">
            <v>0.79547369184298899</v>
          </cell>
          <cell r="G558">
            <v>0.79547387608162501</v>
          </cell>
          <cell r="H558">
            <v>0.79547408491745597</v>
          </cell>
          <cell r="I558">
            <v>0.79547474588906797</v>
          </cell>
          <cell r="J558">
            <v>0.79547508939575995</v>
          </cell>
          <cell r="K558">
            <v>0.79547552836713398</v>
          </cell>
          <cell r="L558">
            <v>0.79547615777247804</v>
          </cell>
          <cell r="M558">
            <v>0.795476773314026</v>
          </cell>
          <cell r="N558">
            <v>0.79547808600217995</v>
          </cell>
          <cell r="O558">
            <v>0.79548004199453104</v>
          </cell>
          <cell r="P558">
            <v>0.79548706602262698</v>
          </cell>
        </row>
        <row r="559">
          <cell r="B559" t="str">
            <v>D-IH2</v>
          </cell>
          <cell r="C559" t="str">
            <v>VAR_fout</v>
          </cell>
          <cell r="D559" t="str">
            <v>IH2</v>
          </cell>
          <cell r="H559">
            <v>1.696854427467121E-3</v>
          </cell>
          <cell r="I559">
            <v>5.570022805749664E-3</v>
          </cell>
          <cell r="J559">
            <v>7.2583724580919671E-3</v>
          </cell>
          <cell r="K559">
            <v>7.3738237141643291E-3</v>
          </cell>
          <cell r="L559">
            <v>2.2718838434224932E-2</v>
          </cell>
          <cell r="M559">
            <v>2.7239784494522232E-2</v>
          </cell>
          <cell r="N559">
            <v>0.13686023020035873</v>
          </cell>
          <cell r="O559">
            <v>0.12171784711649089</v>
          </cell>
          <cell r="P559">
            <v>0.12175636882641018</v>
          </cell>
        </row>
        <row r="560">
          <cell r="B560" t="str">
            <v>D-IH2</v>
          </cell>
          <cell r="C560" t="str">
            <v>VAR_fin</v>
          </cell>
          <cell r="D560" t="str">
            <v>H2</v>
          </cell>
          <cell r="H560">
            <v>1.7097817229062247E-3</v>
          </cell>
          <cell r="I560">
            <v>5.6124574007549418E-3</v>
          </cell>
          <cell r="J560">
            <v>7.3136695558594401E-3</v>
          </cell>
          <cell r="K560">
            <v>7.4300003643977663E-3</v>
          </cell>
          <cell r="L560">
            <v>2.289191936074312E-2</v>
          </cell>
          <cell r="M560">
            <v>2.7447307742337838E-2</v>
          </cell>
          <cell r="N560">
            <v>0.13790288453830621</v>
          </cell>
          <cell r="O560">
            <v>0.12264514090458291</v>
          </cell>
          <cell r="P560">
            <v>0.12268395608783547</v>
          </cell>
        </row>
        <row r="561">
          <cell r="B561" t="str">
            <v>D-IH2</v>
          </cell>
          <cell r="C561" t="str">
            <v>VAR_ncap</v>
          </cell>
          <cell r="D561" t="str">
            <v>-</v>
          </cell>
          <cell r="H561">
            <v>4.55554203401749E-4</v>
          </cell>
          <cell r="I561">
            <v>4.8053259761683301E-4</v>
          </cell>
          <cell r="J561">
            <v>7.4544462147166506E-5</v>
          </cell>
          <cell r="K561">
            <v>4.2011692343186601E-5</v>
          </cell>
          <cell r="L561">
            <v>1.47345328730426E-3</v>
          </cell>
          <cell r="M561">
            <v>2.5633751309173302E-5</v>
          </cell>
          <cell r="N561">
            <v>9.6691941051505401E-3</v>
          </cell>
          <cell r="O561">
            <v>6.0255074703477201E-5</v>
          </cell>
          <cell r="P561">
            <v>4.8195290723050899E-4</v>
          </cell>
        </row>
        <row r="562">
          <cell r="B562" t="str">
            <v>D-IH2</v>
          </cell>
          <cell r="C562" t="str">
            <v>VAR_cap</v>
          </cell>
          <cell r="D562" t="str">
            <v>-</v>
          </cell>
          <cell r="H562">
            <v>4.55554203401749E-4</v>
          </cell>
          <cell r="I562">
            <v>9.3608680101858201E-4</v>
          </cell>
          <cell r="J562">
            <v>1.0106312631657499E-3</v>
          </cell>
          <cell r="K562">
            <v>1.0526429555089401E-3</v>
          </cell>
          <cell r="L562">
            <v>2.5260962428131899E-3</v>
          </cell>
          <cell r="M562">
            <v>2.5517299941223599E-3</v>
          </cell>
          <cell r="N562">
            <v>1.22209240992729E-2</v>
          </cell>
          <cell r="O562">
            <v>1.2136762254804199E-2</v>
          </cell>
          <cell r="P562">
            <v>1.23075778778051E-2</v>
          </cell>
        </row>
        <row r="563">
          <cell r="B563" t="str">
            <v>RHEM-ESOLPV</v>
          </cell>
          <cell r="C563" t="str">
            <v>VAR_fout</v>
          </cell>
          <cell r="D563" t="str">
            <v>RHEM_SOL_ELC</v>
          </cell>
          <cell r="E563">
            <v>0.86248322578584768</v>
          </cell>
          <cell r="F563">
            <v>1.2875828783162167</v>
          </cell>
          <cell r="G563">
            <v>2.927305112039297</v>
          </cell>
          <cell r="H563">
            <v>6.4808067852410565</v>
          </cell>
          <cell r="I563">
            <v>6.8114030250293158</v>
          </cell>
          <cell r="J563">
            <v>7.1588538355637725</v>
          </cell>
          <cell r="K563">
            <v>7.5240284438688798</v>
          </cell>
          <cell r="L563">
            <v>7.9078318813940935</v>
          </cell>
          <cell r="M563">
            <v>8.3112130387270913</v>
          </cell>
          <cell r="N563">
            <v>8.7351735725693711</v>
          </cell>
          <cell r="O563">
            <v>9.1807621324402948</v>
          </cell>
          <cell r="P563">
            <v>9.6491302581259024</v>
          </cell>
        </row>
        <row r="564">
          <cell r="B564" t="str">
            <v>RHEM-ESOLPV</v>
          </cell>
          <cell r="C564" t="str">
            <v>VAR_fin</v>
          </cell>
          <cell r="D564" t="str">
            <v>SOL</v>
          </cell>
          <cell r="E564">
            <v>0.86248322578584768</v>
          </cell>
          <cell r="F564">
            <v>1.2875828783162167</v>
          </cell>
          <cell r="G564">
            <v>2.927305112039297</v>
          </cell>
          <cell r="H564">
            <v>6.4808067852410565</v>
          </cell>
          <cell r="I564">
            <v>6.8114030250293158</v>
          </cell>
          <cell r="J564">
            <v>7.1588538355637725</v>
          </cell>
          <cell r="K564">
            <v>7.5240284438688798</v>
          </cell>
          <cell r="L564">
            <v>7.9078318813940935</v>
          </cell>
          <cell r="M564">
            <v>8.3112130387270913</v>
          </cell>
          <cell r="N564">
            <v>8.7351735725693711</v>
          </cell>
          <cell r="O564">
            <v>9.1807621324402948</v>
          </cell>
          <cell r="P564">
            <v>9.6491302581259024</v>
          </cell>
        </row>
        <row r="565">
          <cell r="B565" t="str">
            <v>RHEM-ESOLPV</v>
          </cell>
          <cell r="C565" t="str">
            <v>VAR_fin</v>
          </cell>
          <cell r="D565" t="str">
            <v>SOLPVC</v>
          </cell>
          <cell r="E565">
            <v>0.86248322578584802</v>
          </cell>
          <cell r="F565">
            <v>1.28758287831622</v>
          </cell>
          <cell r="G565">
            <v>2.9273051120393001</v>
          </cell>
          <cell r="H565">
            <v>6.48080678524106</v>
          </cell>
          <cell r="I565">
            <v>6.8114030250293096</v>
          </cell>
          <cell r="J565">
            <v>7.1588538355637796</v>
          </cell>
          <cell r="K565">
            <v>7.5240284438688798</v>
          </cell>
          <cell r="L565">
            <v>7.9078318813940998</v>
          </cell>
          <cell r="M565">
            <v>8.3112130387270895</v>
          </cell>
          <cell r="N565">
            <v>8.7351735725693604</v>
          </cell>
          <cell r="O565">
            <v>9.1807621324403108</v>
          </cell>
          <cell r="P565">
            <v>9.6491302581259006</v>
          </cell>
        </row>
        <row r="566">
          <cell r="B566" t="str">
            <v>RHEM-ESOLPV</v>
          </cell>
          <cell r="C566" t="str">
            <v>VAR_ncap</v>
          </cell>
          <cell r="D566" t="str">
            <v>-</v>
          </cell>
          <cell r="F566">
            <v>1.03982178170867E-7</v>
          </cell>
          <cell r="G566">
            <v>0.39089035791607102</v>
          </cell>
          <cell r="H566">
            <v>0.74096352104409802</v>
          </cell>
          <cell r="I566">
            <v>0.17023245267989001</v>
          </cell>
          <cell r="J566">
            <v>0.28161993824144799</v>
          </cell>
          <cell r="K566">
            <v>0.83419850251705296</v>
          </cell>
          <cell r="L566">
            <v>0.67025044017697699</v>
          </cell>
          <cell r="M566">
            <v>0.25566158717747101</v>
          </cell>
          <cell r="N566">
            <v>0.40086491577015698</v>
          </cell>
          <cell r="O566">
            <v>0.94443157111064602</v>
          </cell>
          <cell r="P566">
            <v>0.78612118753163795</v>
          </cell>
        </row>
        <row r="567">
          <cell r="B567" t="str">
            <v>RHEM-ESOLPV</v>
          </cell>
          <cell r="C567" t="str">
            <v>VAR_cap</v>
          </cell>
          <cell r="D567" t="str">
            <v>-</v>
          </cell>
          <cell r="E567">
            <v>0.27424799999999999</v>
          </cell>
          <cell r="F567">
            <v>0.43894542145859117</v>
          </cell>
          <cell r="G567">
            <v>0.87403846189824907</v>
          </cell>
          <cell r="H567">
            <v>1.6032771952018319</v>
          </cell>
          <cell r="I567">
            <v>1.6850623681990018</v>
          </cell>
          <cell r="J567">
            <v>1.771017411774094</v>
          </cell>
          <cell r="K567">
            <v>1.86135408624415</v>
          </cell>
          <cell r="L567">
            <v>1.9563013336153701</v>
          </cell>
          <cell r="M567">
            <v>2.0560929613823502</v>
          </cell>
          <cell r="N567">
            <v>2.1609754456416601</v>
          </cell>
          <cell r="O567">
            <v>2.2712085142352501</v>
          </cell>
          <cell r="P567">
            <v>2.3870792615899101</v>
          </cell>
        </row>
        <row r="568">
          <cell r="B568" t="str">
            <v>HPLNUC</v>
          </cell>
          <cell r="C568" t="str">
            <v>VAR_fout</v>
          </cell>
          <cell r="D568" t="str">
            <v>LTH</v>
          </cell>
          <cell r="E568">
            <v>1.450033235943281</v>
          </cell>
          <cell r="F568">
            <v>3.8018383724488545</v>
          </cell>
          <cell r="G568">
            <v>3.7994700626442102</v>
          </cell>
          <cell r="H568">
            <v>1.1496320332190755</v>
          </cell>
          <cell r="I568">
            <v>0.70270898058289188</v>
          </cell>
        </row>
        <row r="569">
          <cell r="B569" t="str">
            <v>HPLNUC</v>
          </cell>
          <cell r="C569" t="str">
            <v>VAR_fin</v>
          </cell>
          <cell r="D569" t="str">
            <v>URN</v>
          </cell>
          <cell r="E569">
            <v>1.450033235943281</v>
          </cell>
          <cell r="F569">
            <v>3.8018383724488545</v>
          </cell>
          <cell r="G569">
            <v>3.7994700626442102</v>
          </cell>
          <cell r="H569">
            <v>1.1496320332190755</v>
          </cell>
          <cell r="I569">
            <v>0.70270898058289188</v>
          </cell>
        </row>
        <row r="570">
          <cell r="B570" t="str">
            <v>HPLNUC</v>
          </cell>
          <cell r="C570" t="str">
            <v>VAR_cap</v>
          </cell>
          <cell r="D570" t="str">
            <v>-</v>
          </cell>
          <cell r="E570">
            <v>0.120558721922211</v>
          </cell>
          <cell r="F570">
            <v>0.120558721922211</v>
          </cell>
          <cell r="G570">
            <v>0.120558721922211</v>
          </cell>
          <cell r="H570">
            <v>0.120558721922211</v>
          </cell>
          <cell r="I570">
            <v>0.120558721922211</v>
          </cell>
          <cell r="J570">
            <v>0.120558721922211</v>
          </cell>
          <cell r="K570">
            <v>0.120558721922211</v>
          </cell>
          <cell r="L570">
            <v>0.120558721922211</v>
          </cell>
          <cell r="M570">
            <v>8.85558611937695E-2</v>
          </cell>
        </row>
        <row r="571">
          <cell r="B571" t="str">
            <v>ITOT-CHPWODCCS</v>
          </cell>
          <cell r="C571" t="str">
            <v>VAR_fin</v>
          </cell>
          <cell r="D571" t="str">
            <v>IWOD</v>
          </cell>
          <cell r="J571">
            <v>1.2085134416319702E-3</v>
          </cell>
          <cell r="K571">
            <v>1.496581287713152E-3</v>
          </cell>
          <cell r="L571">
            <v>3.2046331678088902E-3</v>
          </cell>
          <cell r="M571">
            <v>1.6578447501864851E-3</v>
          </cell>
          <cell r="N571">
            <v>3.0373810344426905E-3</v>
          </cell>
          <cell r="O571">
            <v>2.6656705240534523E-3</v>
          </cell>
          <cell r="P571">
            <v>5.9654387651202788E-3</v>
          </cell>
        </row>
        <row r="572">
          <cell r="B572" t="str">
            <v>SUP_WODBIO</v>
          </cell>
          <cell r="C572" t="str">
            <v>VAR_fout</v>
          </cell>
          <cell r="D572" t="str">
            <v>ELC35</v>
          </cell>
          <cell r="F572">
            <v>6.5411304150252728E-6</v>
          </cell>
          <cell r="G572">
            <v>1.5216614090374944E-5</v>
          </cell>
          <cell r="H572">
            <v>3.139025531356497E-5</v>
          </cell>
          <cell r="I572">
            <v>5.1026828505383137E-5</v>
          </cell>
          <cell r="J572">
            <v>5.4471027785932789E-5</v>
          </cell>
          <cell r="K572">
            <v>5.5963747272552749E-5</v>
          </cell>
          <cell r="L572">
            <v>6.6455167237340038E-5</v>
          </cell>
          <cell r="M572">
            <v>6.9074764005415312E-5</v>
          </cell>
          <cell r="N572">
            <v>8.1270611880802576E-5</v>
          </cell>
          <cell r="O572">
            <v>8.8051088109503513E-5</v>
          </cell>
          <cell r="P572">
            <v>1.6758964915679437E-4</v>
          </cell>
        </row>
        <row r="573">
          <cell r="B573" t="str">
            <v>SUP_WODBIO</v>
          </cell>
          <cell r="C573" t="str">
            <v>VAR_fout</v>
          </cell>
          <cell r="D573" t="str">
            <v>BIO</v>
          </cell>
          <cell r="F573">
            <v>1.6352826037563151E-4</v>
          </cell>
          <cell r="G573">
            <v>3.8041535225937303E-4</v>
          </cell>
          <cell r="H573">
            <v>7.8475638283912233E-4</v>
          </cell>
          <cell r="I573">
            <v>1.2756707126345772E-3</v>
          </cell>
          <cell r="J573">
            <v>1.3617756946483178E-3</v>
          </cell>
          <cell r="K573">
            <v>1.3990936818138163E-3</v>
          </cell>
          <cell r="L573">
            <v>1.6613791809334986E-3</v>
          </cell>
          <cell r="M573">
            <v>1.726869100135379E-3</v>
          </cell>
          <cell r="N573">
            <v>2.0317652970200614E-3</v>
          </cell>
          <cell r="O573">
            <v>2.2012772027375843E-3</v>
          </cell>
          <cell r="P573">
            <v>4.189741228919853E-3</v>
          </cell>
        </row>
        <row r="574">
          <cell r="B574" t="str">
            <v>SUP_WODBIO</v>
          </cell>
          <cell r="C574" t="str">
            <v>VAR_fout</v>
          </cell>
          <cell r="D574" t="str">
            <v>LTH</v>
          </cell>
          <cell r="F574">
            <v>1.9623391245075788E-5</v>
          </cell>
          <cell r="G574">
            <v>4.5649842271124783E-5</v>
          </cell>
          <cell r="H574">
            <v>9.4170765940694687E-5</v>
          </cell>
          <cell r="I574">
            <v>1.5308048551614925E-4</v>
          </cell>
          <cell r="J574">
            <v>1.6341308335779802E-4</v>
          </cell>
          <cell r="K574">
            <v>1.6789124181765792E-4</v>
          </cell>
          <cell r="L574">
            <v>1.9936550171202006E-4</v>
          </cell>
          <cell r="M574">
            <v>2.0722429201624584E-4</v>
          </cell>
          <cell r="N574">
            <v>2.4381183564240748E-4</v>
          </cell>
          <cell r="O574">
            <v>2.6415326432851013E-4</v>
          </cell>
          <cell r="P574">
            <v>5.0276894747038254E-4</v>
          </cell>
        </row>
        <row r="575">
          <cell r="B575" t="str">
            <v>SUP_WODBIO</v>
          </cell>
          <cell r="C575" t="str">
            <v>VAR_fin</v>
          </cell>
          <cell r="D575" t="str">
            <v>CWOD</v>
          </cell>
          <cell r="F575">
            <v>2.2076315150710267E-4</v>
          </cell>
          <cell r="G575">
            <v>5.1356072555015374E-4</v>
          </cell>
          <cell r="H575">
            <v>1.0594211168328156E-3</v>
          </cell>
          <cell r="I575">
            <v>1.7221554620566808E-3</v>
          </cell>
          <cell r="J575">
            <v>1.8383971877752301E-3</v>
          </cell>
          <cell r="K575">
            <v>1.8887764704486529E-3</v>
          </cell>
          <cell r="L575">
            <v>2.2428618942602237E-3</v>
          </cell>
          <cell r="M575">
            <v>2.3312732851827633E-3</v>
          </cell>
          <cell r="N575">
            <v>2.7428831509770861E-3</v>
          </cell>
          <cell r="O575">
            <v>2.9717242236957401E-3</v>
          </cell>
          <cell r="P575">
            <v>5.6561506590418007E-3</v>
          </cell>
        </row>
        <row r="576">
          <cell r="B576" t="str">
            <v>SUP_WODBIO</v>
          </cell>
          <cell r="C576" t="str">
            <v>VAR_ncap</v>
          </cell>
          <cell r="D576" t="str">
            <v>-</v>
          </cell>
          <cell r="E576">
            <v>2.1105569584986899E-6</v>
          </cell>
          <cell r="F576">
            <v>6.7074339449156096E-5</v>
          </cell>
          <cell r="G576">
            <v>5.2108780792253999E-6</v>
          </cell>
          <cell r="H576">
            <v>1.4831427539964699E-6</v>
          </cell>
          <cell r="I576">
            <v>5.3264719685822998E-5</v>
          </cell>
          <cell r="J576">
            <v>1.78057313376033E-5</v>
          </cell>
          <cell r="K576">
            <v>4.27218225644497E-5</v>
          </cell>
          <cell r="L576">
            <v>6.4417908181037294E-5</v>
          </cell>
          <cell r="M576">
            <v>4.6276793063203003E-6</v>
          </cell>
          <cell r="N576">
            <v>1.0357122751952101E-4</v>
          </cell>
          <cell r="O576">
            <v>1.5643857996776999E-5</v>
          </cell>
          <cell r="P576">
            <v>2.6353780731207997E-4</v>
          </cell>
        </row>
        <row r="577">
          <cell r="B577" t="str">
            <v>SUP_WODBIO</v>
          </cell>
          <cell r="C577" t="str">
            <v>VAR_cap</v>
          </cell>
          <cell r="D577" t="str">
            <v>-</v>
          </cell>
          <cell r="E577">
            <v>2.1105569584986899E-6</v>
          </cell>
          <cell r="F577">
            <v>6.9017608654482033E-5</v>
          </cell>
          <cell r="G577">
            <v>7.3931887290342227E-5</v>
          </cell>
          <cell r="H577">
            <v>7.4745725826399855E-5</v>
          </cell>
          <cell r="I577">
            <v>1.2672759698930666E-4</v>
          </cell>
          <cell r="J577">
            <v>1.1650695792621037E-4</v>
          </cell>
          <cell r="K577">
            <v>1.1385928874184559E-4</v>
          </cell>
          <cell r="L577">
            <v>1.7602441383398056E-4</v>
          </cell>
          <cell r="M577">
            <v>1.3987637229300845E-4</v>
          </cell>
          <cell r="N577">
            <v>2.1215284019418233E-4</v>
          </cell>
          <cell r="O577">
            <v>1.8517744530428324E-4</v>
          </cell>
          <cell r="P577">
            <v>3.8428177288441873E-4</v>
          </cell>
        </row>
        <row r="578">
          <cell r="B578" t="str">
            <v>D-RLFO</v>
          </cell>
          <cell r="C578" t="str">
            <v>VAR_fout</v>
          </cell>
          <cell r="D578" t="str">
            <v>CO2</v>
          </cell>
          <cell r="E578">
            <v>4514.4840784235103</v>
          </cell>
          <cell r="F578">
            <v>3846.5243655877698</v>
          </cell>
          <cell r="G578">
            <v>3365.8635163869899</v>
          </cell>
          <cell r="H578">
            <v>3434.4869039677401</v>
          </cell>
          <cell r="I578">
            <v>2740.26597509256</v>
          </cell>
          <cell r="J578">
            <v>2516.2717325983499</v>
          </cell>
          <cell r="K578">
            <v>2380.2887812859899</v>
          </cell>
          <cell r="L578">
            <v>2059.5751711889402</v>
          </cell>
          <cell r="M578">
            <v>1919.7866091452399</v>
          </cell>
          <cell r="N578">
            <v>1639.0927941739899</v>
          </cell>
          <cell r="O578">
            <v>1246.1168177479301</v>
          </cell>
          <cell r="P578">
            <v>492.031060339227</v>
          </cell>
        </row>
        <row r="579">
          <cell r="B579" t="str">
            <v>D-RLFO</v>
          </cell>
          <cell r="C579" t="str">
            <v>VAR_fout</v>
          </cell>
          <cell r="D579" t="str">
            <v>RLFO</v>
          </cell>
          <cell r="E579">
            <v>60.231844411869858</v>
          </cell>
          <cell r="F579">
            <v>51.319985426873835</v>
          </cell>
          <cell r="G579">
            <v>44.907305484420213</v>
          </cell>
          <cell r="H579">
            <v>45.823194367136971</v>
          </cell>
          <cell r="I579">
            <v>36.56155975905228</v>
          </cell>
          <cell r="J579">
            <v>33.572469807492212</v>
          </cell>
          <cell r="K579">
            <v>31.758201354691881</v>
          </cell>
          <cell r="L579">
            <v>27.479907693040879</v>
          </cell>
          <cell r="M579">
            <v>25.614234240568198</v>
          </cell>
          <cell r="N579">
            <v>21.869881443392849</v>
          </cell>
          <cell r="O579">
            <v>16.626536229137763</v>
          </cell>
          <cell r="P579">
            <v>6.5667801795003129</v>
          </cell>
        </row>
        <row r="580">
          <cell r="B580" t="str">
            <v>D-RLFO</v>
          </cell>
          <cell r="C580" t="str">
            <v>VAR_fin</v>
          </cell>
          <cell r="D580" t="str">
            <v>LFO</v>
          </cell>
          <cell r="E580">
            <v>61.254872163141258</v>
          </cell>
          <cell r="F580">
            <v>52.191646751530065</v>
          </cell>
          <cell r="G580">
            <v>45.669789910271234</v>
          </cell>
          <cell r="H580">
            <v>46.600907787893355</v>
          </cell>
          <cell r="I580">
            <v>37.181356514146046</v>
          </cell>
          <cell r="J580">
            <v>34.142085923993925</v>
          </cell>
          <cell r="K580">
            <v>32.29699838922641</v>
          </cell>
          <cell r="L580">
            <v>27.945389025630089</v>
          </cell>
          <cell r="M580">
            <v>26.048664981617897</v>
          </cell>
          <cell r="N580">
            <v>22.240065049850557</v>
          </cell>
          <cell r="O580">
            <v>16.90796224895427</v>
          </cell>
          <cell r="P580">
            <v>6.6761337902201721</v>
          </cell>
        </row>
        <row r="581">
          <cell r="B581" t="str">
            <v>D-RLFO</v>
          </cell>
          <cell r="C581" t="str">
            <v>VAR_fin</v>
          </cell>
          <cell r="D581" t="str">
            <v>BDS</v>
          </cell>
          <cell r="G581">
            <v>2.5866606909970329E-4</v>
          </cell>
          <cell r="H581">
            <v>5.8583186036264786E-4</v>
          </cell>
          <cell r="I581">
            <v>1.1952032708317372E-3</v>
          </cell>
          <cell r="J581">
            <v>6.066390381731521E-4</v>
          </cell>
          <cell r="K581">
            <v>6.107023949368718E-4</v>
          </cell>
          <cell r="L581">
            <v>1.2602511161521365E-3</v>
          </cell>
          <cell r="M581">
            <v>6.2275711436016309E-4</v>
          </cell>
          <cell r="N581">
            <v>1.2726245444069193E-3</v>
          </cell>
          <cell r="O581">
            <v>9.7291137729692214E-4</v>
          </cell>
          <cell r="P581">
            <v>2.1820142225964395E-3</v>
          </cell>
        </row>
        <row r="582">
          <cell r="B582" t="str">
            <v>ENUC_SMR_BMGL_III</v>
          </cell>
          <cell r="C582" t="str">
            <v>VAR_fout</v>
          </cell>
          <cell r="D582" t="str">
            <v>LTH</v>
          </cell>
          <cell r="K582">
            <v>0.1296864592586664</v>
          </cell>
          <cell r="L582">
            <v>0.35931925871965231</v>
          </cell>
          <cell r="M582">
            <v>0.35115300922188875</v>
          </cell>
          <cell r="N582">
            <v>0.33456955815728862</v>
          </cell>
          <cell r="O582">
            <v>0.36667419539292689</v>
          </cell>
          <cell r="P582">
            <v>0.33254116536362205</v>
          </cell>
        </row>
        <row r="583">
          <cell r="B583" t="str">
            <v>ENUC_SMR_BMGL_III</v>
          </cell>
          <cell r="C583" t="str">
            <v>VAR_fout</v>
          </cell>
          <cell r="D583" t="str">
            <v>ELC</v>
          </cell>
          <cell r="K583">
            <v>6.8876217936339218E-2</v>
          </cell>
          <cell r="L583">
            <v>0.20502117843765238</v>
          </cell>
          <cell r="M583">
            <v>0.2238938425811868</v>
          </cell>
          <cell r="N583">
            <v>0.20637096915431796</v>
          </cell>
          <cell r="O583">
            <v>0.22868867650654692</v>
          </cell>
          <cell r="P583">
            <v>0.26196822376470463</v>
          </cell>
        </row>
        <row r="584">
          <cell r="B584" t="str">
            <v>ENUC_SMR_BMGL_III</v>
          </cell>
          <cell r="C584" t="str">
            <v>VAR_fin</v>
          </cell>
          <cell r="D584" t="str">
            <v>URN</v>
          </cell>
          <cell r="K584">
            <v>0.26537275832868118</v>
          </cell>
          <cell r="L584">
            <v>0.77805780752643194</v>
          </cell>
          <cell r="M584">
            <v>0.83135041103569762</v>
          </cell>
          <cell r="N584">
            <v>0.77112562322984324</v>
          </cell>
          <cell r="O584">
            <v>0.85272078092454962</v>
          </cell>
          <cell r="P584">
            <v>0.93790744140306193</v>
          </cell>
        </row>
        <row r="585">
          <cell r="B585" t="str">
            <v>ENUC_SMR_BMGL_III</v>
          </cell>
          <cell r="C585" t="str">
            <v>VAR_ncap</v>
          </cell>
          <cell r="D585" t="str">
            <v>-</v>
          </cell>
          <cell r="K585">
            <v>8.9831340795814806E-3</v>
          </cell>
          <cell r="L585">
            <v>2.8530318746849801E-6</v>
          </cell>
          <cell r="M585">
            <v>1.0308252796984199E-5</v>
          </cell>
          <cell r="N585">
            <v>4.60291316107176E-5</v>
          </cell>
          <cell r="O585">
            <v>2.3620546769406799E-3</v>
          </cell>
        </row>
        <row r="586">
          <cell r="B586" t="str">
            <v>ENUC_SMR_BMGL_III</v>
          </cell>
          <cell r="C586" t="str">
            <v>VAR_cap</v>
          </cell>
          <cell r="D586" t="str">
            <v>-</v>
          </cell>
          <cell r="K586">
            <v>2.84777648542514E-3</v>
          </cell>
          <cell r="L586">
            <v>8.9831340795814806E-3</v>
          </cell>
          <cell r="M586">
            <v>8.9897494089673704E-3</v>
          </cell>
          <cell r="N586">
            <v>8.9962953642531499E-3</v>
          </cell>
          <cell r="O586">
            <v>9.7911281657956806E-3</v>
          </cell>
          <cell r="P586">
            <v>1.1404379172804501E-2</v>
          </cell>
        </row>
        <row r="587">
          <cell r="B587" t="str">
            <v>G-INTC-EXP00-IT</v>
          </cell>
          <cell r="C587" t="str">
            <v>VAR_fout</v>
          </cell>
          <cell r="D587" t="str">
            <v>ELC_E-IT</v>
          </cell>
          <cell r="E587">
            <v>71.694107738032884</v>
          </cell>
          <cell r="F587">
            <v>35.813683939650268</v>
          </cell>
          <cell r="G587">
            <v>64.425525788214017</v>
          </cell>
          <cell r="H587">
            <v>81.004122175589757</v>
          </cell>
          <cell r="I587">
            <v>65.119528872966882</v>
          </cell>
          <cell r="J587">
            <v>43.193164907080217</v>
          </cell>
          <cell r="K587">
            <v>30.158167159775033</v>
          </cell>
          <cell r="L587">
            <v>29.593065021559173</v>
          </cell>
          <cell r="M587">
            <v>45.770527248649081</v>
          </cell>
          <cell r="N587">
            <v>39.647471994342219</v>
          </cell>
          <cell r="O587">
            <v>38.234986109622845</v>
          </cell>
          <cell r="P587">
            <v>32.425935646271284</v>
          </cell>
        </row>
        <row r="588">
          <cell r="B588" t="str">
            <v>G-INTC-EXP00-IT</v>
          </cell>
          <cell r="C588" t="str">
            <v>VAR_fin</v>
          </cell>
          <cell r="D588" t="str">
            <v>ELC</v>
          </cell>
          <cell r="E588">
            <v>71.694107738032884</v>
          </cell>
          <cell r="F588">
            <v>35.813683939650268</v>
          </cell>
          <cell r="G588">
            <v>64.425525788214017</v>
          </cell>
          <cell r="H588">
            <v>81.004122175589757</v>
          </cell>
          <cell r="I588">
            <v>65.119528872966882</v>
          </cell>
          <cell r="J588">
            <v>43.193164907080217</v>
          </cell>
          <cell r="K588">
            <v>30.158167159775033</v>
          </cell>
          <cell r="L588">
            <v>29.593065021559173</v>
          </cell>
          <cell r="M588">
            <v>45.770527248649081</v>
          </cell>
          <cell r="N588">
            <v>39.647471994342219</v>
          </cell>
          <cell r="O588">
            <v>38.234986109622845</v>
          </cell>
          <cell r="P588">
            <v>32.425935646271284</v>
          </cell>
        </row>
        <row r="589">
          <cell r="B589" t="str">
            <v>G-INTC-EXP00-IT</v>
          </cell>
          <cell r="C589" t="str">
            <v>VAR_ncap</v>
          </cell>
          <cell r="D589" t="str">
            <v>-</v>
          </cell>
          <cell r="E589">
            <v>2.0218918918693101</v>
          </cell>
          <cell r="F589">
            <v>7.5765551935706195E-5</v>
          </cell>
          <cell r="G589">
            <v>2.8025346210168E-5</v>
          </cell>
          <cell r="H589">
            <v>2.3864792288917399E-5</v>
          </cell>
          <cell r="I589">
            <v>3.3554999755799702E-4</v>
          </cell>
          <cell r="J589">
            <v>1.01893762476555E-5</v>
          </cell>
          <cell r="K589">
            <v>2.8223020716376399</v>
          </cell>
          <cell r="L589">
            <v>1.3679981330659801</v>
          </cell>
          <cell r="M589">
            <v>1.00276457259006</v>
          </cell>
          <cell r="N589">
            <v>0.68980891675914702</v>
          </cell>
        </row>
        <row r="590">
          <cell r="B590" t="str">
            <v>G-INTC-EXP00-IT</v>
          </cell>
          <cell r="C590" t="str">
            <v>VAR_cap</v>
          </cell>
          <cell r="D590" t="str">
            <v>-</v>
          </cell>
          <cell r="E590">
            <v>3.7499986451904639</v>
          </cell>
          <cell r="F590">
            <v>3.7499968895894837</v>
          </cell>
          <cell r="G590">
            <v>3.7499961884810111</v>
          </cell>
          <cell r="H590">
            <v>4.86245046175266</v>
          </cell>
          <cell r="I590">
            <v>5.7719909014212405</v>
          </cell>
          <cell r="J590">
            <v>5.7719993437357964</v>
          </cell>
          <cell r="K590">
            <v>5.7722714762759511</v>
          </cell>
          <cell r="L590">
            <v>5.7719999900178252</v>
          </cell>
          <cell r="M590">
            <v>8.1606343687583127</v>
          </cell>
          <cell r="N590">
            <v>7.426484913321862</v>
          </cell>
          <cell r="O590">
            <v>7.2153290618611781</v>
          </cell>
          <cell r="P590">
            <v>6.5738817067512638</v>
          </cell>
        </row>
        <row r="591">
          <cell r="B591" t="str">
            <v>EWOD-CCS</v>
          </cell>
          <cell r="C591" t="str">
            <v>VAR_fin</v>
          </cell>
          <cell r="D591" t="str">
            <v>EWOD</v>
          </cell>
          <cell r="J591">
            <v>1.174728049954451E-3</v>
          </cell>
          <cell r="K591">
            <v>1.495637569113961E-3</v>
          </cell>
          <cell r="L591">
            <v>3.2089497361363355E-3</v>
          </cell>
          <cell r="M591">
            <v>1.6605586885635837E-3</v>
          </cell>
          <cell r="N591">
            <v>3.0401574108664745E-3</v>
          </cell>
          <cell r="O591">
            <v>2.6703866596806858E-3</v>
          </cell>
          <cell r="P591">
            <v>5.9733135103683232E-3</v>
          </cell>
        </row>
        <row r="592">
          <cell r="B592" t="str">
            <v>EOIL-ENG</v>
          </cell>
          <cell r="C592" t="str">
            <v>VAR_fout</v>
          </cell>
          <cell r="D592" t="str">
            <v>ELC35</v>
          </cell>
          <cell r="E592">
            <v>3.9603134330969625E-2</v>
          </cell>
          <cell r="F592">
            <v>1.0360428128379687E-4</v>
          </cell>
          <cell r="G592">
            <v>9.708857912995441E-3</v>
          </cell>
          <cell r="H592">
            <v>4.4811538961342786E-3</v>
          </cell>
          <cell r="I592">
            <v>5.4328896720267769E-3</v>
          </cell>
          <cell r="J592">
            <v>6.9787614766485045E-3</v>
          </cell>
          <cell r="K592">
            <v>2.1778976248669344E-2</v>
          </cell>
          <cell r="L592">
            <v>4.1423459244778617E-2</v>
          </cell>
          <cell r="M592">
            <v>2.2277221610625619E-2</v>
          </cell>
          <cell r="N592">
            <v>3.8128181777556752E-2</v>
          </cell>
          <cell r="O592">
            <v>2.6465101416506463E-2</v>
          </cell>
          <cell r="P592">
            <v>5.7100895198917E-2</v>
          </cell>
        </row>
        <row r="593">
          <cell r="B593" t="str">
            <v>EOIL-ENG</v>
          </cell>
          <cell r="C593" t="str">
            <v>VAR_fout</v>
          </cell>
          <cell r="D593" t="str">
            <v>CO2_E</v>
          </cell>
          <cell r="E593">
            <v>9.9093982407424193</v>
          </cell>
          <cell r="F593">
            <v>4.7646414345758302E-2</v>
          </cell>
          <cell r="G593">
            <v>2.42234875605509</v>
          </cell>
          <cell r="H593">
            <v>1.0768195492669499</v>
          </cell>
          <cell r="I593">
            <v>1.3233732026107701</v>
          </cell>
          <cell r="J593">
            <v>1.6403087076833001</v>
          </cell>
          <cell r="K593">
            <v>4.9219529902221399</v>
          </cell>
          <cell r="L593">
            <v>9.3815339376338702</v>
          </cell>
          <cell r="M593">
            <v>5.1147892082527502</v>
          </cell>
          <cell r="N593">
            <v>8.5940902108540396</v>
          </cell>
          <cell r="O593">
            <v>6.0912515141540604</v>
          </cell>
          <cell r="P593">
            <v>12.9694868023852</v>
          </cell>
        </row>
        <row r="594">
          <cell r="B594" t="str">
            <v>EOIL-ENG</v>
          </cell>
          <cell r="C594" t="str">
            <v>VAR_fin</v>
          </cell>
          <cell r="D594" t="str">
            <v>ELFO</v>
          </cell>
          <cell r="E594">
            <v>0.1344558784361253</v>
          </cell>
          <cell r="F594">
            <v>6.4649137511205222E-4</v>
          </cell>
          <cell r="G594">
            <v>3.2867690041453124E-2</v>
          </cell>
          <cell r="H594">
            <v>1.4610848701044106E-2</v>
          </cell>
          <cell r="I594">
            <v>1.7956217131760783E-2</v>
          </cell>
          <cell r="J594">
            <v>2.2256563197873794E-2</v>
          </cell>
          <cell r="K594">
            <v>6.6783622662444225E-2</v>
          </cell>
          <cell r="L594">
            <v>0.12729354053777311</v>
          </cell>
          <cell r="M594">
            <v>6.9400124942370994E-2</v>
          </cell>
          <cell r="N594">
            <v>0.11660909377006851</v>
          </cell>
          <cell r="O594">
            <v>8.2649274276174481E-2</v>
          </cell>
          <cell r="P594">
            <v>0.17597675444213287</v>
          </cell>
        </row>
        <row r="595">
          <cell r="B595" t="str">
            <v>EOIL-ENG</v>
          </cell>
          <cell r="C595" t="str">
            <v>VAR_ncap</v>
          </cell>
          <cell r="D595" t="str">
            <v>-</v>
          </cell>
          <cell r="F595">
            <v>9.8954075982387803E-6</v>
          </cell>
          <cell r="G595">
            <v>2.6492317549561503E-4</v>
          </cell>
          <cell r="H595">
            <v>2.6032420609684401E-2</v>
          </cell>
          <cell r="I595">
            <v>2.6830827997145399E-2</v>
          </cell>
          <cell r="J595">
            <v>5.7620880499065497E-3</v>
          </cell>
          <cell r="K595">
            <v>2.31679973771266E-4</v>
          </cell>
          <cell r="L595">
            <v>1.9244933558454E-4</v>
          </cell>
          <cell r="M595">
            <v>2.0320202661870401E-2</v>
          </cell>
          <cell r="N595">
            <v>1.41108823864596E-2</v>
          </cell>
          <cell r="O595">
            <v>9.95264632001057E-4</v>
          </cell>
          <cell r="P595">
            <v>1.5154979654377201E-2</v>
          </cell>
        </row>
        <row r="596">
          <cell r="B596" t="str">
            <v>EOIL-ENG</v>
          </cell>
          <cell r="C596" t="str">
            <v>VAR_cap</v>
          </cell>
          <cell r="D596" t="str">
            <v>-</v>
          </cell>
          <cell r="E596">
            <v>2.4638656170527705E-2</v>
          </cell>
          <cell r="F596">
            <v>2.2694625746376845E-2</v>
          </cell>
          <cell r="G596">
            <v>1.2623992342681953E-2</v>
          </cell>
          <cell r="H596">
            <v>3.3299897392905169E-2</v>
          </cell>
          <cell r="I596">
            <v>6.0124093103145961E-2</v>
          </cell>
          <cell r="J596">
            <v>6.587483536092692E-2</v>
          </cell>
          <cell r="K596">
            <v>6.033540328710317E-2</v>
          </cell>
          <cell r="L596">
            <v>5.9004468225944226E-2</v>
          </cell>
          <cell r="M596">
            <v>5.3312677457264646E-2</v>
          </cell>
          <cell r="N596">
            <v>4.0587311366025655E-2</v>
          </cell>
          <cell r="O596">
            <v>3.5784257152061669E-2</v>
          </cell>
          <cell r="P596">
            <v>5.0738221793559843E-2</v>
          </cell>
        </row>
        <row r="597">
          <cell r="B597" t="str">
            <v>D-SWOD</v>
          </cell>
          <cell r="C597" t="str">
            <v>VAR_fout</v>
          </cell>
          <cell r="D597" t="str">
            <v>SWOD</v>
          </cell>
          <cell r="E597">
            <v>8.574373327098348</v>
          </cell>
          <cell r="F597">
            <v>9.3285072248951586</v>
          </cell>
          <cell r="G597">
            <v>9.0663030796659445</v>
          </cell>
          <cell r="H597">
            <v>7.6259530663052608</v>
          </cell>
          <cell r="I597">
            <v>5.1301345724480418</v>
          </cell>
          <cell r="J597">
            <v>3.2523336030498062</v>
          </cell>
          <cell r="K597">
            <v>2.0336889512374676</v>
          </cell>
          <cell r="L597">
            <v>0.6871095518392325</v>
          </cell>
          <cell r="M597">
            <v>0.66514070180793539</v>
          </cell>
          <cell r="N597">
            <v>0.66396274723800286</v>
          </cell>
          <cell r="O597">
            <v>0.65143133449852553</v>
          </cell>
          <cell r="P597">
            <v>0.68370821169112073</v>
          </cell>
        </row>
        <row r="598">
          <cell r="B598" t="str">
            <v>D-SWOD</v>
          </cell>
          <cell r="C598" t="str">
            <v>VAR_fin</v>
          </cell>
          <cell r="D598" t="str">
            <v>WOD</v>
          </cell>
          <cell r="E598">
            <v>8.574373327098348</v>
          </cell>
          <cell r="F598">
            <v>9.3285072248951586</v>
          </cell>
          <cell r="G598">
            <v>9.0663030796659445</v>
          </cell>
          <cell r="H598">
            <v>7.6259530663052608</v>
          </cell>
          <cell r="I598">
            <v>5.1301345724480418</v>
          </cell>
          <cell r="J598">
            <v>3.2523336030498062</v>
          </cell>
          <cell r="K598">
            <v>2.0336889512374676</v>
          </cell>
          <cell r="L598">
            <v>0.6871095518392325</v>
          </cell>
          <cell r="M598">
            <v>0.66514070180793539</v>
          </cell>
          <cell r="N598">
            <v>0.66396274723800286</v>
          </cell>
          <cell r="O598">
            <v>0.65143133449852553</v>
          </cell>
          <cell r="P598">
            <v>0.68370821169112073</v>
          </cell>
        </row>
        <row r="599">
          <cell r="B599" t="str">
            <v>SCOM-CHPWOD</v>
          </cell>
          <cell r="C599" t="str">
            <v>VAR_fout</v>
          </cell>
          <cell r="D599" t="str">
            <v>SCOM_KEV_WOD_ELC_CHP</v>
          </cell>
          <cell r="H599">
            <v>1.0626669483631619E-2</v>
          </cell>
          <cell r="I599">
            <v>8.1675241732325713E-3</v>
          </cell>
          <cell r="J599">
            <v>6.5730460082648514E-3</v>
          </cell>
          <cell r="K599">
            <v>1.1144298916709183E-2</v>
          </cell>
          <cell r="L599">
            <v>1.5700070972418143E-2</v>
          </cell>
          <cell r="M599">
            <v>1.4319220594239785E-2</v>
          </cell>
          <cell r="N599">
            <v>1.8309224323175801E-2</v>
          </cell>
          <cell r="O599">
            <v>1.8756560337101182E-2</v>
          </cell>
          <cell r="P599">
            <v>3.7236995813218626E-2</v>
          </cell>
        </row>
        <row r="600">
          <cell r="B600" t="str">
            <v>SCOM-CHPWOD</v>
          </cell>
          <cell r="C600" t="str">
            <v>VAR_fout</v>
          </cell>
          <cell r="D600" t="str">
            <v>SCOM_LTH_CHPWOD</v>
          </cell>
          <cell r="H600">
            <v>1.6983207539732852E-2</v>
          </cell>
          <cell r="I600">
            <v>1.2771762811940869E-2</v>
          </cell>
          <cell r="J600">
            <v>1.0052039937831684E-2</v>
          </cell>
          <cell r="K600">
            <v>1.6704623748979176E-2</v>
          </cell>
          <cell r="L600">
            <v>2.3057062357892413E-2</v>
          </cell>
          <cell r="M600">
            <v>2.1029150934274553E-2</v>
          </cell>
          <cell r="N600">
            <v>2.6888854686437386E-2</v>
          </cell>
          <cell r="O600">
            <v>2.7545810593587624E-2</v>
          </cell>
          <cell r="P600">
            <v>5.4686105304511401E-2</v>
          </cell>
        </row>
        <row r="601">
          <cell r="B601" t="str">
            <v>SCOM-CHPWOD</v>
          </cell>
          <cell r="C601" t="str">
            <v>VAR_fin</v>
          </cell>
          <cell r="D601" t="str">
            <v>SWOD</v>
          </cell>
          <cell r="H601">
            <v>3.3229453961642945E-2</v>
          </cell>
          <cell r="I601">
            <v>2.6199181737810617E-2</v>
          </cell>
          <cell r="J601">
            <v>2.1265212073639645E-2</v>
          </cell>
          <cell r="K601">
            <v>3.4016058268824839E-2</v>
          </cell>
          <cell r="L601">
            <v>4.913746899626803E-2</v>
          </cell>
          <cell r="M601">
            <v>4.2585244197201798E-2</v>
          </cell>
          <cell r="N601">
            <v>5.5992622904984621E-2</v>
          </cell>
          <cell r="O601">
            <v>5.6378920959439582E-2</v>
          </cell>
          <cell r="P601">
            <v>0.11330139002046521</v>
          </cell>
        </row>
        <row r="602">
          <cell r="B602" t="str">
            <v>SCOM-CHPWOD</v>
          </cell>
          <cell r="C602" t="str">
            <v>VAR_ncap</v>
          </cell>
          <cell r="D602" t="str">
            <v>-</v>
          </cell>
          <cell r="H602">
            <v>6.4779704994657105E-4</v>
          </cell>
          <cell r="I602">
            <v>8.6340058755616397E-6</v>
          </cell>
          <cell r="J602">
            <v>3.5605518608650702E-5</v>
          </cell>
          <cell r="K602">
            <v>6.7893660307298401E-4</v>
          </cell>
          <cell r="L602">
            <v>4.8462871625643098E-4</v>
          </cell>
          <cell r="M602">
            <v>6.3751436590934297E-6</v>
          </cell>
          <cell r="N602">
            <v>9.5949161033426602E-4</v>
          </cell>
          <cell r="O602">
            <v>3.5387969794080398E-4</v>
          </cell>
          <cell r="P602">
            <v>1.50681683567668E-3</v>
          </cell>
        </row>
        <row r="603">
          <cell r="B603" t="str">
            <v>SCOM-CHPWOD</v>
          </cell>
          <cell r="C603" t="str">
            <v>VAR_cap</v>
          </cell>
          <cell r="D603" t="str">
            <v>-</v>
          </cell>
          <cell r="H603">
            <v>6.4779704994657105E-4</v>
          </cell>
          <cell r="I603">
            <v>6.5619423566288583E-4</v>
          </cell>
          <cell r="J603">
            <v>5.6787962426858591E-4</v>
          </cell>
          <cell r="K603">
            <v>7.2248279354770063E-4</v>
          </cell>
          <cell r="L603">
            <v>1.1981501745570676E-3</v>
          </cell>
          <cell r="M603">
            <v>1.0836430591316664E-3</v>
          </cell>
          <cell r="N603">
            <v>1.4490948891924418E-3</v>
          </cell>
          <cell r="O603">
            <v>1.4016528201050492E-3</v>
          </cell>
          <cell r="P603">
            <v>2.8186030410219617E-3</v>
          </cell>
        </row>
        <row r="604">
          <cell r="B604" t="str">
            <v>ENUC_BMGL</v>
          </cell>
          <cell r="C604" t="str">
            <v>VAR_fout</v>
          </cell>
          <cell r="D604" t="str">
            <v>ELC</v>
          </cell>
          <cell r="E604">
            <v>32.82080140102768</v>
          </cell>
          <cell r="F604">
            <v>1.1642891765840177E-2</v>
          </cell>
        </row>
        <row r="605">
          <cell r="B605" t="str">
            <v>ENUC_BMGL</v>
          </cell>
          <cell r="C605" t="str">
            <v>VAR_fin</v>
          </cell>
          <cell r="D605" t="str">
            <v>URN</v>
          </cell>
          <cell r="E605">
            <v>98.945503630368137</v>
          </cell>
          <cell r="F605">
            <v>3.5100050587090606E-2</v>
          </cell>
        </row>
        <row r="606">
          <cell r="B606" t="str">
            <v>ENUC_BMGL</v>
          </cell>
          <cell r="C606" t="str">
            <v>VAR_cap</v>
          </cell>
          <cell r="D606" t="str">
            <v>-</v>
          </cell>
          <cell r="E606">
            <v>1.2329999271483962</v>
          </cell>
          <cell r="F606">
            <v>4.3299680688013709E-4</v>
          </cell>
        </row>
        <row r="607">
          <cell r="B607" t="str">
            <v>D-RSH2R</v>
          </cell>
          <cell r="C607" t="str">
            <v>VAR_fout</v>
          </cell>
          <cell r="D607" t="str">
            <v>RSH2</v>
          </cell>
          <cell r="H607">
            <v>8.9457801339015252E-4</v>
          </cell>
          <cell r="I607">
            <v>1.7227621276462279E-3</v>
          </cell>
          <cell r="J607">
            <v>2.0292913132258358E-3</v>
          </cell>
          <cell r="K607">
            <v>2.3597808501504883E-3</v>
          </cell>
          <cell r="L607">
            <v>4.3155646487181756E-3</v>
          </cell>
          <cell r="M607">
            <v>2.6156209361551455E-3</v>
          </cell>
          <cell r="N607">
            <v>4.8256657853691627E-3</v>
          </cell>
          <cell r="O607">
            <v>4.9094890032545619E-3</v>
          </cell>
          <cell r="P607">
            <v>1.2044745597467744E-2</v>
          </cell>
        </row>
        <row r="608">
          <cell r="B608" t="str">
            <v>D-RSH2R</v>
          </cell>
          <cell r="C608" t="str">
            <v>VAR_fin</v>
          </cell>
          <cell r="D608" t="str">
            <v>H2</v>
          </cell>
          <cell r="H608">
            <v>8.9457801339015252E-4</v>
          </cell>
          <cell r="I608">
            <v>1.7227621276462279E-3</v>
          </cell>
          <cell r="J608">
            <v>2.0292913132258358E-3</v>
          </cell>
          <cell r="K608">
            <v>2.3597808501504883E-3</v>
          </cell>
          <cell r="L608">
            <v>4.3155646487181756E-3</v>
          </cell>
          <cell r="M608">
            <v>2.6156209361551455E-3</v>
          </cell>
          <cell r="N608">
            <v>4.8256657853691627E-3</v>
          </cell>
          <cell r="O608">
            <v>4.9094890032545619E-3</v>
          </cell>
          <cell r="P608">
            <v>1.2044745597467744E-2</v>
          </cell>
        </row>
        <row r="609">
          <cell r="B609" t="str">
            <v>D-RSH2R</v>
          </cell>
          <cell r="C609" t="str">
            <v>VAR_ncap</v>
          </cell>
          <cell r="D609" t="str">
            <v>-</v>
          </cell>
          <cell r="H609">
            <v>1.2256669045734099E-4</v>
          </cell>
          <cell r="I609">
            <v>1.3822698231423199E-4</v>
          </cell>
          <cell r="J609">
            <v>1.95067775044956E-4</v>
          </cell>
          <cell r="K609">
            <v>2.5787308353539501E-4</v>
          </cell>
          <cell r="L609">
            <v>1.09270659815336E-4</v>
          </cell>
          <cell r="M609">
            <v>1.1724006046066901E-4</v>
          </cell>
          <cell r="N609">
            <v>3.1427898901229998E-4</v>
          </cell>
          <cell r="O609">
            <v>3.2792956700038699E-4</v>
          </cell>
          <cell r="P609">
            <v>6.3063764178476105E-4</v>
          </cell>
        </row>
        <row r="610">
          <cell r="B610" t="str">
            <v>D-RSH2R</v>
          </cell>
          <cell r="C610" t="str">
            <v>VAR_cap</v>
          </cell>
          <cell r="D610" t="str">
            <v>-</v>
          </cell>
          <cell r="H610">
            <v>1.2256669045734099E-4</v>
          </cell>
          <cell r="I610">
            <v>2.3127742271814299E-4</v>
          </cell>
          <cell r="J610">
            <v>2.24095018061407E-4</v>
          </cell>
          <cell r="K610">
            <v>2.5787308353539501E-4</v>
          </cell>
          <cell r="L610">
            <v>3.6714374335073102E-4</v>
          </cell>
          <cell r="M610">
            <v>1.90033566950035E-4</v>
          </cell>
          <cell r="N610">
            <v>4.0328554714110301E-4</v>
          </cell>
          <cell r="O610">
            <v>3.83595265974791E-4</v>
          </cell>
          <cell r="P610">
            <v>9.5856720878514901E-4</v>
          </cell>
        </row>
        <row r="611">
          <cell r="B611" t="str">
            <v>ENGA-GTOC</v>
          </cell>
          <cell r="C611" t="str">
            <v>VAR_fout</v>
          </cell>
          <cell r="D611" t="str">
            <v>ELC13</v>
          </cell>
          <cell r="I611">
            <v>2.0071558255138126E-2</v>
          </cell>
          <cell r="J611">
            <v>6.7033204873744451E-2</v>
          </cell>
          <cell r="K611">
            <v>0.75459833163283518</v>
          </cell>
          <cell r="L611">
            <v>0.27025757452148208</v>
          </cell>
          <cell r="M611">
            <v>0.48324961564613661</v>
          </cell>
          <cell r="N611">
            <v>0.32438064410369011</v>
          </cell>
          <cell r="O611">
            <v>8.4305205170911016E-2</v>
          </cell>
          <cell r="P611">
            <v>0.2594226490544746</v>
          </cell>
        </row>
        <row r="612">
          <cell r="B612" t="str">
            <v>ENGA-GTOC</v>
          </cell>
          <cell r="C612" t="str">
            <v>VAR_fout</v>
          </cell>
          <cell r="D612" t="str">
            <v>CO2_E</v>
          </cell>
          <cell r="I612">
            <v>2.8423884815620299</v>
          </cell>
          <cell r="J612">
            <v>9.9249005131540908</v>
          </cell>
          <cell r="K612">
            <v>99.498885637477898</v>
          </cell>
          <cell r="L612">
            <v>35.266028875116902</v>
          </cell>
          <cell r="M612">
            <v>61.687966032599903</v>
          </cell>
          <cell r="N612">
            <v>41.5834059010743</v>
          </cell>
          <cell r="O612">
            <v>11.0154520858112</v>
          </cell>
          <cell r="P612">
            <v>33.443306742002903</v>
          </cell>
        </row>
        <row r="613">
          <cell r="B613" t="str">
            <v>ENGA-GTOC</v>
          </cell>
          <cell r="C613" t="str">
            <v>VAR_fin</v>
          </cell>
          <cell r="D613" t="str">
            <v>ENGA</v>
          </cell>
          <cell r="I613">
            <v>5.0396958892943731E-2</v>
          </cell>
          <cell r="J613">
            <v>0.17597341335379582</v>
          </cell>
          <cell r="K613">
            <v>1.7641646389623762</v>
          </cell>
          <cell r="L613">
            <v>0.6252841999134201</v>
          </cell>
          <cell r="M613">
            <v>1.0937582629893612</v>
          </cell>
          <cell r="N613">
            <v>0.73729443087011204</v>
          </cell>
          <cell r="O613">
            <v>0.19530943414558807</v>
          </cell>
          <cell r="P613">
            <v>0.59296643159579632</v>
          </cell>
        </row>
        <row r="614">
          <cell r="B614" t="str">
            <v>ENGA-GTOC</v>
          </cell>
          <cell r="C614" t="str">
            <v>VAR_fin</v>
          </cell>
          <cell r="D614" t="str">
            <v>GTC</v>
          </cell>
          <cell r="I614">
            <v>1.6077828993068099E-2</v>
          </cell>
          <cell r="J614">
            <v>6.6765874880958948E-2</v>
          </cell>
          <cell r="K614">
            <v>6.67783025037334E-2</v>
          </cell>
          <cell r="L614">
            <v>6.6778098885329637E-2</v>
          </cell>
          <cell r="M614">
            <v>6.6804615297394385E-2</v>
          </cell>
          <cell r="N614">
            <v>5.0752788282782214E-2</v>
          </cell>
          <cell r="O614">
            <v>1.487323986198881E-2</v>
          </cell>
          <cell r="P614">
            <v>3.0695579931356094E-2</v>
          </cell>
        </row>
        <row r="615">
          <cell r="B615" t="str">
            <v>ENGA-GTOC</v>
          </cell>
          <cell r="C615" t="str">
            <v>VAR_ncap</v>
          </cell>
          <cell r="D615" t="str">
            <v>-</v>
          </cell>
          <cell r="I615">
            <v>6.6763436610417407E-2</v>
          </cell>
          <cell r="J615">
            <v>2.1349251366246399E-5</v>
          </cell>
          <cell r="K615">
            <v>2.2815114377326001E-5</v>
          </cell>
          <cell r="L615">
            <v>1.51157797837688E-5</v>
          </cell>
          <cell r="M615">
            <v>4.4024029448834902E-5</v>
          </cell>
          <cell r="N615">
            <v>1.05548090887419E-4</v>
          </cell>
          <cell r="O615">
            <v>3.0549560220040701E-2</v>
          </cell>
        </row>
        <row r="616">
          <cell r="B616" t="str">
            <v>ENGA-GTOC</v>
          </cell>
          <cell r="C616" t="str">
            <v>VAR_cap</v>
          </cell>
          <cell r="D616" t="str">
            <v>-</v>
          </cell>
          <cell r="I616">
            <v>1.6077828993068099E-2</v>
          </cell>
          <cell r="J616">
            <v>6.6765874880958961E-2</v>
          </cell>
          <cell r="K616">
            <v>6.6778302503733455E-2</v>
          </cell>
          <cell r="L616">
            <v>6.6778098885329706E-2</v>
          </cell>
          <cell r="M616">
            <v>6.6804615297394426E-2</v>
          </cell>
          <cell r="N616">
            <v>5.0752788282782124E-2</v>
          </cell>
          <cell r="O616">
            <v>1.4873239861988829E-2</v>
          </cell>
          <cell r="P616">
            <v>3.0695579931356159E-2</v>
          </cell>
        </row>
        <row r="617">
          <cell r="B617" t="str">
            <v>D-RSH2</v>
          </cell>
          <cell r="C617" t="str">
            <v>VAR_fout</v>
          </cell>
          <cell r="D617" t="str">
            <v>RSH2</v>
          </cell>
          <cell r="H617">
            <v>8.1026195500781778E-4</v>
          </cell>
          <cell r="I617">
            <v>1.5882201649567468E-3</v>
          </cell>
          <cell r="J617">
            <v>1.9192407299568595E-3</v>
          </cell>
          <cell r="K617">
            <v>2.0339327858072071E-3</v>
          </cell>
          <cell r="L617">
            <v>4.8923612298761203E-3</v>
          </cell>
          <cell r="M617">
            <v>5.4198129288869608E-3</v>
          </cell>
          <cell r="N617">
            <v>7.9525737260099372E-3</v>
          </cell>
          <cell r="O617">
            <v>9.0675700452407526E-3</v>
          </cell>
          <cell r="P617">
            <v>1.8477584118746448E-2</v>
          </cell>
        </row>
        <row r="618">
          <cell r="B618" t="str">
            <v>D-RSH2</v>
          </cell>
          <cell r="C618" t="str">
            <v>VAR_fin</v>
          </cell>
          <cell r="D618" t="str">
            <v>H2</v>
          </cell>
          <cell r="H618">
            <v>8.164348449775764E-4</v>
          </cell>
          <cell r="I618">
            <v>1.6003198424319608E-3</v>
          </cell>
          <cell r="J618">
            <v>1.933862250538296E-3</v>
          </cell>
          <cell r="K618">
            <v>2.0494280749727353E-3</v>
          </cell>
          <cell r="L618">
            <v>4.9296331360512598E-3</v>
          </cell>
          <cell r="M618">
            <v>5.4611031667661037E-3</v>
          </cell>
          <cell r="N618">
            <v>8.0131595183992408E-3</v>
          </cell>
          <cell r="O618">
            <v>9.1366503122289836E-3</v>
          </cell>
          <cell r="P618">
            <v>1.8618353524204843E-2</v>
          </cell>
        </row>
        <row r="619">
          <cell r="B619" t="str">
            <v>D-RSH2</v>
          </cell>
          <cell r="C619" t="str">
            <v>VAR_ncap</v>
          </cell>
          <cell r="D619" t="str">
            <v>-</v>
          </cell>
          <cell r="H619">
            <v>1.5383918447171E-4</v>
          </cell>
          <cell r="I619">
            <v>1.3508239688366199E-4</v>
          </cell>
          <cell r="J619">
            <v>1.7189955517072001E-5</v>
          </cell>
          <cell r="K619">
            <v>1.4532601022519601E-5</v>
          </cell>
          <cell r="L619">
            <v>2.7418010917792398E-4</v>
          </cell>
          <cell r="M619">
            <v>4.9942270630303399E-6</v>
          </cell>
          <cell r="N619">
            <v>3.0628457910460599E-4</v>
          </cell>
          <cell r="O619">
            <v>8.3454732702245004E-5</v>
          </cell>
          <cell r="P619">
            <v>1.1222956608623999E-3</v>
          </cell>
        </row>
        <row r="620">
          <cell r="B620" t="str">
            <v>D-RSH2</v>
          </cell>
          <cell r="C620" t="str">
            <v>VAR_cap</v>
          </cell>
          <cell r="D620" t="str">
            <v>-</v>
          </cell>
          <cell r="H620">
            <v>1.5383918447171E-4</v>
          </cell>
          <cell r="I620">
            <v>2.88921581355371E-4</v>
          </cell>
          <cell r="J620">
            <v>3.0611153687244301E-4</v>
          </cell>
          <cell r="K620">
            <v>3.20644137894963E-4</v>
          </cell>
          <cell r="L620">
            <v>5.9482424707288698E-4</v>
          </cell>
          <cell r="M620">
            <v>5.9981847413591695E-4</v>
          </cell>
          <cell r="N620">
            <v>9.06103053240523E-4</v>
          </cell>
          <cell r="O620">
            <v>9.4078865835384498E-4</v>
          </cell>
          <cell r="P620">
            <v>1.9580142623334602E-3</v>
          </cell>
        </row>
        <row r="621">
          <cell r="B621" t="str">
            <v>D-RWOD</v>
          </cell>
          <cell r="C621" t="str">
            <v>VAR_fout</v>
          </cell>
          <cell r="D621" t="str">
            <v>RWOD</v>
          </cell>
          <cell r="E621">
            <v>13.723009250357382</v>
          </cell>
          <cell r="F621">
            <v>13.848736259804038</v>
          </cell>
          <cell r="G621">
            <v>10.698532814329248</v>
          </cell>
          <cell r="H621">
            <v>9.6161163699334722</v>
          </cell>
          <cell r="I621">
            <v>8.9573774457350623</v>
          </cell>
          <cell r="J621">
            <v>7.8678088285927048</v>
          </cell>
          <cell r="K621">
            <v>6.970025533944515</v>
          </cell>
          <cell r="L621">
            <v>5.8795873541961132</v>
          </cell>
          <cell r="M621">
            <v>5.5439687336858023</v>
          </cell>
          <cell r="N621">
            <v>4.7328250674290553</v>
          </cell>
          <cell r="O621">
            <v>4.4226356985901401</v>
          </cell>
          <cell r="P621">
            <v>2.9541036498418531</v>
          </cell>
        </row>
        <row r="622">
          <cell r="B622" t="str">
            <v>D-RWOD</v>
          </cell>
          <cell r="C622" t="str">
            <v>VAR_fin</v>
          </cell>
          <cell r="D622" t="str">
            <v>WOD</v>
          </cell>
          <cell r="E622">
            <v>13.723009250357382</v>
          </cell>
          <cell r="F622">
            <v>13.848736259804038</v>
          </cell>
          <cell r="G622">
            <v>10.698532814329248</v>
          </cell>
          <cell r="H622">
            <v>9.6161163699334722</v>
          </cell>
          <cell r="I622">
            <v>8.9573774457350623</v>
          </cell>
          <cell r="J622">
            <v>7.8678088285927048</v>
          </cell>
          <cell r="K622">
            <v>6.970025533944515</v>
          </cell>
          <cell r="L622">
            <v>5.8795873541961132</v>
          </cell>
          <cell r="M622">
            <v>5.5439687336858023</v>
          </cell>
          <cell r="N622">
            <v>4.7328250674290553</v>
          </cell>
          <cell r="O622">
            <v>4.4226356985901401</v>
          </cell>
          <cell r="P622">
            <v>2.9541036498418531</v>
          </cell>
        </row>
        <row r="623">
          <cell r="B623" t="str">
            <v>SCOM-CHPGFC</v>
          </cell>
          <cell r="C623" t="str">
            <v>VAR_fout</v>
          </cell>
          <cell r="D623" t="str">
            <v>CO2_S</v>
          </cell>
          <cell r="H623">
            <v>0.39111543409388799</v>
          </cell>
          <cell r="I623">
            <v>1.19093274132625</v>
          </cell>
          <cell r="J623">
            <v>1.14652812488209</v>
          </cell>
          <cell r="K623">
            <v>0.84607110471288205</v>
          </cell>
          <cell r="L623">
            <v>1.9806197275983499</v>
          </cell>
          <cell r="M623">
            <v>2.0033849232776699</v>
          </cell>
          <cell r="N623">
            <v>4.13231015742981</v>
          </cell>
          <cell r="O623">
            <v>3.1687441011372499</v>
          </cell>
          <cell r="P623">
            <v>6.8287837730874204</v>
          </cell>
        </row>
        <row r="624">
          <cell r="B624" t="str">
            <v>SCOM-CHPGFC</v>
          </cell>
          <cell r="C624" t="str">
            <v>VAR_fout</v>
          </cell>
          <cell r="D624" t="str">
            <v>SCOM_NKEV_GAS_ELC_CHP</v>
          </cell>
          <cell r="H624">
            <v>4.1608024903605108E-3</v>
          </cell>
          <cell r="I624">
            <v>1.2775076391886197E-2</v>
          </cell>
          <cell r="J624">
            <v>1.2400392840036805E-2</v>
          </cell>
          <cell r="K624">
            <v>9.2257753439436655E-3</v>
          </cell>
          <cell r="L624">
            <v>2.177277005515919E-2</v>
          </cell>
          <cell r="M624">
            <v>2.2023025752343172E-2</v>
          </cell>
          <cell r="N624">
            <v>4.5426104567490778E-2</v>
          </cell>
          <cell r="O624">
            <v>3.4833711750090271E-2</v>
          </cell>
          <cell r="P624">
            <v>7.5068190413372399E-2</v>
          </cell>
        </row>
        <row r="625">
          <cell r="B625" t="str">
            <v>SCOM-CHPGFC</v>
          </cell>
          <cell r="C625" t="str">
            <v>VAR_fout</v>
          </cell>
          <cell r="D625" t="str">
            <v>SCOM_LTH_CHPNGA</v>
          </cell>
          <cell r="H625">
            <v>1.2482407471081532E-3</v>
          </cell>
          <cell r="I625">
            <v>3.8011087952907331E-3</v>
          </cell>
          <cell r="J625">
            <v>3.6591323134534818E-3</v>
          </cell>
          <cell r="K625">
            <v>2.7004054219316883E-3</v>
          </cell>
          <cell r="L625">
            <v>6.3211267902075E-3</v>
          </cell>
          <cell r="M625">
            <v>6.3937816700351188E-3</v>
          </cell>
          <cell r="N625">
            <v>1.3188223906690862E-2</v>
          </cell>
          <cell r="O625">
            <v>1.0113013088735882E-2</v>
          </cell>
          <cell r="P625">
            <v>2.1793990765172619E-2</v>
          </cell>
        </row>
        <row r="626">
          <cell r="B626" t="str">
            <v>SCOM-CHPGFC</v>
          </cell>
          <cell r="C626" t="str">
            <v>VAR_fin</v>
          </cell>
          <cell r="D626" t="str">
            <v>SNGA</v>
          </cell>
          <cell r="H626">
            <v>6.9346708172675214E-3</v>
          </cell>
          <cell r="I626">
            <v>2.1115828746919349E-2</v>
          </cell>
          <cell r="J626">
            <v>2.032851285251934E-2</v>
          </cell>
          <cell r="K626">
            <v>1.5001260721859621E-2</v>
          </cell>
          <cell r="L626">
            <v>3.5117371056708389E-2</v>
          </cell>
          <cell r="M626">
            <v>3.5521009277972873E-2</v>
          </cell>
          <cell r="N626">
            <v>7.3267910592727095E-2</v>
          </cell>
          <cell r="O626">
            <v>5.6183406048532711E-2</v>
          </cell>
          <cell r="P626">
            <v>0.12107772647318127</v>
          </cell>
        </row>
        <row r="627">
          <cell r="B627" t="str">
            <v>SCOM-CHPGFC</v>
          </cell>
          <cell r="C627" t="str">
            <v>VAR_ncap</v>
          </cell>
          <cell r="D627" t="str">
            <v>-</v>
          </cell>
          <cell r="H627">
            <v>2.4550879096724702E-4</v>
          </cell>
          <cell r="I627">
            <v>5.06269728954384E-4</v>
          </cell>
          <cell r="J627">
            <v>2.4435660681020101E-5</v>
          </cell>
          <cell r="K627">
            <v>1.2322491387581101E-5</v>
          </cell>
          <cell r="L627">
            <v>1.2474476826070499E-3</v>
          </cell>
          <cell r="M627">
            <v>3.3800028010993598E-5</v>
          </cell>
          <cell r="N627">
            <v>1.3906743220474299E-3</v>
          </cell>
          <cell r="O627">
            <v>4.1406195433010601E-4</v>
          </cell>
          <cell r="P627">
            <v>2.6103563004911301E-3</v>
          </cell>
        </row>
        <row r="628">
          <cell r="B628" t="str">
            <v>SCOM-CHPGFC</v>
          </cell>
          <cell r="C628" t="str">
            <v>VAR_cap</v>
          </cell>
          <cell r="D628" t="str">
            <v>-</v>
          </cell>
          <cell r="H628">
            <v>2.4550879096724702E-4</v>
          </cell>
          <cell r="I628">
            <v>7.5169486332708616E-4</v>
          </cell>
          <cell r="J628">
            <v>7.2919260824082352E-4</v>
          </cell>
          <cell r="K628">
            <v>5.4267944398713472E-4</v>
          </cell>
          <cell r="L628">
            <v>1.2834069094268005E-3</v>
          </cell>
          <cell r="M628">
            <v>1.2946536158863152E-3</v>
          </cell>
          <cell r="N628">
            <v>2.670915267515873E-3</v>
          </cell>
          <cell r="O628">
            <v>2.0474677897790866E-3</v>
          </cell>
          <cell r="P628">
            <v>4.4139135100461392E-3</v>
          </cell>
        </row>
        <row r="629">
          <cell r="B629" t="str">
            <v>CHPOIL</v>
          </cell>
          <cell r="C629" t="str">
            <v>VAR_fout</v>
          </cell>
          <cell r="D629" t="str">
            <v>ELC35</v>
          </cell>
          <cell r="E629">
            <v>1.803141574646544E-3</v>
          </cell>
          <cell r="F629">
            <v>7.0573866603733086E-5</v>
          </cell>
          <cell r="G629">
            <v>2.6994323470618652E-3</v>
          </cell>
          <cell r="H629">
            <v>1.8868866350573053E-3</v>
          </cell>
          <cell r="I629">
            <v>2.5235006933218276E-3</v>
          </cell>
          <cell r="J629">
            <v>2.8609273571540525E-3</v>
          </cell>
          <cell r="K629">
            <v>2.8184302247215957E-3</v>
          </cell>
          <cell r="L629">
            <v>4.3180561945554826E-3</v>
          </cell>
          <cell r="M629">
            <v>3.3668963077220166E-3</v>
          </cell>
          <cell r="N629">
            <v>4.341462478806301E-3</v>
          </cell>
          <cell r="O629">
            <v>3.2406479401013537E-3</v>
          </cell>
          <cell r="P629">
            <v>4.3418781024656987E-3</v>
          </cell>
        </row>
        <row r="630">
          <cell r="B630" t="str">
            <v>CHPOIL</v>
          </cell>
          <cell r="C630" t="str">
            <v>VAR_fout</v>
          </cell>
          <cell r="D630" t="str">
            <v>LTH</v>
          </cell>
          <cell r="E630">
            <v>9.2732995267536481E-3</v>
          </cell>
          <cell r="F630">
            <v>3.6295131396205571E-4</v>
          </cell>
          <cell r="G630">
            <v>1.3882794927746725E-2</v>
          </cell>
          <cell r="H630">
            <v>9.7039884088661373E-3</v>
          </cell>
          <cell r="I630">
            <v>1.297800356565511E-2</v>
          </cell>
          <cell r="J630">
            <v>1.4713340693935116E-2</v>
          </cell>
          <cell r="K630">
            <v>1.4494784012853921E-2</v>
          </cell>
          <cell r="L630">
            <v>2.220714614342818E-2</v>
          </cell>
          <cell r="M630">
            <v>1.7315466725427487E-2</v>
          </cell>
          <cell r="N630">
            <v>2.2327521319575216E-2</v>
          </cell>
          <cell r="O630">
            <v>1.666618940623554E-2</v>
          </cell>
          <cell r="P630">
            <v>2.2329658812680724E-2</v>
          </cell>
        </row>
        <row r="631">
          <cell r="B631" t="str">
            <v>CHPOIL</v>
          </cell>
          <cell r="C631" t="str">
            <v>VAR_fout</v>
          </cell>
          <cell r="D631" t="str">
            <v>CO2_E</v>
          </cell>
          <cell r="E631">
            <v>2.2735658161596701</v>
          </cell>
          <cell r="F631">
            <v>7.5126019800779306E-2</v>
          </cell>
          <cell r="G631">
            <v>2.0841775298632799</v>
          </cell>
          <cell r="H631">
            <v>1.3366880872084601</v>
          </cell>
          <cell r="I631">
            <v>1.78594150725858</v>
          </cell>
          <cell r="J631">
            <v>1.9563133888797599</v>
          </cell>
          <cell r="K631">
            <v>1.9954148584801701</v>
          </cell>
          <cell r="L631">
            <v>3.1731455533186201</v>
          </cell>
          <cell r="M631">
            <v>2.3946255757866401</v>
          </cell>
          <cell r="N631">
            <v>3.1735248647464598</v>
          </cell>
          <cell r="O631">
            <v>2.3778482350451799</v>
          </cell>
          <cell r="P631">
            <v>3.3553173920619801</v>
          </cell>
        </row>
        <row r="632">
          <cell r="B632" t="str">
            <v>CHPOIL</v>
          </cell>
          <cell r="C632" t="str">
            <v>VAR_fin</v>
          </cell>
          <cell r="D632" t="str">
            <v>ELFO</v>
          </cell>
          <cell r="E632">
            <v>3.0848925592397144E-2</v>
          </cell>
          <cell r="F632">
            <v>1.0193489796577928E-3</v>
          </cell>
          <cell r="G632">
            <v>2.8279206646720147E-2</v>
          </cell>
          <cell r="H632">
            <v>1.8136880423452628E-2</v>
          </cell>
          <cell r="I632">
            <v>2.4232584901744642E-2</v>
          </cell>
          <cell r="J632">
            <v>2.6544279360648005E-2</v>
          </cell>
          <cell r="K632">
            <v>2.7074828473272271E-2</v>
          </cell>
          <cell r="L632">
            <v>4.3054892175286581E-2</v>
          </cell>
          <cell r="M632">
            <v>3.249152748692858E-2</v>
          </cell>
          <cell r="N632">
            <v>4.3060038870372609E-2</v>
          </cell>
          <cell r="O632">
            <v>3.2263883786230428E-2</v>
          </cell>
          <cell r="P632">
            <v>4.5526694600569607E-2</v>
          </cell>
        </row>
        <row r="633">
          <cell r="B633" t="str">
            <v>CHPOIL</v>
          </cell>
          <cell r="C633" t="str">
            <v>VAR_ncap</v>
          </cell>
          <cell r="D633" t="str">
            <v>-</v>
          </cell>
          <cell r="F633">
            <v>1.060251024428E-5</v>
          </cell>
          <cell r="G633">
            <v>8.3959027005198906E-6</v>
          </cell>
          <cell r="H633">
            <v>8.6612158948649693E-6</v>
          </cell>
          <cell r="I633">
            <v>5.1705220475733001E-5</v>
          </cell>
          <cell r="J633">
            <v>2.7096680423595299E-4</v>
          </cell>
          <cell r="K633">
            <v>4.4356587974472503E-4</v>
          </cell>
          <cell r="L633">
            <v>3.9183992691856903E-4</v>
          </cell>
          <cell r="M633">
            <v>4.1355179571436998E-5</v>
          </cell>
          <cell r="N633">
            <v>5.7193588704186496E-4</v>
          </cell>
          <cell r="O633">
            <v>1.99372931328767E-4</v>
          </cell>
          <cell r="P633">
            <v>1.26554770206167E-3</v>
          </cell>
        </row>
        <row r="634">
          <cell r="B634" t="str">
            <v>CHPOIL</v>
          </cell>
          <cell r="C634" t="str">
            <v>VAR_cap</v>
          </cell>
          <cell r="D634" t="str">
            <v>-</v>
          </cell>
          <cell r="E634">
            <v>4.5772429844494209E-3</v>
          </cell>
          <cell r="F634">
            <v>2.1357389933681394E-3</v>
          </cell>
          <cell r="G634">
            <v>1.9224539204622682E-3</v>
          </cell>
          <cell r="H634">
            <v>1.3421094967382748E-3</v>
          </cell>
          <cell r="I634">
            <v>1.2663397376013676E-3</v>
          </cell>
          <cell r="J634">
            <v>7.4007275107791301E-4</v>
          </cell>
          <cell r="K634">
            <v>7.6721157760278858E-4</v>
          </cell>
          <cell r="L634">
            <v>1.1489664220106696E-3</v>
          </cell>
          <cell r="M634">
            <v>1.1117138406147714E-3</v>
          </cell>
          <cell r="N634">
            <v>1.4348039962538083E-3</v>
          </cell>
          <cell r="O634">
            <v>1.1913727639038375E-3</v>
          </cell>
          <cell r="P634">
            <v>2.0593533538532261E-3</v>
          </cell>
        </row>
        <row r="635">
          <cell r="B635" t="str">
            <v>ENUC_SMR_GOE_I</v>
          </cell>
          <cell r="C635" t="str">
            <v>VAR_fout</v>
          </cell>
          <cell r="D635" t="str">
            <v>LTH</v>
          </cell>
          <cell r="K635">
            <v>0.51524073216288879</v>
          </cell>
          <cell r="L635">
            <v>0.57898334507600346</v>
          </cell>
          <cell r="M635">
            <v>0.56630002757649289</v>
          </cell>
          <cell r="N635">
            <v>0.54009491748269745</v>
          </cell>
          <cell r="O635">
            <v>0.51283581431760572</v>
          </cell>
          <cell r="P635">
            <v>0.42500690811923458</v>
          </cell>
        </row>
        <row r="636">
          <cell r="B636" t="str">
            <v>ENUC_SMR_GOE_I</v>
          </cell>
          <cell r="C636" t="str">
            <v>VAR_fout</v>
          </cell>
          <cell r="D636" t="str">
            <v>ELC</v>
          </cell>
          <cell r="K636">
            <v>0.25493479302145278</v>
          </cell>
          <cell r="L636">
            <v>0.31141765239792574</v>
          </cell>
          <cell r="M636">
            <v>0.34007616107766681</v>
          </cell>
          <cell r="N636">
            <v>0.31451745472216508</v>
          </cell>
          <cell r="O636">
            <v>0.30496810729561935</v>
          </cell>
          <cell r="P636">
            <v>0.32030661427721602</v>
          </cell>
        </row>
        <row r="637">
          <cell r="B637" t="str">
            <v>ENUC_SMR_GOE_I</v>
          </cell>
          <cell r="C637" t="str">
            <v>VAR_fin</v>
          </cell>
          <cell r="D637" t="str">
            <v>URN</v>
          </cell>
          <cell r="K637">
            <v>0.99792742192264994</v>
          </cell>
          <cell r="L637">
            <v>1.1966040210245339</v>
          </cell>
          <cell r="M637">
            <v>1.2774016957122742</v>
          </cell>
          <cell r="N637">
            <v>1.1886617117118363</v>
          </cell>
          <cell r="O637">
            <v>1.1477556212222868</v>
          </cell>
          <cell r="P637">
            <v>1.1549608935463394</v>
          </cell>
        </row>
        <row r="638">
          <cell r="B638" t="str">
            <v>ENUC_SMR_GOE_I</v>
          </cell>
          <cell r="C638" t="str">
            <v>VAR_ncap</v>
          </cell>
          <cell r="D638" t="str">
            <v>-</v>
          </cell>
          <cell r="J638">
            <v>1.37038840771261E-2</v>
          </cell>
          <cell r="K638">
            <v>3.4027849298692101E-6</v>
          </cell>
          <cell r="L638">
            <v>4.72342578959161E-6</v>
          </cell>
          <cell r="M638">
            <v>4.1061196989504399E-5</v>
          </cell>
          <cell r="N638">
            <v>4.2085466664584797E-5</v>
          </cell>
          <cell r="O638">
            <v>2.4980238479940299E-4</v>
          </cell>
        </row>
        <row r="639">
          <cell r="B639" t="str">
            <v>ENUC_SMR_GOE_I</v>
          </cell>
          <cell r="C639" t="str">
            <v>VAR_cap</v>
          </cell>
          <cell r="D639" t="str">
            <v>-</v>
          </cell>
          <cell r="K639">
            <v>1.1276625773238701E-2</v>
          </cell>
          <cell r="L639">
            <v>1.37072868620559E-2</v>
          </cell>
          <cell r="M639">
            <v>1.37153260614698E-2</v>
          </cell>
          <cell r="N639">
            <v>1.3753071484835001E-2</v>
          </cell>
          <cell r="O639">
            <v>1.3780430245095799E-2</v>
          </cell>
          <cell r="P639">
            <v>1.4044959336299E-2</v>
          </cell>
        </row>
        <row r="640">
          <cell r="B640" t="str">
            <v>CHPHFC</v>
          </cell>
          <cell r="C640" t="str">
            <v>VAR_fout</v>
          </cell>
          <cell r="D640" t="str">
            <v>ELC35</v>
          </cell>
          <cell r="J640">
            <v>4.7327791452933272E-3</v>
          </cell>
          <cell r="K640">
            <v>4.7746892899170309E-3</v>
          </cell>
          <cell r="L640">
            <v>1.1086691684588382E-2</v>
          </cell>
          <cell r="M640">
            <v>1.1188385844782739E-2</v>
          </cell>
          <cell r="N640">
            <v>5.1033093216758127E-2</v>
          </cell>
          <cell r="O640">
            <v>5.1829128566715878E-2</v>
          </cell>
          <cell r="P640">
            <v>6.2134368358720278E-2</v>
          </cell>
        </row>
        <row r="641">
          <cell r="B641" t="str">
            <v>CHPHFC</v>
          </cell>
          <cell r="C641" t="str">
            <v>VAR_fout</v>
          </cell>
          <cell r="D641" t="str">
            <v>LTH</v>
          </cell>
          <cell r="J641">
            <v>5.7469461049990175E-3</v>
          </cell>
          <cell r="K641">
            <v>5.9115200732305926E-3</v>
          </cell>
          <cell r="L641">
            <v>1.3990349030551991E-2</v>
          </cell>
          <cell r="M641">
            <v>1.4118677375559148E-2</v>
          </cell>
          <cell r="N641">
            <v>6.4398903344956585E-2</v>
          </cell>
          <cell r="O641">
            <v>6.5403424143712766E-2</v>
          </cell>
          <cell r="P641">
            <v>7.8407655309813556E-2</v>
          </cell>
        </row>
        <row r="642">
          <cell r="B642" t="str">
            <v>CHPHFC</v>
          </cell>
          <cell r="C642" t="str">
            <v>VAR_fin</v>
          </cell>
          <cell r="D642" t="str">
            <v>EH2</v>
          </cell>
          <cell r="J642">
            <v>1.1268521774507928E-2</v>
          </cell>
          <cell r="K642">
            <v>1.1368307833135789E-2</v>
          </cell>
          <cell r="L642">
            <v>2.6396884963305688E-2</v>
          </cell>
          <cell r="M642">
            <v>2.6639013916149378E-2</v>
          </cell>
          <cell r="N642">
            <v>0.12150736480180512</v>
          </cell>
          <cell r="O642">
            <v>0.12340268706360924</v>
          </cell>
          <cell r="P642">
            <v>0.14793897228266731</v>
          </cell>
        </row>
        <row r="643">
          <cell r="B643" t="str">
            <v>CHPHFC</v>
          </cell>
          <cell r="C643" t="str">
            <v>VAR_ncap</v>
          </cell>
          <cell r="D643" t="str">
            <v>-</v>
          </cell>
          <cell r="J643">
            <v>4.3414320538198101E-4</v>
          </cell>
          <cell r="K643">
            <v>6.9910410489095406E-5</v>
          </cell>
          <cell r="L643">
            <v>5.0554822372325399E-4</v>
          </cell>
          <cell r="M643">
            <v>1.6543972459088401E-5</v>
          </cell>
          <cell r="N643">
            <v>2.73563474329107E-3</v>
          </cell>
          <cell r="O643">
            <v>1.53875605239342E-4</v>
          </cell>
          <cell r="P643">
            <v>1.7914998137835E-3</v>
          </cell>
        </row>
        <row r="644">
          <cell r="B644" t="str">
            <v>CHPHFC</v>
          </cell>
          <cell r="C644" t="str">
            <v>VAR_cap</v>
          </cell>
          <cell r="D644" t="str">
            <v>-</v>
          </cell>
          <cell r="J644">
            <v>4.3414320538198101E-4</v>
          </cell>
          <cell r="K644">
            <v>5.0379502297528088E-4</v>
          </cell>
          <cell r="L644">
            <v>1.0082752324391631E-3</v>
          </cell>
          <cell r="M644">
            <v>9.6557513488723732E-4</v>
          </cell>
          <cell r="N644">
            <v>3.323433733113466E-3</v>
          </cell>
          <cell r="O644">
            <v>3.4075592021176157E-3</v>
          </cell>
          <cell r="P644">
            <v>4.6925283175232747E-3</v>
          </cell>
        </row>
        <row r="645">
          <cell r="B645" t="str">
            <v>ITOT-ESOLPV</v>
          </cell>
          <cell r="C645" t="str">
            <v>VAR_fout</v>
          </cell>
          <cell r="D645" t="str">
            <v>ITOT_SOL_ELC</v>
          </cell>
          <cell r="E645">
            <v>3.517953999707534</v>
          </cell>
          <cell r="F645">
            <v>4.8486226008987279</v>
          </cell>
          <cell r="G645">
            <v>11.927072092541732</v>
          </cell>
          <cell r="H645">
            <v>14.116607143568489</v>
          </cell>
          <cell r="I645">
            <v>14.836718811243156</v>
          </cell>
          <cell r="J645">
            <v>15.59354245769409</v>
          </cell>
          <cell r="K645">
            <v>16.388974994190907</v>
          </cell>
          <cell r="L645">
            <v>17.224984168750087</v>
          </cell>
          <cell r="M645">
            <v>18.103639305753067</v>
          </cell>
          <cell r="N645">
            <v>19.027121576951131</v>
          </cell>
          <cell r="O645">
            <v>19.997727115338037</v>
          </cell>
          <cell r="P645">
            <v>21.017943069540127</v>
          </cell>
        </row>
        <row r="646">
          <cell r="B646" t="str">
            <v>ITOT-ESOLPV</v>
          </cell>
          <cell r="C646" t="str">
            <v>VAR_fin</v>
          </cell>
          <cell r="D646" t="str">
            <v>SOL</v>
          </cell>
          <cell r="E646">
            <v>3.517953999707534</v>
          </cell>
          <cell r="F646">
            <v>4.8486226008987279</v>
          </cell>
          <cell r="G646">
            <v>11.927072092541732</v>
          </cell>
          <cell r="H646">
            <v>14.116607143568489</v>
          </cell>
          <cell r="I646">
            <v>14.836718811243156</v>
          </cell>
          <cell r="J646">
            <v>15.59354245769409</v>
          </cell>
          <cell r="K646">
            <v>16.388974994190907</v>
          </cell>
          <cell r="L646">
            <v>17.224984168750087</v>
          </cell>
          <cell r="M646">
            <v>18.103639305753067</v>
          </cell>
          <cell r="N646">
            <v>19.027121576951131</v>
          </cell>
          <cell r="O646">
            <v>19.997727115338037</v>
          </cell>
          <cell r="P646">
            <v>21.017943069540127</v>
          </cell>
        </row>
        <row r="647">
          <cell r="B647" t="str">
            <v>ITOT-ESOLPV</v>
          </cell>
          <cell r="C647" t="str">
            <v>VAR_fin</v>
          </cell>
          <cell r="D647" t="str">
            <v>SOLPVC</v>
          </cell>
          <cell r="E647">
            <v>3.51795399970753</v>
          </cell>
          <cell r="F647">
            <v>4.8486226008987199</v>
          </cell>
          <cell r="G647">
            <v>11.9270720925417</v>
          </cell>
          <cell r="H647">
            <v>14.116607143568499</v>
          </cell>
          <cell r="I647">
            <v>14.8367188112432</v>
          </cell>
          <cell r="J647">
            <v>15.593542457694101</v>
          </cell>
          <cell r="K647">
            <v>16.3889749941909</v>
          </cell>
          <cell r="L647">
            <v>17.224984168750101</v>
          </cell>
          <cell r="M647">
            <v>18.103639305753099</v>
          </cell>
          <cell r="N647">
            <v>19.0271215769511</v>
          </cell>
          <cell r="O647">
            <v>19.997727115338002</v>
          </cell>
          <cell r="P647">
            <v>21.017943069540099</v>
          </cell>
        </row>
        <row r="648">
          <cell r="B648" t="str">
            <v>ITOT-ESOLPV</v>
          </cell>
          <cell r="C648" t="str">
            <v>VAR_ncap</v>
          </cell>
          <cell r="D648" t="str">
            <v>-</v>
          </cell>
          <cell r="F648">
            <v>1.30443266707332E-7</v>
          </cell>
          <cell r="G648">
            <v>1.76796695381085</v>
          </cell>
          <cell r="H648">
            <v>5.3525733757507497E-6</v>
          </cell>
          <cell r="I648">
            <v>0.69053013453498902</v>
          </cell>
          <cell r="J648">
            <v>0.80694998983042299</v>
          </cell>
          <cell r="K648">
            <v>2.2438011206208199</v>
          </cell>
          <cell r="L648">
            <v>0.51996753553654795</v>
          </cell>
          <cell r="M648">
            <v>0.80519806133331695</v>
          </cell>
          <cell r="N648">
            <v>1.1381084096907801</v>
          </cell>
          <cell r="O648">
            <v>2.4839179482137399</v>
          </cell>
          <cell r="P648">
            <v>0.772358574460287</v>
          </cell>
        </row>
        <row r="649">
          <cell r="B649" t="str">
            <v>ITOT-ESOLPV</v>
          </cell>
          <cell r="C649" t="str">
            <v>VAR_cap</v>
          </cell>
          <cell r="D649" t="str">
            <v>-</v>
          </cell>
          <cell r="E649">
            <v>1.1186210000000001</v>
          </cell>
          <cell r="F649">
            <v>1.6529271450303167</v>
          </cell>
          <cell r="G649">
            <v>3.5611880842541197</v>
          </cell>
          <cell r="H649">
            <v>3.4922775400233901</v>
          </cell>
          <cell r="I649">
            <v>3.67042442842205</v>
          </cell>
          <cell r="J649">
            <v>3.8576531355455113</v>
          </cell>
          <cell r="K649">
            <v>4.0544306078415602</v>
          </cell>
          <cell r="L649">
            <v>4.2612487805227799</v>
          </cell>
          <cell r="M649">
            <v>4.47861719233976</v>
          </cell>
          <cell r="N649">
            <v>4.7070751271814597</v>
          </cell>
          <cell r="O649">
            <v>4.9471919547743797</v>
          </cell>
          <cell r="P649">
            <v>5.1995829936981197</v>
          </cell>
        </row>
        <row r="650">
          <cell r="B650" t="str">
            <v>RHNS-CHPNGA</v>
          </cell>
          <cell r="C650" t="str">
            <v>VAR_fout</v>
          </cell>
          <cell r="D650" t="str">
            <v>CO2_R</v>
          </cell>
          <cell r="F650">
            <v>0.14139208081492699</v>
          </cell>
          <cell r="G650">
            <v>1.19522681326074</v>
          </cell>
          <cell r="H650">
            <v>1.0643993610729701</v>
          </cell>
          <cell r="I650">
            <v>2.70605383957863</v>
          </cell>
          <cell r="J650">
            <v>2.6059171826363001</v>
          </cell>
          <cell r="K650">
            <v>3.75931929033649</v>
          </cell>
          <cell r="L650">
            <v>6.0586379694122803</v>
          </cell>
          <cell r="M650">
            <v>4.7302478053396397</v>
          </cell>
          <cell r="N650">
            <v>5.9087871635796398</v>
          </cell>
          <cell r="O650">
            <v>3.8060625045666701</v>
          </cell>
          <cell r="P650">
            <v>4.7069337759477703</v>
          </cell>
        </row>
        <row r="651">
          <cell r="B651" t="str">
            <v>RHNS-CHPNGA</v>
          </cell>
          <cell r="C651" t="str">
            <v>VAR_fout</v>
          </cell>
          <cell r="D651" t="str">
            <v>RHNS_LTH_CHPNGA</v>
          </cell>
          <cell r="F651">
            <v>1.5380608236515881E-3</v>
          </cell>
          <cell r="G651">
            <v>9.8924982376891128E-3</v>
          </cell>
          <cell r="H651">
            <v>9.6565572813798253E-3</v>
          </cell>
          <cell r="I651">
            <v>2.5392224711712905E-2</v>
          </cell>
          <cell r="J651">
            <v>2.4909272021144353E-2</v>
          </cell>
          <cell r="K651">
            <v>3.7762353160290481E-2</v>
          </cell>
          <cell r="L651">
            <v>5.7945169208489196E-2</v>
          </cell>
          <cell r="M651">
            <v>4.8116689117820299E-2</v>
          </cell>
          <cell r="N651">
            <v>5.619059959699884E-2</v>
          </cell>
          <cell r="O651">
            <v>3.613920838486083E-2</v>
          </cell>
          <cell r="P651">
            <v>3.8324120199984636E-2</v>
          </cell>
        </row>
        <row r="652">
          <cell r="B652" t="str">
            <v>RHNS-CHPNGA</v>
          </cell>
          <cell r="C652" t="str">
            <v>VAR_fout</v>
          </cell>
          <cell r="D652" t="str">
            <v>RHNS_NKEV_GAS_ELC_CHP</v>
          </cell>
          <cell r="F652">
            <v>6.4541184651454209E-4</v>
          </cell>
          <cell r="G652">
            <v>4.2157433301538635E-3</v>
          </cell>
          <cell r="H652">
            <v>4.2247438106036636E-3</v>
          </cell>
          <cell r="I652">
            <v>1.1207408915899832E-2</v>
          </cell>
          <cell r="J652">
            <v>1.1092410196915833E-2</v>
          </cell>
          <cell r="K652">
            <v>1.7094665144176409E-2</v>
          </cell>
          <cell r="L652">
            <v>2.6673173127717227E-2</v>
          </cell>
          <cell r="M652">
            <v>2.2148952133599822E-2</v>
          </cell>
          <cell r="N652">
            <v>2.5865514100205822E-2</v>
          </cell>
          <cell r="O652">
            <v>1.6635508621602593E-2</v>
          </cell>
          <cell r="P652">
            <v>1.7641261679358002E-2</v>
          </cell>
        </row>
        <row r="653">
          <cell r="B653" t="str">
            <v>RHNS-CHPNGA</v>
          </cell>
          <cell r="C653" t="str">
            <v>VAR_fin</v>
          </cell>
          <cell r="D653" t="str">
            <v>RNGA</v>
          </cell>
          <cell r="F653">
            <v>2.5069517874987111E-3</v>
          </cell>
          <cell r="G653">
            <v>2.1191964774126545E-2</v>
          </cell>
          <cell r="H653">
            <v>1.8872329097038499E-2</v>
          </cell>
          <cell r="I653">
            <v>4.7979678006713329E-2</v>
          </cell>
          <cell r="J653">
            <v>4.6204205365891829E-2</v>
          </cell>
          <cell r="K653">
            <v>6.6654597346391731E-2</v>
          </cell>
          <cell r="L653">
            <v>0.10742265903213261</v>
          </cell>
          <cell r="M653">
            <v>8.3869641938646045E-2</v>
          </cell>
          <cell r="N653">
            <v>0.10476572985070275</v>
          </cell>
          <cell r="O653">
            <v>6.748337774054386E-2</v>
          </cell>
          <cell r="P653">
            <v>8.3456272623187402E-2</v>
          </cell>
        </row>
        <row r="654">
          <cell r="B654" t="str">
            <v>RHNS-CHPNGA</v>
          </cell>
          <cell r="C654" t="str">
            <v>VAR_ncap</v>
          </cell>
          <cell r="D654" t="str">
            <v>-</v>
          </cell>
          <cell r="F654">
            <v>8.3581542585393795E-5</v>
          </cell>
          <cell r="G654">
            <v>2.9116984109827998E-4</v>
          </cell>
          <cell r="H654">
            <v>1.12155104458298E-6</v>
          </cell>
          <cell r="I654">
            <v>6.2110536623006401E-4</v>
          </cell>
          <cell r="J654">
            <v>2.19804934204717E-5</v>
          </cell>
          <cell r="K654">
            <v>8.2480919641809004E-4</v>
          </cell>
          <cell r="L654">
            <v>9.0446906560343401E-4</v>
          </cell>
          <cell r="M654">
            <v>3.2822505079911602E-5</v>
          </cell>
          <cell r="N654">
            <v>5.3841886026662197E-4</v>
          </cell>
          <cell r="O654">
            <v>4.2875765758092304E-6</v>
          </cell>
          <cell r="P654">
            <v>9.9516087019668395E-4</v>
          </cell>
        </row>
        <row r="655">
          <cell r="B655" t="str">
            <v>RHNS-CHPNGA</v>
          </cell>
          <cell r="C655" t="str">
            <v>VAR_cap</v>
          </cell>
          <cell r="D655" t="str">
            <v>-</v>
          </cell>
          <cell r="F655">
            <v>8.3581542585393795E-5</v>
          </cell>
          <cell r="G655">
            <v>3.7473213991946487E-4</v>
          </cell>
          <cell r="H655">
            <v>3.7580461342551767E-4</v>
          </cell>
          <cell r="I655">
            <v>9.9678477730987913E-4</v>
          </cell>
          <cell r="J655">
            <v>9.8638181568964619E-4</v>
          </cell>
          <cell r="K655">
            <v>1.5198814658160722E-3</v>
          </cell>
          <cell r="L655">
            <v>2.3720128207154996E-3</v>
          </cell>
          <cell r="M655">
            <v>1.9692204220043532E-3</v>
          </cell>
          <cell r="N655">
            <v>2.3000510541090029E-3</v>
          </cell>
          <cell r="O655">
            <v>1.4794762460555492E-3</v>
          </cell>
          <cell r="P655">
            <v>1.5699655493144977E-3</v>
          </cell>
        </row>
        <row r="656">
          <cell r="B656" t="str">
            <v>ENUC_BEZ</v>
          </cell>
          <cell r="C656" t="str">
            <v>VAR_fout</v>
          </cell>
          <cell r="D656" t="str">
            <v>ELC</v>
          </cell>
          <cell r="E656">
            <v>20.224802714184531</v>
          </cell>
          <cell r="F656">
            <v>20.224770212989128</v>
          </cell>
          <cell r="G656">
            <v>18.313335297456071</v>
          </cell>
          <cell r="H656">
            <v>15.903217942783316</v>
          </cell>
        </row>
        <row r="657">
          <cell r="B657" t="str">
            <v>ENUC_BEZ</v>
          </cell>
          <cell r="C657" t="str">
            <v>VAR_fin</v>
          </cell>
          <cell r="D657" t="str">
            <v>URN</v>
          </cell>
          <cell r="E657">
            <v>60.972103207606821</v>
          </cell>
          <cell r="F657">
            <v>60.972005225625594</v>
          </cell>
          <cell r="G657">
            <v>55.209565483122326</v>
          </cell>
          <cell r="H657">
            <v>47.943738163655418</v>
          </cell>
        </row>
        <row r="658">
          <cell r="B658" t="str">
            <v>ENUC_BEZ</v>
          </cell>
          <cell r="C658" t="str">
            <v>VAR_cap</v>
          </cell>
          <cell r="D658" t="str">
            <v>-</v>
          </cell>
          <cell r="E658">
            <v>0.72999995889387981</v>
          </cell>
          <cell r="F658">
            <v>0.72999918332543168</v>
          </cell>
          <cell r="G658">
            <v>0.71676810661324308</v>
          </cell>
          <cell r="H658">
            <v>0.5740160384969305</v>
          </cell>
        </row>
        <row r="659">
          <cell r="B659" t="str">
            <v>RHNM-CHPWOD</v>
          </cell>
          <cell r="C659" t="str">
            <v>VAR_fout</v>
          </cell>
          <cell r="D659" t="str">
            <v>RHNM_LTH_CHPWOD</v>
          </cell>
          <cell r="H659">
            <v>1.4348531029474393E-2</v>
          </cell>
          <cell r="I659">
            <v>1.6470841506402285E-2</v>
          </cell>
          <cell r="J659">
            <v>1.4911105003030967E-2</v>
          </cell>
          <cell r="K659">
            <v>1.8203945517497044E-2</v>
          </cell>
          <cell r="L659">
            <v>4.0039096326787871E-2</v>
          </cell>
          <cell r="M659">
            <v>3.7308632305696775E-2</v>
          </cell>
          <cell r="N659">
            <v>3.4153891150025331E-2</v>
          </cell>
          <cell r="O659">
            <v>3.4778828369115632E-2</v>
          </cell>
          <cell r="P659">
            <v>5.5235875987242097E-2</v>
          </cell>
        </row>
        <row r="660">
          <cell r="B660" t="str">
            <v>RHNM-CHPWOD</v>
          </cell>
          <cell r="C660" t="str">
            <v>VAR_fout</v>
          </cell>
          <cell r="D660" t="str">
            <v>RHNM_KEV_WOD_ELC_CHP</v>
          </cell>
          <cell r="H660">
            <v>5.393984812932036E-3</v>
          </cell>
          <cell r="I660">
            <v>6.1918163440734478E-3</v>
          </cell>
          <cell r="J660">
            <v>5.6054709548431191E-3</v>
          </cell>
          <cell r="K660">
            <v>6.8433350741701812E-3</v>
          </cell>
          <cell r="L660">
            <v>1.5051734359885062E-2</v>
          </cell>
          <cell r="M660">
            <v>1.4025282144548974E-2</v>
          </cell>
          <cell r="N660">
            <v>1.2839333154546538E-2</v>
          </cell>
          <cell r="O660">
            <v>1.3074263257278644E-2</v>
          </cell>
          <cell r="P660">
            <v>2.07645978248336E-2</v>
          </cell>
        </row>
        <row r="661">
          <cell r="B661" t="str">
            <v>RHNM-CHPWOD</v>
          </cell>
          <cell r="C661" t="str">
            <v>VAR_fin</v>
          </cell>
          <cell r="D661" t="str">
            <v>RWOD</v>
          </cell>
          <cell r="H661">
            <v>2.2349809155548725E-2</v>
          </cell>
          <cell r="I661">
            <v>2.5387735435378273E-2</v>
          </cell>
          <cell r="J661">
            <v>2.2798039808016909E-2</v>
          </cell>
          <cell r="K661">
            <v>2.741620111558115E-2</v>
          </cell>
          <cell r="L661">
            <v>5.9084443822114953E-2</v>
          </cell>
          <cell r="M661">
            <v>5.2541938799979204E-2</v>
          </cell>
          <cell r="N661">
            <v>5.0970729545198171E-2</v>
          </cell>
          <cell r="O661">
            <v>5.1051461370366459E-2</v>
          </cell>
          <cell r="P661">
            <v>8.4373544358036068E-2</v>
          </cell>
        </row>
        <row r="662">
          <cell r="B662" t="str">
            <v>RHNM-CHPWOD</v>
          </cell>
          <cell r="C662" t="str">
            <v>VAR_ncap</v>
          </cell>
          <cell r="D662" t="str">
            <v>-</v>
          </cell>
          <cell r="H662">
            <v>4.0063275118703499E-4</v>
          </cell>
          <cell r="I662">
            <v>6.0822522661516499E-5</v>
          </cell>
          <cell r="J662">
            <v>3.3534038306088202E-5</v>
          </cell>
          <cell r="K662">
            <v>4.1504466143350198E-4</v>
          </cell>
          <cell r="L662">
            <v>6.7121674812358704E-4</v>
          </cell>
          <cell r="M662">
            <v>6.3693023223478899E-6</v>
          </cell>
          <cell r="N662">
            <v>2.7969184175000102E-4</v>
          </cell>
          <cell r="O662">
            <v>5.7019382769801395E-4</v>
          </cell>
          <cell r="P662">
            <v>6.9779197675244001E-4</v>
          </cell>
        </row>
        <row r="663">
          <cell r="B663" t="str">
            <v>RHNM-CHPWOD</v>
          </cell>
          <cell r="C663" t="str">
            <v>VAR_cap</v>
          </cell>
          <cell r="D663" t="str">
            <v>-</v>
          </cell>
          <cell r="H663">
            <v>4.0063275118703499E-4</v>
          </cell>
          <cell r="I663">
            <v>4.6132583759559987E-4</v>
          </cell>
          <cell r="J663">
            <v>4.1816718766206649E-4</v>
          </cell>
          <cell r="K663">
            <v>5.0886665786964013E-4</v>
          </cell>
          <cell r="L663">
            <v>1.1189682757756455E-3</v>
          </cell>
          <cell r="M663">
            <v>1.0416762347323584E-3</v>
          </cell>
          <cell r="N663">
            <v>9.5625244675427983E-4</v>
          </cell>
          <cell r="O663">
            <v>9.7166193545896546E-4</v>
          </cell>
          <cell r="P663">
            <v>1.546525004967316E-3</v>
          </cell>
        </row>
        <row r="664">
          <cell r="B664" t="str">
            <v>RHNM-SHSTG-CHPNGA</v>
          </cell>
          <cell r="C664" t="str">
            <v>VAR_fout</v>
          </cell>
          <cell r="D664" t="str">
            <v>AUX_RNM-CHPNGA_OUT</v>
          </cell>
          <cell r="E664">
            <v>3.2966109395583815E-4</v>
          </cell>
          <cell r="F664">
            <v>2.4981350260815409E-4</v>
          </cell>
          <cell r="G664">
            <v>8.7019344306383441E-3</v>
          </cell>
          <cell r="H664">
            <v>9.6162696119221014E-2</v>
          </cell>
          <cell r="I664">
            <v>0.10043639964533108</v>
          </cell>
          <cell r="J664">
            <v>8.215152181621875E-2</v>
          </cell>
          <cell r="K664">
            <v>6.5182452148973141E-2</v>
          </cell>
          <cell r="L664">
            <v>0.12070551501349323</v>
          </cell>
          <cell r="M664">
            <v>9.2131676615425775E-2</v>
          </cell>
          <cell r="N664">
            <v>0.1664369646704186</v>
          </cell>
          <cell r="O664">
            <v>7.6448923512143427E-2</v>
          </cell>
          <cell r="P664">
            <v>0.21779642357078924</v>
          </cell>
        </row>
        <row r="665">
          <cell r="B665" t="str">
            <v>RHNM-SHSTG-CHPNGA</v>
          </cell>
          <cell r="C665" t="str">
            <v>VAR_fout</v>
          </cell>
          <cell r="D665" t="str">
            <v>RHNM_LTH_CHPNGA</v>
          </cell>
          <cell r="E665">
            <v>3.2966109395583739E-4</v>
          </cell>
          <cell r="F665">
            <v>2.499800449432257E-4</v>
          </cell>
          <cell r="G665">
            <v>8.7109989456702515E-3</v>
          </cell>
          <cell r="H665">
            <v>9.6162696119221014E-2</v>
          </cell>
          <cell r="I665">
            <v>0.10052871251265211</v>
          </cell>
          <cell r="J665">
            <v>8.2151521816218487E-2</v>
          </cell>
          <cell r="K665">
            <v>6.5235705786349574E-2</v>
          </cell>
          <cell r="L665">
            <v>0.12070551501349315</v>
          </cell>
          <cell r="M665">
            <v>9.2131676615425664E-2</v>
          </cell>
          <cell r="N665">
            <v>0.16643696467041838</v>
          </cell>
          <cell r="O665">
            <v>7.6448923512143344E-2</v>
          </cell>
          <cell r="P665">
            <v>0.21779642357078899</v>
          </cell>
        </row>
        <row r="666">
          <cell r="B666" t="str">
            <v>RHNM-SHSTG-CHPNGA</v>
          </cell>
          <cell r="C666" t="str">
            <v>VAR_fin</v>
          </cell>
          <cell r="D666" t="str">
            <v>AUX_RNM-CHPNGA_IN</v>
          </cell>
          <cell r="E666">
            <v>2.552221763759137E-4</v>
          </cell>
          <cell r="F666">
            <v>3.3254304679075826E-4</v>
          </cell>
          <cell r="G666">
            <v>1.1232623856116343E-2</v>
          </cell>
          <cell r="H666">
            <v>0.12019769723869822</v>
          </cell>
          <cell r="I666">
            <v>0.12185320305269362</v>
          </cell>
          <cell r="J666">
            <v>9.665103108412397E-2</v>
          </cell>
          <cell r="K666">
            <v>7.4559456104502625E-2</v>
          </cell>
          <cell r="L666">
            <v>0.13412029354791216</v>
          </cell>
          <cell r="M666">
            <v>0.10237332972760943</v>
          </cell>
          <cell r="N666">
            <v>0.18493083350041156</v>
          </cell>
          <cell r="O666">
            <v>8.4945342959922607E-2</v>
          </cell>
          <cell r="P666">
            <v>0.24199742259858917</v>
          </cell>
        </row>
        <row r="667">
          <cell r="B667" t="str">
            <v>RHNM-SHSTG-CHPNGA</v>
          </cell>
          <cell r="C667" t="str">
            <v>VAR_fin</v>
          </cell>
          <cell r="D667" t="str">
            <v>RHNM_LTH_CHPNGA</v>
          </cell>
          <cell r="E667">
            <v>2.552221763759137E-4</v>
          </cell>
          <cell r="F667">
            <v>3.3254304679075826E-4</v>
          </cell>
          <cell r="G667">
            <v>1.1232623856116343E-2</v>
          </cell>
          <cell r="H667">
            <v>0.12019769723869822</v>
          </cell>
          <cell r="I667">
            <v>0.12185320305269362</v>
          </cell>
          <cell r="J667">
            <v>9.665103108412397E-2</v>
          </cell>
          <cell r="K667">
            <v>7.4559456104502625E-2</v>
          </cell>
          <cell r="L667">
            <v>0.13412029354791216</v>
          </cell>
          <cell r="M667">
            <v>0.10237332972760943</v>
          </cell>
          <cell r="N667">
            <v>0.18493083350041156</v>
          </cell>
          <cell r="O667">
            <v>8.4945342959922607E-2</v>
          </cell>
          <cell r="P667">
            <v>0.24199742259858917</v>
          </cell>
        </row>
        <row r="668">
          <cell r="B668" t="str">
            <v>RHNM-SHSTG-CHPNGA</v>
          </cell>
          <cell r="C668" t="str">
            <v>VAR_ncap</v>
          </cell>
          <cell r="D668" t="str">
            <v>-</v>
          </cell>
          <cell r="E668">
            <v>8.4288483110386506E-3</v>
          </cell>
          <cell r="F668">
            <v>2.7307020525823899E-4</v>
          </cell>
          <cell r="G668">
            <v>7.0552529790857002E-4</v>
          </cell>
          <cell r="H668">
            <v>3.1008844980830001E-2</v>
          </cell>
          <cell r="I668">
            <v>6.3950792290793897E-3</v>
          </cell>
          <cell r="J668">
            <v>3.11972911351443E-3</v>
          </cell>
          <cell r="K668">
            <v>9.6367027890282494E-3</v>
          </cell>
          <cell r="L668">
            <v>2.12993355455212E-2</v>
          </cell>
          <cell r="M668">
            <v>7.9331866358793596E-3</v>
          </cell>
          <cell r="N668">
            <v>3.06395567319086E-3</v>
          </cell>
          <cell r="O668">
            <v>6.0357225863150697E-3</v>
          </cell>
          <cell r="P668">
            <v>2.1356832980386702E-2</v>
          </cell>
        </row>
        <row r="669">
          <cell r="B669" t="str">
            <v>RHNM-SHSTG-CHPNGA</v>
          </cell>
          <cell r="C669" t="str">
            <v>VAR_cap</v>
          </cell>
          <cell r="D669" t="str">
            <v>-</v>
          </cell>
          <cell r="E669">
            <v>8.4288483110386506E-3</v>
          </cell>
          <cell r="F669">
            <v>8.6886561380833827E-3</v>
          </cell>
          <cell r="G669">
            <v>9.3538035867375639E-3</v>
          </cell>
          <cell r="H669">
            <v>4.0260721630011931E-2</v>
          </cell>
          <cell r="I669">
            <v>4.0246269656829259E-2</v>
          </cell>
          <cell r="J669">
            <v>3.4664916695697302E-2</v>
          </cell>
          <cell r="K669">
            <v>1.9052823455353106E-2</v>
          </cell>
          <cell r="L669">
            <v>3.3942552652978464E-2</v>
          </cell>
          <cell r="M669">
            <v>3.7819606163491025E-2</v>
          </cell>
          <cell r="N669">
            <v>3.2117119881212061E-2</v>
          </cell>
          <cell r="O669">
            <v>1.8053947375417188E-2</v>
          </cell>
          <cell r="P669">
            <v>3.0315778026026776E-2</v>
          </cell>
        </row>
        <row r="670">
          <cell r="B670" t="str">
            <v>CT_CWODBDS</v>
          </cell>
          <cell r="C670" t="str">
            <v>VAR_fout</v>
          </cell>
          <cell r="D670" t="str">
            <v>BDS</v>
          </cell>
          <cell r="E670">
            <v>0.5865877815207079</v>
          </cell>
          <cell r="F670">
            <v>0.63732246491143663</v>
          </cell>
          <cell r="G670">
            <v>0.62963853768677547</v>
          </cell>
          <cell r="H670">
            <v>9.8066988460196458E-4</v>
          </cell>
          <cell r="I670">
            <v>7.9374080498451072E-4</v>
          </cell>
          <cell r="J670">
            <v>2.0758580680027812E-3</v>
          </cell>
          <cell r="K670">
            <v>2.7355943410638595E-3</v>
          </cell>
          <cell r="L670">
            <v>3.8583980240493622E-2</v>
          </cell>
          <cell r="M670">
            <v>0.2813211584854417</v>
          </cell>
          <cell r="N670">
            <v>0.43941764928169968</v>
          </cell>
          <cell r="O670">
            <v>1.3413850340144695</v>
          </cell>
          <cell r="P670">
            <v>1.5546972210446051</v>
          </cell>
        </row>
        <row r="671">
          <cell r="B671" t="str">
            <v>CT_CWODBDS</v>
          </cell>
          <cell r="C671" t="str">
            <v>VAR_fout</v>
          </cell>
          <cell r="D671" t="str">
            <v>LTH</v>
          </cell>
          <cell r="E671">
            <v>0.22876923479307545</v>
          </cell>
          <cell r="F671">
            <v>0.24855576131545984</v>
          </cell>
          <cell r="G671">
            <v>0.24555902969784205</v>
          </cell>
          <cell r="H671">
            <v>3.824612549947656E-4</v>
          </cell>
          <cell r="I671">
            <v>3.095589139439588E-4</v>
          </cell>
          <cell r="J671">
            <v>8.0958464652108408E-4</v>
          </cell>
          <cell r="K671">
            <v>1.0668817930149033E-3</v>
          </cell>
          <cell r="L671">
            <v>1.5047752293792507E-2</v>
          </cell>
          <cell r="M671">
            <v>0.10971525180932221</v>
          </cell>
          <cell r="N671">
            <v>0.17137288321986283</v>
          </cell>
          <cell r="O671">
            <v>0.52314016326564261</v>
          </cell>
          <cell r="P671">
            <v>0.60633191620739457</v>
          </cell>
        </row>
        <row r="672">
          <cell r="B672" t="str">
            <v>CT_CWODBDS</v>
          </cell>
          <cell r="C672" t="str">
            <v>VAR_fin</v>
          </cell>
          <cell r="D672" t="str">
            <v>CWOD</v>
          </cell>
          <cell r="E672">
            <v>1.6714818834432545</v>
          </cell>
          <cell r="F672">
            <v>1.8160503637651355</v>
          </cell>
          <cell r="G672">
            <v>1.7941550131384651</v>
          </cell>
          <cell r="H672">
            <v>2.794418836173295E-3</v>
          </cell>
          <cell r="I672">
            <v>2.2617644238033608E-3</v>
          </cell>
          <cell r="J672">
            <v>5.9151575647739211E-3</v>
          </cell>
          <cell r="K672">
            <v>7.7950760748614597E-3</v>
          </cell>
          <cell r="L672">
            <v>0.10994505169528648</v>
          </cell>
          <cell r="M672">
            <v>0.80162464110426612</v>
          </cell>
          <cell r="N672">
            <v>1.2521205916282032</v>
          </cell>
          <cell r="O672">
            <v>3.8222766544242281</v>
          </cell>
          <cell r="P672">
            <v>4.4301097313666</v>
          </cell>
        </row>
        <row r="673">
          <cell r="B673" t="str">
            <v>CT_CWODBDS</v>
          </cell>
          <cell r="C673" t="str">
            <v>VAR_fin</v>
          </cell>
          <cell r="D673" t="str">
            <v>CELC</v>
          </cell>
          <cell r="E673">
            <v>4.0767850815689115E-2</v>
          </cell>
          <cell r="F673">
            <v>4.429391131134483E-2</v>
          </cell>
          <cell r="G673">
            <v>4.3759878369230877E-2</v>
          </cell>
          <cell r="H673">
            <v>6.8156556979836563E-5</v>
          </cell>
          <cell r="I673">
            <v>5.5164985946423492E-5</v>
          </cell>
          <cell r="J673">
            <v>1.4427213572619336E-4</v>
          </cell>
          <cell r="K673">
            <v>1.9012380670393832E-4</v>
          </cell>
          <cell r="L673">
            <v>2.6815866267143073E-3</v>
          </cell>
          <cell r="M673">
            <v>1.9551820514738194E-2</v>
          </cell>
          <cell r="N673">
            <v>3.0539526625078136E-2</v>
          </cell>
          <cell r="O673">
            <v>9.3226259864005623E-2</v>
          </cell>
          <cell r="P673">
            <v>0.10805145686260008</v>
          </cell>
        </row>
        <row r="674">
          <cell r="B674" t="str">
            <v>CT_CWODBDS</v>
          </cell>
          <cell r="C674" t="str">
            <v>VAR_ncap</v>
          </cell>
          <cell r="D674" t="str">
            <v>-</v>
          </cell>
          <cell r="E674">
            <v>9.33080315303741E-7</v>
          </cell>
          <cell r="F674">
            <v>5.4483157656781101E-7</v>
          </cell>
          <cell r="G674">
            <v>4.9850806953624302E-7</v>
          </cell>
          <cell r="H674">
            <v>6.0889549222411598E-7</v>
          </cell>
          <cell r="I674">
            <v>6.3925038104659505E-5</v>
          </cell>
          <cell r="J674">
            <v>7.6114028938363299E-5</v>
          </cell>
          <cell r="K674">
            <v>3.2899340786950401E-5</v>
          </cell>
          <cell r="L674">
            <v>1.8372223640617301E-3</v>
          </cell>
          <cell r="M674">
            <v>1.2639230429698301E-2</v>
          </cell>
          <cell r="N674">
            <v>8.2860184542679505E-3</v>
          </cell>
          <cell r="O674">
            <v>4.6801700090082297E-2</v>
          </cell>
          <cell r="P674">
            <v>1.290424769265E-2</v>
          </cell>
        </row>
        <row r="675">
          <cell r="B675" t="str">
            <v>CT_CWODBDS</v>
          </cell>
          <cell r="C675" t="str">
            <v>VAR_cap</v>
          </cell>
          <cell r="D675" t="str">
            <v>-</v>
          </cell>
          <cell r="E675">
            <v>3.3088240641657704E-2</v>
          </cell>
          <cell r="F675">
            <v>3.3050390421102673E-2</v>
          </cell>
          <cell r="G675">
            <v>3.2653106227877204E-2</v>
          </cell>
          <cell r="H675">
            <v>1.4168679820983354E-4</v>
          </cell>
          <cell r="I675">
            <v>9.9995033336771136E-5</v>
          </cell>
          <cell r="J675">
            <v>1.4034692486902985E-4</v>
          </cell>
          <cell r="K675">
            <v>1.7222712935361902E-4</v>
          </cell>
          <cell r="L675">
            <v>2.0071800741532897E-3</v>
          </cell>
          <cell r="M675">
            <v>1.4590155725694021E-2</v>
          </cell>
          <cell r="N675">
            <v>2.2791309522798345E-2</v>
          </cell>
          <cell r="O675">
            <v>6.9560188372131168E-2</v>
          </cell>
          <cell r="P675">
            <v>8.0626510372256543E-2</v>
          </cell>
        </row>
        <row r="676">
          <cell r="B676" t="str">
            <v>RHNS-EBAT</v>
          </cell>
          <cell r="C676" t="str">
            <v>VAR_fout</v>
          </cell>
          <cell r="D676" t="str">
            <v>RHNS_ELC</v>
          </cell>
          <cell r="E676">
            <v>2.7615726956972575E-3</v>
          </cell>
          <cell r="F676">
            <v>2.7450614651201334E-3</v>
          </cell>
          <cell r="G676">
            <v>2.739774379818549E-3</v>
          </cell>
          <cell r="H676">
            <v>3.9237431983624484E-2</v>
          </cell>
          <cell r="I676">
            <v>5.3757590839005109E-2</v>
          </cell>
          <cell r="J676">
            <v>5.572662463962326E-2</v>
          </cell>
          <cell r="K676">
            <v>6.2453917174220455E-2</v>
          </cell>
          <cell r="L676">
            <v>6.7175117284895502E-2</v>
          </cell>
          <cell r="M676">
            <v>7.13194726831963E-2</v>
          </cell>
          <cell r="N676">
            <v>7.3113761328759408E-2</v>
          </cell>
          <cell r="O676">
            <v>7.2847409460121845E-2</v>
          </cell>
          <cell r="P676">
            <v>7.9484231104256134E-2</v>
          </cell>
        </row>
        <row r="677">
          <cell r="B677" t="str">
            <v>RHNS-EBAT</v>
          </cell>
          <cell r="C677" t="str">
            <v>VAR_fout</v>
          </cell>
          <cell r="D677" t="str">
            <v>AUX_RHNS-EBAT_OUT</v>
          </cell>
          <cell r="E677">
            <v>2.7615726956972592E-3</v>
          </cell>
          <cell r="F677">
            <v>2.7450614651201356E-3</v>
          </cell>
          <cell r="G677">
            <v>2.7397743798185507E-3</v>
          </cell>
          <cell r="H677">
            <v>3.9237431983624518E-2</v>
          </cell>
          <cell r="I677">
            <v>5.3757590839005158E-2</v>
          </cell>
          <cell r="J677">
            <v>5.5726624639623301E-2</v>
          </cell>
          <cell r="K677">
            <v>6.2453917174220483E-2</v>
          </cell>
          <cell r="L677">
            <v>6.7175117284895544E-2</v>
          </cell>
          <cell r="M677">
            <v>7.1319472683196369E-2</v>
          </cell>
          <cell r="N677">
            <v>7.3113761328759463E-2</v>
          </cell>
          <cell r="O677">
            <v>7.2847409460121942E-2</v>
          </cell>
          <cell r="P677">
            <v>7.9484231104256231E-2</v>
          </cell>
        </row>
        <row r="678">
          <cell r="B678" t="str">
            <v>RHNS-EBAT</v>
          </cell>
          <cell r="C678" t="str">
            <v>VAR_fin</v>
          </cell>
          <cell r="D678" t="str">
            <v>RHNS_ELC</v>
          </cell>
          <cell r="E678">
            <v>3.0553224354692679E-3</v>
          </cell>
          <cell r="F678">
            <v>3.0373744316458231E-3</v>
          </cell>
          <cell r="G678">
            <v>3.0303314102031204E-3</v>
          </cell>
          <cell r="H678">
            <v>4.3391921041501101E-2</v>
          </cell>
          <cell r="I678">
            <v>5.9449298471880803E-2</v>
          </cell>
          <cell r="J678">
            <v>6.162648285231808E-2</v>
          </cell>
          <cell r="K678">
            <v>6.9065968176795209E-2</v>
          </cell>
          <cell r="L678">
            <v>7.4288247361159507E-2</v>
          </cell>
          <cell r="M678">
            <v>7.8870197747801601E-2</v>
          </cell>
          <cell r="N678">
            <v>8.0857656388876223E-2</v>
          </cell>
          <cell r="O678">
            <v>8.056086587365674E-2</v>
          </cell>
          <cell r="P678">
            <v>8.7906748004733609E-2</v>
          </cell>
        </row>
        <row r="679">
          <cell r="B679" t="str">
            <v>RHNS-EBAT</v>
          </cell>
          <cell r="C679" t="str">
            <v>VAR_fin</v>
          </cell>
          <cell r="D679" t="str">
            <v>AUX_RHNS-EBAT_IN</v>
          </cell>
          <cell r="E679">
            <v>3.0553224354692679E-3</v>
          </cell>
          <cell r="F679">
            <v>3.0373744316458231E-3</v>
          </cell>
          <cell r="G679">
            <v>3.0303314102031204E-3</v>
          </cell>
          <cell r="H679">
            <v>4.3391921041501101E-2</v>
          </cell>
          <cell r="I679">
            <v>5.9449298471880803E-2</v>
          </cell>
          <cell r="J679">
            <v>6.162648285231808E-2</v>
          </cell>
          <cell r="K679">
            <v>6.9065968176795209E-2</v>
          </cell>
          <cell r="L679">
            <v>7.4288247361159507E-2</v>
          </cell>
          <cell r="M679">
            <v>7.8870197747801601E-2</v>
          </cell>
          <cell r="N679">
            <v>8.0857656388876223E-2</v>
          </cell>
          <cell r="O679">
            <v>8.056086587365674E-2</v>
          </cell>
          <cell r="P679">
            <v>8.7906748004733609E-2</v>
          </cell>
        </row>
        <row r="680">
          <cell r="B680" t="str">
            <v>RHNS-EBAT</v>
          </cell>
          <cell r="C680" t="str">
            <v>VAR_ncap</v>
          </cell>
          <cell r="D680" t="str">
            <v>-</v>
          </cell>
          <cell r="E680">
            <v>1.1223214524523301E-3</v>
          </cell>
          <cell r="F680">
            <v>1.83662046851485E-6</v>
          </cell>
          <cell r="G680">
            <v>5.4236698687949097E-6</v>
          </cell>
          <cell r="H680">
            <v>1.9733824607167199E-2</v>
          </cell>
          <cell r="I680">
            <v>2.3575919300340099E-3</v>
          </cell>
          <cell r="J680">
            <v>1.6351594131976999E-2</v>
          </cell>
          <cell r="K680">
            <v>8.0952822020371497E-3</v>
          </cell>
          <cell r="L680">
            <v>1.38458334241509E-2</v>
          </cell>
          <cell r="M680">
            <v>1.1734586830074599E-2</v>
          </cell>
          <cell r="N680">
            <v>1.1123138685205499E-2</v>
          </cell>
          <cell r="O680">
            <v>1.6641624288785802E-2</v>
          </cell>
          <cell r="P680">
            <v>8.4088718453174706E-3</v>
          </cell>
        </row>
        <row r="681">
          <cell r="B681" t="str">
            <v>RHNS-EBAT</v>
          </cell>
          <cell r="C681" t="str">
            <v>VAR_cap</v>
          </cell>
          <cell r="D681" t="str">
            <v>-</v>
          </cell>
          <cell r="E681">
            <v>1.1249668731405744E-3</v>
          </cell>
          <cell r="F681">
            <v>1.1260239715008141E-3</v>
          </cell>
          <cell r="G681">
            <v>1.1295376749929746E-3</v>
          </cell>
          <cell r="H681">
            <v>2.0558702236733159E-2</v>
          </cell>
          <cell r="I681">
            <v>2.2093204107272418E-2</v>
          </cell>
          <cell r="J681">
            <v>2.285202616919883E-2</v>
          </cell>
          <cell r="K681">
            <v>2.5667976073332089E-2</v>
          </cell>
          <cell r="L681">
            <v>2.7524097150173052E-2</v>
          </cell>
          <cell r="M681">
            <v>2.9219957444222736E-2</v>
          </cell>
          <cell r="N681">
            <v>2.9948328226902556E-2</v>
          </cell>
          <cell r="O681">
            <v>2.9840769043528208E-2</v>
          </cell>
          <cell r="P681">
            <v>3.2552359637775891E-2</v>
          </cell>
        </row>
        <row r="682">
          <cell r="B682" t="str">
            <v>G-INTC-EXP00-AT</v>
          </cell>
          <cell r="C682" t="str">
            <v>VAR_fout</v>
          </cell>
          <cell r="D682" t="str">
            <v>ELC_E-AT</v>
          </cell>
          <cell r="E682">
            <v>6.229558553258002</v>
          </cell>
          <cell r="F682">
            <v>1.908941165849198E-3</v>
          </cell>
          <cell r="G682">
            <v>4.4903573938449501E-3</v>
          </cell>
          <cell r="H682">
            <v>5.5817037969991255E-4</v>
          </cell>
          <cell r="I682">
            <v>7.2339169319682165E-4</v>
          </cell>
          <cell r="J682">
            <v>6.8410697868245872E-4</v>
          </cell>
          <cell r="K682">
            <v>6.7015540161184965E-4</v>
          </cell>
          <cell r="L682">
            <v>5.8056421762929294E-4</v>
          </cell>
          <cell r="M682">
            <v>6.0878075005531512E-4</v>
          </cell>
          <cell r="N682">
            <v>6.4479872757336606E-4</v>
          </cell>
          <cell r="O682">
            <v>6.260200033595246E-4</v>
          </cell>
          <cell r="P682">
            <v>1.1895683307966923E-3</v>
          </cell>
        </row>
        <row r="683">
          <cell r="B683" t="str">
            <v>G-INTC-EXP00-AT</v>
          </cell>
          <cell r="C683" t="str">
            <v>VAR_fin</v>
          </cell>
          <cell r="D683" t="str">
            <v>ELC</v>
          </cell>
          <cell r="E683">
            <v>6.229558553258002</v>
          </cell>
          <cell r="F683">
            <v>1.908941165849198E-3</v>
          </cell>
          <cell r="G683">
            <v>4.4903573938449501E-3</v>
          </cell>
          <cell r="H683">
            <v>5.5817037969991255E-4</v>
          </cell>
          <cell r="I683">
            <v>7.2339169319682165E-4</v>
          </cell>
          <cell r="J683">
            <v>6.8410697868245872E-4</v>
          </cell>
          <cell r="K683">
            <v>6.7015540161184965E-4</v>
          </cell>
          <cell r="L683">
            <v>5.8056421762929294E-4</v>
          </cell>
          <cell r="M683">
            <v>6.0878075005531512E-4</v>
          </cell>
          <cell r="N683">
            <v>6.4479872757336606E-4</v>
          </cell>
          <cell r="O683">
            <v>6.260200033595246E-4</v>
          </cell>
          <cell r="P683">
            <v>1.1895683307966923E-3</v>
          </cell>
        </row>
        <row r="684">
          <cell r="B684" t="str">
            <v>G-INTC-EXP00-AT</v>
          </cell>
          <cell r="C684" t="str">
            <v>VAR_ncap</v>
          </cell>
          <cell r="D684" t="str">
            <v>-</v>
          </cell>
          <cell r="E684">
            <v>1.67481724988737E-6</v>
          </cell>
          <cell r="F684">
            <v>1.74600132686014E-6</v>
          </cell>
          <cell r="G684">
            <v>2.4938235013203599E-6</v>
          </cell>
          <cell r="H684">
            <v>3.10454083388581E-6</v>
          </cell>
          <cell r="I684">
            <v>1.2106637205595199E-5</v>
          </cell>
          <cell r="J684">
            <v>1.1941909908457E-5</v>
          </cell>
          <cell r="K684">
            <v>1.8080092468036801E-5</v>
          </cell>
          <cell r="L684">
            <v>6.9867234432580106E-5</v>
          </cell>
          <cell r="M684">
            <v>4.4224824653878098E-5</v>
          </cell>
          <cell r="N684">
            <v>1.4732498314118301E-3</v>
          </cell>
        </row>
        <row r="685">
          <cell r="B685" t="str">
            <v>G-INTC-EXP00-AT</v>
          </cell>
          <cell r="C685" t="str">
            <v>VAR_cap</v>
          </cell>
          <cell r="D685" t="str">
            <v>-</v>
          </cell>
          <cell r="E685">
            <v>0.231931342762421</v>
          </cell>
          <cell r="F685">
            <v>1.6268251562898683E-3</v>
          </cell>
          <cell r="G685">
            <v>1.6214781594199312E-3</v>
          </cell>
          <cell r="H685">
            <v>1.6184220538313365E-3</v>
          </cell>
          <cell r="I685">
            <v>1.6099806481872925E-3</v>
          </cell>
          <cell r="J685">
            <v>1.6017766829217184E-3</v>
          </cell>
          <cell r="K685">
            <v>1.6067623104263351E-3</v>
          </cell>
          <cell r="L685">
            <v>1.5991238214558834E-3</v>
          </cell>
          <cell r="M685">
            <v>1.616944492187411E-3</v>
          </cell>
          <cell r="N685">
            <v>1.703716455692339E-3</v>
          </cell>
          <cell r="O685">
            <v>1.7409761538904611E-3</v>
          </cell>
          <cell r="P685">
            <v>3.2236063425223893E-3</v>
          </cell>
        </row>
        <row r="686">
          <cell r="B686" t="str">
            <v>G-INTC-IMP00-DE</v>
          </cell>
          <cell r="C686" t="str">
            <v>VAR_fout</v>
          </cell>
          <cell r="D686" t="str">
            <v>ELC</v>
          </cell>
          <cell r="E686">
            <v>46.398475558409203</v>
          </cell>
          <cell r="F686">
            <v>32.401549918431002</v>
          </cell>
          <cell r="G686">
            <v>28.803772565747742</v>
          </cell>
          <cell r="H686">
            <v>35.395959098908072</v>
          </cell>
          <cell r="I686">
            <v>34.598354098637259</v>
          </cell>
          <cell r="J686">
            <v>29.60646295075308</v>
          </cell>
          <cell r="K686">
            <v>31.764877840948866</v>
          </cell>
          <cell r="L686">
            <v>26.765854564814944</v>
          </cell>
          <cell r="M686">
            <v>4.5489066409135681</v>
          </cell>
          <cell r="N686">
            <v>1.164263866997331E-2</v>
          </cell>
          <cell r="O686">
            <v>5.4703598587615369E-3</v>
          </cell>
          <cell r="P686">
            <v>1.1928854216788675E-2</v>
          </cell>
        </row>
        <row r="687">
          <cell r="B687" t="str">
            <v>G-INTC-IMP00-DE</v>
          </cell>
          <cell r="C687" t="str">
            <v>VAR_fin</v>
          </cell>
          <cell r="D687" t="str">
            <v>ELC_I-DE</v>
          </cell>
          <cell r="E687">
            <v>46.398475558409203</v>
          </cell>
          <cell r="F687">
            <v>32.401549918431002</v>
          </cell>
          <cell r="G687">
            <v>28.803772565747742</v>
          </cell>
          <cell r="H687">
            <v>35.395959098908072</v>
          </cell>
          <cell r="I687">
            <v>34.598354098637259</v>
          </cell>
          <cell r="J687">
            <v>29.60646295075308</v>
          </cell>
          <cell r="K687">
            <v>31.764877840948866</v>
          </cell>
          <cell r="L687">
            <v>26.765854564814944</v>
          </cell>
          <cell r="M687">
            <v>4.5489066409135681</v>
          </cell>
          <cell r="N687">
            <v>1.164263866997331E-2</v>
          </cell>
          <cell r="O687">
            <v>5.4703598587615369E-3</v>
          </cell>
          <cell r="P687">
            <v>1.1928854216788675E-2</v>
          </cell>
        </row>
        <row r="688">
          <cell r="B688" t="str">
            <v>G-INTC-IMP00-DE</v>
          </cell>
          <cell r="C688" t="str">
            <v>VAR_ncap</v>
          </cell>
          <cell r="D688" t="str">
            <v>-</v>
          </cell>
          <cell r="E688">
            <v>7.8284596046497997E-6</v>
          </cell>
          <cell r="F688">
            <v>7.4364054125351099E-6</v>
          </cell>
          <cell r="G688">
            <v>8.7254080684525608E-6</v>
          </cell>
          <cell r="H688">
            <v>8.8836496593420198E-6</v>
          </cell>
          <cell r="I688">
            <v>8.4882706824005905E-6</v>
          </cell>
          <cell r="J688">
            <v>1.26132241410675E-5</v>
          </cell>
          <cell r="K688">
            <v>8.9191119917315305E-6</v>
          </cell>
          <cell r="L688">
            <v>5.4037682266992798E-5</v>
          </cell>
          <cell r="M688">
            <v>7.7432165996087795E-4</v>
          </cell>
          <cell r="N688">
            <v>1.0769789218285899E-3</v>
          </cell>
        </row>
        <row r="689">
          <cell r="B689" t="str">
            <v>G-INTC-IMP00-DE</v>
          </cell>
          <cell r="C689" t="str">
            <v>VAR_cap</v>
          </cell>
          <cell r="D689" t="str">
            <v>-</v>
          </cell>
          <cell r="E689">
            <v>2.2699933126031602</v>
          </cell>
          <cell r="F689">
            <v>2.2698810523830502</v>
          </cell>
          <cell r="G689">
            <v>2.2698665449674702</v>
          </cell>
          <cell r="H689">
            <v>2.2698636497498033</v>
          </cell>
          <cell r="I689">
            <v>2.2698545898479674</v>
          </cell>
          <cell r="J689">
            <v>2.2698302833301049</v>
          </cell>
          <cell r="K689">
            <v>2.2698093514260069</v>
          </cell>
          <cell r="L689">
            <v>2.2678826556360487</v>
          </cell>
          <cell r="M689">
            <v>0.7175564705983617</v>
          </cell>
          <cell r="N689">
            <v>2.1891260436271986E-3</v>
          </cell>
          <cell r="O689">
            <v>8.3899379796024411E-4</v>
          </cell>
          <cell r="P689">
            <v>1.9072035107000115E-3</v>
          </cell>
        </row>
        <row r="690">
          <cell r="B690" t="str">
            <v>RHEM-SHSTG-CHPWOD</v>
          </cell>
          <cell r="C690" t="str">
            <v>VAR_fout</v>
          </cell>
          <cell r="D690" t="str">
            <v>AUX_REM-CHPWOD_OUT</v>
          </cell>
          <cell r="E690">
            <v>3.2965683202863452E-4</v>
          </cell>
          <cell r="F690">
            <v>2.8842152563939775E-4</v>
          </cell>
          <cell r="G690">
            <v>3.3929731712550469E-4</v>
          </cell>
          <cell r="H690">
            <v>4.3760203077876109E-3</v>
          </cell>
          <cell r="I690">
            <v>7.7752604131017047E-3</v>
          </cell>
          <cell r="J690">
            <v>7.821393197515597E-3</v>
          </cell>
          <cell r="K690">
            <v>1.3933915334939232E-2</v>
          </cell>
          <cell r="L690">
            <v>3.3269235003529823E-2</v>
          </cell>
          <cell r="M690">
            <v>1.8576767686380179E-2</v>
          </cell>
          <cell r="N690">
            <v>3.931766231966978E-2</v>
          </cell>
          <cell r="O690">
            <v>2.9222411245424976E-2</v>
          </cell>
          <cell r="P690">
            <v>7.4241381783219762E-2</v>
          </cell>
        </row>
        <row r="691">
          <cell r="B691" t="str">
            <v>RHEM-SHSTG-CHPWOD</v>
          </cell>
          <cell r="C691" t="str">
            <v>VAR_fout</v>
          </cell>
          <cell r="D691" t="str">
            <v>RHEM_LTH_CHPWOD</v>
          </cell>
          <cell r="E691">
            <v>3.2965683202863333E-4</v>
          </cell>
          <cell r="F691">
            <v>2.8861380665649004E-4</v>
          </cell>
          <cell r="G691">
            <v>3.3965075183084301E-4</v>
          </cell>
          <cell r="H691">
            <v>4.3760203077876109E-3</v>
          </cell>
          <cell r="I691">
            <v>7.782406792157851E-3</v>
          </cell>
          <cell r="J691">
            <v>7.8213931975155641E-3</v>
          </cell>
          <cell r="K691">
            <v>1.3945299252696493E-2</v>
          </cell>
          <cell r="L691">
            <v>3.3269235003529789E-2</v>
          </cell>
          <cell r="M691">
            <v>1.8576767686380165E-2</v>
          </cell>
          <cell r="N691">
            <v>3.9317662319669745E-2</v>
          </cell>
          <cell r="O691">
            <v>2.9222411245424948E-2</v>
          </cell>
          <cell r="P691">
            <v>7.4241381783219679E-2</v>
          </cell>
        </row>
        <row r="692">
          <cell r="B692" t="str">
            <v>RHEM-SHSTG-CHPWOD</v>
          </cell>
          <cell r="C692" t="str">
            <v>VAR_fin</v>
          </cell>
          <cell r="D692" t="str">
            <v>AUX_REM-CHPWOD_IN</v>
          </cell>
          <cell r="E692">
            <v>2.5521649380138954E-4</v>
          </cell>
          <cell r="F692">
            <v>1.5440496074253148E-4</v>
          </cell>
          <cell r="G692">
            <v>2.6568994609829725E-4</v>
          </cell>
          <cell r="H692">
            <v>5.4659670719218179E-3</v>
          </cell>
          <cell r="I692">
            <v>9.4304711744868028E-3</v>
          </cell>
          <cell r="J692">
            <v>9.2020754336177551E-3</v>
          </cell>
          <cell r="K692">
            <v>1.5937746686865831E-2</v>
          </cell>
          <cell r="L692">
            <v>3.6966951252698797E-2</v>
          </cell>
          <cell r="M692">
            <v>2.0646002241936155E-2</v>
          </cell>
          <cell r="N692">
            <v>4.3688211528167202E-2</v>
          </cell>
          <cell r="O692">
            <v>3.247152771688816E-2</v>
          </cell>
          <cell r="P692">
            <v>8.2494089776388224E-2</v>
          </cell>
        </row>
        <row r="693">
          <cell r="B693" t="str">
            <v>RHEM-SHSTG-CHPWOD</v>
          </cell>
          <cell r="C693" t="str">
            <v>VAR_fin</v>
          </cell>
          <cell r="D693" t="str">
            <v>RHEM_LTH_CHPWOD</v>
          </cell>
          <cell r="E693">
            <v>2.5521649380138954E-4</v>
          </cell>
          <cell r="F693">
            <v>1.5440496074253148E-4</v>
          </cell>
          <cell r="G693">
            <v>2.6568994609829725E-4</v>
          </cell>
          <cell r="H693">
            <v>5.4659670719218179E-3</v>
          </cell>
          <cell r="I693">
            <v>9.4304711744868028E-3</v>
          </cell>
          <cell r="J693">
            <v>9.2020754336177551E-3</v>
          </cell>
          <cell r="K693">
            <v>1.5937746686865831E-2</v>
          </cell>
          <cell r="L693">
            <v>3.6966951252698797E-2</v>
          </cell>
          <cell r="M693">
            <v>2.0646002241936155E-2</v>
          </cell>
          <cell r="N693">
            <v>4.3688211528167202E-2</v>
          </cell>
          <cell r="O693">
            <v>3.247152771688816E-2</v>
          </cell>
          <cell r="P693">
            <v>8.2494089776388224E-2</v>
          </cell>
        </row>
        <row r="694">
          <cell r="B694" t="str">
            <v>RHEM-SHSTG-CHPWOD</v>
          </cell>
          <cell r="C694" t="str">
            <v>VAR_ncap</v>
          </cell>
          <cell r="D694" t="str">
            <v>-</v>
          </cell>
          <cell r="E694">
            <v>5.6556003506080298E-3</v>
          </cell>
          <cell r="F694">
            <v>1.3944017254385101E-4</v>
          </cell>
          <cell r="G694">
            <v>2.3940319276945999E-4</v>
          </cell>
          <cell r="H694">
            <v>1.9943501159951901E-4</v>
          </cell>
          <cell r="I694">
            <v>6.2431560531102199E-3</v>
          </cell>
          <cell r="J694">
            <v>2.7506191216740599E-3</v>
          </cell>
          <cell r="K694">
            <v>5.4524610981481001E-4</v>
          </cell>
          <cell r="L694">
            <v>1.01644621099374E-2</v>
          </cell>
          <cell r="M694">
            <v>2.4114180215562499E-4</v>
          </cell>
          <cell r="N694">
            <v>7.8298384614889204E-3</v>
          </cell>
          <cell r="O694">
            <v>3.8631787778274701E-3</v>
          </cell>
          <cell r="P694">
            <v>1.8833365510750901E-2</v>
          </cell>
        </row>
        <row r="695">
          <cell r="B695" t="str">
            <v>RHEM-SHSTG-CHPWOD</v>
          </cell>
          <cell r="C695" t="str">
            <v>VAR_cap</v>
          </cell>
          <cell r="D695" t="str">
            <v>-</v>
          </cell>
          <cell r="E695">
            <v>5.6556003506080298E-3</v>
          </cell>
          <cell r="F695">
            <v>5.7796359191754961E-3</v>
          </cell>
          <cell r="G695">
            <v>5.9778156128201419E-3</v>
          </cell>
          <cell r="H695">
            <v>6.0975325384290064E-3</v>
          </cell>
          <cell r="I695">
            <v>8.0559234988915492E-3</v>
          </cell>
          <cell r="J695">
            <v>9.0977144782352776E-3</v>
          </cell>
          <cell r="K695">
            <v>9.4404983432694774E-3</v>
          </cell>
          <cell r="L695">
            <v>1.3358175744263213E-2</v>
          </cell>
          <cell r="M695">
            <v>1.1025432807844234E-2</v>
          </cell>
          <cell r="N695">
            <v>1.8079081249518052E-2</v>
          </cell>
          <cell r="O695">
            <v>1.3434654909637351E-2</v>
          </cell>
          <cell r="P695">
            <v>3.0376027194694979E-2</v>
          </cell>
        </row>
        <row r="696">
          <cell r="B696" t="str">
            <v>RHNM-CHPGFC</v>
          </cell>
          <cell r="C696" t="str">
            <v>VAR_fout</v>
          </cell>
          <cell r="D696" t="str">
            <v>CO2_R</v>
          </cell>
          <cell r="H696">
            <v>0.21154486339447101</v>
          </cell>
          <cell r="I696">
            <v>0.80396709129229105</v>
          </cell>
          <cell r="J696">
            <v>0.80095855650665304</v>
          </cell>
          <cell r="K696">
            <v>0.89520519018888001</v>
          </cell>
          <cell r="L696">
            <v>2.37658355185751</v>
          </cell>
          <cell r="M696">
            <v>2.0498707466222101</v>
          </cell>
          <cell r="N696">
            <v>4.0391270405141997</v>
          </cell>
          <cell r="O696">
            <v>3.9068933848742602</v>
          </cell>
          <cell r="P696">
            <v>6.4396942462854199</v>
          </cell>
        </row>
        <row r="697">
          <cell r="B697" t="str">
            <v>RHNM-CHPGFC</v>
          </cell>
          <cell r="C697" t="str">
            <v>VAR_fout</v>
          </cell>
          <cell r="D697" t="str">
            <v>RHNM_NKEV_GAS_ELC_CHP</v>
          </cell>
          <cell r="H697">
            <v>1.5753340891077603E-3</v>
          </cell>
          <cell r="I697">
            <v>6.1295363343206646E-3</v>
          </cell>
          <cell r="J697">
            <v>6.2486128521795628E-3</v>
          </cell>
          <cell r="K697">
            <v>7.0632324403200704E-3</v>
          </cell>
          <cell r="L697">
            <v>1.8962102807373735E-2</v>
          </cell>
          <cell r="M697">
            <v>1.6355351701772936E-2</v>
          </cell>
          <cell r="N697">
            <v>3.2227077450911162E-2</v>
          </cell>
          <cell r="O697">
            <v>3.1172021687826526E-2</v>
          </cell>
          <cell r="P697">
            <v>5.1380539199085869E-2</v>
          </cell>
        </row>
        <row r="698">
          <cell r="B698" t="str">
            <v>RHNM-CHPGFC</v>
          </cell>
          <cell r="C698" t="str">
            <v>VAR_fout</v>
          </cell>
          <cell r="D698" t="str">
            <v>RHNM_LTH_CHPNGA</v>
          </cell>
          <cell r="H698">
            <v>1.7643741798006925E-3</v>
          </cell>
          <cell r="I698">
            <v>6.6811946044095204E-3</v>
          </cell>
          <cell r="J698">
            <v>6.6235296233103308E-3</v>
          </cell>
          <cell r="K698">
            <v>7.2751294135296723E-3</v>
          </cell>
          <cell r="L698">
            <v>1.8962102807373735E-2</v>
          </cell>
          <cell r="M698">
            <v>1.6355351701772936E-2</v>
          </cell>
          <cell r="N698">
            <v>3.2227077450911162E-2</v>
          </cell>
          <cell r="O698">
            <v>3.1172021687826526E-2</v>
          </cell>
          <cell r="P698">
            <v>5.1380539199085869E-2</v>
          </cell>
        </row>
        <row r="699">
          <cell r="B699" t="str">
            <v>RHNM-CHPGFC</v>
          </cell>
          <cell r="C699" t="str">
            <v>VAR_fin</v>
          </cell>
          <cell r="D699" t="str">
            <v>RNGA</v>
          </cell>
          <cell r="H699">
            <v>3.7507954502565754E-3</v>
          </cell>
          <cell r="I699">
            <v>1.4254735661210839E-2</v>
          </cell>
          <cell r="J699">
            <v>1.4201392845862642E-2</v>
          </cell>
          <cell r="K699">
            <v>1.5872432450157459E-2</v>
          </cell>
          <cell r="L699">
            <v>4.2138006238608292E-2</v>
          </cell>
          <cell r="M699">
            <v>3.6345226003939829E-2</v>
          </cell>
          <cell r="N699">
            <v>7.1615727668691467E-2</v>
          </cell>
          <cell r="O699">
            <v>6.9271159306281166E-2</v>
          </cell>
          <cell r="P699">
            <v>0.11417897599796857</v>
          </cell>
        </row>
        <row r="700">
          <cell r="B700" t="str">
            <v>RHNM-CHPGFC</v>
          </cell>
          <cell r="C700" t="str">
            <v>VAR_ncap</v>
          </cell>
          <cell r="D700" t="str">
            <v>-</v>
          </cell>
          <cell r="H700">
            <v>1.4044082682237801E-4</v>
          </cell>
          <cell r="I700">
            <v>4.0578407122700798E-4</v>
          </cell>
          <cell r="J700">
            <v>1.0522751254396599E-5</v>
          </cell>
          <cell r="K700">
            <v>1.17294141905065E-4</v>
          </cell>
          <cell r="L700">
            <v>1.1563030541665001E-3</v>
          </cell>
          <cell r="M700">
            <v>5.1826449285872898E-5</v>
          </cell>
          <cell r="N700">
            <v>1.5439968650101999E-3</v>
          </cell>
          <cell r="O700">
            <v>2.32336242114085E-5</v>
          </cell>
          <cell r="P700">
            <v>2.95628918220095E-3</v>
          </cell>
        </row>
        <row r="701">
          <cell r="B701" t="str">
            <v>RHNM-CHPGFC</v>
          </cell>
          <cell r="C701" t="str">
            <v>VAR_cap</v>
          </cell>
          <cell r="D701" t="str">
            <v>-</v>
          </cell>
          <cell r="H701">
            <v>1.4044082682237801E-4</v>
          </cell>
          <cell r="I701">
            <v>5.4611762900766989E-4</v>
          </cell>
          <cell r="J701">
            <v>5.5630993180988864E-4</v>
          </cell>
          <cell r="K701">
            <v>6.28511673264349E-4</v>
          </cell>
          <cell r="L701">
            <v>1.6879511199826397E-3</v>
          </cell>
          <cell r="M701">
            <v>1.4549197733412379E-3</v>
          </cell>
          <cell r="N701">
            <v>2.8667475136985336E-3</v>
          </cell>
          <cell r="O701">
            <v>2.7725738005632957E-3</v>
          </cell>
          <cell r="P701">
            <v>4.5717116397718353E-3</v>
          </cell>
        </row>
        <row r="702">
          <cell r="B702" t="str">
            <v>G-INTC-EXP00-FR</v>
          </cell>
          <cell r="C702" t="str">
            <v>VAR_fout</v>
          </cell>
          <cell r="D702" t="str">
            <v>ELC_E-FR</v>
          </cell>
          <cell r="E702">
            <v>12.753360799734628</v>
          </cell>
          <cell r="F702">
            <v>1.4673474560159632E-3</v>
          </cell>
          <cell r="G702">
            <v>1.3363010496675019E-3</v>
          </cell>
          <cell r="H702">
            <v>8.5442975718326669E-4</v>
          </cell>
          <cell r="I702">
            <v>1.3636904135305406E-3</v>
          </cell>
          <cell r="J702">
            <v>1.3707961718907233E-3</v>
          </cell>
          <cell r="K702">
            <v>1.3253105330902463E-3</v>
          </cell>
          <cell r="L702">
            <v>1.7856863809221962E-3</v>
          </cell>
          <cell r="M702">
            <v>1.0505431050350129E-3</v>
          </cell>
          <cell r="N702">
            <v>1.3587836566799768E-3</v>
          </cell>
          <cell r="O702">
            <v>1.2801040780237877E-3</v>
          </cell>
          <cell r="P702">
            <v>2.3257516815132608E-3</v>
          </cell>
        </row>
        <row r="703">
          <cell r="B703" t="str">
            <v>G-INTC-EXP00-FR</v>
          </cell>
          <cell r="C703" t="str">
            <v>VAR_fin</v>
          </cell>
          <cell r="D703" t="str">
            <v>ELC</v>
          </cell>
          <cell r="E703">
            <v>12.753360799734628</v>
          </cell>
          <cell r="F703">
            <v>1.4673474560159632E-3</v>
          </cell>
          <cell r="G703">
            <v>1.3363010496675019E-3</v>
          </cell>
          <cell r="H703">
            <v>8.5442975718326669E-4</v>
          </cell>
          <cell r="I703">
            <v>1.3636904135305406E-3</v>
          </cell>
          <cell r="J703">
            <v>1.3707961718907233E-3</v>
          </cell>
          <cell r="K703">
            <v>1.3253105330902463E-3</v>
          </cell>
          <cell r="L703">
            <v>1.7856863809221962E-3</v>
          </cell>
          <cell r="M703">
            <v>1.0505431050350129E-3</v>
          </cell>
          <cell r="N703">
            <v>1.3587836566799768E-3</v>
          </cell>
          <cell r="O703">
            <v>1.2801040780237877E-3</v>
          </cell>
          <cell r="P703">
            <v>2.3257516815132608E-3</v>
          </cell>
        </row>
        <row r="704">
          <cell r="B704" t="str">
            <v>G-INTC-EXP00-FR</v>
          </cell>
          <cell r="C704" t="str">
            <v>VAR_ncap</v>
          </cell>
          <cell r="D704" t="str">
            <v>-</v>
          </cell>
          <cell r="E704">
            <v>8.6061024947414406E-6</v>
          </cell>
          <cell r="F704">
            <v>7.8728899751444701E-6</v>
          </cell>
          <cell r="G704">
            <v>9.7911886262880695E-6</v>
          </cell>
          <cell r="H704">
            <v>1.13654730522045E-5</v>
          </cell>
          <cell r="I704">
            <v>1.40665786881027E-5</v>
          </cell>
          <cell r="J704">
            <v>2.0912593273390198E-5</v>
          </cell>
          <cell r="K704">
            <v>1.6206927230521598E-5</v>
          </cell>
          <cell r="L704">
            <v>5.2198822009769203E-5</v>
          </cell>
          <cell r="M704">
            <v>3.7245195184028499E-5</v>
          </cell>
          <cell r="N704">
            <v>9.8580443409626507E-4</v>
          </cell>
        </row>
        <row r="705">
          <cell r="B705" t="str">
            <v>G-INTC-EXP00-FR</v>
          </cell>
          <cell r="C705" t="str">
            <v>VAR_cap</v>
          </cell>
          <cell r="D705" t="str">
            <v>-</v>
          </cell>
          <cell r="E705">
            <v>1.2999859028642295</v>
          </cell>
          <cell r="F705">
            <v>1.2583565502399807E-3</v>
          </cell>
          <cell r="G705">
            <v>1.2386344260399973E-3</v>
          </cell>
          <cell r="H705">
            <v>1.2394820619623381E-3</v>
          </cell>
          <cell r="I705">
            <v>1.2526405795754147E-3</v>
          </cell>
          <cell r="J705">
            <v>1.2531368538282184E-3</v>
          </cell>
          <cell r="K705">
            <v>1.261137821500169E-3</v>
          </cell>
          <cell r="L705">
            <v>1.2688302533898632E-3</v>
          </cell>
          <cell r="M705">
            <v>1.2734018248212742E-3</v>
          </cell>
          <cell r="N705">
            <v>1.3279139382524896E-3</v>
          </cell>
          <cell r="O705">
            <v>1.3439692594643393E-3</v>
          </cell>
          <cell r="P705">
            <v>2.3191286788304399E-3</v>
          </cell>
        </row>
        <row r="706">
          <cell r="B706" t="str">
            <v>RHNM-EBAT</v>
          </cell>
          <cell r="C706" t="str">
            <v>VAR_fout</v>
          </cell>
          <cell r="D706" t="str">
            <v>RHNM_ELC</v>
          </cell>
          <cell r="E706">
            <v>2.7604857375178597E-3</v>
          </cell>
          <cell r="F706">
            <v>2.7436840793184513E-3</v>
          </cell>
          <cell r="G706">
            <v>2.7365947398579108E-3</v>
          </cell>
          <cell r="H706">
            <v>3.9110707111842113E-2</v>
          </cell>
          <cell r="I706">
            <v>5.4175347926477026E-2</v>
          </cell>
          <cell r="J706">
            <v>5.9778020910462186E-2</v>
          </cell>
          <cell r="K706">
            <v>6.3848724818353672E-2</v>
          </cell>
          <cell r="L706">
            <v>6.7159354447369271E-2</v>
          </cell>
          <cell r="M706">
            <v>7.1285037171884127E-2</v>
          </cell>
          <cell r="N706">
            <v>7.3091708025788335E-2</v>
          </cell>
          <cell r="O706">
            <v>7.2816586699646482E-2</v>
          </cell>
          <cell r="P706">
            <v>7.9480643453619215E-2</v>
          </cell>
        </row>
        <row r="707">
          <cell r="B707" t="str">
            <v>RHNM-EBAT</v>
          </cell>
          <cell r="C707" t="str">
            <v>VAR_fout</v>
          </cell>
          <cell r="D707" t="str">
            <v>AUX_RHNM-EBAT_OUT</v>
          </cell>
          <cell r="E707">
            <v>2.7604857375178632E-3</v>
          </cell>
          <cell r="F707">
            <v>2.7436840793184521E-3</v>
          </cell>
          <cell r="G707">
            <v>2.7365947398579138E-3</v>
          </cell>
          <cell r="H707">
            <v>3.9110707111842148E-2</v>
          </cell>
          <cell r="I707">
            <v>5.4175347926477102E-2</v>
          </cell>
          <cell r="J707">
            <v>5.9778020910462221E-2</v>
          </cell>
          <cell r="K707">
            <v>6.3848724818353728E-2</v>
          </cell>
          <cell r="L707">
            <v>6.7159354447369354E-2</v>
          </cell>
          <cell r="M707">
            <v>7.1285037171884197E-2</v>
          </cell>
          <cell r="N707">
            <v>7.3091708025788404E-2</v>
          </cell>
          <cell r="O707">
            <v>7.2816586699646524E-2</v>
          </cell>
          <cell r="P707">
            <v>7.9480643453619312E-2</v>
          </cell>
        </row>
        <row r="708">
          <cell r="B708" t="str">
            <v>RHNM-EBAT</v>
          </cell>
          <cell r="C708" t="str">
            <v>VAR_fin</v>
          </cell>
          <cell r="D708" t="str">
            <v>RHNM_ELC</v>
          </cell>
          <cell r="E708">
            <v>3.0541204066835761E-3</v>
          </cell>
          <cell r="F708">
            <v>3.0358464732408094E-3</v>
          </cell>
          <cell r="G708">
            <v>3.0266814779451308E-3</v>
          </cell>
          <cell r="H708">
            <v>4.3251675593330111E-2</v>
          </cell>
          <cell r="I708">
            <v>5.9911379922419079E-2</v>
          </cell>
          <cell r="J708">
            <v>6.6106775594575007E-2</v>
          </cell>
          <cell r="K708">
            <v>7.0608420696604751E-2</v>
          </cell>
          <cell r="L708">
            <v>7.4270956040779032E-2</v>
          </cell>
          <cell r="M708">
            <v>7.8832091478050786E-2</v>
          </cell>
          <cell r="N708">
            <v>8.0834245631362781E-2</v>
          </cell>
          <cell r="O708">
            <v>8.052683804812695E-2</v>
          </cell>
          <cell r="P708">
            <v>8.7902780548192894E-2</v>
          </cell>
        </row>
        <row r="709">
          <cell r="B709" t="str">
            <v>RHNM-EBAT</v>
          </cell>
          <cell r="C709" t="str">
            <v>VAR_fin</v>
          </cell>
          <cell r="D709" t="str">
            <v>AUX_RHNM-EBAT_IN</v>
          </cell>
          <cell r="E709">
            <v>3.0541204066835761E-3</v>
          </cell>
          <cell r="F709">
            <v>3.0358464732408094E-3</v>
          </cell>
          <cell r="G709">
            <v>3.0266814779451308E-3</v>
          </cell>
          <cell r="H709">
            <v>4.3251675593330111E-2</v>
          </cell>
          <cell r="I709">
            <v>5.9911379922419079E-2</v>
          </cell>
          <cell r="J709">
            <v>6.6106775594575007E-2</v>
          </cell>
          <cell r="K709">
            <v>7.0608420696604751E-2</v>
          </cell>
          <cell r="L709">
            <v>7.4270956040779032E-2</v>
          </cell>
          <cell r="M709">
            <v>7.8832091478050786E-2</v>
          </cell>
          <cell r="N709">
            <v>8.0834245631362781E-2</v>
          </cell>
          <cell r="O709">
            <v>8.052683804812695E-2</v>
          </cell>
          <cell r="P709">
            <v>8.7902780548192894E-2</v>
          </cell>
        </row>
        <row r="710">
          <cell r="B710" t="str">
            <v>RHNM-EBAT</v>
          </cell>
          <cell r="C710" t="str">
            <v>VAR_ncap</v>
          </cell>
          <cell r="D710" t="str">
            <v>-</v>
          </cell>
          <cell r="E710">
            <v>1.12175724338793E-3</v>
          </cell>
          <cell r="F710">
            <v>1.83531614872935E-6</v>
          </cell>
          <cell r="G710">
            <v>5.39022304674759E-6</v>
          </cell>
          <cell r="H710">
            <v>1.9719388360882099E-2</v>
          </cell>
          <cell r="I710">
            <v>2.5408143458085898E-3</v>
          </cell>
          <cell r="J710">
            <v>1.7832615310393801E-2</v>
          </cell>
          <cell r="K710">
            <v>7.0948127943543798E-3</v>
          </cell>
          <cell r="L710">
            <v>1.4333861300480699E-2</v>
          </cell>
          <cell r="M710">
            <v>1.1682328125733899E-2</v>
          </cell>
          <cell r="N710">
            <v>1.09166009321664E-2</v>
          </cell>
          <cell r="O710">
            <v>1.6844754825914101E-2</v>
          </cell>
          <cell r="P710">
            <v>8.3436157604056798E-3</v>
          </cell>
        </row>
        <row r="711">
          <cell r="B711" t="str">
            <v>RHNM-EBAT</v>
          </cell>
          <cell r="C711" t="str">
            <v>VAR_cap</v>
          </cell>
          <cell r="D711" t="str">
            <v>-</v>
          </cell>
          <cell r="E711">
            <v>1.1244027091965069E-3</v>
          </cell>
          <cell r="F711">
            <v>1.1254594469540899E-3</v>
          </cell>
          <cell r="G711">
            <v>1.1289352162396206E-3</v>
          </cell>
          <cell r="H711">
            <v>2.054381305223666E-2</v>
          </cell>
          <cell r="I711">
            <v>2.2261974126663423E-2</v>
          </cell>
          <cell r="J711">
            <v>2.4513240030170465E-2</v>
          </cell>
          <cell r="K711">
            <v>2.6243530034779847E-2</v>
          </cell>
          <cell r="L711">
            <v>2.7517570742480499E-2</v>
          </cell>
          <cell r="M711">
            <v>2.9205703809596778E-2</v>
          </cell>
          <cell r="N711">
            <v>2.9939569907155572E-2</v>
          </cell>
          <cell r="O711">
            <v>2.9828107666164737E-2</v>
          </cell>
          <cell r="P711">
            <v>3.2550849899684799E-2</v>
          </cell>
        </row>
        <row r="712">
          <cell r="B712" t="str">
            <v>ITOT-CHPWST</v>
          </cell>
          <cell r="C712" t="str">
            <v>VAR_fout</v>
          </cell>
          <cell r="D712" t="str">
            <v>ITOT_LTH_CHP</v>
          </cell>
          <cell r="E712">
            <v>1.9348727378798576</v>
          </cell>
          <cell r="F712">
            <v>1.8587804687164697</v>
          </cell>
          <cell r="G712">
            <v>2.5503198741922724</v>
          </cell>
          <cell r="H712">
            <v>2.2433473932518968</v>
          </cell>
          <cell r="I712">
            <v>1.9426896969541281</v>
          </cell>
          <cell r="J712">
            <v>1.6589384644381573</v>
          </cell>
          <cell r="K712">
            <v>1.3779709305886723</v>
          </cell>
          <cell r="L712">
            <v>1.0997974320142716</v>
          </cell>
          <cell r="M712">
            <v>1.0997813472972522</v>
          </cell>
          <cell r="N712">
            <v>1.0997967160463289</v>
          </cell>
          <cell r="O712">
            <v>1.0997877645375256</v>
          </cell>
          <cell r="P712">
            <v>1.0998350200247728</v>
          </cell>
        </row>
        <row r="713">
          <cell r="B713" t="str">
            <v>ITOT-CHPWST</v>
          </cell>
          <cell r="C713" t="str">
            <v>VAR_fout</v>
          </cell>
          <cell r="D713" t="str">
            <v>ITOT_KEV_WST_ELC_CHP</v>
          </cell>
          <cell r="E713">
            <v>0.23005108177801603</v>
          </cell>
          <cell r="F713">
            <v>0.23015920821970107</v>
          </cell>
          <cell r="G713">
            <v>0.33671027806550829</v>
          </cell>
          <cell r="H713">
            <v>0.33294802673439294</v>
          </cell>
          <cell r="I713">
            <v>0.3291893884353923</v>
          </cell>
          <cell r="J713">
            <v>0.32752728783397744</v>
          </cell>
          <cell r="K713">
            <v>0.32586597960914537</v>
          </cell>
          <cell r="L713">
            <v>0.3242090969954205</v>
          </cell>
          <cell r="M713">
            <v>0.32420435538443976</v>
          </cell>
          <cell r="N713">
            <v>0.32420888593535296</v>
          </cell>
          <cell r="O713">
            <v>0.32420624712160295</v>
          </cell>
          <cell r="P713">
            <v>0.32422017755861182</v>
          </cell>
        </row>
        <row r="714">
          <cell r="B714" t="str">
            <v>ITOT-CHPWST</v>
          </cell>
          <cell r="C714" t="str">
            <v>VAR_fout</v>
          </cell>
          <cell r="D714" t="str">
            <v>CO2_I</v>
          </cell>
          <cell r="E714">
            <v>344.470410091345</v>
          </cell>
          <cell r="F714">
            <v>344.64585168362203</v>
          </cell>
          <cell r="G714">
            <v>504.201668291055</v>
          </cell>
          <cell r="H714">
            <v>498.56794244052003</v>
          </cell>
          <cell r="I714">
            <v>492.939626869797</v>
          </cell>
          <cell r="J714">
            <v>490.450739684898</v>
          </cell>
          <cell r="K714">
            <v>487.96303903222201</v>
          </cell>
          <cell r="L714">
            <v>485.48196544337299</v>
          </cell>
          <cell r="M714">
            <v>485.47486519035903</v>
          </cell>
          <cell r="N714">
            <v>485.48164939469598</v>
          </cell>
          <cell r="O714">
            <v>485.47769794330901</v>
          </cell>
          <cell r="P714">
            <v>485.49855786365299</v>
          </cell>
        </row>
        <row r="715">
          <cell r="B715" t="str">
            <v>ITOT-CHPWST</v>
          </cell>
          <cell r="C715" t="str">
            <v>VAR_fin</v>
          </cell>
          <cell r="D715" t="str">
            <v>IWST</v>
          </cell>
          <cell r="E715">
            <v>3.7119656259843179</v>
          </cell>
          <cell r="F715">
            <v>3.7138561603838576</v>
          </cell>
          <cell r="G715">
            <v>5.4332076324467158</v>
          </cell>
          <cell r="H715">
            <v>5.3724993797469827</v>
          </cell>
          <cell r="I715">
            <v>5.311849427476262</v>
          </cell>
          <cell r="J715">
            <v>5.2850295224665702</v>
          </cell>
          <cell r="K715">
            <v>5.258222403364468</v>
          </cell>
          <cell r="L715">
            <v>5.2314866965880782</v>
          </cell>
          <cell r="M715">
            <v>5.2314101852409323</v>
          </cell>
          <cell r="N715">
            <v>5.2314832908911209</v>
          </cell>
          <cell r="O715">
            <v>5.2314407105960026</v>
          </cell>
          <cell r="P715">
            <v>5.2316654942204073</v>
          </cell>
        </row>
        <row r="716">
          <cell r="B716" t="str">
            <v>ITOT-CHPWST</v>
          </cell>
          <cell r="C716" t="str">
            <v>VAR_ncap</v>
          </cell>
          <cell r="D716" t="str">
            <v>-</v>
          </cell>
          <cell r="F716">
            <v>7.0998660609750396E-7</v>
          </cell>
          <cell r="G716">
            <v>6.7901880527798299E-7</v>
          </cell>
          <cell r="H716">
            <v>5.9059942167232198E-4</v>
          </cell>
          <cell r="I716">
            <v>5.9622973533142E-3</v>
          </cell>
          <cell r="J716">
            <v>1.15589407007535E-3</v>
          </cell>
          <cell r="K716">
            <v>6.3823746334394499E-6</v>
          </cell>
          <cell r="L716">
            <v>5.4158950751343098E-3</v>
          </cell>
          <cell r="M716">
            <v>2.2310039803239901E-4</v>
          </cell>
          <cell r="N716">
            <v>4.3672429100510699E-4</v>
          </cell>
          <cell r="O716">
            <v>5.0864196253298096E-3</v>
          </cell>
          <cell r="P716">
            <v>2.0402632900259599E-3</v>
          </cell>
        </row>
        <row r="717">
          <cell r="B717" t="str">
            <v>ITOT-CHPWST</v>
          </cell>
          <cell r="C717" t="str">
            <v>VAR_cap</v>
          </cell>
          <cell r="D717" t="str">
            <v>-</v>
          </cell>
          <cell r="E717">
            <v>4.719235902819368E-2</v>
          </cell>
          <cell r="F717">
            <v>1.5846625774274897E-2</v>
          </cell>
          <cell r="G717">
            <v>1.5844127536432578E-2</v>
          </cell>
          <cell r="H717">
            <v>1.3546895281623696E-2</v>
          </cell>
          <cell r="I717">
            <v>1.3394271374824789E-2</v>
          </cell>
          <cell r="J717">
            <v>1.3746501735721518E-2</v>
          </cell>
          <cell r="K717">
            <v>1.3751982749382084E-2</v>
          </cell>
          <cell r="L717">
            <v>1.3196294346269743E-2</v>
          </cell>
          <cell r="M717">
            <v>1.3193084810427561E-2</v>
          </cell>
          <cell r="N717">
            <v>1.3197422985786505E-2</v>
          </cell>
          <cell r="O717">
            <v>1.319605993188285E-2</v>
          </cell>
          <cell r="P717">
            <v>1.3205721502573131E-2</v>
          </cell>
        </row>
        <row r="718">
          <cell r="B718" t="str">
            <v>CAES-EBAT</v>
          </cell>
          <cell r="C718" t="str">
            <v>VAR_fout</v>
          </cell>
          <cell r="D718" t="str">
            <v>ELC13</v>
          </cell>
          <cell r="E718">
            <v>9.4650584105559751E-2</v>
          </cell>
          <cell r="F718">
            <v>1.2392244792462922E-2</v>
          </cell>
          <cell r="G718">
            <v>9.4229072449902931E-2</v>
          </cell>
          <cell r="H718">
            <v>4.6160741550133208E-2</v>
          </cell>
          <cell r="I718">
            <v>4.2927642888613206E-2</v>
          </cell>
          <cell r="J718">
            <v>3.8379101319349719E-2</v>
          </cell>
          <cell r="K718">
            <v>8.28229741354926E-3</v>
          </cell>
          <cell r="L718">
            <v>3.172324400779529E-2</v>
          </cell>
          <cell r="M718">
            <v>7.5984337970941743E-2</v>
          </cell>
          <cell r="N718">
            <v>9.4189536708737379E-2</v>
          </cell>
          <cell r="O718">
            <v>9.4281591610153981E-2</v>
          </cell>
          <cell r="P718">
            <v>9.4267876819352545E-2</v>
          </cell>
        </row>
        <row r="719">
          <cell r="B719" t="str">
            <v>CAES-EBAT</v>
          </cell>
          <cell r="C719" t="str">
            <v>VAR_fout</v>
          </cell>
          <cell r="D719" t="str">
            <v>AUX_CAES_OUT</v>
          </cell>
          <cell r="E719">
            <v>9.4650584105559654E-2</v>
          </cell>
          <cell r="F719">
            <v>1.2392244792462915E-2</v>
          </cell>
          <cell r="G719">
            <v>9.422907244990289E-2</v>
          </cell>
          <cell r="H719">
            <v>4.6160741550133152E-2</v>
          </cell>
          <cell r="I719">
            <v>4.2927642888613178E-2</v>
          </cell>
          <cell r="J719">
            <v>3.8379101319349719E-2</v>
          </cell>
          <cell r="K719">
            <v>8.2822974135492496E-3</v>
          </cell>
          <cell r="L719">
            <v>3.1723244007795248E-2</v>
          </cell>
          <cell r="M719">
            <v>7.5984337970941659E-2</v>
          </cell>
          <cell r="N719">
            <v>9.4189536708737309E-2</v>
          </cell>
          <cell r="O719">
            <v>9.42815916101538E-2</v>
          </cell>
          <cell r="P719">
            <v>9.4267876819352434E-2</v>
          </cell>
        </row>
        <row r="720">
          <cell r="B720" t="str">
            <v>CAES-EBAT</v>
          </cell>
          <cell r="C720" t="str">
            <v>VAR_fin</v>
          </cell>
          <cell r="D720" t="str">
            <v>ELC13</v>
          </cell>
          <cell r="E720">
            <v>0.13524863398434775</v>
          </cell>
          <cell r="F720">
            <v>1.7705492983150495E-2</v>
          </cell>
          <cell r="G720">
            <v>0.13461304274831914</v>
          </cell>
          <cell r="H720">
            <v>6.5945294892330808E-2</v>
          </cell>
          <cell r="I720">
            <v>6.1326700388581401E-2</v>
          </cell>
          <cell r="J720">
            <v>5.4828467433819465E-2</v>
          </cell>
          <cell r="K720">
            <v>1.1832688264868203E-2</v>
          </cell>
          <cell r="L720">
            <v>4.5321612033509533E-2</v>
          </cell>
          <cell r="M720">
            <v>0.10855044375525914</v>
          </cell>
          <cell r="N720">
            <v>0.13455916196099238</v>
          </cell>
          <cell r="O720">
            <v>0.13469081971718289</v>
          </cell>
          <cell r="P720">
            <v>0.13467204011284251</v>
          </cell>
        </row>
        <row r="721">
          <cell r="B721" t="str">
            <v>CAES-EBAT</v>
          </cell>
          <cell r="C721" t="str">
            <v>VAR_fin</v>
          </cell>
          <cell r="D721" t="str">
            <v>AUX_CAES_IN</v>
          </cell>
          <cell r="E721">
            <v>0.13524863398434775</v>
          </cell>
          <cell r="F721">
            <v>1.7705492983150495E-2</v>
          </cell>
          <cell r="G721">
            <v>0.13461304274831914</v>
          </cell>
          <cell r="H721">
            <v>6.5945294892330808E-2</v>
          </cell>
          <cell r="I721">
            <v>6.1326700388581401E-2</v>
          </cell>
          <cell r="J721">
            <v>5.4828467433819465E-2</v>
          </cell>
          <cell r="K721">
            <v>1.1832688264868203E-2</v>
          </cell>
          <cell r="L721">
            <v>4.5321612033509533E-2</v>
          </cell>
          <cell r="M721">
            <v>0.10855044375525914</v>
          </cell>
          <cell r="N721">
            <v>0.13455916196099238</v>
          </cell>
          <cell r="O721">
            <v>0.13469081971718289</v>
          </cell>
          <cell r="P721">
            <v>0.13467204011284251</v>
          </cell>
        </row>
        <row r="722">
          <cell r="B722" t="str">
            <v>CAES-EBAT</v>
          </cell>
          <cell r="C722" t="str">
            <v>VAR_ncap</v>
          </cell>
          <cell r="D722" t="str">
            <v>-</v>
          </cell>
          <cell r="F722">
            <v>1.99236037354088E-6</v>
          </cell>
          <cell r="G722">
            <v>1.9898500773504102E-6</v>
          </cell>
          <cell r="H722">
            <v>1.7739431014527201E-6</v>
          </cell>
          <cell r="I722">
            <v>5.8898558155153904E-6</v>
          </cell>
          <cell r="J722">
            <v>7.2818847185658099E-6</v>
          </cell>
          <cell r="K722">
            <v>1.0040211358011E-5</v>
          </cell>
          <cell r="L722">
            <v>1.0719286622064601E-5</v>
          </cell>
          <cell r="M722">
            <v>4.6428748891401203E-6</v>
          </cell>
          <cell r="N722">
            <v>2.1424434802142699E-5</v>
          </cell>
          <cell r="O722">
            <v>1.0523372181016701E-5</v>
          </cell>
          <cell r="P722">
            <v>5.1682020138942899E-5</v>
          </cell>
        </row>
        <row r="723">
          <cell r="B723" t="str">
            <v>CAES-EBAT</v>
          </cell>
          <cell r="C723" t="str">
            <v>VAR_cap</v>
          </cell>
          <cell r="D723" t="str">
            <v>-</v>
          </cell>
          <cell r="E723">
            <v>0.1</v>
          </cell>
          <cell r="F723">
            <v>9.9785989953073584E-2</v>
          </cell>
          <cell r="G723">
            <v>9.9771082629381586E-2</v>
          </cell>
          <cell r="H723">
            <v>9.9762133942009085E-2</v>
          </cell>
          <cell r="I723">
            <v>9.9766198855957638E-2</v>
          </cell>
          <cell r="J723">
            <v>9.9771399742855593E-2</v>
          </cell>
          <cell r="K723">
            <v>9.977867974098821E-2</v>
          </cell>
          <cell r="L723">
            <v>9.9785424623433122E-2</v>
          </cell>
          <cell r="M723">
            <v>9.9785827597478394E-2</v>
          </cell>
          <cell r="N723">
            <v>9.9802350485822894E-2</v>
          </cell>
          <cell r="O723">
            <v>9.9809045392880838E-2</v>
          </cell>
          <cell r="P723">
            <v>9.98566900172108E-2</v>
          </cell>
        </row>
        <row r="724">
          <cell r="B724" t="str">
            <v>HPLSOL</v>
          </cell>
          <cell r="C724" t="str">
            <v>VAR_fout</v>
          </cell>
          <cell r="D724" t="str">
            <v>LTH</v>
          </cell>
          <cell r="H724">
            <v>1.244240645279912E-4</v>
          </cell>
          <cell r="I724">
            <v>1.8065828681974901E-4</v>
          </cell>
          <cell r="J724">
            <v>1.9065013702174974E-4</v>
          </cell>
          <cell r="K724">
            <v>1.953893192596005E-4</v>
          </cell>
          <cell r="L724">
            <v>2.0691519266394139E-4</v>
          </cell>
          <cell r="M724">
            <v>2.1125114118433007E-4</v>
          </cell>
          <cell r="N724">
            <v>2.4267664036462785E-4</v>
          </cell>
          <cell r="O724">
            <v>2.6149621937849839E-4</v>
          </cell>
          <cell r="P724">
            <v>4.4118592746730302E-4</v>
          </cell>
        </row>
        <row r="725">
          <cell r="B725" t="str">
            <v>HPLSOL</v>
          </cell>
          <cell r="C725" t="str">
            <v>VAR_fin</v>
          </cell>
          <cell r="D725" t="str">
            <v>SOL</v>
          </cell>
          <cell r="H725">
            <v>1.244240645279912E-4</v>
          </cell>
          <cell r="I725">
            <v>1.8065828681974901E-4</v>
          </cell>
          <cell r="J725">
            <v>1.9065013702174974E-4</v>
          </cell>
          <cell r="K725">
            <v>1.953893192596005E-4</v>
          </cell>
          <cell r="L725">
            <v>2.0691519266394139E-4</v>
          </cell>
          <cell r="M725">
            <v>2.1125114118433007E-4</v>
          </cell>
          <cell r="N725">
            <v>2.4267664036462785E-4</v>
          </cell>
          <cell r="O725">
            <v>2.6149621937849839E-4</v>
          </cell>
          <cell r="P725">
            <v>4.4118592746730302E-4</v>
          </cell>
        </row>
        <row r="726">
          <cell r="B726" t="str">
            <v>HPLSOL</v>
          </cell>
          <cell r="C726" t="str">
            <v>VAR_fin</v>
          </cell>
          <cell r="D726" t="str">
            <v>SOLPVC</v>
          </cell>
          <cell r="H726">
            <v>1.2442406452799101E-4</v>
          </cell>
          <cell r="I726">
            <v>1.8065828681974901E-4</v>
          </cell>
          <cell r="J726">
            <v>1.9065013702175001E-4</v>
          </cell>
          <cell r="K726">
            <v>1.9538931925960101E-4</v>
          </cell>
          <cell r="L726">
            <v>2.0691519266394099E-4</v>
          </cell>
          <cell r="M726">
            <v>2.1125114118432999E-4</v>
          </cell>
          <cell r="N726">
            <v>2.4267664036462799E-4</v>
          </cell>
          <cell r="O726">
            <v>2.6149621937849801E-4</v>
          </cell>
          <cell r="P726">
            <v>4.4118592746730302E-4</v>
          </cell>
        </row>
        <row r="727">
          <cell r="B727" t="str">
            <v>HPLSOL</v>
          </cell>
          <cell r="C727" t="str">
            <v>VAR_ncap</v>
          </cell>
          <cell r="D727" t="str">
            <v>-</v>
          </cell>
          <cell r="H727">
            <v>2.7829602960115099E-5</v>
          </cell>
          <cell r="I727">
            <v>1.43375305240488E-5</v>
          </cell>
          <cell r="J727">
            <v>1.3101236387224401E-6</v>
          </cell>
          <cell r="K727">
            <v>8.6973639060814296E-6</v>
          </cell>
          <cell r="L727">
            <v>3.1461784915747499E-5</v>
          </cell>
          <cell r="M727">
            <v>9.5199510476036303E-7</v>
          </cell>
          <cell r="N727">
            <v>2.2950826042619301E-5</v>
          </cell>
          <cell r="O727">
            <v>4.5892290055637302E-6</v>
          </cell>
          <cell r="P727">
            <v>8.5484666082459598E-5</v>
          </cell>
        </row>
        <row r="728">
          <cell r="B728" t="str">
            <v>HPLSOL</v>
          </cell>
          <cell r="C728" t="str">
            <v>VAR_cap</v>
          </cell>
          <cell r="D728" t="str">
            <v>-</v>
          </cell>
          <cell r="H728">
            <v>2.7829602960115099E-5</v>
          </cell>
          <cell r="I728">
            <v>4.2167133484163899E-5</v>
          </cell>
          <cell r="J728">
            <v>4.3477257122886402E-5</v>
          </cell>
          <cell r="K728">
            <v>4.3352255893766999E-5</v>
          </cell>
          <cell r="L728">
            <v>5.58068029846002E-5</v>
          </cell>
          <cell r="M728">
            <v>4.6599990040644097E-5</v>
          </cell>
          <cell r="N728">
            <v>6.40619699692086E-5</v>
          </cell>
          <cell r="O728">
            <v>5.99538350686909E-5</v>
          </cell>
          <cell r="P728">
            <v>1.13976716235403E-4</v>
          </cell>
        </row>
        <row r="729">
          <cell r="B729" t="str">
            <v>RHEM-CHPNGA</v>
          </cell>
          <cell r="C729" t="str">
            <v>VAR_fout</v>
          </cell>
          <cell r="D729" t="str">
            <v>CO2_R</v>
          </cell>
          <cell r="E729">
            <v>7.5819845560829302</v>
          </cell>
          <cell r="F729">
            <v>4.6369473901371396</v>
          </cell>
          <cell r="G729">
            <v>19.352028589213401</v>
          </cell>
          <cell r="H729">
            <v>47.215674272058699</v>
          </cell>
          <cell r="I729">
            <v>52.073658741925698</v>
          </cell>
          <cell r="J729">
            <v>63.850001956847699</v>
          </cell>
          <cell r="K729">
            <v>55.629952298390897</v>
          </cell>
          <cell r="L729">
            <v>55.814461132071898</v>
          </cell>
          <cell r="M729">
            <v>52.892574309471399</v>
          </cell>
          <cell r="N729">
            <v>51.272831110285701</v>
          </cell>
          <cell r="O729">
            <v>63.944994473504799</v>
          </cell>
          <cell r="P729">
            <v>87.247715997863907</v>
          </cell>
        </row>
        <row r="730">
          <cell r="B730" t="str">
            <v>RHEM-CHPNGA</v>
          </cell>
          <cell r="C730" t="str">
            <v>VAR_fout</v>
          </cell>
          <cell r="D730" t="str">
            <v>RHEM_LTH_CHPNGA</v>
          </cell>
          <cell r="E730">
            <v>6.1471114148392375E-2</v>
          </cell>
          <cell r="F730">
            <v>5.1581906289961815E-2</v>
          </cell>
          <cell r="G730">
            <v>0.21093872820168941</v>
          </cell>
          <cell r="H730">
            <v>0.51526921842979445</v>
          </cell>
          <cell r="I730">
            <v>0.56366162577568091</v>
          </cell>
          <cell r="J730">
            <v>0.6876554107710724</v>
          </cell>
          <cell r="K730">
            <v>0.59684628476159907</v>
          </cell>
          <cell r="L730">
            <v>0.59255331052585558</v>
          </cell>
          <cell r="M730">
            <v>0.56526951656411784</v>
          </cell>
          <cell r="N730">
            <v>0.54258044287670859</v>
          </cell>
          <cell r="O730">
            <v>0.68291073416864811</v>
          </cell>
          <cell r="P730">
            <v>0.92572590077747818</v>
          </cell>
        </row>
        <row r="731">
          <cell r="B731" t="str">
            <v>RHEM-CHPNGA</v>
          </cell>
          <cell r="C731" t="str">
            <v>VAR_fout</v>
          </cell>
          <cell r="D731" t="str">
            <v>RHEM_NKEV_GAS_ELC_CHP</v>
          </cell>
          <cell r="E731">
            <v>2.8296227147672673E-2</v>
          </cell>
          <cell r="F731">
            <v>2.3977483688964917E-2</v>
          </cell>
          <cell r="G731">
            <v>9.9520983479104957E-2</v>
          </cell>
          <cell r="H731">
            <v>0.24932381536925491</v>
          </cell>
          <cell r="I731">
            <v>0.27609763789333397</v>
          </cell>
          <cell r="J731">
            <v>0.34103235818727962</v>
          </cell>
          <cell r="K731">
            <v>0.29961144796500777</v>
          </cell>
          <cell r="L731">
            <v>0.30113364961150052</v>
          </cell>
          <cell r="M731">
            <v>0.2872681149752076</v>
          </cell>
          <cell r="N731">
            <v>0.27573760211767162</v>
          </cell>
          <cell r="O731">
            <v>0.34705299605291956</v>
          </cell>
          <cell r="P731">
            <v>0.47045086760822691</v>
          </cell>
        </row>
        <row r="732">
          <cell r="B732" t="str">
            <v>RHEM-CHPNGA</v>
          </cell>
          <cell r="C732" t="str">
            <v>VAR_fin</v>
          </cell>
          <cell r="D732" t="str">
            <v>RNGA</v>
          </cell>
          <cell r="E732">
            <v>0.13443235028515821</v>
          </cell>
          <cell r="F732">
            <v>8.2215379257750743E-2</v>
          </cell>
          <cell r="G732">
            <v>0.34312107427683353</v>
          </cell>
          <cell r="H732">
            <v>0.83715734524926788</v>
          </cell>
          <cell r="I732">
            <v>0.92329182166534896</v>
          </cell>
          <cell r="J732">
            <v>1.1320922332774419</v>
          </cell>
          <cell r="K732">
            <v>0.98634667195728454</v>
          </cell>
          <cell r="L732">
            <v>0.98961810517857973</v>
          </cell>
          <cell r="M732">
            <v>0.9378116012317621</v>
          </cell>
          <cell r="N732">
            <v>0.9090927501823719</v>
          </cell>
          <cell r="O732">
            <v>1.1337764977571791</v>
          </cell>
          <cell r="P732">
            <v>1.5469453191110605</v>
          </cell>
        </row>
        <row r="733">
          <cell r="B733" t="str">
            <v>RHEM-CHPNGA</v>
          </cell>
          <cell r="C733" t="str">
            <v>VAR_ncap</v>
          </cell>
          <cell r="D733" t="str">
            <v>-</v>
          </cell>
          <cell r="F733">
            <v>2.7334952643897501E-7</v>
          </cell>
          <cell r="G733">
            <v>1.4016943488998201E-4</v>
          </cell>
          <cell r="H733">
            <v>1.1117219779657401E-2</v>
          </cell>
          <cell r="I733">
            <v>1.9909409719925399E-3</v>
          </cell>
          <cell r="J733">
            <v>9.0563094260993401E-3</v>
          </cell>
          <cell r="K733">
            <v>3.5703001527888998E-3</v>
          </cell>
          <cell r="L733">
            <v>7.7342452571441504E-3</v>
          </cell>
          <cell r="M733">
            <v>1.5559641911919099E-3</v>
          </cell>
          <cell r="N733">
            <v>7.6064271470635703E-3</v>
          </cell>
          <cell r="O733">
            <v>8.8610862018301904E-3</v>
          </cell>
          <cell r="P733">
            <v>1.6896090478527599E-2</v>
          </cell>
        </row>
        <row r="734">
          <cell r="B734" t="str">
            <v>RHEM-CHPNGA</v>
          </cell>
          <cell r="C734" t="str">
            <v>VAR_cap</v>
          </cell>
          <cell r="D734" t="str">
            <v>-</v>
          </cell>
          <cell r="E734">
            <v>8.5197203931046007E-3</v>
          </cell>
          <cell r="F734">
            <v>7.24530547524574E-3</v>
          </cell>
          <cell r="G734">
            <v>7.3850929020225419E-3</v>
          </cell>
          <cell r="H734">
            <v>1.8501627716764921E-2</v>
          </cell>
          <cell r="I734">
            <v>2.0490506233069177E-2</v>
          </cell>
          <cell r="J734">
            <v>2.530771538223853E-2</v>
          </cell>
          <cell r="K734">
            <v>2.2233375875297702E-2</v>
          </cell>
          <cell r="L734">
            <v>2.2349666122171395E-2</v>
          </cell>
          <cell r="M734">
            <v>2.1318566180249684E-2</v>
          </cell>
          <cell r="N734">
            <v>2.0464225295574557E-2</v>
          </cell>
          <cell r="O734">
            <v>2.5755141971412123E-2</v>
          </cell>
          <cell r="P734">
            <v>3.4915912013512067E-2</v>
          </cell>
        </row>
        <row r="735">
          <cell r="B735" t="str">
            <v>D-DH2</v>
          </cell>
          <cell r="C735" t="str">
            <v>VAR_fout</v>
          </cell>
          <cell r="D735" t="str">
            <v>H2</v>
          </cell>
          <cell r="H735">
            <v>6.9378561326919813E-5</v>
          </cell>
          <cell r="I735">
            <v>1.1509151195248355E-3</v>
          </cell>
          <cell r="J735">
            <v>2.9221957109222896E-3</v>
          </cell>
          <cell r="K735">
            <v>3.3671818071640881E-3</v>
          </cell>
          <cell r="L735">
            <v>3.4983457797449127E-3</v>
          </cell>
          <cell r="M735">
            <v>3.4992252091323667E-3</v>
          </cell>
          <cell r="N735">
            <v>3.5482304390819378E-3</v>
          </cell>
          <cell r="O735">
            <v>2.8634184816508394E-3</v>
          </cell>
          <cell r="P735">
            <v>5.5439200598833846E-3</v>
          </cell>
        </row>
        <row r="736">
          <cell r="B736" t="str">
            <v>D-DH2</v>
          </cell>
          <cell r="C736" t="str">
            <v>VAR_fin</v>
          </cell>
          <cell r="D736" t="str">
            <v>H2_E</v>
          </cell>
          <cell r="H736">
            <v>7.0079354875676606E-5</v>
          </cell>
          <cell r="I736">
            <v>1.1625405247725612E-3</v>
          </cell>
          <cell r="J736">
            <v>2.9517128393154431E-3</v>
          </cell>
          <cell r="K736">
            <v>3.4011937446101893E-3</v>
          </cell>
          <cell r="L736">
            <v>3.533682605802941E-3</v>
          </cell>
          <cell r="M736">
            <v>3.5345709183155216E-3</v>
          </cell>
          <cell r="N736">
            <v>3.5840711505878173E-3</v>
          </cell>
          <cell r="O736">
            <v>2.8923419006574125E-3</v>
          </cell>
          <cell r="P736">
            <v>5.599919252407457E-3</v>
          </cell>
        </row>
        <row r="737">
          <cell r="B737" t="str">
            <v>D-DH2</v>
          </cell>
          <cell r="C737" t="str">
            <v>VAR_ncap</v>
          </cell>
          <cell r="D737" t="str">
            <v>-</v>
          </cell>
          <cell r="H737">
            <v>1.0516388793413201E-4</v>
          </cell>
          <cell r="I737">
            <v>1.8870964045188701E-4</v>
          </cell>
          <cell r="J737">
            <v>5.8749298459545303E-4</v>
          </cell>
          <cell r="K737">
            <v>7.8324684439987302E-5</v>
          </cell>
          <cell r="L737">
            <v>4.1296900463363799E-4</v>
          </cell>
          <cell r="M737">
            <v>2.05400906015934E-5</v>
          </cell>
          <cell r="N737">
            <v>3.1658409926144598E-4</v>
          </cell>
          <cell r="O737">
            <v>5.0381191658369599E-5</v>
          </cell>
          <cell r="P737">
            <v>1.7052284048695899E-3</v>
          </cell>
        </row>
        <row r="738">
          <cell r="B738" t="str">
            <v>D-DH2</v>
          </cell>
          <cell r="C738" t="str">
            <v>VAR_cap</v>
          </cell>
          <cell r="D738" t="str">
            <v>-</v>
          </cell>
          <cell r="H738">
            <v>1.0516388793413201E-4</v>
          </cell>
          <cell r="I738">
            <v>2.9387352838601902E-4</v>
          </cell>
          <cell r="J738">
            <v>8.8136651298147302E-4</v>
          </cell>
          <cell r="K738">
            <v>9.5969119742145997E-4</v>
          </cell>
          <cell r="L738">
            <v>1.3726602020551E-3</v>
          </cell>
          <cell r="M738">
            <v>1.3932002926566899E-3</v>
          </cell>
          <cell r="N738">
            <v>1.7097843919181401E-3</v>
          </cell>
          <cell r="O738">
            <v>1.7268271913715601E-3</v>
          </cell>
          <cell r="P738">
            <v>3.3602301005119699E-3</v>
          </cell>
        </row>
        <row r="739">
          <cell r="B739" t="str">
            <v>ENUC_SMR_GOE_V</v>
          </cell>
          <cell r="C739" t="str">
            <v>VAR_fout</v>
          </cell>
          <cell r="D739" t="str">
            <v>LTH</v>
          </cell>
          <cell r="K739">
            <v>0.13900872216249194</v>
          </cell>
          <cell r="L739">
            <v>0.3862734923218254</v>
          </cell>
          <cell r="M739">
            <v>0.37781442596342885</v>
          </cell>
          <cell r="N739">
            <v>0.35963158456527172</v>
          </cell>
          <cell r="O739">
            <v>0.39049287818372558</v>
          </cell>
          <cell r="P739">
            <v>0.34948488423980728</v>
          </cell>
        </row>
        <row r="740">
          <cell r="B740" t="str">
            <v>ENUC_SMR_GOE_V</v>
          </cell>
          <cell r="C740" t="str">
            <v>VAR_fout</v>
          </cell>
          <cell r="D740" t="str">
            <v>ELC</v>
          </cell>
          <cell r="K740">
            <v>7.4039228942530733E-2</v>
          </cell>
          <cell r="L740">
            <v>0.22006988287782822</v>
          </cell>
          <cell r="M740">
            <v>0.24025743787306633</v>
          </cell>
          <cell r="N740">
            <v>0.2215932347097232</v>
          </cell>
          <cell r="O740">
            <v>0.24348554602008191</v>
          </cell>
          <cell r="P740">
            <v>0.27592281467173918</v>
          </cell>
        </row>
        <row r="741">
          <cell r="B741" t="str">
            <v>ENUC_SMR_GOE_V</v>
          </cell>
          <cell r="C741" t="str">
            <v>VAR_fin</v>
          </cell>
          <cell r="D741" t="str">
            <v>URN</v>
          </cell>
          <cell r="K741">
            <v>0.28509139054020116</v>
          </cell>
          <cell r="L741">
            <v>0.83543005182410046</v>
          </cell>
          <cell r="M741">
            <v>0.89255792467808082</v>
          </cell>
          <cell r="N741">
            <v>0.82817816206062778</v>
          </cell>
          <cell r="O741">
            <v>0.90793678128751654</v>
          </cell>
          <cell r="P741">
            <v>0.98752611695175363</v>
          </cell>
        </row>
        <row r="742">
          <cell r="B742" t="str">
            <v>ENUC_SMR_GOE_V</v>
          </cell>
          <cell r="C742" t="str">
            <v>VAR_ncap</v>
          </cell>
          <cell r="D742" t="str">
            <v>-</v>
          </cell>
          <cell r="K742">
            <v>9.6392838967830005E-3</v>
          </cell>
          <cell r="L742">
            <v>3.7820390513133698E-6</v>
          </cell>
          <cell r="M742">
            <v>9.2433893116674892E-6</v>
          </cell>
          <cell r="N742">
            <v>4.9877792807210097E-5</v>
          </cell>
          <cell r="O742">
            <v>2.2969816159464701E-3</v>
          </cell>
        </row>
        <row r="743">
          <cell r="B743" t="str">
            <v>ENUC_SMR_GOE_V</v>
          </cell>
          <cell r="C743" t="str">
            <v>VAR_cap</v>
          </cell>
          <cell r="D743" t="str">
            <v>-</v>
          </cell>
          <cell r="K743">
            <v>3.0557849603948801E-3</v>
          </cell>
          <cell r="L743">
            <v>9.6392838967830005E-3</v>
          </cell>
          <cell r="M743">
            <v>9.6462515490734098E-3</v>
          </cell>
          <cell r="N743">
            <v>9.6523093251459809E-3</v>
          </cell>
          <cell r="O743">
            <v>1.0430361736677199E-2</v>
          </cell>
          <cell r="P743">
            <v>1.1999168733899701E-2</v>
          </cell>
        </row>
        <row r="744">
          <cell r="B744" t="str">
            <v>D-SBIO</v>
          </cell>
          <cell r="C744" t="str">
            <v>VAR_fout</v>
          </cell>
          <cell r="D744" t="str">
            <v>SBIO</v>
          </cell>
          <cell r="E744">
            <v>4.0477015392536391</v>
          </cell>
          <cell r="F744">
            <v>4.5839585651782047</v>
          </cell>
          <cell r="G744">
            <v>4.6658133423712913</v>
          </cell>
          <cell r="H744">
            <v>4.6550513786620131</v>
          </cell>
          <cell r="I744">
            <v>4.7687999214695571</v>
          </cell>
          <cell r="J744">
            <v>4.8663128880334749</v>
          </cell>
          <cell r="K744">
            <v>4.938786922699733</v>
          </cell>
          <cell r="L744">
            <v>5.0695399287313521</v>
          </cell>
          <cell r="M744">
            <v>5.3897826338438719</v>
          </cell>
          <cell r="N744">
            <v>5.3907205854671245</v>
          </cell>
          <cell r="O744">
            <v>6.3966531176069594</v>
          </cell>
          <cell r="P744">
            <v>6.6465399333731225</v>
          </cell>
        </row>
        <row r="745">
          <cell r="B745" t="str">
            <v>D-SBIO</v>
          </cell>
          <cell r="C745" t="str">
            <v>VAR_fin</v>
          </cell>
          <cell r="D745" t="str">
            <v>BIO</v>
          </cell>
          <cell r="E745">
            <v>4.0477015392536391</v>
          </cell>
          <cell r="F745">
            <v>4.5839585651782047</v>
          </cell>
          <cell r="G745">
            <v>4.6658133423712913</v>
          </cell>
          <cell r="H745">
            <v>4.6550513786620131</v>
          </cell>
          <cell r="I745">
            <v>4.7687999214695571</v>
          </cell>
          <cell r="J745">
            <v>4.8663128880334749</v>
          </cell>
          <cell r="K745">
            <v>4.938786922699733</v>
          </cell>
          <cell r="L745">
            <v>5.0695399287313521</v>
          </cell>
          <cell r="M745">
            <v>5.3897826338438719</v>
          </cell>
          <cell r="N745">
            <v>5.3907205854671245</v>
          </cell>
          <cell r="O745">
            <v>6.3966531176069594</v>
          </cell>
          <cell r="P745">
            <v>6.6465399333731225</v>
          </cell>
        </row>
        <row r="746">
          <cell r="B746" t="str">
            <v>SCOM-CHPBIO</v>
          </cell>
          <cell r="C746" t="str">
            <v>VAR_fout</v>
          </cell>
          <cell r="D746" t="str">
            <v>SCOM_LTH_CHPBIO</v>
          </cell>
          <cell r="E746">
            <v>1.424318480075953</v>
          </cell>
          <cell r="F746">
            <v>1.5785750949686741</v>
          </cell>
          <cell r="G746">
            <v>1.4831586338876217</v>
          </cell>
          <cell r="H746">
            <v>1.3241277409395629</v>
          </cell>
          <cell r="I746">
            <v>1.1651000909257894</v>
          </cell>
          <cell r="J746">
            <v>1.0060731806383227</v>
          </cell>
          <cell r="K746">
            <v>1.0060786714680234</v>
          </cell>
          <cell r="L746">
            <v>1.0060923661242847</v>
          </cell>
          <cell r="M746">
            <v>1.0061013311255349</v>
          </cell>
          <cell r="N746">
            <v>1.0061269062928679</v>
          </cell>
          <cell r="O746">
            <v>1.0061573660427634</v>
          </cell>
          <cell r="P746">
            <v>1.0392010830458855</v>
          </cell>
        </row>
        <row r="747">
          <cell r="B747" t="str">
            <v>SCOM-CHPBIO</v>
          </cell>
          <cell r="C747" t="str">
            <v>VAR_fout</v>
          </cell>
          <cell r="D747" t="str">
            <v>SCOM_KEV_BIO_ELC_CHP</v>
          </cell>
          <cell r="E747">
            <v>0.95937142062843517</v>
          </cell>
          <cell r="F747">
            <v>1.1061197708492967</v>
          </cell>
          <cell r="G747">
            <v>1.1061202942024164</v>
          </cell>
          <cell r="H747">
            <v>1.1061184455650488</v>
          </cell>
          <cell r="I747">
            <v>1.1061191710409983</v>
          </cell>
          <cell r="J747">
            <v>1.1061209391546785</v>
          </cell>
          <cell r="K747">
            <v>1.1061269760134509</v>
          </cell>
          <cell r="L747">
            <v>1.1061420325186193</v>
          </cell>
          <cell r="M747">
            <v>1.1061518890338238</v>
          </cell>
          <cell r="N747">
            <v>1.1061800074934498</v>
          </cell>
          <cell r="O747">
            <v>1.1062134962771784</v>
          </cell>
          <cell r="P747">
            <v>1.1425432066680894</v>
          </cell>
        </row>
        <row r="748">
          <cell r="B748" t="str">
            <v>SCOM-CHPBIO</v>
          </cell>
          <cell r="C748" t="str">
            <v>VAR_fin</v>
          </cell>
          <cell r="D748" t="str">
            <v>SBIO</v>
          </cell>
          <cell r="E748">
            <v>2.6454150787886919</v>
          </cell>
          <cell r="F748">
            <v>3.046729595024297</v>
          </cell>
          <cell r="G748">
            <v>3.0456098654581196</v>
          </cell>
          <cell r="H748">
            <v>3.0358548076883469</v>
          </cell>
          <cell r="I748">
            <v>2.9935608614012854</v>
          </cell>
          <cell r="J748">
            <v>2.9547287761460659</v>
          </cell>
          <cell r="K748">
            <v>2.923583601173827</v>
          </cell>
          <cell r="L748">
            <v>2.8864341058558294</v>
          </cell>
          <cell r="M748">
            <v>2.8804438620660364</v>
          </cell>
          <cell r="N748">
            <v>2.8914855576644523</v>
          </cell>
          <cell r="O748">
            <v>2.8915603736593569</v>
          </cell>
          <cell r="P748">
            <v>3.004439273680986</v>
          </cell>
        </row>
        <row r="749">
          <cell r="B749" t="str">
            <v>SCOM-CHPBIO</v>
          </cell>
          <cell r="C749" t="str">
            <v>VAR_ncap</v>
          </cell>
          <cell r="D749" t="str">
            <v>-</v>
          </cell>
          <cell r="F749">
            <v>2.6203621556264298E-2</v>
          </cell>
          <cell r="G749">
            <v>6.5764564780571898E-3</v>
          </cell>
          <cell r="H749">
            <v>1.2224098753605301E-2</v>
          </cell>
          <cell r="I749">
            <v>4.4081637507049701E-2</v>
          </cell>
          <cell r="J749">
            <v>2.9399829746362301E-2</v>
          </cell>
          <cell r="K749">
            <v>1.12791905168822E-2</v>
          </cell>
          <cell r="L749">
            <v>4.4085390090403402E-2</v>
          </cell>
          <cell r="M749">
            <v>2.6376138180512699E-2</v>
          </cell>
          <cell r="N749">
            <v>1.4305741728993E-2</v>
          </cell>
          <cell r="O749">
            <v>4.4640728511207303E-2</v>
          </cell>
          <cell r="P749">
            <v>2.8610060542598799E-2</v>
          </cell>
        </row>
        <row r="750">
          <cell r="B750" t="str">
            <v>SCOM-CHPBIO</v>
          </cell>
          <cell r="C750" t="str">
            <v>VAR_cap</v>
          </cell>
          <cell r="D750" t="str">
            <v>-</v>
          </cell>
          <cell r="E750">
            <v>7.3512213214295172E-2</v>
          </cell>
          <cell r="F750">
            <v>8.4758599087997252E-2</v>
          </cell>
          <cell r="G750">
            <v>8.4758943290180327E-2</v>
          </cell>
          <cell r="H750">
            <v>8.4760372681819504E-2</v>
          </cell>
          <cell r="I750">
            <v>8.4760279157956031E-2</v>
          </cell>
          <cell r="J750">
            <v>8.4759331428646084E-2</v>
          </cell>
          <cell r="K750">
            <v>8.4759722593894735E-2</v>
          </cell>
          <cell r="L750">
            <v>8.4762783226290689E-2</v>
          </cell>
          <cell r="M750">
            <v>8.4761848671457599E-2</v>
          </cell>
          <cell r="N750">
            <v>8.4765615574029729E-2</v>
          </cell>
          <cell r="O750">
            <v>8.4767229246962325E-2</v>
          </cell>
          <cell r="P750">
            <v>8.75545258834413E-2</v>
          </cell>
        </row>
        <row r="751">
          <cell r="B751" t="str">
            <v>SCOM-CHPHFC</v>
          </cell>
          <cell r="C751" t="str">
            <v>VAR_fout</v>
          </cell>
          <cell r="D751" t="str">
            <v>SCOM_KEV_HFC_ELC_CHP</v>
          </cell>
          <cell r="H751">
            <v>3.2495313665129792E-3</v>
          </cell>
          <cell r="I751">
            <v>7.8258616140021858E-3</v>
          </cell>
          <cell r="J751">
            <v>8.7991059489721975E-3</v>
          </cell>
          <cell r="K751">
            <v>1.0918149462690633E-2</v>
          </cell>
          <cell r="L751">
            <v>2.6196335338277532E-2</v>
          </cell>
          <cell r="M751">
            <v>2.4337695094511957E-2</v>
          </cell>
          <cell r="N751">
            <v>5.5263911468519597E-2</v>
          </cell>
          <cell r="O751">
            <v>4.2605351657326401E-2</v>
          </cell>
          <cell r="P751">
            <v>7.5838329463297174E-2</v>
          </cell>
        </row>
        <row r="752">
          <cell r="B752" t="str">
            <v>SCOM-CHPHFC</v>
          </cell>
          <cell r="C752" t="str">
            <v>VAR_fout</v>
          </cell>
          <cell r="D752" t="str">
            <v>SCOM_LTH_CHPHFC</v>
          </cell>
          <cell r="H752">
            <v>2.4456999232176611E-3</v>
          </cell>
          <cell r="I752">
            <v>5.4086924663635022E-3</v>
          </cell>
          <cell r="J752">
            <v>5.5401778197232375E-3</v>
          </cell>
          <cell r="K752">
            <v>6.522759179803903E-3</v>
          </cell>
          <cell r="L752">
            <v>1.4806624321635134E-2</v>
          </cell>
          <cell r="M752">
            <v>1.3756088531680692E-2</v>
          </cell>
          <cell r="N752">
            <v>3.1236123873511115E-2</v>
          </cell>
          <cell r="O752">
            <v>2.4081285719358435E-2</v>
          </cell>
          <cell r="P752">
            <v>4.286514274012454E-2</v>
          </cell>
        </row>
        <row r="753">
          <cell r="B753" t="str">
            <v>SCOM-CHPHFC</v>
          </cell>
          <cell r="C753" t="str">
            <v>VAR_fin</v>
          </cell>
          <cell r="D753" t="str">
            <v>RSH2</v>
          </cell>
          <cell r="H753">
            <v>6.8411186663431137E-3</v>
          </cell>
          <cell r="I753">
            <v>1.5420416973403324E-2</v>
          </cell>
          <cell r="J753">
            <v>1.6294640646244835E-2</v>
          </cell>
          <cell r="K753">
            <v>1.9584124596754477E-2</v>
          </cell>
          <cell r="L753">
            <v>4.5558844066569591E-2</v>
          </cell>
          <cell r="M753">
            <v>4.2326426251325169E-2</v>
          </cell>
          <cell r="N753">
            <v>9.6111150380034135E-2</v>
          </cell>
          <cell r="O753">
            <v>7.4096263751872005E-2</v>
          </cell>
          <cell r="P753">
            <v>0.13189274689269082</v>
          </cell>
        </row>
        <row r="754">
          <cell r="B754" t="str">
            <v>SCOM-CHPHFC</v>
          </cell>
          <cell r="C754" t="str">
            <v>VAR_ncap</v>
          </cell>
          <cell r="D754" t="str">
            <v>-</v>
          </cell>
          <cell r="H754">
            <v>2.1639127651212401E-4</v>
          </cell>
          <cell r="I754">
            <v>3.1019502269943498E-4</v>
          </cell>
          <cell r="J754">
            <v>9.2733986157589503E-5</v>
          </cell>
          <cell r="K754">
            <v>2.4705696033214502E-4</v>
          </cell>
          <cell r="L754">
            <v>1.5027492604412899E-3</v>
          </cell>
          <cell r="M754">
            <v>1.0563144294431599E-5</v>
          </cell>
          <cell r="N754">
            <v>2.3875759403004502E-3</v>
          </cell>
          <cell r="O754">
            <v>3.3933926259276402E-4</v>
          </cell>
          <cell r="P754">
            <v>2.7084429223044699E-3</v>
          </cell>
        </row>
        <row r="755">
          <cell r="B755" t="str">
            <v>SCOM-CHPHFC</v>
          </cell>
          <cell r="C755" t="str">
            <v>VAR_cap</v>
          </cell>
          <cell r="D755" t="str">
            <v>-</v>
          </cell>
          <cell r="H755">
            <v>2.1639127651212401E-4</v>
          </cell>
          <cell r="I755">
            <v>5.2649947441688527E-4</v>
          </cell>
          <cell r="J755">
            <v>5.7780773803826273E-4</v>
          </cell>
          <cell r="K755">
            <v>6.4964827095711553E-4</v>
          </cell>
          <cell r="L755">
            <v>1.8415999089525929E-3</v>
          </cell>
          <cell r="M755">
            <v>1.7402486261143316E-3</v>
          </cell>
          <cell r="N755">
            <v>3.8994630710720338E-3</v>
          </cell>
          <cell r="O755">
            <v>2.9984925700009173E-3</v>
          </cell>
          <cell r="P755">
            <v>5.4336517407554286E-3</v>
          </cell>
        </row>
        <row r="756">
          <cell r="B756" t="str">
            <v>RHES-EBAT</v>
          </cell>
          <cell r="C756" t="str">
            <v>VAR_fout</v>
          </cell>
          <cell r="D756" t="str">
            <v>RHES_ELC</v>
          </cell>
          <cell r="E756">
            <v>2.7620142563687116E-3</v>
          </cell>
          <cell r="F756">
            <v>2.7451650717875047E-3</v>
          </cell>
          <cell r="G756">
            <v>2.7398659988838816E-3</v>
          </cell>
          <cell r="H756">
            <v>3.9237795843900053E-2</v>
          </cell>
          <cell r="I756">
            <v>5.3760436048330751E-2</v>
          </cell>
          <cell r="J756">
            <v>5.5733338830407798E-2</v>
          </cell>
          <cell r="K756">
            <v>6.2460890206757699E-2</v>
          </cell>
          <cell r="L756">
            <v>6.7183197934926067E-2</v>
          </cell>
          <cell r="M756">
            <v>7.1328562376988369E-2</v>
          </cell>
          <cell r="N756">
            <v>7.3124139650744061E-2</v>
          </cell>
          <cell r="O756">
            <v>7.2858959885995833E-2</v>
          </cell>
          <cell r="P756">
            <v>7.9499911776427942E-2</v>
          </cell>
        </row>
        <row r="757">
          <cell r="B757" t="str">
            <v>RHES-EBAT</v>
          </cell>
          <cell r="C757" t="str">
            <v>VAR_fout</v>
          </cell>
          <cell r="D757" t="str">
            <v>AUX_RHES-EBAT_OUT</v>
          </cell>
          <cell r="E757">
            <v>2.7620142563687142E-3</v>
          </cell>
          <cell r="F757">
            <v>2.7451650717875082E-3</v>
          </cell>
          <cell r="G757">
            <v>2.7398659988838842E-3</v>
          </cell>
          <cell r="H757">
            <v>3.9237795843900095E-2</v>
          </cell>
          <cell r="I757">
            <v>5.3760436048330779E-2</v>
          </cell>
          <cell r="J757">
            <v>5.5733338830407847E-2</v>
          </cell>
          <cell r="K757">
            <v>6.2460890206757769E-2</v>
          </cell>
          <cell r="L757">
            <v>6.7183197934926123E-2</v>
          </cell>
          <cell r="M757">
            <v>7.1328562376988411E-2</v>
          </cell>
          <cell r="N757">
            <v>7.3124139650744158E-2</v>
          </cell>
          <cell r="O757">
            <v>7.285895988599593E-2</v>
          </cell>
          <cell r="P757">
            <v>7.9499911776428026E-2</v>
          </cell>
        </row>
        <row r="758">
          <cell r="B758" t="str">
            <v>RHES-EBAT</v>
          </cell>
          <cell r="C758" t="str">
            <v>VAR_fin</v>
          </cell>
          <cell r="D758" t="str">
            <v>RHES_ELC</v>
          </cell>
          <cell r="E758">
            <v>3.0558107418712632E-3</v>
          </cell>
          <cell r="F758">
            <v>3.0374881006761108E-3</v>
          </cell>
          <cell r="G758">
            <v>3.0304322576591631E-3</v>
          </cell>
          <cell r="H758">
            <v>4.3392323467965802E-2</v>
          </cell>
          <cell r="I758">
            <v>5.9452444574230087E-2</v>
          </cell>
          <cell r="J758">
            <v>6.1633907834772232E-2</v>
          </cell>
          <cell r="K758">
            <v>6.9073679371046151E-2</v>
          </cell>
          <cell r="L758">
            <v>7.429718363465708E-2</v>
          </cell>
          <cell r="M758">
            <v>7.8880249736464417E-2</v>
          </cell>
          <cell r="N758">
            <v>8.0869133409803798E-2</v>
          </cell>
          <cell r="O758">
            <v>8.0573638385578933E-2</v>
          </cell>
          <cell r="P758">
            <v>8.7924088708071932E-2</v>
          </cell>
        </row>
        <row r="759">
          <cell r="B759" t="str">
            <v>RHES-EBAT</v>
          </cell>
          <cell r="C759" t="str">
            <v>VAR_fin</v>
          </cell>
          <cell r="D759" t="str">
            <v>AUX_RHES-EBAT_IN</v>
          </cell>
          <cell r="E759">
            <v>3.0558107418712632E-3</v>
          </cell>
          <cell r="F759">
            <v>3.0374881006761108E-3</v>
          </cell>
          <cell r="G759">
            <v>3.0304322576591631E-3</v>
          </cell>
          <cell r="H759">
            <v>4.3392323467965802E-2</v>
          </cell>
          <cell r="I759">
            <v>5.9452444574230087E-2</v>
          </cell>
          <cell r="J759">
            <v>6.1633907834772232E-2</v>
          </cell>
          <cell r="K759">
            <v>6.9073679371046151E-2</v>
          </cell>
          <cell r="L759">
            <v>7.429718363465708E-2</v>
          </cell>
          <cell r="M759">
            <v>7.8880249736464417E-2</v>
          </cell>
          <cell r="N759">
            <v>8.0869133409803798E-2</v>
          </cell>
          <cell r="O759">
            <v>8.0573638385578933E-2</v>
          </cell>
          <cell r="P759">
            <v>8.7924088708071932E-2</v>
          </cell>
        </row>
        <row r="760">
          <cell r="B760" t="str">
            <v>RHES-EBAT</v>
          </cell>
          <cell r="C760" t="str">
            <v>VAR_ncap</v>
          </cell>
          <cell r="D760" t="str">
            <v>-</v>
          </cell>
          <cell r="E760">
            <v>1.12236455709456E-3</v>
          </cell>
          <cell r="F760">
            <v>1.8364289668077699E-6</v>
          </cell>
          <cell r="G760">
            <v>5.4234794309901603E-6</v>
          </cell>
          <cell r="H760">
            <v>1.9734305972415898E-2</v>
          </cell>
          <cell r="I760">
            <v>2.3582717326446402E-3</v>
          </cell>
          <cell r="J760">
            <v>1.6353561516888802E-2</v>
          </cell>
          <cell r="K760">
            <v>8.0958131129973809E-3</v>
          </cell>
          <cell r="L760">
            <v>1.3847938502788299E-2</v>
          </cell>
          <cell r="M760">
            <v>1.17359656797271E-2</v>
          </cell>
          <cell r="N760">
            <v>1.11249320915233E-2</v>
          </cell>
          <cell r="O760">
            <v>1.6644316706664199E-2</v>
          </cell>
          <cell r="P760">
            <v>8.4113905317813598E-3</v>
          </cell>
        </row>
        <row r="761">
          <cell r="B761" t="str">
            <v>RHES-EBAT</v>
          </cell>
          <cell r="C761" t="str">
            <v>VAR_cap</v>
          </cell>
          <cell r="D761" t="str">
            <v>-</v>
          </cell>
          <cell r="E761">
            <v>1.1250099352362348E-3</v>
          </cell>
          <cell r="F761">
            <v>1.1260662901107707E-3</v>
          </cell>
          <cell r="G761">
            <v>1.1295801057688965E-3</v>
          </cell>
          <cell r="H761">
            <v>2.0559215065395573E-2</v>
          </cell>
          <cell r="I761">
            <v>2.2094365215547133E-2</v>
          </cell>
          <cell r="J761">
            <v>2.2854774558894453E-2</v>
          </cell>
          <cell r="K761">
            <v>2.5670826847907509E-2</v>
          </cell>
          <cell r="L761">
            <v>2.7527405161394587E-2</v>
          </cell>
          <cell r="M761">
            <v>2.9223680149819943E-2</v>
          </cell>
          <cell r="N761">
            <v>2.9952578961260985E-2</v>
          </cell>
          <cell r="O761">
            <v>2.9845499004124712E-2</v>
          </cell>
          <cell r="P761">
            <v>3.2558780965055337E-2</v>
          </cell>
        </row>
        <row r="762">
          <cell r="B762" t="str">
            <v>D-INGA</v>
          </cell>
          <cell r="C762" t="str">
            <v>VAR_fout</v>
          </cell>
          <cell r="D762" t="str">
            <v>CO2</v>
          </cell>
          <cell r="E762">
            <v>2102.7706906106901</v>
          </cell>
          <cell r="F762">
            <v>1716.7425986866699</v>
          </cell>
          <cell r="G762">
            <v>1756.98201541504</v>
          </cell>
          <cell r="H762">
            <v>1603.6988614782299</v>
          </cell>
          <cell r="I762">
            <v>1425.01745377674</v>
          </cell>
          <cell r="J762">
            <v>1274.4536323902701</v>
          </cell>
          <cell r="K762">
            <v>1041.4716304963699</v>
          </cell>
          <cell r="L762">
            <v>923.78564615103801</v>
          </cell>
          <cell r="M762">
            <v>855.83260679889099</v>
          </cell>
          <cell r="N762">
            <v>730.28777708127404</v>
          </cell>
          <cell r="O762">
            <v>657.75626089131401</v>
          </cell>
          <cell r="P762">
            <v>576.39529060307302</v>
          </cell>
        </row>
        <row r="763">
          <cell r="B763" t="str">
            <v>D-INGA</v>
          </cell>
          <cell r="C763" t="str">
            <v>VAR_fout</v>
          </cell>
          <cell r="D763" t="str">
            <v>IH2</v>
          </cell>
          <cell r="H763">
            <v>7.5561880395401378E-3</v>
          </cell>
          <cell r="I763">
            <v>2.4096222919171278E-2</v>
          </cell>
          <cell r="J763">
            <v>3.7138431223997501E-2</v>
          </cell>
          <cell r="K763">
            <v>3.4225392341553806E-2</v>
          </cell>
          <cell r="L763">
            <v>0.1147228473340374</v>
          </cell>
          <cell r="M763">
            <v>0.13070999372570699</v>
          </cell>
          <cell r="N763">
            <v>0.19586867232351898</v>
          </cell>
          <cell r="O763">
            <v>0.20349826660381667</v>
          </cell>
          <cell r="P763">
            <v>0.20198598397100356</v>
          </cell>
        </row>
        <row r="764">
          <cell r="B764" t="str">
            <v>D-INGA</v>
          </cell>
          <cell r="C764" t="str">
            <v>VAR_fout</v>
          </cell>
          <cell r="D764" t="str">
            <v>INGA</v>
          </cell>
          <cell r="E764">
            <v>37.487475321888624</v>
          </cell>
          <cell r="F764">
            <v>30.342057121699415</v>
          </cell>
          <cell r="G764">
            <v>33.822125159017496</v>
          </cell>
          <cell r="H764">
            <v>31.113309898087049</v>
          </cell>
          <cell r="I764">
            <v>27.955246051487148</v>
          </cell>
          <cell r="J764">
            <v>25.294134886773083</v>
          </cell>
          <cell r="K764">
            <v>21.17642897990314</v>
          </cell>
          <cell r="L764">
            <v>19.096185904504622</v>
          </cell>
          <cell r="M764">
            <v>17.895140672775888</v>
          </cell>
          <cell r="N764">
            <v>15.676072609209527</v>
          </cell>
          <cell r="O764">
            <v>14.394140656304753</v>
          </cell>
          <cell r="P764">
            <v>12.956271702565253</v>
          </cell>
        </row>
        <row r="765">
          <cell r="B765" t="str">
            <v>D-INGA</v>
          </cell>
          <cell r="C765" t="str">
            <v>VAR_fin</v>
          </cell>
          <cell r="D765" t="str">
            <v>NGA</v>
          </cell>
          <cell r="E765">
            <v>37.283168273239134</v>
          </cell>
          <cell r="F765">
            <v>30.438698558274258</v>
          </cell>
          <cell r="G765">
            <v>31.152163393883701</v>
          </cell>
          <cell r="H765">
            <v>28.434376976564419</v>
          </cell>
          <cell r="I765">
            <v>25.266266910935197</v>
          </cell>
          <cell r="J765">
            <v>22.596695609756576</v>
          </cell>
          <cell r="K765">
            <v>18.465809051354057</v>
          </cell>
          <cell r="L765">
            <v>16.37917812324536</v>
          </cell>
          <cell r="M765">
            <v>15.174336999980344</v>
          </cell>
          <cell r="N765">
            <v>12.948364841866562</v>
          </cell>
          <cell r="O765">
            <v>11.662345051264428</v>
          </cell>
          <cell r="P765">
            <v>10.21977465608285</v>
          </cell>
        </row>
        <row r="766">
          <cell r="B766" t="str">
            <v>D-INGA</v>
          </cell>
          <cell r="C766" t="str">
            <v>VAR_fin</v>
          </cell>
          <cell r="D766" t="str">
            <v>BNGA</v>
          </cell>
          <cell r="E766">
            <v>0.32406527161980048</v>
          </cell>
          <cell r="F766">
            <v>3.1317859664122097E-4</v>
          </cell>
          <cell r="G766">
            <v>2.7780105886767079</v>
          </cell>
          <cell r="H766">
            <v>2.7783835122334306</v>
          </cell>
          <cell r="I766">
            <v>2.7783902610504594</v>
          </cell>
          <cell r="J766">
            <v>2.7783953817630631</v>
          </cell>
          <cell r="K766">
            <v>2.7784048986285632</v>
          </cell>
          <cell r="L766">
            <v>2.7784205021789559</v>
          </cell>
          <cell r="M766">
            <v>2.7784187274872636</v>
          </cell>
          <cell r="N766">
            <v>2.7784374986919085</v>
          </cell>
          <cell r="O766">
            <v>2.7784558336121714</v>
          </cell>
          <cell r="P766">
            <v>2.7786157004512209</v>
          </cell>
        </row>
        <row r="767">
          <cell r="B767" t="str">
            <v>D-INGA</v>
          </cell>
          <cell r="C767" t="str">
            <v>VAR_fin</v>
          </cell>
          <cell r="D767" t="str">
            <v>H2</v>
          </cell>
          <cell r="H767">
            <v>7.5559030303419521E-3</v>
          </cell>
          <cell r="I767">
            <v>2.4093040931592175E-2</v>
          </cell>
          <cell r="J767">
            <v>3.7131100078305071E-2</v>
          </cell>
          <cell r="K767">
            <v>3.4218061195860398E-2</v>
          </cell>
          <cell r="L767">
            <v>0.11470713773612072</v>
          </cell>
          <cell r="M767">
            <v>0.13070266310550327</v>
          </cell>
          <cell r="N767">
            <v>0.19585819925824199</v>
          </cell>
          <cell r="O767">
            <v>0.20349411173524631</v>
          </cell>
          <cell r="P767">
            <v>0.20195456477517107</v>
          </cell>
        </row>
        <row r="768">
          <cell r="B768" t="str">
            <v>D-INGA</v>
          </cell>
          <cell r="C768" t="str">
            <v>VAR_ncap</v>
          </cell>
          <cell r="D768" t="str">
            <v>-</v>
          </cell>
          <cell r="E768">
            <v>2.6223721097234301E-6</v>
          </cell>
          <cell r="F768">
            <v>1.3570788731876199E-6</v>
          </cell>
          <cell r="G768">
            <v>2.0398788645692499E-6</v>
          </cell>
          <cell r="H768">
            <v>3.19410173285069E-6</v>
          </cell>
          <cell r="I768">
            <v>5.1475229949901303E-6</v>
          </cell>
          <cell r="J768">
            <v>7.3067591598209001E-6</v>
          </cell>
          <cell r="K768">
            <v>1.3383172632960201E-5</v>
          </cell>
          <cell r="L768">
            <v>5.3758525663263397E-2</v>
          </cell>
          <cell r="M768">
            <v>0.60441176692093701</v>
          </cell>
          <cell r="N768">
            <v>1.2888927651825201E-4</v>
          </cell>
          <cell r="O768">
            <v>4.3447202996709197E-5</v>
          </cell>
          <cell r="P768">
            <v>1.9003211468923399E-4</v>
          </cell>
        </row>
        <row r="769">
          <cell r="B769" t="str">
            <v>D-INGA</v>
          </cell>
          <cell r="C769" t="str">
            <v>VAR_cap</v>
          </cell>
          <cell r="D769" t="str">
            <v>-</v>
          </cell>
          <cell r="E769">
            <v>1.9844859926382097</v>
          </cell>
          <cell r="F769">
            <v>1.984487349717083</v>
          </cell>
          <cell r="G769">
            <v>1.9844893895959475</v>
          </cell>
          <cell r="H769">
            <v>1.9844925836976803</v>
          </cell>
          <cell r="I769">
            <v>1.9844977312206753</v>
          </cell>
          <cell r="J769">
            <v>1.9845050379798352</v>
          </cell>
          <cell r="K769">
            <v>1.984518421152468</v>
          </cell>
          <cell r="L769">
            <v>0.94720783175767842</v>
          </cell>
          <cell r="M769">
            <v>0.76505339266924799</v>
          </cell>
          <cell r="N769">
            <v>0.65833162865864903</v>
          </cell>
          <cell r="O769">
            <v>0.65837100935352599</v>
          </cell>
          <cell r="P769">
            <v>0.65855849863319205</v>
          </cell>
        </row>
        <row r="770">
          <cell r="B770" t="str">
            <v>EWIND</v>
          </cell>
          <cell r="C770" t="str">
            <v>VAR_fout</v>
          </cell>
          <cell r="D770" t="str">
            <v>ELC35</v>
          </cell>
          <cell r="E770">
            <v>0.52400000000000047</v>
          </cell>
          <cell r="F770">
            <v>0.54529302637759147</v>
          </cell>
          <cell r="G770">
            <v>0.50316562471114035</v>
          </cell>
          <cell r="H770">
            <v>0.56389216751934657</v>
          </cell>
          <cell r="I770">
            <v>0.56613504054168295</v>
          </cell>
          <cell r="J770">
            <v>0.56870496347360744</v>
          </cell>
          <cell r="K770">
            <v>0.58036305042839709</v>
          </cell>
          <cell r="L770">
            <v>0.58044372954834755</v>
          </cell>
          <cell r="M770">
            <v>0.58220676548390526</v>
          </cell>
          <cell r="N770">
            <v>0.5823498779490649</v>
          </cell>
          <cell r="O770">
            <v>0.58444918281009461</v>
          </cell>
          <cell r="P770">
            <v>0.59684864279550764</v>
          </cell>
        </row>
        <row r="771">
          <cell r="B771" t="str">
            <v>EWIND</v>
          </cell>
          <cell r="C771" t="str">
            <v>VAR_fin</v>
          </cell>
          <cell r="D771" t="str">
            <v>WND</v>
          </cell>
          <cell r="E771">
            <v>0.52400000000000047</v>
          </cell>
          <cell r="F771">
            <v>0.54529302637759147</v>
          </cell>
          <cell r="G771">
            <v>0.50316562471114035</v>
          </cell>
          <cell r="H771">
            <v>0.56389216751934657</v>
          </cell>
          <cell r="I771">
            <v>0.56613504054168295</v>
          </cell>
          <cell r="J771">
            <v>0.56870496347360744</v>
          </cell>
          <cell r="K771">
            <v>0.58036305042839709</v>
          </cell>
          <cell r="L771">
            <v>0.58044372954834755</v>
          </cell>
          <cell r="M771">
            <v>0.58220676548390526</v>
          </cell>
          <cell r="N771">
            <v>0.5823498779490649</v>
          </cell>
          <cell r="O771">
            <v>0.58444918281009461</v>
          </cell>
          <cell r="P771">
            <v>0.59684864279550764</v>
          </cell>
        </row>
        <row r="772">
          <cell r="B772" t="str">
            <v>EWIND</v>
          </cell>
          <cell r="C772" t="str">
            <v>VAR_ncap</v>
          </cell>
          <cell r="D772" t="str">
            <v>-</v>
          </cell>
          <cell r="F772">
            <v>7.1322807763999699E-3</v>
          </cell>
          <cell r="G772">
            <v>3.4641767723104497E-2</v>
          </cell>
          <cell r="H772">
            <v>3.2875137150862398E-2</v>
          </cell>
          <cell r="I772">
            <v>2.2502952198194599E-2</v>
          </cell>
          <cell r="J772">
            <v>4.0369212943167798E-5</v>
          </cell>
          <cell r="K772">
            <v>4.1087401445096303E-2</v>
          </cell>
          <cell r="L772">
            <v>4.2568527943980999E-2</v>
          </cell>
          <cell r="M772">
            <v>1.31272135948633E-2</v>
          </cell>
          <cell r="N772">
            <v>9.3770504286333898E-6</v>
          </cell>
          <cell r="O772">
            <v>4.3530513550610897E-2</v>
          </cell>
        </row>
        <row r="773">
          <cell r="B773" t="str">
            <v>EWIND</v>
          </cell>
          <cell r="C773" t="str">
            <v>VAR_cap</v>
          </cell>
          <cell r="D773" t="str">
            <v>-</v>
          </cell>
          <cell r="E773">
            <v>8.7120000000000003E-2</v>
          </cell>
          <cell r="F773">
            <v>9.0660168813007175E-2</v>
          </cell>
          <cell r="G773">
            <v>8.3656086306936162E-2</v>
          </cell>
          <cell r="H773">
            <v>9.3752742984720305E-2</v>
          </cell>
          <cell r="I773">
            <v>9.4126354824491706E-2</v>
          </cell>
          <cell r="J773">
            <v>9.4553622384446243E-2</v>
          </cell>
          <cell r="K773">
            <v>9.6492457738756601E-2</v>
          </cell>
          <cell r="L773">
            <v>9.6505860007096503E-2</v>
          </cell>
          <cell r="M773">
            <v>9.6799201363548595E-2</v>
          </cell>
          <cell r="N773">
            <v>9.6823512196883704E-2</v>
          </cell>
          <cell r="O773">
            <v>9.7173328279395704E-2</v>
          </cell>
          <cell r="P773">
            <v>9.9235632139883803E-2</v>
          </cell>
        </row>
        <row r="774">
          <cell r="B774" t="str">
            <v>EGEO</v>
          </cell>
          <cell r="C774" t="str">
            <v>VAR_fout</v>
          </cell>
          <cell r="D774" t="str">
            <v>ELC35</v>
          </cell>
          <cell r="K774">
            <v>1.4938825984127976E-2</v>
          </cell>
          <cell r="L774">
            <v>2.3503314794420714E-2</v>
          </cell>
          <cell r="M774">
            <v>2.4709241744400725E-2</v>
          </cell>
          <cell r="N774">
            <v>2.7777486607999745E-2</v>
          </cell>
          <cell r="O774">
            <v>3.2135869677913292E-2</v>
          </cell>
          <cell r="P774">
            <v>5.7229793608533822E-2</v>
          </cell>
        </row>
        <row r="775">
          <cell r="B775" t="str">
            <v>EGEO</v>
          </cell>
          <cell r="C775" t="str">
            <v>VAR_fin</v>
          </cell>
          <cell r="D775" t="str">
            <v>GEO</v>
          </cell>
          <cell r="K775">
            <v>9.9592173227519981E-2</v>
          </cell>
          <cell r="L775">
            <v>0.15668876529613807</v>
          </cell>
          <cell r="M775">
            <v>0.16472827829600481</v>
          </cell>
          <cell r="N775">
            <v>0.1851832440533317</v>
          </cell>
          <cell r="O775">
            <v>0.21423913118608878</v>
          </cell>
          <cell r="P775">
            <v>0.38153195739022561</v>
          </cell>
        </row>
        <row r="776">
          <cell r="B776" t="str">
            <v>EGEO</v>
          </cell>
          <cell r="C776" t="str">
            <v>VAR_ncap</v>
          </cell>
          <cell r="D776" t="str">
            <v>-</v>
          </cell>
          <cell r="J776">
            <v>5.2053793430352296E-4</v>
          </cell>
          <cell r="K776">
            <v>4.7909179255427298E-4</v>
          </cell>
          <cell r="L776">
            <v>1.8837054502219101E-6</v>
          </cell>
          <cell r="M776">
            <v>1.54954411004583E-4</v>
          </cell>
          <cell r="N776">
            <v>3.1500962010757101E-6</v>
          </cell>
          <cell r="O776">
            <v>1.24175993715813E-3</v>
          </cell>
        </row>
        <row r="777">
          <cell r="B777" t="str">
            <v>EGEO</v>
          </cell>
          <cell r="C777" t="str">
            <v>VAR_cap</v>
          </cell>
          <cell r="D777" t="str">
            <v>-</v>
          </cell>
          <cell r="K777">
            <v>5.9548418239373875E-4</v>
          </cell>
          <cell r="L777">
            <v>9.9937977977947222E-4</v>
          </cell>
          <cell r="M777">
            <v>1.0420161918626002E-3</v>
          </cell>
          <cell r="N777">
            <v>1.1555595214064688E-3</v>
          </cell>
          <cell r="O777">
            <v>1.3520462627432928E-3</v>
          </cell>
          <cell r="P777">
            <v>2.39908468625242E-3</v>
          </cell>
        </row>
        <row r="778">
          <cell r="B778" t="str">
            <v>D-SPLT</v>
          </cell>
          <cell r="C778" t="str">
            <v>VAR_fout</v>
          </cell>
          <cell r="D778" t="str">
            <v>SPLT</v>
          </cell>
          <cell r="E778">
            <v>2.0856390248217873</v>
          </cell>
          <cell r="F778">
            <v>2.4000935980624938</v>
          </cell>
          <cell r="G778">
            <v>2.3204438801193401</v>
          </cell>
          <cell r="H778">
            <v>2.5333915437652923</v>
          </cell>
          <cell r="I778">
            <v>2.6823755170947394</v>
          </cell>
          <cell r="J778">
            <v>3.0232347506460555</v>
          </cell>
          <cell r="K778">
            <v>2.8919034369846219</v>
          </cell>
          <cell r="L778">
            <v>2.9541199472327144</v>
          </cell>
          <cell r="M778">
            <v>2.8831331773153459</v>
          </cell>
          <cell r="N778">
            <v>2.8158327624279913</v>
          </cell>
          <cell r="O778">
            <v>2.7547593350551689</v>
          </cell>
          <cell r="P778">
            <v>2.6332886730050085</v>
          </cell>
        </row>
        <row r="779">
          <cell r="B779" t="str">
            <v>D-SPLT</v>
          </cell>
          <cell r="C779" t="str">
            <v>VAR_fin</v>
          </cell>
          <cell r="D779" t="str">
            <v>PLT</v>
          </cell>
          <cell r="E779">
            <v>2.0856390248217873</v>
          </cell>
          <cell r="F779">
            <v>2.4000935980624938</v>
          </cell>
          <cell r="G779">
            <v>2.3204438801193401</v>
          </cell>
          <cell r="H779">
            <v>2.5333915437652923</v>
          </cell>
          <cell r="I779">
            <v>2.6823755170947394</v>
          </cell>
          <cell r="J779">
            <v>3.0232347506460555</v>
          </cell>
          <cell r="K779">
            <v>2.8919034369846219</v>
          </cell>
          <cell r="L779">
            <v>2.9541199472327144</v>
          </cell>
          <cell r="M779">
            <v>2.8831331773153459</v>
          </cell>
          <cell r="N779">
            <v>2.8158327624279913</v>
          </cell>
          <cell r="O779">
            <v>2.7547593350551689</v>
          </cell>
          <cell r="P779">
            <v>2.6332886730050085</v>
          </cell>
        </row>
        <row r="780">
          <cell r="B780" t="str">
            <v>RHES-ESOLPV</v>
          </cell>
          <cell r="C780" t="str">
            <v>VAR_fout</v>
          </cell>
          <cell r="D780" t="str">
            <v>RHES_SOL_ELC</v>
          </cell>
          <cell r="E780">
            <v>2.1349390887346629</v>
          </cell>
          <cell r="F780">
            <v>3.3906654127963223</v>
          </cell>
          <cell r="G780">
            <v>6.9632265274571825</v>
          </cell>
          <cell r="H780">
            <v>18.908738876031205</v>
          </cell>
          <cell r="I780">
            <v>19.873278902822705</v>
          </cell>
          <cell r="J780">
            <v>20.887016348378562</v>
          </cell>
          <cell r="K780">
            <v>21.952464962475535</v>
          </cell>
          <cell r="L780">
            <v>23.07226355976492</v>
          </cell>
          <cell r="M780">
            <v>24.249182986368179</v>
          </cell>
          <cell r="N780">
            <v>25.486139777561633</v>
          </cell>
          <cell r="O780">
            <v>26.786195490753833</v>
          </cell>
          <cell r="P780">
            <v>28.15259117772651</v>
          </cell>
        </row>
        <row r="781">
          <cell r="B781" t="str">
            <v>RHES-ESOLPV</v>
          </cell>
          <cell r="C781" t="str">
            <v>VAR_fin</v>
          </cell>
          <cell r="D781" t="str">
            <v>SOL</v>
          </cell>
          <cell r="E781">
            <v>2.1349390887346629</v>
          </cell>
          <cell r="F781">
            <v>3.3906654127963223</v>
          </cell>
          <cell r="G781">
            <v>6.9632265274571825</v>
          </cell>
          <cell r="H781">
            <v>18.908738876031205</v>
          </cell>
          <cell r="I781">
            <v>19.873278902822705</v>
          </cell>
          <cell r="J781">
            <v>20.887016348378562</v>
          </cell>
          <cell r="K781">
            <v>21.952464962475535</v>
          </cell>
          <cell r="L781">
            <v>23.07226355976492</v>
          </cell>
          <cell r="M781">
            <v>24.249182986368179</v>
          </cell>
          <cell r="N781">
            <v>25.486139777561633</v>
          </cell>
          <cell r="O781">
            <v>26.786195490753833</v>
          </cell>
          <cell r="P781">
            <v>28.15259117772651</v>
          </cell>
        </row>
        <row r="782">
          <cell r="B782" t="str">
            <v>RHES-ESOLPV</v>
          </cell>
          <cell r="C782" t="str">
            <v>VAR_fin</v>
          </cell>
          <cell r="D782" t="str">
            <v>SOLPVC</v>
          </cell>
          <cell r="E782">
            <v>2.1349390887346602</v>
          </cell>
          <cell r="F782">
            <v>3.3906654127963201</v>
          </cell>
          <cell r="G782">
            <v>6.9632265274571798</v>
          </cell>
          <cell r="H782">
            <v>18.908738876031201</v>
          </cell>
          <cell r="I782">
            <v>19.873278902822701</v>
          </cell>
          <cell r="J782">
            <v>20.887016348378602</v>
          </cell>
          <cell r="K782">
            <v>21.952464962475499</v>
          </cell>
          <cell r="L782">
            <v>23.072263559764899</v>
          </cell>
          <cell r="M782">
            <v>24.249182986368201</v>
          </cell>
          <cell r="N782">
            <v>25.486139777561601</v>
          </cell>
          <cell r="O782">
            <v>26.786195490753801</v>
          </cell>
          <cell r="P782">
            <v>28.152591177726499</v>
          </cell>
        </row>
        <row r="783">
          <cell r="B783" t="str">
            <v>RHES-ESOLPV</v>
          </cell>
          <cell r="C783" t="str">
            <v>VAR_ncap</v>
          </cell>
          <cell r="D783" t="str">
            <v>-</v>
          </cell>
          <cell r="F783">
            <v>8.9777082093799704E-8</v>
          </cell>
          <cell r="G783">
            <v>0.78992439376710299</v>
          </cell>
          <cell r="H783">
            <v>2.6355930051706902</v>
          </cell>
          <cell r="I783">
            <v>0.46149765604779702</v>
          </cell>
          <cell r="J783">
            <v>0.75105990241471698</v>
          </cell>
          <cell r="K783">
            <v>2.2782251081349099</v>
          </cell>
          <cell r="L783">
            <v>2.2170110057024699</v>
          </cell>
          <cell r="M783">
            <v>0.71207259667649003</v>
          </cell>
          <cell r="N783">
            <v>1.09764804553407</v>
          </cell>
          <cell r="O783">
            <v>2.5998432260949</v>
          </cell>
          <cell r="P783">
            <v>2.5550421996228598</v>
          </cell>
        </row>
        <row r="784">
          <cell r="B784" t="str">
            <v>RHES-ESOLPV</v>
          </cell>
          <cell r="C784" t="str">
            <v>VAR_cap</v>
          </cell>
          <cell r="D784" t="str">
            <v>-</v>
          </cell>
          <cell r="E784">
            <v>0.67885700000000004</v>
          </cell>
          <cell r="F784">
            <v>1.1559000074552319</v>
          </cell>
          <cell r="G784">
            <v>2.0790814835441851</v>
          </cell>
          <cell r="H784">
            <v>4.6777916537712496</v>
          </cell>
          <cell r="I784">
            <v>4.9164066339413299</v>
          </cell>
          <cell r="J784">
            <v>5.1671926507853199</v>
          </cell>
          <cell r="K784">
            <v>5.4307695348083698</v>
          </cell>
          <cell r="L784">
            <v>5.7077936722998901</v>
          </cell>
          <cell r="M784">
            <v>5.9989490664036902</v>
          </cell>
          <cell r="N784">
            <v>6.3049567560479396</v>
          </cell>
          <cell r="O784">
            <v>6.6265748740079298</v>
          </cell>
          <cell r="P784">
            <v>6.9646060679283197</v>
          </cell>
        </row>
        <row r="785">
          <cell r="B785" t="str">
            <v>ENUC_SMR_GOE_VI</v>
          </cell>
          <cell r="C785" t="str">
            <v>VAR_fout</v>
          </cell>
          <cell r="D785" t="str">
            <v>LTH</v>
          </cell>
          <cell r="M785">
            <v>0.11568428381479416</v>
          </cell>
          <cell r="N785">
            <v>0.29850833979754887</v>
          </cell>
          <cell r="O785">
            <v>0.35619355254113894</v>
          </cell>
          <cell r="P785">
            <v>0.35628734643206306</v>
          </cell>
        </row>
        <row r="786">
          <cell r="B786" t="str">
            <v>ENUC_SMR_GOE_VI</v>
          </cell>
          <cell r="C786" t="str">
            <v>VAR_fout</v>
          </cell>
          <cell r="D786" t="str">
            <v>ELC</v>
          </cell>
          <cell r="M786">
            <v>8.5988509083469195E-2</v>
          </cell>
          <cell r="N786">
            <v>0.19207643960722975</v>
          </cell>
          <cell r="O786">
            <v>0.22666987127466445</v>
          </cell>
          <cell r="P786">
            <v>0.28008857542544291</v>
          </cell>
        </row>
        <row r="787">
          <cell r="B787" t="str">
            <v>ENUC_SMR_GOE_VI</v>
          </cell>
          <cell r="C787" t="str">
            <v>VAR_fin</v>
          </cell>
          <cell r="D787" t="str">
            <v>URN</v>
          </cell>
          <cell r="M787">
            <v>0.31075579034077383</v>
          </cell>
          <cell r="N787">
            <v>0.71198238133646985</v>
          </cell>
          <cell r="O787">
            <v>0.84197282330325229</v>
          </cell>
          <cell r="P787">
            <v>1.0031138568865063</v>
          </cell>
        </row>
        <row r="788">
          <cell r="B788" t="str">
            <v>ENUC_SMR_GOE_VI</v>
          </cell>
          <cell r="C788" t="str">
            <v>VAR_ncap</v>
          </cell>
          <cell r="D788" t="str">
            <v>-</v>
          </cell>
          <cell r="L788">
            <v>6.2037401709072096E-5</v>
          </cell>
          <cell r="M788">
            <v>8.2786581885313706E-3</v>
          </cell>
          <cell r="N788">
            <v>1.8039475361786899E-4</v>
          </cell>
          <cell r="O788">
            <v>3.6643763061112501E-3</v>
          </cell>
        </row>
        <row r="789">
          <cell r="B789" t="str">
            <v>ENUC_SMR_GOE_VI</v>
          </cell>
          <cell r="C789" t="str">
            <v>VAR_cap</v>
          </cell>
          <cell r="D789" t="str">
            <v>-</v>
          </cell>
          <cell r="M789">
            <v>3.4261100969854501E-3</v>
          </cell>
          <cell r="N789">
            <v>8.3406955902404403E-3</v>
          </cell>
          <cell r="O789">
            <v>9.6827477994685905E-3</v>
          </cell>
          <cell r="P789">
            <v>1.21854666499696E-2</v>
          </cell>
        </row>
        <row r="790">
          <cell r="B790" t="str">
            <v>EHYD-DAM10</v>
          </cell>
          <cell r="C790" t="str">
            <v>VAR_fout</v>
          </cell>
          <cell r="D790" t="str">
            <v>ELC</v>
          </cell>
          <cell r="F790">
            <v>3.1543010068109591E-2</v>
          </cell>
          <cell r="G790">
            <v>0.14096612599906835</v>
          </cell>
          <cell r="H790">
            <v>0.72505917614987103</v>
          </cell>
          <cell r="I790">
            <v>0.72819110424899247</v>
          </cell>
          <cell r="J790">
            <v>0.72961100141008706</v>
          </cell>
          <cell r="K790">
            <v>0.73237821136737391</v>
          </cell>
          <cell r="L790">
            <v>0.73156406637416005</v>
          </cell>
          <cell r="M790">
            <v>0.7315622961816981</v>
          </cell>
          <cell r="N790">
            <v>0.73152098079769157</v>
          </cell>
          <cell r="O790">
            <v>0.73153567239496442</v>
          </cell>
          <cell r="P790">
            <v>0.73138420040398766</v>
          </cell>
        </row>
        <row r="791">
          <cell r="B791" t="str">
            <v>EHYD-DAM10</v>
          </cell>
          <cell r="C791" t="str">
            <v>VAR_fin</v>
          </cell>
          <cell r="D791" t="str">
            <v>HYDD</v>
          </cell>
          <cell r="F791">
            <v>3.1543010068109591E-2</v>
          </cell>
          <cell r="G791">
            <v>0.14096612599906835</v>
          </cell>
          <cell r="H791">
            <v>0.72505917614987103</v>
          </cell>
          <cell r="I791">
            <v>0.72819110424899247</v>
          </cell>
          <cell r="J791">
            <v>0.72961100141008706</v>
          </cell>
          <cell r="K791">
            <v>0.73237821136737391</v>
          </cell>
          <cell r="L791">
            <v>0.73156406637416005</v>
          </cell>
          <cell r="M791">
            <v>0.7315622961816981</v>
          </cell>
          <cell r="N791">
            <v>0.73152098079769157</v>
          </cell>
          <cell r="O791">
            <v>0.73153567239496442</v>
          </cell>
          <cell r="P791">
            <v>0.73138420040398766</v>
          </cell>
        </row>
        <row r="792">
          <cell r="B792" t="str">
            <v>EHYD-DAM10</v>
          </cell>
          <cell r="C792" t="str">
            <v>VAR_ncap</v>
          </cell>
          <cell r="D792" t="str">
            <v>-</v>
          </cell>
          <cell r="F792">
            <v>3.9081438400419503E-3</v>
          </cell>
          <cell r="G792">
            <v>1.14549307418319E-2</v>
          </cell>
          <cell r="H792">
            <v>5.9903210724537699E-2</v>
          </cell>
          <cell r="I792">
            <v>8.5088713602145598E-7</v>
          </cell>
          <cell r="J792">
            <v>7.4837698290495395E-7</v>
          </cell>
          <cell r="K792">
            <v>3.6610335617853202E-7</v>
          </cell>
          <cell r="L792">
            <v>2.6748069350837799E-7</v>
          </cell>
          <cell r="M792">
            <v>1.45032671156952E-7</v>
          </cell>
          <cell r="N792">
            <v>9.5007513721042705E-8</v>
          </cell>
          <cell r="O792">
            <v>7.6402354975456495E-8</v>
          </cell>
          <cell r="P792">
            <v>4.9833226859426402E-8</v>
          </cell>
        </row>
        <row r="793">
          <cell r="B793" t="str">
            <v>EHYD-DAM10</v>
          </cell>
          <cell r="C793" t="str">
            <v>VAR_cap</v>
          </cell>
          <cell r="D793" t="str">
            <v>-</v>
          </cell>
          <cell r="F793">
            <v>3.9081438400419503E-3</v>
          </cell>
          <cell r="G793">
            <v>1.5363074581873901E-2</v>
          </cell>
          <cell r="H793">
            <v>7.5266285306411607E-2</v>
          </cell>
          <cell r="I793">
            <v>7.5267136193547607E-2</v>
          </cell>
          <cell r="J793">
            <v>7.5267884570530505E-2</v>
          </cell>
          <cell r="K793">
            <v>7.5268250673886705E-2</v>
          </cell>
          <cell r="L793">
            <v>7.5268518154580202E-2</v>
          </cell>
          <cell r="M793">
            <v>7.5268663187251297E-2</v>
          </cell>
          <cell r="N793">
            <v>7.5268758194765098E-2</v>
          </cell>
          <cell r="O793">
            <v>7.5268834597119999E-2</v>
          </cell>
          <cell r="P793">
            <v>7.5268884430346905E-2</v>
          </cell>
        </row>
        <row r="794">
          <cell r="B794" t="str">
            <v>DH-EBAT</v>
          </cell>
          <cell r="C794" t="str">
            <v>VAR_fout</v>
          </cell>
          <cell r="D794" t="str">
            <v>ELC35</v>
          </cell>
          <cell r="E794">
            <v>8.4912144153567529E-3</v>
          </cell>
          <cell r="F794">
            <v>6.8823461636031173E-3</v>
          </cell>
          <cell r="G794">
            <v>7.9147958387957539E-3</v>
          </cell>
          <cell r="H794">
            <v>8.0214073304272094E-3</v>
          </cell>
          <cell r="I794">
            <v>1.9863148019189165E-2</v>
          </cell>
          <cell r="J794">
            <v>8.229237439876369E-2</v>
          </cell>
          <cell r="K794">
            <v>0.39779395183490629</v>
          </cell>
          <cell r="L794">
            <v>0.77236481460421491</v>
          </cell>
          <cell r="M794">
            <v>1.2321347535007616</v>
          </cell>
          <cell r="N794">
            <v>1.7320585280458398</v>
          </cell>
          <cell r="O794">
            <v>1.9853230453095636</v>
          </cell>
          <cell r="P794">
            <v>2.3633095914704354</v>
          </cell>
        </row>
        <row r="795">
          <cell r="B795" t="str">
            <v>DH-EBAT</v>
          </cell>
          <cell r="C795" t="str">
            <v>VAR_fout</v>
          </cell>
          <cell r="D795" t="str">
            <v>AUX_DH-EBAT_OUT</v>
          </cell>
          <cell r="E795">
            <v>8.4912144153567477E-3</v>
          </cell>
          <cell r="F795">
            <v>6.8823461636031156E-3</v>
          </cell>
          <cell r="G795">
            <v>7.9147958387957521E-3</v>
          </cell>
          <cell r="H795">
            <v>8.0214073304272077E-3</v>
          </cell>
          <cell r="I795">
            <v>1.9863148019189161E-2</v>
          </cell>
          <cell r="J795">
            <v>8.2292374398763635E-2</v>
          </cell>
          <cell r="K795">
            <v>0.39779395183490607</v>
          </cell>
          <cell r="L795">
            <v>0.77236481460421469</v>
          </cell>
          <cell r="M795">
            <v>1.2321347535007614</v>
          </cell>
          <cell r="N795">
            <v>1.7320585280458389</v>
          </cell>
          <cell r="O795">
            <v>1.9853230453095625</v>
          </cell>
          <cell r="P795">
            <v>2.363309591470435</v>
          </cell>
        </row>
        <row r="796">
          <cell r="B796" t="str">
            <v>DH-EBAT</v>
          </cell>
          <cell r="C796" t="str">
            <v>VAR_fin</v>
          </cell>
          <cell r="D796" t="str">
            <v>ELC35</v>
          </cell>
          <cell r="E796">
            <v>9.4940911877490104E-3</v>
          </cell>
          <cell r="F796">
            <v>7.6966052311981635E-3</v>
          </cell>
          <cell r="G796">
            <v>8.8516177344526749E-3</v>
          </cell>
          <cell r="H796">
            <v>8.9708162559160934E-3</v>
          </cell>
          <cell r="I796">
            <v>2.2211925621539102E-2</v>
          </cell>
          <cell r="J796">
            <v>9.2022113784491877E-2</v>
          </cell>
          <cell r="K796">
            <v>0.44482573747821069</v>
          </cell>
          <cell r="L796">
            <v>0.8636841933380135</v>
          </cell>
          <cell r="M796">
            <v>1.3778112879940352</v>
          </cell>
          <cell r="N796">
            <v>1.9368434683291864</v>
          </cell>
          <cell r="O796">
            <v>2.2200510623125322</v>
          </cell>
          <cell r="P796">
            <v>2.6427307950518291</v>
          </cell>
        </row>
        <row r="797">
          <cell r="B797" t="str">
            <v>DH-EBAT</v>
          </cell>
          <cell r="C797" t="str">
            <v>VAR_fin</v>
          </cell>
          <cell r="D797" t="str">
            <v>AUX_DH-EBAT_IN</v>
          </cell>
          <cell r="E797">
            <v>9.4940911877490104E-3</v>
          </cell>
          <cell r="F797">
            <v>7.6966052311981635E-3</v>
          </cell>
          <cell r="G797">
            <v>8.8516177344526749E-3</v>
          </cell>
          <cell r="H797">
            <v>8.9708162559160934E-3</v>
          </cell>
          <cell r="I797">
            <v>2.2211925621539102E-2</v>
          </cell>
          <cell r="J797">
            <v>9.2022113784491877E-2</v>
          </cell>
          <cell r="K797">
            <v>0.44482573747821069</v>
          </cell>
          <cell r="L797">
            <v>0.8636841933380135</v>
          </cell>
          <cell r="M797">
            <v>1.3778112879940352</v>
          </cell>
          <cell r="N797">
            <v>1.9368434683291864</v>
          </cell>
          <cell r="O797">
            <v>2.2200510623125322</v>
          </cell>
          <cell r="P797">
            <v>2.6427307950518291</v>
          </cell>
        </row>
        <row r="798">
          <cell r="B798" t="str">
            <v>DH-EBAT</v>
          </cell>
          <cell r="C798" t="str">
            <v>VAR_ncap</v>
          </cell>
          <cell r="D798" t="str">
            <v>-</v>
          </cell>
          <cell r="E798">
            <v>1.1803926187773401E-3</v>
          </cell>
          <cell r="F798">
            <v>1.9162027547871998E-6</v>
          </cell>
          <cell r="G798">
            <v>7.6736107339136296E-6</v>
          </cell>
          <cell r="H798">
            <v>2.3580276163881001E-4</v>
          </cell>
          <cell r="I798">
            <v>2.4989293575580001E-3</v>
          </cell>
          <cell r="J798">
            <v>9.61162023153991E-3</v>
          </cell>
          <cell r="K798">
            <v>9.7934743777942798E-2</v>
          </cell>
          <cell r="L798">
            <v>3.9857733458744903E-2</v>
          </cell>
          <cell r="M798">
            <v>0.14249004498034801</v>
          </cell>
          <cell r="N798">
            <v>0.11117985438233501</v>
          </cell>
          <cell r="O798">
            <v>0.1830201944322</v>
          </cell>
          <cell r="P798">
            <v>0.13823293923374999</v>
          </cell>
        </row>
        <row r="799">
          <cell r="B799" t="str">
            <v>DH-EBAT</v>
          </cell>
          <cell r="C799" t="str">
            <v>VAR_cap</v>
          </cell>
          <cell r="D799" t="str">
            <v>-</v>
          </cell>
          <cell r="E799">
            <v>1.1803926187773401E-3</v>
          </cell>
          <cell r="F799">
            <v>1.1815137476461641E-3</v>
          </cell>
          <cell r="G799">
            <v>1.1881210366162559E-3</v>
          </cell>
          <cell r="H799">
            <v>1.1049591389882935E-3</v>
          </cell>
          <cell r="I799">
            <v>2.7370749343032272E-3</v>
          </cell>
          <cell r="J799">
            <v>1.2158177415815907E-2</v>
          </cell>
          <cell r="K799">
            <v>0.10883989592618018</v>
          </cell>
          <cell r="L799">
            <v>0.14107016982842197</v>
          </cell>
          <cell r="M799">
            <v>0.22639626452413775</v>
          </cell>
          <cell r="N799">
            <v>0.27408376937248502</v>
          </cell>
          <cell r="O799">
            <v>0.3194330436724066</v>
          </cell>
          <cell r="P799">
            <v>0.396274439926315</v>
          </cell>
        </row>
        <row r="800">
          <cell r="B800" t="str">
            <v>RHEM-EBAT</v>
          </cell>
          <cell r="C800" t="str">
            <v>VAR_fout</v>
          </cell>
          <cell r="D800" t="str">
            <v>RHEM_ELC</v>
          </cell>
          <cell r="E800">
            <v>2.7608551480325723E-3</v>
          </cell>
          <cell r="F800">
            <v>2.7437154249869504E-3</v>
          </cell>
          <cell r="G800">
            <v>2.7366116388457518E-3</v>
          </cell>
          <cell r="H800">
            <v>3.9106334463511506E-2</v>
          </cell>
          <cell r="I800">
            <v>5.4173160812990888E-2</v>
          </cell>
          <cell r="J800">
            <v>5.9778136760842635E-2</v>
          </cell>
          <cell r="K800">
            <v>6.3849136905498413E-2</v>
          </cell>
          <cell r="L800">
            <v>6.715975871719429E-2</v>
          </cell>
          <cell r="M800">
            <v>7.1285292591066043E-2</v>
          </cell>
          <cell r="N800">
            <v>7.3091724480880402E-2</v>
          </cell>
          <cell r="O800">
            <v>7.281617506411027E-2</v>
          </cell>
          <cell r="P800">
            <v>7.9479965244951295E-2</v>
          </cell>
        </row>
        <row r="801">
          <cell r="B801" t="str">
            <v>RHEM-EBAT</v>
          </cell>
          <cell r="C801" t="str">
            <v>VAR_fout</v>
          </cell>
          <cell r="D801" t="str">
            <v>AUX_RHEM-EBAT_OUT</v>
          </cell>
          <cell r="E801">
            <v>2.7608551480325753E-3</v>
          </cell>
          <cell r="F801">
            <v>2.7437154249869522E-3</v>
          </cell>
          <cell r="G801">
            <v>2.7366116388457548E-3</v>
          </cell>
          <cell r="H801">
            <v>3.9106334463511548E-2</v>
          </cell>
          <cell r="I801">
            <v>5.417316081299095E-2</v>
          </cell>
          <cell r="J801">
            <v>5.9778136760842676E-2</v>
          </cell>
          <cell r="K801">
            <v>6.3849136905498469E-2</v>
          </cell>
          <cell r="L801">
            <v>6.7159758717194359E-2</v>
          </cell>
          <cell r="M801">
            <v>7.1285292591066099E-2</v>
          </cell>
          <cell r="N801">
            <v>7.3091724480880485E-2</v>
          </cell>
          <cell r="O801">
            <v>7.2816175064110367E-2</v>
          </cell>
          <cell r="P801">
            <v>7.9479965244951392E-2</v>
          </cell>
        </row>
        <row r="802">
          <cell r="B802" t="str">
            <v>RHEM-EBAT</v>
          </cell>
          <cell r="C802" t="str">
            <v>VAR_fin</v>
          </cell>
          <cell r="D802" t="str">
            <v>RHEM_ELC</v>
          </cell>
          <cell r="E802">
            <v>3.0545289247671712E-3</v>
          </cell>
          <cell r="F802">
            <v>3.0358854539415127E-3</v>
          </cell>
          <cell r="G802">
            <v>3.0266999657666354E-3</v>
          </cell>
          <cell r="H802">
            <v>4.3246839667553084E-2</v>
          </cell>
          <cell r="I802">
            <v>5.9908960664009747E-2</v>
          </cell>
          <cell r="J802">
            <v>6.6106903711311754E-2</v>
          </cell>
          <cell r="K802">
            <v>7.0608876398553955E-2</v>
          </cell>
          <cell r="L802">
            <v>7.427140311742407E-2</v>
          </cell>
          <cell r="M802">
            <v>7.8832374252606585E-2</v>
          </cell>
          <cell r="N802">
            <v>8.0834263828469644E-2</v>
          </cell>
          <cell r="O802">
            <v>8.0526382618365935E-2</v>
          </cell>
          <cell r="P802">
            <v>8.7902030541102016E-2</v>
          </cell>
        </row>
        <row r="803">
          <cell r="B803" t="str">
            <v>RHEM-EBAT</v>
          </cell>
          <cell r="C803" t="str">
            <v>VAR_fin</v>
          </cell>
          <cell r="D803" t="str">
            <v>AUX_RHEM-EBAT_IN</v>
          </cell>
          <cell r="E803">
            <v>3.0545289247671712E-3</v>
          </cell>
          <cell r="F803">
            <v>3.0358854539415127E-3</v>
          </cell>
          <cell r="G803">
            <v>3.0266999657666354E-3</v>
          </cell>
          <cell r="H803">
            <v>4.3246839667553084E-2</v>
          </cell>
          <cell r="I803">
            <v>5.9908960664009747E-2</v>
          </cell>
          <cell r="J803">
            <v>6.6106903711311754E-2</v>
          </cell>
          <cell r="K803">
            <v>7.0608876398553955E-2</v>
          </cell>
          <cell r="L803">
            <v>7.427140311742407E-2</v>
          </cell>
          <cell r="M803">
            <v>7.8832374252606585E-2</v>
          </cell>
          <cell r="N803">
            <v>8.0834263828469644E-2</v>
          </cell>
          <cell r="O803">
            <v>8.0526382618365935E-2</v>
          </cell>
          <cell r="P803">
            <v>8.7902030541102016E-2</v>
          </cell>
        </row>
        <row r="804">
          <cell r="B804" t="str">
            <v>RHEM-EBAT</v>
          </cell>
          <cell r="C804" t="str">
            <v>VAR_ncap</v>
          </cell>
          <cell r="D804" t="str">
            <v>-</v>
          </cell>
          <cell r="E804">
            <v>1.12177118341137E-3</v>
          </cell>
          <cell r="F804">
            <v>1.8350798198846501E-6</v>
          </cell>
          <cell r="G804">
            <v>5.3897140778549302E-6</v>
          </cell>
          <cell r="H804">
            <v>1.9718108671811899E-2</v>
          </cell>
          <cell r="I804">
            <v>2.5411999476912402E-3</v>
          </cell>
          <cell r="J804">
            <v>1.78325465070291E-2</v>
          </cell>
          <cell r="K804">
            <v>7.09485039542645E-3</v>
          </cell>
          <cell r="L804">
            <v>1.43340121440252E-2</v>
          </cell>
          <cell r="M804">
            <v>1.16822651817195E-2</v>
          </cell>
          <cell r="N804">
            <v>1.0916593275993E-2</v>
          </cell>
          <cell r="O804">
            <v>1.6844604736222998E-2</v>
          </cell>
          <cell r="P804">
            <v>8.3434929433956698E-3</v>
          </cell>
        </row>
        <row r="805">
          <cell r="B805" t="str">
            <v>RHEM-EBAT</v>
          </cell>
          <cell r="C805" t="str">
            <v>VAR_cap</v>
          </cell>
          <cell r="D805" t="str">
            <v>-</v>
          </cell>
          <cell r="E805">
            <v>1.1244165949315986E-3</v>
          </cell>
          <cell r="F805">
            <v>1.1254726378904141E-3</v>
          </cell>
          <cell r="G805">
            <v>1.1289480391105165E-3</v>
          </cell>
          <cell r="H805">
            <v>2.0542542980716401E-2</v>
          </cell>
          <cell r="I805">
            <v>2.2261079825220614E-2</v>
          </cell>
          <cell r="J805">
            <v>2.4513288119604463E-2</v>
          </cell>
          <cell r="K805">
            <v>2.6243698774417949E-2</v>
          </cell>
          <cell r="L805">
            <v>2.7517735680144411E-2</v>
          </cell>
          <cell r="M805">
            <v>2.9205808618985123E-2</v>
          </cell>
          <cell r="N805">
            <v>2.9939576564846426E-2</v>
          </cell>
          <cell r="O805">
            <v>2.9827938739403849E-2</v>
          </cell>
          <cell r="P805">
            <v>3.2550571788646669E-2</v>
          </cell>
        </row>
        <row r="806">
          <cell r="B806" t="str">
            <v>HPLGEO</v>
          </cell>
          <cell r="C806" t="str">
            <v>VAR_fout</v>
          </cell>
          <cell r="D806" t="str">
            <v>LTH</v>
          </cell>
          <cell r="J806">
            <v>7.4831702824800926E-4</v>
          </cell>
          <cell r="K806">
            <v>7.4932575732333502E-4</v>
          </cell>
          <cell r="L806">
            <v>7.5171131416585854E-4</v>
          </cell>
          <cell r="M806">
            <v>7.5369934859225156E-4</v>
          </cell>
          <cell r="N806">
            <v>7.6239150932650844E-4</v>
          </cell>
          <cell r="O806">
            <v>7.7241484487761722E-4</v>
          </cell>
          <cell r="P806">
            <v>1.2540586757928836E-3</v>
          </cell>
        </row>
        <row r="807">
          <cell r="B807" t="str">
            <v>HPLGEO</v>
          </cell>
          <cell r="C807" t="str">
            <v>VAR_fin</v>
          </cell>
          <cell r="D807" t="str">
            <v>GEO</v>
          </cell>
          <cell r="J807">
            <v>8.8037297440942265E-4</v>
          </cell>
          <cell r="K807">
            <v>8.8155971449804056E-4</v>
          </cell>
          <cell r="L807">
            <v>8.8436625195983454E-4</v>
          </cell>
          <cell r="M807">
            <v>8.8670511599088443E-4</v>
          </cell>
          <cell r="N807">
            <v>8.9693118744295071E-4</v>
          </cell>
          <cell r="O807">
            <v>9.0872334691484424E-4</v>
          </cell>
          <cell r="P807">
            <v>1.4753631479916284E-3</v>
          </cell>
        </row>
        <row r="808">
          <cell r="B808" t="str">
            <v>HPLGEO</v>
          </cell>
          <cell r="C808" t="str">
            <v>VAR_ncap</v>
          </cell>
          <cell r="D808" t="str">
            <v>-</v>
          </cell>
          <cell r="J808">
            <v>5.0841564214057199E-5</v>
          </cell>
          <cell r="K808">
            <v>3.1660760429525601E-7</v>
          </cell>
          <cell r="L808">
            <v>1.5323394757486E-5</v>
          </cell>
          <cell r="M808">
            <v>5.2784208223685596E-7</v>
          </cell>
          <cell r="N808">
            <v>6.0756855338816897E-5</v>
          </cell>
          <cell r="O808">
            <v>1.2451108457626799E-6</v>
          </cell>
          <cell r="P808">
            <v>8.2528968086605705E-5</v>
          </cell>
        </row>
        <row r="809">
          <cell r="B809" t="str">
            <v>HPLGEO</v>
          </cell>
          <cell r="C809" t="str">
            <v>VAR_cap</v>
          </cell>
          <cell r="D809" t="str">
            <v>-</v>
          </cell>
          <cell r="J809">
            <v>5.0841564214057199E-5</v>
          </cell>
          <cell r="K809">
            <v>5.1158171818352501E-5</v>
          </cell>
          <cell r="L809">
            <v>6.6481566575838494E-5</v>
          </cell>
          <cell r="M809">
            <v>6.0273133821472198E-5</v>
          </cell>
          <cell r="N809">
            <v>7.6924699782835002E-5</v>
          </cell>
          <cell r="O809">
            <v>7.7853203024302395E-5</v>
          </cell>
          <cell r="P809">
            <v>1.45058776353422E-4</v>
          </cell>
        </row>
        <row r="810">
          <cell r="B810" t="str">
            <v>EHYD-PUM15</v>
          </cell>
          <cell r="C810" t="str">
            <v>VAR_fout</v>
          </cell>
          <cell r="D810" t="str">
            <v>ELC</v>
          </cell>
          <cell r="F810">
            <v>4.6491751477314418E-3</v>
          </cell>
          <cell r="G810">
            <v>5.4673213313083903E-3</v>
          </cell>
          <cell r="H810">
            <v>6.9345836933684896E-3</v>
          </cell>
          <cell r="I810">
            <v>7.2325551955477428E-3</v>
          </cell>
          <cell r="J810">
            <v>7.036105945736594E-3</v>
          </cell>
          <cell r="K810">
            <v>7.6092479949382685E-3</v>
          </cell>
          <cell r="L810">
            <v>1.0209247575915618E-2</v>
          </cell>
          <cell r="M810">
            <v>9.616791954210769E-3</v>
          </cell>
          <cell r="N810">
            <v>1.2043181138889608E-2</v>
          </cell>
          <cell r="O810">
            <v>1.1514141213978651E-2</v>
          </cell>
          <cell r="P810">
            <v>2.1686678394120362E-2</v>
          </cell>
        </row>
        <row r="811">
          <cell r="B811" t="str">
            <v>EHYD-PUM15</v>
          </cell>
          <cell r="C811" t="str">
            <v>VAR_fout</v>
          </cell>
          <cell r="D811" t="str">
            <v>AUX_PUMP_OUT</v>
          </cell>
          <cell r="F811">
            <v>4.6491751477314418E-3</v>
          </cell>
          <cell r="G811">
            <v>5.4673213313083903E-3</v>
          </cell>
          <cell r="H811">
            <v>6.9345836933684896E-3</v>
          </cell>
          <cell r="I811">
            <v>7.2325551955477428E-3</v>
          </cell>
          <cell r="J811">
            <v>7.036105945736594E-3</v>
          </cell>
          <cell r="K811">
            <v>7.6092479949382685E-3</v>
          </cell>
          <cell r="L811">
            <v>1.0209247575915617E-2</v>
          </cell>
          <cell r="M811">
            <v>9.616791954210769E-3</v>
          </cell>
          <cell r="N811">
            <v>1.2043181138889608E-2</v>
          </cell>
          <cell r="O811">
            <v>1.1514141213978651E-2</v>
          </cell>
          <cell r="P811">
            <v>2.1686678394120362E-2</v>
          </cell>
        </row>
        <row r="812">
          <cell r="B812" t="str">
            <v>EHYD-PUM15</v>
          </cell>
          <cell r="C812" t="str">
            <v>VAR_fin</v>
          </cell>
          <cell r="D812" t="str">
            <v>AUX_PUMP_IN</v>
          </cell>
          <cell r="F812">
            <v>5.8122002926374542E-3</v>
          </cell>
          <cell r="G812">
            <v>6.8348195442707229E-3</v>
          </cell>
          <cell r="H812">
            <v>8.6692290338695171E-3</v>
          </cell>
          <cell r="I812">
            <v>9.0413782065679148E-3</v>
          </cell>
          <cell r="J812">
            <v>8.7949365239230054E-3</v>
          </cell>
          <cell r="K812">
            <v>9.5112686543590928E-3</v>
          </cell>
          <cell r="L812">
            <v>1.2761559059077238E-2</v>
          </cell>
          <cell r="M812">
            <v>1.2020777725079833E-2</v>
          </cell>
          <cell r="N812">
            <v>1.5053939643760471E-2</v>
          </cell>
          <cell r="O812">
            <v>1.4392676517464141E-2</v>
          </cell>
          <cell r="P812">
            <v>2.7108169056264741E-2</v>
          </cell>
        </row>
        <row r="813">
          <cell r="B813" t="str">
            <v>EHYD-PUM15</v>
          </cell>
          <cell r="C813" t="str">
            <v>VAR_fin</v>
          </cell>
          <cell r="D813" t="str">
            <v>ELC</v>
          </cell>
          <cell r="F813">
            <v>5.8122002926374542E-3</v>
          </cell>
          <cell r="G813">
            <v>6.8348195442707229E-3</v>
          </cell>
          <cell r="H813">
            <v>8.6692290338695171E-3</v>
          </cell>
          <cell r="I813">
            <v>9.0413782065679148E-3</v>
          </cell>
          <cell r="J813">
            <v>8.7949365239230054E-3</v>
          </cell>
          <cell r="K813">
            <v>9.5112686543590928E-3</v>
          </cell>
          <cell r="L813">
            <v>1.2761559059077238E-2</v>
          </cell>
          <cell r="M813">
            <v>1.2020777725079833E-2</v>
          </cell>
          <cell r="N813">
            <v>1.5053939643760471E-2</v>
          </cell>
          <cell r="O813">
            <v>1.4392676517464141E-2</v>
          </cell>
          <cell r="P813">
            <v>2.7108169056264741E-2</v>
          </cell>
        </row>
        <row r="814">
          <cell r="B814" t="str">
            <v>EHYD-PUM15</v>
          </cell>
          <cell r="C814" t="str">
            <v>VAR_ncap</v>
          </cell>
          <cell r="D814" t="str">
            <v>-</v>
          </cell>
          <cell r="F814">
            <v>5.9762545935268898E-4</v>
          </cell>
          <cell r="G814">
            <v>2.0526933598727301E-5</v>
          </cell>
          <cell r="H814">
            <v>1.40605104867709E-5</v>
          </cell>
          <cell r="I814">
            <v>6.7406364686516598E-6</v>
          </cell>
          <cell r="J814">
            <v>2.29666313548848E-4</v>
          </cell>
          <cell r="K814">
            <v>1.35572286416693E-6</v>
          </cell>
          <cell r="L814">
            <v>2.1267442685732601E-4</v>
          </cell>
          <cell r="M814">
            <v>4.1618016947248198E-6</v>
          </cell>
          <cell r="N814">
            <v>9.3073605572444301E-4</v>
          </cell>
        </row>
        <row r="815">
          <cell r="B815" t="str">
            <v>EHYD-PUM15</v>
          </cell>
          <cell r="C815" t="str">
            <v>VAR_cap</v>
          </cell>
          <cell r="D815" t="str">
            <v>-</v>
          </cell>
          <cell r="F815">
            <v>5.9762545935268898E-4</v>
          </cell>
          <cell r="G815">
            <v>5.9762545935268898E-4</v>
          </cell>
          <cell r="H815">
            <v>5.9762545935268898E-4</v>
          </cell>
          <cell r="I815">
            <v>6.21538415221071E-4</v>
          </cell>
          <cell r="J815">
            <v>6.3221290343818803E-4</v>
          </cell>
          <cell r="K815">
            <v>6.7371387985194005E-4</v>
          </cell>
          <cell r="L815">
            <v>8.6861985345568703E-4</v>
          </cell>
          <cell r="M815">
            <v>8.6976726397326905E-4</v>
          </cell>
          <cell r="N815">
            <v>1.08365223942127E-3</v>
          </cell>
          <cell r="O815">
            <v>1.0868118048719001E-3</v>
          </cell>
          <cell r="P815">
            <v>2.01754786059635E-3</v>
          </cell>
        </row>
        <row r="816">
          <cell r="B816" t="str">
            <v>D-EWST</v>
          </cell>
          <cell r="C816" t="str">
            <v>VAR_fout</v>
          </cell>
          <cell r="D816" t="str">
            <v>CO2</v>
          </cell>
          <cell r="E816">
            <v>2253.02322235068</v>
          </cell>
          <cell r="F816">
            <v>2235.4032838266799</v>
          </cell>
          <cell r="G816">
            <v>2268.77779333735</v>
          </cell>
          <cell r="H816">
            <v>2238.5117963432299</v>
          </cell>
          <cell r="I816">
            <v>2240.4532511266898</v>
          </cell>
          <cell r="J816">
            <v>2266.0988600312498</v>
          </cell>
          <cell r="K816">
            <v>2291.7446470048199</v>
          </cell>
          <cell r="L816">
            <v>2317.3908641866701</v>
          </cell>
          <cell r="M816">
            <v>2317.3904282083799</v>
          </cell>
          <cell r="N816">
            <v>2317.3910812114</v>
          </cell>
          <cell r="O816">
            <v>2317.3902819903801</v>
          </cell>
          <cell r="P816">
            <v>2317.3910528873598</v>
          </cell>
        </row>
        <row r="817">
          <cell r="B817" t="str">
            <v>D-EWST</v>
          </cell>
          <cell r="C817" t="str">
            <v>VAR_fout</v>
          </cell>
          <cell r="D817" t="str">
            <v>EWST</v>
          </cell>
          <cell r="E817">
            <v>48.556534964454251</v>
          </cell>
          <cell r="F817">
            <v>48.176801615841569</v>
          </cell>
          <cell r="G817">
            <v>48.896087107613837</v>
          </cell>
          <cell r="H817">
            <v>48.243788406360075</v>
          </cell>
          <cell r="I817">
            <v>48.285633528964347</v>
          </cell>
          <cell r="J817">
            <v>48.838349680440899</v>
          </cell>
          <cell r="K817">
            <v>49.391052557706033</v>
          </cell>
          <cell r="L817">
            <v>49.943799728031301</v>
          </cell>
          <cell r="M817">
            <v>49.943771768146561</v>
          </cell>
          <cell r="N817">
            <v>49.943803452402051</v>
          </cell>
          <cell r="O817">
            <v>49.943769585282311</v>
          </cell>
          <cell r="P817">
            <v>49.943803809235078</v>
          </cell>
        </row>
        <row r="818">
          <cell r="B818" t="str">
            <v>D-EWST</v>
          </cell>
          <cell r="C818" t="str">
            <v>VAR_fin</v>
          </cell>
          <cell r="D818" t="str">
            <v>WSTNREN</v>
          </cell>
          <cell r="E818">
            <v>24.278267482227129</v>
          </cell>
          <cell r="F818">
            <v>24.088397455028868</v>
          </cell>
          <cell r="G818">
            <v>24.448036566135233</v>
          </cell>
          <cell r="H818">
            <v>24.121894357146886</v>
          </cell>
          <cell r="I818">
            <v>24.142815206106565</v>
          </cell>
          <cell r="J818">
            <v>24.419168750336734</v>
          </cell>
          <cell r="K818">
            <v>24.695524213414025</v>
          </cell>
          <cell r="L818">
            <v>24.97188431235638</v>
          </cell>
          <cell r="M818">
            <v>24.971879614314432</v>
          </cell>
          <cell r="N818">
            <v>24.971886650984921</v>
          </cell>
          <cell r="O818">
            <v>24.971878038689361</v>
          </cell>
          <cell r="P818">
            <v>24.971886345768933</v>
          </cell>
        </row>
        <row r="819">
          <cell r="B819" t="str">
            <v>D-EWST</v>
          </cell>
          <cell r="C819" t="str">
            <v>VAR_fin</v>
          </cell>
          <cell r="D819" t="str">
            <v>WSTREN</v>
          </cell>
          <cell r="E819">
            <v>24.278267482227129</v>
          </cell>
          <cell r="F819">
            <v>24.088397455028868</v>
          </cell>
          <cell r="G819">
            <v>24.448036566135233</v>
          </cell>
          <cell r="H819">
            <v>24.121894357146886</v>
          </cell>
          <cell r="I819">
            <v>24.142815206106565</v>
          </cell>
          <cell r="J819">
            <v>24.419168750336734</v>
          </cell>
          <cell r="K819">
            <v>24.695524213414025</v>
          </cell>
          <cell r="L819">
            <v>24.97188431235638</v>
          </cell>
          <cell r="M819">
            <v>24.971879614314432</v>
          </cell>
          <cell r="N819">
            <v>24.971886650984921</v>
          </cell>
          <cell r="O819">
            <v>24.971878038689361</v>
          </cell>
          <cell r="P819">
            <v>24.971886345768933</v>
          </cell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/>
          <cell r="E3"/>
        </row>
        <row r="4">
          <cell r="A4"/>
          <cell r="B4"/>
          <cell r="C4"/>
        </row>
        <row r="5">
          <cell r="A5"/>
          <cell r="B5"/>
          <cell r="C5"/>
        </row>
        <row r="6">
          <cell r="A6"/>
          <cell r="B6"/>
          <cell r="C6"/>
        </row>
        <row r="7">
          <cell r="A7"/>
          <cell r="B7"/>
          <cell r="C7"/>
        </row>
        <row r="8">
          <cell r="A8"/>
          <cell r="B8"/>
          <cell r="C8"/>
        </row>
        <row r="9">
          <cell r="A9"/>
          <cell r="B9"/>
          <cell r="C9"/>
        </row>
        <row r="10">
          <cell r="A10"/>
          <cell r="B10"/>
          <cell r="C10"/>
        </row>
        <row r="11">
          <cell r="A11"/>
          <cell r="B11"/>
          <cell r="C11"/>
        </row>
        <row r="12">
          <cell r="A12"/>
          <cell r="B12"/>
          <cell r="C12"/>
        </row>
        <row r="13">
          <cell r="A13"/>
          <cell r="B13"/>
          <cell r="C13"/>
        </row>
        <row r="14">
          <cell r="A14"/>
          <cell r="B14"/>
          <cell r="C14"/>
        </row>
        <row r="15">
          <cell r="A15"/>
          <cell r="B15"/>
          <cell r="C15"/>
        </row>
        <row r="16">
          <cell r="A16"/>
          <cell r="B16"/>
          <cell r="C16"/>
        </row>
        <row r="17">
          <cell r="A17"/>
          <cell r="B17"/>
          <cell r="C17"/>
        </row>
        <row r="18">
          <cell r="A18"/>
          <cell r="B18"/>
          <cell r="C18"/>
        </row>
        <row r="19">
          <cell r="A19"/>
          <cell r="B19"/>
          <cell r="C19"/>
        </row>
        <row r="20">
          <cell r="A20"/>
          <cell r="B20"/>
          <cell r="C20"/>
        </row>
        <row r="21">
          <cell r="A21"/>
          <cell r="B21"/>
          <cell r="C21"/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2045</v>
          </cell>
          <cell r="K3" t="str">
            <v>2050</v>
          </cell>
          <cell r="L3" t="str">
            <v>2055</v>
          </cell>
          <cell r="M3" t="str">
            <v>2060</v>
          </cell>
          <cell r="N3" t="str">
            <v>2065</v>
          </cell>
          <cell r="O3" t="str">
            <v>2070</v>
          </cell>
        </row>
        <row r="4">
          <cell r="A4" t="str">
            <v>IMPBDS1</v>
          </cell>
          <cell r="C4" t="str">
            <v>BDS1</v>
          </cell>
          <cell r="G4">
            <v>5.4446387396720901</v>
          </cell>
          <cell r="H4">
            <v>5.7422129967833202</v>
          </cell>
          <cell r="I4">
            <v>5.9416090587901298</v>
          </cell>
          <cell r="J4">
            <v>6.0831644496032702</v>
          </cell>
          <cell r="K4">
            <v>6.2037200557221803</v>
          </cell>
          <cell r="L4">
            <v>6.2037209740578296</v>
          </cell>
          <cell r="M4">
            <v>6.2037233635737596</v>
          </cell>
          <cell r="N4">
            <v>6.2037271920558004</v>
          </cell>
          <cell r="O4">
            <v>6.3100048836334004</v>
          </cell>
        </row>
        <row r="5">
          <cell r="A5" t="str">
            <v>EXPELC_DE</v>
          </cell>
          <cell r="C5" t="str">
            <v>ELC_E-DE</v>
          </cell>
          <cell r="D5">
            <v>26.492979874323456</v>
          </cell>
          <cell r="E5">
            <v>1.0876975922808499E-3</v>
          </cell>
          <cell r="F5">
            <v>1.1657627798135901E-3</v>
          </cell>
          <cell r="G5">
            <v>1.1506661778645079E-3</v>
          </cell>
          <cell r="H5">
            <v>1.6493951896227954E-3</v>
          </cell>
          <cell r="I5">
            <v>1.7341945219820011E-3</v>
          </cell>
          <cell r="J5">
            <v>1.6957903314783812E-3</v>
          </cell>
          <cell r="K5">
            <v>1.4077314861445796E-3</v>
          </cell>
          <cell r="L5">
            <v>1.0430692811526146E-3</v>
          </cell>
          <cell r="M5">
            <v>2.0091434913157348E-3</v>
          </cell>
          <cell r="N5">
            <v>1.9931385731974472E-3</v>
          </cell>
          <cell r="O5">
            <v>4.0498958789099895E-3</v>
          </cell>
        </row>
        <row r="6">
          <cell r="A6" t="str">
            <v>IMPDSL</v>
          </cell>
          <cell r="C6" t="str">
            <v>DSL</v>
          </cell>
          <cell r="D6">
            <v>118.42678865524093</v>
          </cell>
          <cell r="E6">
            <v>112.2121540226951</v>
          </cell>
          <cell r="F6">
            <v>96.708034746286827</v>
          </cell>
          <cell r="G6">
            <v>71.523091344316398</v>
          </cell>
          <cell r="H6">
            <v>49.532908980525754</v>
          </cell>
          <cell r="I6">
            <v>45.497699672357761</v>
          </cell>
          <cell r="J6">
            <v>41.854428594151969</v>
          </cell>
          <cell r="K6">
            <v>40.314666435896534</v>
          </cell>
          <cell r="L6">
            <v>39.750115622559747</v>
          </cell>
          <cell r="M6">
            <v>33.094065045702585</v>
          </cell>
          <cell r="N6">
            <v>29.383891232750869</v>
          </cell>
          <cell r="O6">
            <v>29.67018580849383</v>
          </cell>
        </row>
        <row r="7">
          <cell r="A7" t="str">
            <v>IMPH2</v>
          </cell>
          <cell r="C7" t="str">
            <v>H2</v>
          </cell>
          <cell r="I7">
            <v>6.722848364722111E-3</v>
          </cell>
          <cell r="J7">
            <v>6.7417177187377095E-3</v>
          </cell>
          <cell r="K7">
            <v>3.533835097255072E-3</v>
          </cell>
          <cell r="L7">
            <v>1.6291161246134197E-3</v>
          </cell>
          <cell r="M7">
            <v>5.6838985485762068E-3</v>
          </cell>
          <cell r="N7">
            <v>3.0959858094557558E-3</v>
          </cell>
          <cell r="O7">
            <v>6.8110791386313098E-3</v>
          </cell>
        </row>
        <row r="8">
          <cell r="A8" t="str">
            <v>IMPELC_AT</v>
          </cell>
          <cell r="C8" t="str">
            <v>ELC_I-AT</v>
          </cell>
          <cell r="D8">
            <v>15.013805767966563</v>
          </cell>
          <cell r="E8">
            <v>3.2348978944708118E-2</v>
          </cell>
          <cell r="F8">
            <v>2.1273176657239132E-2</v>
          </cell>
          <cell r="G8">
            <v>2.4903823997995771E-2</v>
          </cell>
          <cell r="H8">
            <v>1.723698404042847E-2</v>
          </cell>
          <cell r="I8">
            <v>1.3495857602633983E-2</v>
          </cell>
          <cell r="J8">
            <v>1.2006718692243193E-2</v>
          </cell>
          <cell r="K8">
            <v>1.4038732077328078E-2</v>
          </cell>
          <cell r="L8">
            <v>1.4162363022177082E-2</v>
          </cell>
          <cell r="M8">
            <v>2.5669514173091275E-2</v>
          </cell>
          <cell r="N8">
            <v>3.0824620414223881E-2</v>
          </cell>
          <cell r="O8">
            <v>4.8638721438372806E-2</v>
          </cell>
        </row>
        <row r="9">
          <cell r="A9" t="str">
            <v>IMPELC_AT</v>
          </cell>
          <cell r="C9" t="str">
            <v>ELCS</v>
          </cell>
          <cell r="D9">
            <v>15.013805767966563</v>
          </cell>
          <cell r="E9">
            <v>3.2348978944708118E-2</v>
          </cell>
          <cell r="F9">
            <v>2.1273176657239132E-2</v>
          </cell>
          <cell r="G9">
            <v>2.4903823997995771E-2</v>
          </cell>
          <cell r="H9">
            <v>1.723698404042847E-2</v>
          </cell>
          <cell r="I9">
            <v>1.3495857602633983E-2</v>
          </cell>
          <cell r="J9">
            <v>1.2006718692243193E-2</v>
          </cell>
          <cell r="K9">
            <v>1.4038732077328078E-2</v>
          </cell>
          <cell r="L9">
            <v>1.4162363022177082E-2</v>
          </cell>
          <cell r="M9">
            <v>2.5669514173091275E-2</v>
          </cell>
          <cell r="N9">
            <v>3.0824620414223881E-2</v>
          </cell>
          <cell r="O9">
            <v>4.8638721438372806E-2</v>
          </cell>
        </row>
        <row r="10">
          <cell r="A10" t="str">
            <v>IMPELC_FR</v>
          </cell>
          <cell r="C10" t="str">
            <v>ELC_I-FR</v>
          </cell>
          <cell r="D10">
            <v>28.948621071489502</v>
          </cell>
          <cell r="E10">
            <v>17.842806384503117</v>
          </cell>
          <cell r="F10">
            <v>21.629474422216301</v>
          </cell>
          <cell r="G10">
            <v>15.318027964312433</v>
          </cell>
          <cell r="H10">
            <v>21.674573373415317</v>
          </cell>
          <cell r="I10">
            <v>30.040725096488366</v>
          </cell>
          <cell r="J10">
            <v>33.661825423806533</v>
          </cell>
          <cell r="K10">
            <v>28.883336746924989</v>
          </cell>
          <cell r="L10">
            <v>64.534875695677087</v>
          </cell>
          <cell r="M10">
            <v>69.125568182108495</v>
          </cell>
          <cell r="N10">
            <v>69.133379208870167</v>
          </cell>
          <cell r="O10">
            <v>69.088456410370114</v>
          </cell>
        </row>
        <row r="11">
          <cell r="A11" t="str">
            <v>IMPELC_FR</v>
          </cell>
          <cell r="C11" t="str">
            <v>ELCS</v>
          </cell>
          <cell r="D11">
            <v>28.948621071489502</v>
          </cell>
          <cell r="E11">
            <v>17.842806384503117</v>
          </cell>
          <cell r="F11">
            <v>21.629474422216301</v>
          </cell>
          <cell r="G11">
            <v>15.318027964312433</v>
          </cell>
          <cell r="H11">
            <v>21.674573373415317</v>
          </cell>
          <cell r="I11">
            <v>30.040725096488366</v>
          </cell>
          <cell r="J11">
            <v>33.661825423806533</v>
          </cell>
          <cell r="K11">
            <v>28.883336746924989</v>
          </cell>
          <cell r="L11">
            <v>64.534875695677087</v>
          </cell>
          <cell r="M11">
            <v>69.125568182108495</v>
          </cell>
          <cell r="N11">
            <v>69.133379208870167</v>
          </cell>
          <cell r="O11">
            <v>69.088456410370114</v>
          </cell>
        </row>
        <row r="12">
          <cell r="A12" t="str">
            <v>RNWHYDR1</v>
          </cell>
          <cell r="C12" t="str">
            <v>HYDR</v>
          </cell>
          <cell r="D12">
            <v>66.632400407028229</v>
          </cell>
          <cell r="E12">
            <v>55.764001579115686</v>
          </cell>
          <cell r="F12">
            <v>65.558562430748694</v>
          </cell>
          <cell r="G12">
            <v>64.478519889435233</v>
          </cell>
          <cell r="H12">
            <v>63.395197736717478</v>
          </cell>
          <cell r="I12">
            <v>62.310875791922577</v>
          </cell>
          <cell r="J12">
            <v>61.227496053006078</v>
          </cell>
          <cell r="K12">
            <v>60.142394894567957</v>
          </cell>
          <cell r="L12">
            <v>60.142479872037192</v>
          </cell>
          <cell r="M12">
            <v>60.141353371012663</v>
          </cell>
          <cell r="N12">
            <v>60.141520967362723</v>
          </cell>
          <cell r="O12">
            <v>60.143859019447419</v>
          </cell>
        </row>
        <row r="13">
          <cell r="A13" t="str">
            <v>EXPELC_IT</v>
          </cell>
          <cell r="C13" t="str">
            <v>ELC_E-IT</v>
          </cell>
          <cell r="D13">
            <v>71.694107738032884</v>
          </cell>
          <cell r="E13">
            <v>35.813683939650268</v>
          </cell>
          <cell r="F13">
            <v>64.425525788214017</v>
          </cell>
          <cell r="G13">
            <v>81.004122175589757</v>
          </cell>
          <cell r="H13">
            <v>65.119528872966882</v>
          </cell>
          <cell r="I13">
            <v>43.193164907080217</v>
          </cell>
          <cell r="J13">
            <v>30.158167159775033</v>
          </cell>
          <cell r="K13">
            <v>29.593065021559173</v>
          </cell>
          <cell r="L13">
            <v>45.770527248649081</v>
          </cell>
          <cell r="M13">
            <v>39.647471994342219</v>
          </cell>
          <cell r="N13">
            <v>38.234986109622845</v>
          </cell>
          <cell r="O13">
            <v>32.425935646271284</v>
          </cell>
        </row>
        <row r="14">
          <cell r="A14" t="str">
            <v>IMPLNG</v>
          </cell>
          <cell r="C14" t="str">
            <v>LBIO</v>
          </cell>
          <cell r="G14">
            <v>5.3378897943816631E-3</v>
          </cell>
          <cell r="H14">
            <v>5.3968340664747441E-2</v>
          </cell>
          <cell r="I14">
            <v>5.1731779354485037E-2</v>
          </cell>
          <cell r="J14">
            <v>5.7140369320778364E-3</v>
          </cell>
          <cell r="K14">
            <v>1.3393072237571406E-2</v>
          </cell>
          <cell r="L14">
            <v>6.7450491177990903E-3</v>
          </cell>
          <cell r="M14">
            <v>1.222667397750205E-2</v>
          </cell>
          <cell r="N14">
            <v>9.0634330591141607E-3</v>
          </cell>
          <cell r="O14">
            <v>2.0967155528273395E-2</v>
          </cell>
        </row>
        <row r="15">
          <cell r="A15" t="str">
            <v>IMPLNG</v>
          </cell>
          <cell r="C15" t="str">
            <v>LNGA</v>
          </cell>
          <cell r="G15">
            <v>2.7281792803958752E-3</v>
          </cell>
          <cell r="H15">
            <v>4.4644269598669954E-3</v>
          </cell>
          <cell r="I15">
            <v>4.3231932538101208E-3</v>
          </cell>
          <cell r="J15">
            <v>4.8491892217044121E-3</v>
          </cell>
          <cell r="K15">
            <v>1.0307916943695703E-2</v>
          </cell>
          <cell r="L15">
            <v>5.3121066114248721E-3</v>
          </cell>
          <cell r="M15">
            <v>1.0042441981479333E-2</v>
          </cell>
          <cell r="N15">
            <v>8.0406711077735914E-3</v>
          </cell>
          <cell r="O15">
            <v>1.7131345629944773E-2</v>
          </cell>
        </row>
        <row r="16">
          <cell r="A16" t="str">
            <v>IMPURN1</v>
          </cell>
          <cell r="C16" t="str">
            <v>URN</v>
          </cell>
          <cell r="D16">
            <v>250.94822050099731</v>
          </cell>
          <cell r="E16">
            <v>254.39227640808039</v>
          </cell>
          <cell r="F16">
            <v>224.07675972322781</v>
          </cell>
          <cell r="G16">
            <v>221.50615815365475</v>
          </cell>
          <cell r="H16">
            <v>174.32481921688765</v>
          </cell>
          <cell r="I16">
            <v>100.00284405132813</v>
          </cell>
          <cell r="J16">
            <v>10.573387569910054</v>
          </cell>
          <cell r="K16">
            <v>18.960487767411369</v>
          </cell>
          <cell r="L16">
            <v>20.834040217021769</v>
          </cell>
          <cell r="M16">
            <v>20.208293096839316</v>
          </cell>
          <cell r="N16">
            <v>20.686842005602589</v>
          </cell>
          <cell r="O16">
            <v>21.476640339703611</v>
          </cell>
        </row>
        <row r="17">
          <cell r="A17" t="str">
            <v>EXPELC_AT</v>
          </cell>
          <cell r="C17" t="str">
            <v>ELC_E-AT</v>
          </cell>
          <cell r="D17">
            <v>6.229558553258002</v>
          </cell>
          <cell r="E17">
            <v>1.908941165849198E-3</v>
          </cell>
          <cell r="F17">
            <v>4.4903573938449501E-3</v>
          </cell>
          <cell r="G17">
            <v>5.5817037969991255E-4</v>
          </cell>
          <cell r="H17">
            <v>7.2339169319682165E-4</v>
          </cell>
          <cell r="I17">
            <v>6.8410697868245872E-4</v>
          </cell>
          <cell r="J17">
            <v>6.7015540161184965E-4</v>
          </cell>
          <cell r="K17">
            <v>5.8056421762929294E-4</v>
          </cell>
          <cell r="L17">
            <v>6.0878075005531512E-4</v>
          </cell>
          <cell r="M17">
            <v>6.4479872757336606E-4</v>
          </cell>
          <cell r="N17">
            <v>6.260200033595246E-4</v>
          </cell>
          <cell r="O17">
            <v>1.1895683307966923E-3</v>
          </cell>
        </row>
        <row r="18">
          <cell r="A18" t="str">
            <v>EXPELC_FR</v>
          </cell>
          <cell r="C18" t="str">
            <v>ELC_E-FR</v>
          </cell>
          <cell r="D18">
            <v>12.753360799734628</v>
          </cell>
          <cell r="E18">
            <v>1.4673474560159632E-3</v>
          </cell>
          <cell r="F18">
            <v>1.3363010496675019E-3</v>
          </cell>
          <cell r="G18">
            <v>8.5442975718326669E-4</v>
          </cell>
          <cell r="H18">
            <v>1.3636904135305406E-3</v>
          </cell>
          <cell r="I18">
            <v>1.3707961718907233E-3</v>
          </cell>
          <cell r="J18">
            <v>1.3253105330902463E-3</v>
          </cell>
          <cell r="K18">
            <v>1.7856863809221962E-3</v>
          </cell>
          <cell r="L18">
            <v>1.0505431050350129E-3</v>
          </cell>
          <cell r="M18">
            <v>1.3587836566799768E-3</v>
          </cell>
          <cell r="N18">
            <v>1.2801040780237877E-3</v>
          </cell>
          <cell r="O18">
            <v>2.3257516815132608E-3</v>
          </cell>
        </row>
        <row r="19">
          <cell r="A19" t="str">
            <v>RNWWND1</v>
          </cell>
          <cell r="C19" t="str">
            <v>WND</v>
          </cell>
          <cell r="D19">
            <v>0.51620977229458065</v>
          </cell>
          <cell r="E19">
            <v>0.53744797332940863</v>
          </cell>
          <cell r="F19">
            <v>0.49529224060282773</v>
          </cell>
          <cell r="G19">
            <v>0.55571916474196259</v>
          </cell>
          <cell r="H19">
            <v>0.55440035414194344</v>
          </cell>
          <cell r="I19">
            <v>0.55738544052279548</v>
          </cell>
          <cell r="J19">
            <v>0.56352686472050773</v>
          </cell>
          <cell r="K19">
            <v>0.55787717679701665</v>
          </cell>
          <cell r="L19">
            <v>0.56115453627838274</v>
          </cell>
          <cell r="M19">
            <v>0.55900400463837707</v>
          </cell>
          <cell r="N19">
            <v>0.56269764488095975</v>
          </cell>
          <cell r="O19">
            <v>0.55522618183408423</v>
          </cell>
        </row>
        <row r="20">
          <cell r="A20" t="str">
            <v>RNWWND2</v>
          </cell>
          <cell r="C20" t="str">
            <v>WND</v>
          </cell>
          <cell r="D20">
            <v>2.6455666907587473E-3</v>
          </cell>
          <cell r="E20">
            <v>2.6550035036452539E-3</v>
          </cell>
          <cell r="F20">
            <v>2.6651055850568611E-3</v>
          </cell>
          <cell r="G20">
            <v>2.812380126554645E-3</v>
          </cell>
          <cell r="H20">
            <v>4.3265944353922288E-3</v>
          </cell>
          <cell r="I20">
            <v>4.8935176614809351E-3</v>
          </cell>
          <cell r="J20">
            <v>8.0496864561835219E-3</v>
          </cell>
          <cell r="K20">
            <v>9.5572307767925607E-3</v>
          </cell>
          <cell r="L20">
            <v>8.663054104920527E-3</v>
          </cell>
          <cell r="M20">
            <v>8.006596701303572E-3</v>
          </cell>
          <cell r="N20">
            <v>7.8896574325445744E-3</v>
          </cell>
          <cell r="O20">
            <v>1.2835492299829842E-2</v>
          </cell>
        </row>
        <row r="21">
          <cell r="A21" t="str">
            <v>RNWMNR1</v>
          </cell>
          <cell r="C21" t="str">
            <v>MNR</v>
          </cell>
          <cell r="D21">
            <v>3.7980888731937248</v>
          </cell>
          <cell r="E21">
            <v>12.497411645686592</v>
          </cell>
          <cell r="F21">
            <v>12.540057068460483</v>
          </cell>
          <cell r="G21">
            <v>12.540417199970127</v>
          </cell>
          <cell r="H21">
            <v>12.540424281870546</v>
          </cell>
          <cell r="I21">
            <v>12.533624866746441</v>
          </cell>
          <cell r="J21">
            <v>12.533966124720106</v>
          </cell>
          <cell r="K21">
            <v>12.527435094858483</v>
          </cell>
          <cell r="L21">
            <v>12.533357412850009</v>
          </cell>
          <cell r="M21">
            <v>12.527494672403551</v>
          </cell>
          <cell r="N21">
            <v>12.530548316843456</v>
          </cell>
          <cell r="O21">
            <v>12.518453581332682</v>
          </cell>
        </row>
        <row r="22">
          <cell r="A22" t="str">
            <v>RNWWND3</v>
          </cell>
          <cell r="C22" t="str">
            <v>WND</v>
          </cell>
          <cell r="D22">
            <v>1.9601772468314407E-3</v>
          </cell>
          <cell r="E22">
            <v>1.9663391111627185E-3</v>
          </cell>
          <cell r="F22">
            <v>1.9740581586775198E-3</v>
          </cell>
          <cell r="G22">
            <v>2.0404488317856259E-3</v>
          </cell>
          <cell r="H22">
            <v>2.8776069676548638E-3</v>
          </cell>
          <cell r="I22">
            <v>2.5638387442090569E-3</v>
          </cell>
          <cell r="J22">
            <v>3.5910098568901205E-3</v>
          </cell>
          <cell r="K22">
            <v>5.1468815113718753E-3</v>
          </cell>
          <cell r="L22">
            <v>4.8878665511104492E-3</v>
          </cell>
          <cell r="M22">
            <v>5.3198203405655526E-3</v>
          </cell>
          <cell r="N22">
            <v>5.0989971001498251E-3</v>
          </cell>
          <cell r="O22">
            <v>9.5537998892492003E-3</v>
          </cell>
        </row>
        <row r="23">
          <cell r="A23" t="str">
            <v>RNWMNR2</v>
          </cell>
          <cell r="C23" t="str">
            <v>MNR</v>
          </cell>
          <cell r="I23">
            <v>5.3162463073130545E-3</v>
          </cell>
          <cell r="J23">
            <v>5.4219738492396665E-3</v>
          </cell>
          <cell r="K23">
            <v>9.8148949121089971E-3</v>
          </cell>
          <cell r="L23">
            <v>5.5338045971394523E-3</v>
          </cell>
          <cell r="M23">
            <v>9.9231663955293859E-3</v>
          </cell>
          <cell r="N23">
            <v>7.8148882276239204E-3</v>
          </cell>
          <cell r="O23">
            <v>1.7026458740323994E-2</v>
          </cell>
        </row>
        <row r="24">
          <cell r="A24" t="str">
            <v>RNWWND4</v>
          </cell>
          <cell r="C24" t="str">
            <v>WND</v>
          </cell>
          <cell r="D24">
            <v>1.8740099490871303E-3</v>
          </cell>
          <cell r="E24">
            <v>1.8796363780694337E-3</v>
          </cell>
          <cell r="F24">
            <v>1.8866005056450473E-3</v>
          </cell>
          <cell r="G24">
            <v>1.9491719378987437E-3</v>
          </cell>
          <cell r="H24">
            <v>2.7220262702562364E-3</v>
          </cell>
          <cell r="I24">
            <v>2.3853218899961446E-3</v>
          </cell>
          <cell r="J24">
            <v>3.276649569156625E-3</v>
          </cell>
          <cell r="K24">
            <v>4.7472434592438356E-3</v>
          </cell>
          <cell r="L24">
            <v>4.4504156755289914E-3</v>
          </cell>
          <cell r="M24">
            <v>5.1528063467486838E-3</v>
          </cell>
          <cell r="N24">
            <v>4.6642826461620662E-3</v>
          </cell>
          <cell r="O24">
            <v>8.8960330941667866E-3</v>
          </cell>
        </row>
        <row r="25">
          <cell r="A25" t="str">
            <v>RNWMNR3</v>
          </cell>
          <cell r="C25" t="str">
            <v>MNR</v>
          </cell>
          <cell r="I25">
            <v>2.4673373770227333E-3</v>
          </cell>
          <cell r="J25">
            <v>2.0731014869056989E-3</v>
          </cell>
          <cell r="K25">
            <v>4.3690689779087351E-3</v>
          </cell>
          <cell r="L25">
            <v>2.7783682073220309E-3</v>
          </cell>
          <cell r="M25">
            <v>4.5078125946086877E-3</v>
          </cell>
          <cell r="N25">
            <v>3.9903596946080904E-3</v>
          </cell>
          <cell r="O25">
            <v>7.9548085039846846E-3</v>
          </cell>
        </row>
        <row r="26">
          <cell r="A26" t="str">
            <v>IMPLFO1</v>
          </cell>
          <cell r="C26" t="str">
            <v>LFO</v>
          </cell>
          <cell r="D26">
            <v>101.78072347848034</v>
          </cell>
          <cell r="E26">
            <v>88.695389719360605</v>
          </cell>
          <cell r="F26">
            <v>79.742793180810452</v>
          </cell>
          <cell r="G26">
            <v>75.80045194321616</v>
          </cell>
          <cell r="H26">
            <v>60.164892039956094</v>
          </cell>
          <cell r="I26">
            <v>52.293807743328493</v>
          </cell>
          <cell r="J26">
            <v>47.458859689750227</v>
          </cell>
          <cell r="K26">
            <v>39.410997828981863</v>
          </cell>
          <cell r="L26">
            <v>35.550050237663612</v>
          </cell>
          <cell r="M26">
            <v>30.287956322524227</v>
          </cell>
          <cell r="N26">
            <v>21.524983267137593</v>
          </cell>
          <cell r="O26">
            <v>8.6696159812564488</v>
          </cell>
        </row>
        <row r="27">
          <cell r="A27" t="str">
            <v>RNWWND5</v>
          </cell>
          <cell r="C27" t="str">
            <v>WND</v>
          </cell>
          <cell r="D27">
            <v>1.3438872126414244E-3</v>
          </cell>
          <cell r="E27">
            <v>1.3461174904281547E-3</v>
          </cell>
          <cell r="F27">
            <v>1.3497753476286586E-3</v>
          </cell>
          <cell r="G27">
            <v>1.4004528760663488E-3</v>
          </cell>
          <cell r="H27">
            <v>1.8399100896477481E-3</v>
          </cell>
          <cell r="I27">
            <v>1.5031654144466687E-3</v>
          </cell>
          <cell r="J27">
            <v>1.9472485441579311E-3</v>
          </cell>
          <cell r="K27">
            <v>3.1638671906266593E-3</v>
          </cell>
          <cell r="L27">
            <v>3.077263298075378E-3</v>
          </cell>
          <cell r="M27">
            <v>4.908943367209994E-3</v>
          </cell>
          <cell r="N27">
            <v>4.1401676638209975E-3</v>
          </cell>
          <cell r="O27">
            <v>1.0378841024738399E-2</v>
          </cell>
        </row>
        <row r="28">
          <cell r="A28" t="str">
            <v>IMPBNGA</v>
          </cell>
          <cell r="C28" t="str">
            <v>BIO</v>
          </cell>
          <cell r="E28">
            <v>0.51650057632353596</v>
          </cell>
          <cell r="F28">
            <v>1.1671399326477991</v>
          </cell>
          <cell r="G28">
            <v>2.2314095976815711</v>
          </cell>
          <cell r="H28">
            <v>3.795170244731076</v>
          </cell>
          <cell r="I28">
            <v>6.0928274203639035</v>
          </cell>
          <cell r="J28">
            <v>6.4104158496280252</v>
          </cell>
          <cell r="K28">
            <v>6.7003562418417912</v>
          </cell>
          <cell r="L28">
            <v>7.0906291953805809</v>
          </cell>
          <cell r="M28">
            <v>7.3869239863896352</v>
          </cell>
          <cell r="N28">
            <v>8.3957208472483966</v>
          </cell>
          <cell r="O28">
            <v>8.6552018042107175</v>
          </cell>
        </row>
        <row r="29">
          <cell r="A29" t="str">
            <v>RNWGEO1</v>
          </cell>
          <cell r="C29" t="str">
            <v>GEO</v>
          </cell>
          <cell r="I29">
            <v>1.9028747898512831E-4</v>
          </cell>
          <cell r="J29">
            <v>7.0906559236369626E-2</v>
          </cell>
          <cell r="K29">
            <v>0.11365875824311333</v>
          </cell>
          <cell r="L29">
            <v>0.12076902002959376</v>
          </cell>
          <cell r="M29">
            <v>0.12898490139995525</v>
          </cell>
          <cell r="N29">
            <v>0.15785744827016635</v>
          </cell>
          <cell r="O29">
            <v>0.27388320743382127</v>
          </cell>
        </row>
        <row r="30">
          <cell r="A30" t="str">
            <v>RNWGEO2</v>
          </cell>
          <cell r="C30" t="str">
            <v>GEO</v>
          </cell>
          <cell r="I30">
            <v>1.8759862402904982E-4</v>
          </cell>
          <cell r="J30">
            <v>1.1964309842811464E-2</v>
          </cell>
          <cell r="K30">
            <v>1.7810282388751909E-2</v>
          </cell>
          <cell r="L30">
            <v>1.8266075756411884E-2</v>
          </cell>
          <cell r="M30">
            <v>2.3257618381119744E-2</v>
          </cell>
          <cell r="N30">
            <v>2.3578046140571084E-2</v>
          </cell>
          <cell r="O30">
            <v>4.4645468671437531E-2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84.301784798910504</v>
          </cell>
          <cell r="G31">
            <v>85.299340272752104</v>
          </cell>
          <cell r="H31">
            <v>89.961304336944806</v>
          </cell>
          <cell r="I31">
            <v>93.085173401573002</v>
          </cell>
          <cell r="J31">
            <v>95.302879201491507</v>
          </cell>
          <cell r="K31">
            <v>97.191601888758896</v>
          </cell>
          <cell r="L31">
            <v>95.126911591044902</v>
          </cell>
          <cell r="M31">
            <v>95.633733018199095</v>
          </cell>
          <cell r="N31">
            <v>97.1897847872673</v>
          </cell>
          <cell r="O31">
            <v>98.856652720607002</v>
          </cell>
        </row>
        <row r="32">
          <cell r="A32" t="str">
            <v>RNWGEO3</v>
          </cell>
          <cell r="C32" t="str">
            <v>GEO</v>
          </cell>
          <cell r="I32">
            <v>1.8656512906389252E-4</v>
          </cell>
          <cell r="J32">
            <v>8.8179108111277084E-3</v>
          </cell>
          <cell r="K32">
            <v>1.3105200547252111E-2</v>
          </cell>
          <cell r="L32">
            <v>1.3372152047347935E-2</v>
          </cell>
          <cell r="M32">
            <v>1.6976853059054969E-2</v>
          </cell>
          <cell r="N32">
            <v>1.6971749556091504E-2</v>
          </cell>
          <cell r="O32">
            <v>3.2329161912243436E-2</v>
          </cell>
        </row>
        <row r="33">
          <cell r="A33" t="str">
            <v>RNWGEO4</v>
          </cell>
          <cell r="C33" t="str">
            <v>GEO</v>
          </cell>
          <cell r="I33">
            <v>1.8556603294373511E-4</v>
          </cell>
          <cell r="J33">
            <v>7.0390603521807591E-3</v>
          </cell>
          <cell r="K33">
            <v>1.0425389732267578E-2</v>
          </cell>
          <cell r="L33">
            <v>1.061048275654237E-2</v>
          </cell>
          <cell r="M33">
            <v>1.3508322059581822E-2</v>
          </cell>
          <cell r="N33">
            <v>1.3451314562481873E-2</v>
          </cell>
          <cell r="O33">
            <v>2.5728526666578298E-2</v>
          </cell>
        </row>
        <row r="34">
          <cell r="A34" t="str">
            <v>RNWGEO5</v>
          </cell>
          <cell r="C34" t="str">
            <v>GEO</v>
          </cell>
          <cell r="I34">
            <v>1.7108263268304563E-4</v>
          </cell>
          <cell r="J34">
            <v>1.7740598495859978E-3</v>
          </cell>
          <cell r="K34">
            <v>2.5913999019206136E-3</v>
          </cell>
          <cell r="L34">
            <v>2.6125612851965732E-3</v>
          </cell>
          <cell r="M34">
            <v>3.3740280978486765E-3</v>
          </cell>
          <cell r="N34">
            <v>3.2925453024736646E-3</v>
          </cell>
          <cell r="O34">
            <v>6.432167778863144E-3</v>
          </cell>
        </row>
        <row r="35">
          <cell r="A35" t="str">
            <v>IMPGSL</v>
          </cell>
          <cell r="C35" t="str">
            <v>GSL</v>
          </cell>
          <cell r="D35">
            <v>79.858562959800452</v>
          </cell>
          <cell r="E35">
            <v>75.955437364796921</v>
          </cell>
          <cell r="F35">
            <v>79.904321862133671</v>
          </cell>
          <cell r="G35">
            <v>58.326489701799971</v>
          </cell>
          <cell r="H35">
            <v>44.727129483207371</v>
          </cell>
          <cell r="I35">
            <v>38.488674095112096</v>
          </cell>
          <cell r="J35">
            <v>33.103231435703201</v>
          </cell>
          <cell r="K35">
            <v>28.65449389197704</v>
          </cell>
          <cell r="L35">
            <v>26.182295920162538</v>
          </cell>
          <cell r="M35">
            <v>23.806463420684633</v>
          </cell>
          <cell r="N35">
            <v>22.002425314891092</v>
          </cell>
          <cell r="O35">
            <v>21.053256831990549</v>
          </cell>
        </row>
        <row r="36">
          <cell r="A36" t="str">
            <v>RNWWOD1</v>
          </cell>
          <cell r="C36" t="str">
            <v>WOD</v>
          </cell>
          <cell r="D36">
            <v>11.111873819173001</v>
          </cell>
          <cell r="E36">
            <v>11.952883012199603</v>
          </cell>
          <cell r="F36">
            <v>13.21439012589563</v>
          </cell>
          <cell r="G36">
            <v>15.316908235933171</v>
          </cell>
          <cell r="H36">
            <v>15.849134883536195</v>
          </cell>
          <cell r="I36">
            <v>16.266392417123207</v>
          </cell>
          <cell r="J36">
            <v>16.611691111431174</v>
          </cell>
          <cell r="K36">
            <v>16.956985954302212</v>
          </cell>
          <cell r="L36">
            <v>17.015757068199964</v>
          </cell>
          <cell r="M36">
            <v>17.074522326313083</v>
          </cell>
          <cell r="N36">
            <v>17.133289236154226</v>
          </cell>
          <cell r="O36">
            <v>17.19205661070885</v>
          </cell>
        </row>
        <row r="37">
          <cell r="A37" t="str">
            <v>RNWWOD2</v>
          </cell>
          <cell r="C37" t="str">
            <v>WOD</v>
          </cell>
          <cell r="D37">
            <v>7.5116674397237322</v>
          </cell>
          <cell r="E37">
            <v>7.5431415295452737</v>
          </cell>
          <cell r="F37">
            <v>7.5903457644886849</v>
          </cell>
          <cell r="G37">
            <v>7.6690252090328688</v>
          </cell>
          <cell r="H37">
            <v>7.6690233002367671</v>
          </cell>
          <cell r="I37">
            <v>7.669024049607529</v>
          </cell>
          <cell r="J37">
            <v>7.6690239719491107</v>
          </cell>
          <cell r="K37">
            <v>7.6690200253071996</v>
          </cell>
          <cell r="L37">
            <v>7.6690238861835134</v>
          </cell>
          <cell r="M37">
            <v>7.6690216363402275</v>
          </cell>
          <cell r="N37">
            <v>7.6690212220401905</v>
          </cell>
          <cell r="O37">
            <v>7.6690146493605535</v>
          </cell>
        </row>
        <row r="38">
          <cell r="A38" t="str">
            <v>RNWWOD3</v>
          </cell>
          <cell r="C38" t="str">
            <v>WOD</v>
          </cell>
          <cell r="D38">
            <v>3.1682407525374208</v>
          </cell>
          <cell r="E38">
            <v>3.4956714438972698</v>
          </cell>
          <cell r="F38">
            <v>3.9868104252320231</v>
          </cell>
          <cell r="G38">
            <v>4.8053837880577808</v>
          </cell>
          <cell r="H38">
            <v>4.8053790267796517</v>
          </cell>
          <cell r="I38">
            <v>4.8053802098959748</v>
          </cell>
          <cell r="J38">
            <v>4.8053802755974333</v>
          </cell>
          <cell r="K38">
            <v>4.8053709373543247</v>
          </cell>
          <cell r="L38">
            <v>4.8053800705612515</v>
          </cell>
          <cell r="M38">
            <v>4.8053741258012552</v>
          </cell>
          <cell r="N38">
            <v>4.8053765361612752</v>
          </cell>
          <cell r="O38">
            <v>4.8053676115719988</v>
          </cell>
        </row>
        <row r="39">
          <cell r="A39" t="str">
            <v>RNWWOD4</v>
          </cell>
          <cell r="C39" t="str">
            <v>WOD</v>
          </cell>
          <cell r="D39">
            <v>13.656478763791094</v>
          </cell>
          <cell r="E39">
            <v>14.899044759505088</v>
          </cell>
          <cell r="F39">
            <v>16.762860324398922</v>
          </cell>
          <cell r="G39">
            <v>19.869240081658166</v>
          </cell>
          <cell r="H39">
            <v>19.863573376136582</v>
          </cell>
          <cell r="I39">
            <v>19.447186136856416</v>
          </cell>
          <cell r="J39">
            <v>19.10199857015278</v>
          </cell>
          <cell r="K39">
            <v>18.75294012384731</v>
          </cell>
          <cell r="L39">
            <v>18.697332233535629</v>
          </cell>
          <cell r="M39">
            <v>18.634918047402891</v>
          </cell>
          <cell r="N39">
            <v>18.577678818684312</v>
          </cell>
          <cell r="O39">
            <v>18.512100187263698</v>
          </cell>
        </row>
        <row r="40">
          <cell r="A40" t="str">
            <v>RNWWOD5</v>
          </cell>
          <cell r="C40" t="str">
            <v>WOD</v>
          </cell>
          <cell r="D40">
            <v>9.5241008304457928</v>
          </cell>
          <cell r="E40">
            <v>10.299725462016118</v>
          </cell>
          <cell r="F40">
            <v>6.6360640851128574</v>
          </cell>
          <cell r="G40">
            <v>0.52991710028115635</v>
          </cell>
          <cell r="H40">
            <v>5.6614258480654238E-3</v>
          </cell>
          <cell r="I40">
            <v>4.797241979734774E-3</v>
          </cell>
          <cell r="J40">
            <v>4.6945936189235508E-3</v>
          </cell>
          <cell r="K40">
            <v>8.49613100037417E-3</v>
          </cell>
          <cell r="L40">
            <v>5.3249494594355649E-3</v>
          </cell>
          <cell r="M40">
            <v>9.0273196440910832E-3</v>
          </cell>
          <cell r="N40">
            <v>7.5257466529696096E-3</v>
          </cell>
          <cell r="O40">
            <v>1.6292697956301616E-2</v>
          </cell>
        </row>
        <row r="41">
          <cell r="A41" t="str">
            <v>RNNWWST1</v>
          </cell>
          <cell r="C41" t="str">
            <v>WSTNREN</v>
          </cell>
          <cell r="D41">
            <v>35.788278644257723</v>
          </cell>
          <cell r="E41">
            <v>35.882382643848558</v>
          </cell>
          <cell r="F41">
            <v>35.489431764203815</v>
          </cell>
          <cell r="G41">
            <v>35.03997592756361</v>
          </cell>
          <cell r="H41">
            <v>34.937589383525236</v>
          </cell>
          <cell r="I41">
            <v>35.159453939381109</v>
          </cell>
          <cell r="J41">
            <v>35.381322027089915</v>
          </cell>
          <cell r="K41">
            <v>35.603198336294163</v>
          </cell>
          <cell r="L41">
            <v>35.603189403269894</v>
          </cell>
          <cell r="M41">
            <v>35.603200300806741</v>
          </cell>
          <cell r="N41">
            <v>35.603188586028828</v>
          </cell>
          <cell r="O41">
            <v>35.603203629852189</v>
          </cell>
        </row>
        <row r="42">
          <cell r="A42" t="str">
            <v>RNWSOL1</v>
          </cell>
          <cell r="C42" t="str">
            <v>SOL</v>
          </cell>
          <cell r="D42">
            <v>12.556517729199888</v>
          </cell>
          <cell r="E42">
            <v>16.52242107868711</v>
          </cell>
          <cell r="F42">
            <v>32.455732767762228</v>
          </cell>
          <cell r="G42">
            <v>53.888854564785611</v>
          </cell>
          <cell r="H42">
            <v>56.808177135153372</v>
          </cell>
          <cell r="I42">
            <v>59.459850763862534</v>
          </cell>
          <cell r="J42">
            <v>62.100831538746334</v>
          </cell>
          <cell r="K42">
            <v>64.833566435845597</v>
          </cell>
          <cell r="L42">
            <v>67.444399171527436</v>
          </cell>
          <cell r="M42">
            <v>70.592322771547671</v>
          </cell>
          <cell r="N42">
            <v>74.08394922462476</v>
          </cell>
          <cell r="O42">
            <v>78.914459749246106</v>
          </cell>
        </row>
        <row r="43">
          <cell r="A43" t="str">
            <v>IMPHFO1</v>
          </cell>
          <cell r="C43" t="str">
            <v>HFO</v>
          </cell>
          <cell r="D43">
            <v>2.7763727848970223</v>
          </cell>
          <cell r="E43">
            <v>2.284176847351322</v>
          </cell>
          <cell r="F43">
            <v>8.7967650553530084E-3</v>
          </cell>
          <cell r="G43">
            <v>2.5836860907276415E-3</v>
          </cell>
          <cell r="H43">
            <v>3.8281284608845684E-3</v>
          </cell>
          <cell r="I43">
            <v>3.5893947234516134E-3</v>
          </cell>
          <cell r="J43">
            <v>4.4725597537534313E-3</v>
          </cell>
        </row>
        <row r="44">
          <cell r="A44" t="str">
            <v>RNWHYDD1</v>
          </cell>
          <cell r="C44" t="str">
            <v>HYDD</v>
          </cell>
          <cell r="D44">
            <v>66.745680000022219</v>
          </cell>
          <cell r="E44">
            <v>49.798799261657472</v>
          </cell>
          <cell r="F44">
            <v>68.526862096155</v>
          </cell>
          <cell r="G44">
            <v>69.61395863946025</v>
          </cell>
          <cell r="H44">
            <v>70.697304527520572</v>
          </cell>
          <cell r="I44">
            <v>71.781630460397722</v>
          </cell>
          <cell r="J44">
            <v>72.865010275959463</v>
          </cell>
          <cell r="K44">
            <v>73.950114967489426</v>
          </cell>
          <cell r="L44">
            <v>73.950034467134216</v>
          </cell>
          <cell r="M44">
            <v>73.951165863516991</v>
          </cell>
          <cell r="N44">
            <v>73.951013813964821</v>
          </cell>
          <cell r="O44">
            <v>73.948738328836242</v>
          </cell>
        </row>
        <row r="45">
          <cell r="A45" t="str">
            <v>IMPKER</v>
          </cell>
          <cell r="C45" t="str">
            <v>KER</v>
          </cell>
          <cell r="D45">
            <v>1.1059016474225796</v>
          </cell>
          <cell r="E45">
            <v>1.4051679588296668</v>
          </cell>
          <cell r="F45">
            <v>1.8431595619976713</v>
          </cell>
          <cell r="G45">
            <v>1.65520124531923</v>
          </cell>
          <cell r="H45">
            <v>1.1605191051962853</v>
          </cell>
          <cell r="I45">
            <v>0.98400585390549367</v>
          </cell>
          <cell r="J45">
            <v>0.63694213030789115</v>
          </cell>
          <cell r="K45">
            <v>0.3802087256634113</v>
          </cell>
          <cell r="L45">
            <v>0.1927866128609487</v>
          </cell>
          <cell r="M45">
            <v>2.9072129611231373E-4</v>
          </cell>
          <cell r="N45">
            <v>1.8419512053458476E-4</v>
          </cell>
          <cell r="O45">
            <v>3.1713388454159491E-4</v>
          </cell>
        </row>
        <row r="46">
          <cell r="A46" t="str">
            <v>IMPBDS</v>
          </cell>
          <cell r="C46" t="str">
            <v>BDS</v>
          </cell>
          <cell r="D46">
            <v>2.4355820140057216</v>
          </cell>
          <cell r="E46">
            <v>2.3780125207662666</v>
          </cell>
          <cell r="F46">
            <v>3.9158000338644987</v>
          </cell>
          <cell r="G46">
            <v>3.3630323993957458</v>
          </cell>
          <cell r="H46">
            <v>3.0231374382015934</v>
          </cell>
          <cell r="I46">
            <v>3.0179174428162927</v>
          </cell>
          <cell r="J46">
            <v>3.0172716583916523</v>
          </cell>
          <cell r="K46">
            <v>2.98444488658687</v>
          </cell>
          <cell r="L46">
            <v>2.7387203878309885</v>
          </cell>
          <cell r="M46">
            <v>2.5837662177545839</v>
          </cell>
          <cell r="N46">
            <v>1.6805019923934901</v>
          </cell>
          <cell r="O46">
            <v>1.4750871523180351</v>
          </cell>
        </row>
        <row r="47">
          <cell r="A47" t="str">
            <v>IMPCOA1</v>
          </cell>
          <cell r="C47" t="str">
            <v>COA</v>
          </cell>
          <cell r="D47">
            <v>3.6600056918946295</v>
          </cell>
          <cell r="E47">
            <v>3.5647176151899118</v>
          </cell>
          <cell r="F47">
            <v>3.239459991172021</v>
          </cell>
          <cell r="G47">
            <v>8.4020002276593599E-3</v>
          </cell>
          <cell r="H47">
            <v>5.8522519927613125E-3</v>
          </cell>
          <cell r="I47">
            <v>3.6506334394136881E-3</v>
          </cell>
          <cell r="J47">
            <v>5.6072647622365124E-3</v>
          </cell>
          <cell r="K47">
            <v>1.2070446445515892E-2</v>
          </cell>
          <cell r="L47">
            <v>7.5510906371049312E-3</v>
          </cell>
          <cell r="M47">
            <v>1.1397405697162728E-2</v>
          </cell>
          <cell r="N47">
            <v>6.4781681295358901E-3</v>
          </cell>
          <cell r="O47">
            <v>1.2024115243862548E-2</v>
          </cell>
        </row>
        <row r="48">
          <cell r="A48" t="str">
            <v>IMPETH</v>
          </cell>
          <cell r="C48" t="str">
            <v>ETH</v>
          </cell>
          <cell r="D48">
            <v>4.4341508675696826</v>
          </cell>
          <cell r="E48">
            <v>4.3986160636745861</v>
          </cell>
          <cell r="F48">
            <v>4.6258881887018788</v>
          </cell>
          <cell r="G48">
            <v>4.1143929104563126</v>
          </cell>
          <cell r="H48">
            <v>2.8905583615125456</v>
          </cell>
          <cell r="I48">
            <v>2.2299778603467404</v>
          </cell>
          <cell r="J48">
            <v>1.9180447064694783</v>
          </cell>
          <cell r="K48">
            <v>1.6611769136905679</v>
          </cell>
          <cell r="L48">
            <v>1.5168747001162441</v>
          </cell>
          <cell r="M48">
            <v>1.3801752893643946</v>
          </cell>
          <cell r="N48">
            <v>1.2749358334689969</v>
          </cell>
          <cell r="O48">
            <v>1.2214440415688272</v>
          </cell>
        </row>
        <row r="49">
          <cell r="A49" t="str">
            <v>IMPELC_DE</v>
          </cell>
          <cell r="C49" t="str">
            <v>ELC_I-DE</v>
          </cell>
          <cell r="D49">
            <v>46.398475558409203</v>
          </cell>
          <cell r="E49">
            <v>32.401549918431002</v>
          </cell>
          <cell r="F49">
            <v>28.803772565747742</v>
          </cell>
          <cell r="G49">
            <v>35.395959098908072</v>
          </cell>
          <cell r="H49">
            <v>34.598354098637259</v>
          </cell>
          <cell r="I49">
            <v>29.60646295075308</v>
          </cell>
          <cell r="J49">
            <v>31.764877840948866</v>
          </cell>
          <cell r="K49">
            <v>26.765854564814944</v>
          </cell>
          <cell r="L49">
            <v>4.5489066409135681</v>
          </cell>
          <cell r="M49">
            <v>1.164263866997331E-2</v>
          </cell>
          <cell r="N49">
            <v>5.4703598587615369E-3</v>
          </cell>
          <cell r="O49">
            <v>1.1928854216788675E-2</v>
          </cell>
        </row>
        <row r="50">
          <cell r="A50" t="str">
            <v>IMPELC_DE</v>
          </cell>
          <cell r="C50" t="str">
            <v>ELCS</v>
          </cell>
          <cell r="D50">
            <v>46.398475558409203</v>
          </cell>
          <cell r="E50">
            <v>32.401549918431002</v>
          </cell>
          <cell r="F50">
            <v>28.803772565747742</v>
          </cell>
          <cell r="G50">
            <v>35.395959098908072</v>
          </cell>
          <cell r="H50">
            <v>34.598354098637259</v>
          </cell>
          <cell r="I50">
            <v>29.60646295075308</v>
          </cell>
          <cell r="J50">
            <v>31.764877840948866</v>
          </cell>
          <cell r="K50">
            <v>26.765854564814944</v>
          </cell>
          <cell r="L50">
            <v>4.5489066409135681</v>
          </cell>
          <cell r="M50">
            <v>1.164263866997331E-2</v>
          </cell>
          <cell r="N50">
            <v>5.4703598587615369E-3</v>
          </cell>
          <cell r="O50">
            <v>1.1928854216788675E-2</v>
          </cell>
        </row>
        <row r="51">
          <cell r="A51" t="str">
            <v>RNWWST1</v>
          </cell>
          <cell r="C51" t="str">
            <v>WSTREN</v>
          </cell>
          <cell r="D51">
            <v>33.957640200002672</v>
          </cell>
          <cell r="E51">
            <v>33.957650827966731</v>
          </cell>
          <cell r="F51">
            <v>33.957662028532972</v>
          </cell>
          <cell r="G51">
            <v>33.957669347395125</v>
          </cell>
          <cell r="H51">
            <v>33.957674534245513</v>
          </cell>
          <cell r="I51">
            <v>33.957681792180317</v>
          </cell>
          <cell r="J51">
            <v>33.957687911888954</v>
          </cell>
          <cell r="K51">
            <v>33.957698055227048</v>
          </cell>
          <cell r="L51">
            <v>33.957705597069584</v>
          </cell>
          <cell r="M51">
            <v>33.957729016632747</v>
          </cell>
          <cell r="N51">
            <v>33.95774328328136</v>
          </cell>
          <cell r="O51">
            <v>33.958114582671712</v>
          </cell>
        </row>
        <row r="52">
          <cell r="A52" t="str">
            <v>IMPNGA1</v>
          </cell>
          <cell r="C52" t="str">
            <v>NGA</v>
          </cell>
          <cell r="D52">
            <v>117.179992358166</v>
          </cell>
          <cell r="E52">
            <v>106.719999710191</v>
          </cell>
          <cell r="F52">
            <v>111.85536341757711</v>
          </cell>
          <cell r="G52">
            <v>119.29208139967406</v>
          </cell>
          <cell r="H52">
            <v>123.20896460662078</v>
          </cell>
          <cell r="I52">
            <v>122.61194421280297</v>
          </cell>
          <cell r="J52">
            <v>123.02643399797783</v>
          </cell>
          <cell r="K52">
            <v>121.17909050598756</v>
          </cell>
          <cell r="L52">
            <v>118.24002020276643</v>
          </cell>
          <cell r="M52">
            <v>114.01370809971212</v>
          </cell>
          <cell r="N52">
            <v>113.49503984898517</v>
          </cell>
          <cell r="O52">
            <v>102.37659024411514</v>
          </cell>
        </row>
        <row r="53">
          <cell r="A53" t="str">
            <v>IMPELC_IT</v>
          </cell>
          <cell r="C53" t="str">
            <v>ELC_I-IT</v>
          </cell>
          <cell r="D53">
            <v>6.7990984280650038</v>
          </cell>
          <cell r="E53">
            <v>1.2595482055031289E-3</v>
          </cell>
          <cell r="F53">
            <v>1.0390530580110407E-3</v>
          </cell>
          <cell r="G53">
            <v>4.7851970282989775E-4</v>
          </cell>
          <cell r="H53">
            <v>7.1013273760594717E-4</v>
          </cell>
          <cell r="I53">
            <v>7.9532629385588457E-4</v>
          </cell>
          <cell r="J53">
            <v>8.1661160167784087E-4</v>
          </cell>
          <cell r="K53">
            <v>8.2392745544731768E-4</v>
          </cell>
          <cell r="L53">
            <v>7.6247934921372851E-4</v>
          </cell>
          <cell r="M53">
            <v>8.2737668649150904E-4</v>
          </cell>
          <cell r="N53">
            <v>7.8023645110677836E-4</v>
          </cell>
          <cell r="O53">
            <v>1.3874259356254099E-3</v>
          </cell>
        </row>
        <row r="54">
          <cell r="A54" t="str">
            <v>IMPELC_IT</v>
          </cell>
          <cell r="C54" t="str">
            <v>ELCS</v>
          </cell>
          <cell r="D54">
            <v>6.7990984280650038</v>
          </cell>
          <cell r="E54">
            <v>1.2595482055031289E-3</v>
          </cell>
          <cell r="F54">
            <v>1.0390530580110407E-3</v>
          </cell>
          <cell r="G54">
            <v>4.7851970282989775E-4</v>
          </cell>
          <cell r="H54">
            <v>7.1013273760594717E-4</v>
          </cell>
          <cell r="I54">
            <v>7.9532629385588457E-4</v>
          </cell>
          <cell r="J54">
            <v>8.1661160167784087E-4</v>
          </cell>
          <cell r="K54">
            <v>8.2392745544731768E-4</v>
          </cell>
          <cell r="L54">
            <v>7.6247934921372851E-4</v>
          </cell>
          <cell r="M54">
            <v>8.2737668649150904E-4</v>
          </cell>
          <cell r="N54">
            <v>7.8023645110677836E-4</v>
          </cell>
          <cell r="O54">
            <v>1.3874259356254099E-3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3.2682197363050731</v>
          </cell>
          <cell r="E4">
            <v>3.8319875158600398</v>
          </cell>
          <cell r="F4">
            <v>3.7281153582849638</v>
          </cell>
          <cell r="G4">
            <v>3.8836466745846319</v>
          </cell>
          <cell r="H4">
            <v>4.0187538954885351</v>
          </cell>
          <cell r="I4">
            <v>4.1198318306748103</v>
          </cell>
          <cell r="J4">
            <v>4.2002255211707791</v>
          </cell>
          <cell r="K4">
            <v>4.2656440165926597</v>
          </cell>
          <cell r="L4">
            <v>4.3153813099370515</v>
          </cell>
          <cell r="M4">
            <v>4.3597347326282243</v>
          </cell>
          <cell r="N4">
            <v>4.3598116086459164</v>
          </cell>
          <cell r="O4">
            <v>4.3609268438447542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3.2682197363050731</v>
          </cell>
          <cell r="E5">
            <v>3.8319875158600398</v>
          </cell>
          <cell r="F5">
            <v>3.7281153582849638</v>
          </cell>
          <cell r="G5">
            <v>3.8836466745846319</v>
          </cell>
          <cell r="H5">
            <v>4.0187538954885351</v>
          </cell>
          <cell r="I5">
            <v>4.1198318306748103</v>
          </cell>
          <cell r="J5">
            <v>4.2002255211707791</v>
          </cell>
          <cell r="K5">
            <v>4.2656440165926597</v>
          </cell>
          <cell r="L5">
            <v>4.3153813099370515</v>
          </cell>
          <cell r="M5">
            <v>4.3597347326282243</v>
          </cell>
          <cell r="N5">
            <v>4.3598116086459164</v>
          </cell>
          <cell r="O5">
            <v>4.3609268438447542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6.9768857521705649E-5</v>
          </cell>
          <cell r="F6">
            <v>7.9438126718182043E-4</v>
          </cell>
          <cell r="G6">
            <v>1.4776179006733006E-3</v>
          </cell>
          <cell r="H6">
            <v>2.1922564787130736E-3</v>
          </cell>
          <cell r="I6">
            <v>2.1504087510253924E-3</v>
          </cell>
          <cell r="J6">
            <v>1.5605019842144115E-3</v>
          </cell>
          <cell r="K6">
            <v>1.7518271384071935E-3</v>
          </cell>
          <cell r="L6">
            <v>2.6032064011824859E-3</v>
          </cell>
          <cell r="M6">
            <v>2.3695128912054053E-3</v>
          </cell>
          <cell r="N6">
            <v>1.9634918847572158E-3</v>
          </cell>
          <cell r="O6">
            <v>1.1350271678528523E-3</v>
          </cell>
        </row>
        <row r="7">
          <cell r="A7" t="str">
            <v>RHNS-SHSTG-SOL</v>
          </cell>
          <cell r="B7" t="str">
            <v>VAR_fin</v>
          </cell>
          <cell r="C7" t="str">
            <v>RHNS-SHASOL</v>
          </cell>
          <cell r="D7"/>
          <cell r="E7">
            <v>1.6510540813506544E-6</v>
          </cell>
          <cell r="F7">
            <v>7.2631707118893222E-4</v>
          </cell>
          <cell r="G7">
            <v>1.4014364894609312E-3</v>
          </cell>
          <cell r="H7">
            <v>2.1348329133598506E-3</v>
          </cell>
          <cell r="I7">
            <v>2.108258243841748E-3</v>
          </cell>
          <cell r="J7">
            <v>1.4774091777527126E-3</v>
          </cell>
          <cell r="K7">
            <v>1.6681274049430749E-3</v>
          </cell>
          <cell r="L7">
            <v>2.5605730689140303E-3</v>
          </cell>
          <cell r="M7">
            <v>2.2631914878920066E-3</v>
          </cell>
          <cell r="N7">
            <v>1.9082393394623638E-3</v>
          </cell>
          <cell r="O7">
            <v>1.0163918056883871E-3</v>
          </cell>
        </row>
        <row r="8">
          <cell r="A8" t="str">
            <v>RHNS-SHSTG-SOL</v>
          </cell>
          <cell r="B8" t="str">
            <v>VAR_ncap</v>
          </cell>
          <cell r="C8" t="str">
            <v>-</v>
          </cell>
          <cell r="D8">
            <v>1.1781740101841701E-5</v>
          </cell>
          <cell r="E8">
            <v>2.5808351624183699E-5</v>
          </cell>
          <cell r="F8">
            <v>1.17928149830751E-4</v>
          </cell>
          <cell r="G8">
            <v>1.12164363986874E-4</v>
          </cell>
          <cell r="H8">
            <v>1.3768817793952199E-4</v>
          </cell>
          <cell r="I8">
            <v>1.2232830593512101E-4</v>
          </cell>
          <cell r="J8">
            <v>1.79413143747302E-5</v>
          </cell>
          <cell r="K8">
            <v>1.9863666379223E-4</v>
          </cell>
          <cell r="L8">
            <v>2.36876332047538E-4</v>
          </cell>
          <cell r="M8">
            <v>1.68879406730991E-5</v>
          </cell>
          <cell r="N8">
            <v>2.3848118761731599E-4</v>
          </cell>
          <cell r="O8">
            <v>1.60194889596998E-5</v>
          </cell>
        </row>
        <row r="9">
          <cell r="A9" t="str">
            <v>RHNS-SHSTG-SOL</v>
          </cell>
          <cell r="B9" t="str">
            <v>VAR_cap</v>
          </cell>
          <cell r="C9" t="str">
            <v>-</v>
          </cell>
          <cell r="D9">
            <v>1.1781740101841701E-5</v>
          </cell>
          <cell r="E9">
            <v>3.75900917260254E-5</v>
          </cell>
          <cell r="F9">
            <v>1.5551824155677599E-4</v>
          </cell>
          <cell r="G9">
            <v>2.6768260554365102E-4</v>
          </cell>
          <cell r="H9">
            <v>3.84058852530736E-4</v>
          </cell>
          <cell r="I9">
            <v>3.75606480230581E-4</v>
          </cell>
          <cell r="J9">
            <v>2.77957798249374E-4</v>
          </cell>
          <cell r="K9">
            <v>3.3890628410208201E-4</v>
          </cell>
          <cell r="L9">
            <v>4.69873411128265E-4</v>
          </cell>
          <cell r="M9">
            <v>4.5240093651286698E-4</v>
          </cell>
          <cell r="N9">
            <v>4.5233532808140102E-4</v>
          </cell>
          <cell r="O9">
            <v>2.7138861725011502E-4</v>
          </cell>
        </row>
        <row r="10">
          <cell r="A10" t="str">
            <v>RHNS-SHNGAHP</v>
          </cell>
          <cell r="B10" t="str">
            <v>VAR_fout</v>
          </cell>
          <cell r="C10" t="str">
            <v>CO2_R</v>
          </cell>
          <cell r="D10"/>
          <cell r="E10"/>
          <cell r="F10">
            <v>0.19647168150130601</v>
          </cell>
          <cell r="G10">
            <v>0.18712787011349999</v>
          </cell>
          <cell r="H10">
            <v>13.399411914922799</v>
          </cell>
          <cell r="I10">
            <v>32.836511516874999</v>
          </cell>
          <cell r="J10">
            <v>31.973444126765099</v>
          </cell>
          <cell r="K10">
            <v>38.0329943693757</v>
          </cell>
          <cell r="L10">
            <v>38.031753745136001</v>
          </cell>
          <cell r="M10">
            <v>38.0298967168006</v>
          </cell>
          <cell r="N10">
            <v>38.018880218174203</v>
          </cell>
          <cell r="O10">
            <v>38.048952869955798</v>
          </cell>
        </row>
        <row r="11">
          <cell r="A11" t="str">
            <v>RHNS-SHNGAHP</v>
          </cell>
          <cell r="B11" t="str">
            <v>VAR_fout</v>
          </cell>
          <cell r="C11" t="str">
            <v>RHNS-SHANGAH</v>
          </cell>
          <cell r="D11"/>
          <cell r="E11"/>
          <cell r="F11">
            <v>6.9670809043016341E-3</v>
          </cell>
          <cell r="G11">
            <v>6.9011696779446756E-3</v>
          </cell>
          <cell r="H11">
            <v>0.51079318470007073</v>
          </cell>
          <cell r="I11">
            <v>1.2925009852386997</v>
          </cell>
          <cell r="J11">
            <v>1.2925434859756091</v>
          </cell>
          <cell r="K11">
            <v>1.5779646600060118</v>
          </cell>
          <cell r="L11">
            <v>1.577913187298198</v>
          </cell>
          <cell r="M11">
            <v>1.5778361403779015</v>
          </cell>
          <cell r="N11">
            <v>1.5773790728816968</v>
          </cell>
          <cell r="O11">
            <v>1.5786267680088053</v>
          </cell>
        </row>
        <row r="12">
          <cell r="A12" t="str">
            <v>RHNS-SHNGAHP</v>
          </cell>
          <cell r="B12" t="str">
            <v>VAR_fin</v>
          </cell>
          <cell r="C12" t="str">
            <v>RNGA</v>
          </cell>
          <cell r="D12"/>
          <cell r="E12"/>
          <cell r="F12">
            <v>3.4835404521508162E-3</v>
          </cell>
          <cell r="G12">
            <v>3.3178700374734021E-3</v>
          </cell>
          <cell r="H12">
            <v>0.23757822544189319</v>
          </cell>
          <cell r="I12">
            <v>0.58220765100842276</v>
          </cell>
          <cell r="J12">
            <v>0.56690503770860057</v>
          </cell>
          <cell r="K12">
            <v>0.67434387179744271</v>
          </cell>
          <cell r="L12">
            <v>0.67432187491376017</v>
          </cell>
          <cell r="M12">
            <v>0.6742889488794449</v>
          </cell>
          <cell r="N12">
            <v>0.67409362088961433</v>
          </cell>
          <cell r="O12">
            <v>0.67462682393538698</v>
          </cell>
        </row>
        <row r="13">
          <cell r="A13" t="str">
            <v>RHNS-SHNGAHP</v>
          </cell>
          <cell r="B13" t="str">
            <v>VAR_fin</v>
          </cell>
          <cell r="C13" t="str">
            <v>RHNSELCHPC</v>
          </cell>
          <cell r="D13"/>
          <cell r="E13"/>
          <cell r="F13">
            <v>6.9670809043016341E-3</v>
          </cell>
          <cell r="G13">
            <v>6.9011696779446756E-3</v>
          </cell>
          <cell r="H13">
            <v>0.51079318470007073</v>
          </cell>
          <cell r="I13">
            <v>1.2925009852386997</v>
          </cell>
          <cell r="J13">
            <v>1.2925434859756091</v>
          </cell>
          <cell r="K13">
            <v>1.5779646600060118</v>
          </cell>
          <cell r="L13">
            <v>1.577913187298198</v>
          </cell>
          <cell r="M13">
            <v>1.5778361403779015</v>
          </cell>
          <cell r="N13">
            <v>1.5773790728816968</v>
          </cell>
          <cell r="O13">
            <v>1.5786267680088053</v>
          </cell>
        </row>
        <row r="14">
          <cell r="A14" t="str">
            <v>RHNS-SHNGAHP</v>
          </cell>
          <cell r="B14" t="str">
            <v>VAR_ncap</v>
          </cell>
          <cell r="C14" t="str">
            <v>-</v>
          </cell>
          <cell r="D14"/>
          <cell r="E14">
            <v>1.0011164954806301E-6</v>
          </cell>
          <cell r="F14">
            <v>5.5620882781447396E-4</v>
          </cell>
          <cell r="G14">
            <v>1.9561473356368202E-6</v>
          </cell>
          <cell r="H14">
            <v>3.6729500275785899E-2</v>
          </cell>
          <cell r="I14">
            <v>5.7389601900586597E-2</v>
          </cell>
          <cell r="J14">
            <v>1.14332484764282E-4</v>
          </cell>
          <cell r="K14">
            <v>5.7612135262107102E-2</v>
          </cell>
          <cell r="L14">
            <v>4.85115210171808E-2</v>
          </cell>
          <cell r="M14">
            <v>8.9987374052669707E-3</v>
          </cell>
          <cell r="N14">
            <v>6.2711467387507394E-2</v>
          </cell>
          <cell r="O14">
            <v>4.3592813355170297E-2</v>
          </cell>
        </row>
        <row r="15">
          <cell r="A15" t="str">
            <v>RHNS-SHNGAHP</v>
          </cell>
          <cell r="B15" t="str">
            <v>VAR_cap</v>
          </cell>
          <cell r="C15" t="str">
            <v>-</v>
          </cell>
          <cell r="D15"/>
          <cell r="E15">
            <v>1.0011164954806301E-6</v>
          </cell>
          <cell r="F15">
            <v>5.5705177377684363E-4</v>
          </cell>
          <cell r="G15">
            <v>5.5880306228431635E-4</v>
          </cell>
          <cell r="H15">
            <v>3.7286790171779952E-2</v>
          </cell>
          <cell r="I15">
            <v>9.4235362311090129E-2</v>
          </cell>
          <cell r="J15">
            <v>9.4232453462302176E-2</v>
          </cell>
          <cell r="K15">
            <v>0.11511488061794818</v>
          </cell>
          <cell r="L15">
            <v>0.1150396612179512</v>
          </cell>
          <cell r="M15">
            <v>0.1151212115482065</v>
          </cell>
          <cell r="N15">
            <v>0.11504532580630165</v>
          </cell>
          <cell r="O15">
            <v>0.11530163583175383</v>
          </cell>
        </row>
        <row r="16">
          <cell r="A16" t="str">
            <v>ITOT-SWHPLTBR</v>
          </cell>
          <cell r="B16" t="str">
            <v>VAR_fout</v>
          </cell>
          <cell r="C16" t="str">
            <v>ITOT-SWH</v>
          </cell>
          <cell r="D16">
            <v>0.46152166700461911</v>
          </cell>
          <cell r="E16">
            <v>0.54457589337887347</v>
          </cell>
          <cell r="F16">
            <v>0.54458250254969676</v>
          </cell>
          <cell r="G16">
            <v>0.54460021721576457</v>
          </cell>
          <cell r="H16">
            <v>0.54650741985793416</v>
          </cell>
          <cell r="I16">
            <v>0.54653478681720558</v>
          </cell>
          <cell r="J16">
            <v>0.54657000460357452</v>
          </cell>
          <cell r="K16">
            <v>0.54662016944680625</v>
          </cell>
          <cell r="L16">
            <v>0.54666435140552039</v>
          </cell>
          <cell r="M16">
            <v>0.54676691745588923</v>
          </cell>
          <cell r="N16">
            <v>0.54691957008884895</v>
          </cell>
          <cell r="O16">
            <v>0.54747091132561332</v>
          </cell>
        </row>
        <row r="17">
          <cell r="A17" t="str">
            <v>ITOT-SWHPLTBR</v>
          </cell>
          <cell r="B17" t="str">
            <v>VAR_fin</v>
          </cell>
          <cell r="C17" t="str">
            <v>ITOTPLTBRC</v>
          </cell>
          <cell r="D17">
            <v>0.46152166700461911</v>
          </cell>
          <cell r="E17">
            <v>0.54457589337887347</v>
          </cell>
          <cell r="F17">
            <v>0.54458250254969676</v>
          </cell>
          <cell r="G17">
            <v>0.54460021721576457</v>
          </cell>
          <cell r="H17">
            <v>0.54650741985793416</v>
          </cell>
          <cell r="I17">
            <v>0.54653478681720558</v>
          </cell>
          <cell r="J17">
            <v>0.54657000460357452</v>
          </cell>
          <cell r="K17">
            <v>0.54662016944680625</v>
          </cell>
          <cell r="L17">
            <v>0.54666435140552039</v>
          </cell>
          <cell r="M17">
            <v>0.54676691745588923</v>
          </cell>
          <cell r="N17">
            <v>0.54691957008884895</v>
          </cell>
          <cell r="O17">
            <v>0.54747091132561332</v>
          </cell>
        </row>
        <row r="18">
          <cell r="A18" t="str">
            <v>ITOT-SWHPLTBR</v>
          </cell>
          <cell r="B18" t="str">
            <v>VAR_fin</v>
          </cell>
          <cell r="C18" t="str">
            <v>IPLT</v>
          </cell>
          <cell r="D18">
            <v>0.62579209085372056</v>
          </cell>
          <cell r="E18">
            <v>0.73757457342511135</v>
          </cell>
          <cell r="F18">
            <v>0.73633690485592784</v>
          </cell>
          <cell r="G18">
            <v>0.73429242770664949</v>
          </cell>
          <cell r="H18">
            <v>0.73479989224596232</v>
          </cell>
          <cell r="I18">
            <v>0.73278407171022075</v>
          </cell>
          <cell r="J18">
            <v>0.73078997830004389</v>
          </cell>
          <cell r="K18">
            <v>0.7288268925957414</v>
          </cell>
          <cell r="L18">
            <v>0.72888580187402752</v>
          </cell>
          <cell r="M18">
            <v>0.72902255660785265</v>
          </cell>
          <cell r="N18">
            <v>0.72922609345179878</v>
          </cell>
          <cell r="O18">
            <v>0.72996121510081835</v>
          </cell>
        </row>
        <row r="19">
          <cell r="A19" t="str">
            <v>ITOT-SWHPLTBR</v>
          </cell>
          <cell r="B19" t="str">
            <v>VAR_ncap</v>
          </cell>
          <cell r="C19" t="str">
            <v>-</v>
          </cell>
          <cell r="D19"/>
          <cell r="E19">
            <v>5.30650119067827E-3</v>
          </cell>
          <cell r="F19">
            <v>1.7511393389923601E-4</v>
          </cell>
          <cell r="G19">
            <v>6.86353610754133E-3</v>
          </cell>
          <cell r="H19">
            <v>2.4381868745455199E-2</v>
          </cell>
          <cell r="I19">
            <v>1.0069071381924701E-2</v>
          </cell>
          <cell r="J19">
            <v>4.4100022021071996E-3</v>
          </cell>
          <cell r="K19">
            <v>2.5998924048385601E-2</v>
          </cell>
          <cell r="L19">
            <v>7.8040868163078902E-3</v>
          </cell>
          <cell r="M19">
            <v>5.1862851705294297E-3</v>
          </cell>
          <cell r="N19">
            <v>2.56985265337684E-2</v>
          </cell>
          <cell r="O19">
            <v>1.04328004403109E-2</v>
          </cell>
        </row>
        <row r="20">
          <cell r="A20" t="str">
            <v>ITOT-SWHPLTBR</v>
          </cell>
          <cell r="B20" t="str">
            <v>VAR_cap</v>
          </cell>
          <cell r="C20" t="str">
            <v>-</v>
          </cell>
          <cell r="D20">
            <v>2.9860759506449799E-2</v>
          </cell>
          <cell r="E20">
            <v>3.5163861947861412E-2</v>
          </cell>
          <cell r="F20">
            <v>3.5325957353220853E-2</v>
          </cell>
          <cell r="G20">
            <v>4.2163698033385912E-2</v>
          </cell>
          <cell r="H20">
            <v>4.1827378139133106E-2</v>
          </cell>
          <cell r="I20">
            <v>4.0009507127169851E-2</v>
          </cell>
          <cell r="J20">
            <v>3.8818336073753554E-2</v>
          </cell>
          <cell r="K20">
            <v>4.0429137400947626E-2</v>
          </cell>
          <cell r="L20">
            <v>3.9120010064035447E-2</v>
          </cell>
          <cell r="M20">
            <v>3.8913191674763467E-2</v>
          </cell>
          <cell r="N20">
            <v>4.0733441712135686E-2</v>
          </cell>
          <cell r="O20">
            <v>4.122454320804287E-2</v>
          </cell>
        </row>
        <row r="21">
          <cell r="A21" t="str">
            <v>D-RHNS_KEV_WOD_ELC_CHP</v>
          </cell>
          <cell r="B21" t="str">
            <v>VAR_fout</v>
          </cell>
          <cell r="C21" t="str">
            <v>RHNS_ELC</v>
          </cell>
          <cell r="D21"/>
          <cell r="E21"/>
          <cell r="F21"/>
          <cell r="G21">
            <v>1.0978434312453034E-3</v>
          </cell>
          <cell r="H21">
            <v>2.2068682899699832E-3</v>
          </cell>
          <cell r="I21">
            <v>2.2153804202741469E-3</v>
          </cell>
          <cell r="J21">
            <v>2.4041710170778531E-3</v>
          </cell>
          <cell r="K21">
            <v>5.4352858298959217E-3</v>
          </cell>
          <cell r="L21">
            <v>5.1407141380001957E-3</v>
          </cell>
          <cell r="M21">
            <v>6.7188630763018679E-3</v>
          </cell>
          <cell r="N21">
            <v>3.882443618683206E-3</v>
          </cell>
          <cell r="O21">
            <v>6.2616015884799509E-3</v>
          </cell>
        </row>
        <row r="22">
          <cell r="A22" t="str">
            <v>D-RHNS_KEV_WOD_ELC_CHP</v>
          </cell>
          <cell r="B22" t="str">
            <v>VAR_fout</v>
          </cell>
          <cell r="C22" t="str">
            <v>ELC5</v>
          </cell>
          <cell r="D22"/>
          <cell r="E22"/>
          <cell r="F22"/>
          <cell r="G22">
            <v>1.0988048260929684E-3</v>
          </cell>
          <cell r="H22">
            <v>2.2136539183958141E-3</v>
          </cell>
          <cell r="I22">
            <v>2.2196358161660906E-3</v>
          </cell>
          <cell r="J22">
            <v>2.4127188513111491E-3</v>
          </cell>
          <cell r="K22">
            <v>5.4590280718448889E-3</v>
          </cell>
          <cell r="L22">
            <v>5.160736908265985E-3</v>
          </cell>
          <cell r="M22">
            <v>6.7400474252713024E-3</v>
          </cell>
          <cell r="N22">
            <v>3.8854639393524314E-3</v>
          </cell>
          <cell r="O22">
            <v>6.2675952242546061E-3</v>
          </cell>
        </row>
        <row r="23">
          <cell r="A23" t="str">
            <v>D-RHNS_KEV_WOD_ELC_CHP</v>
          </cell>
          <cell r="B23" t="str">
            <v>VAR_fin</v>
          </cell>
          <cell r="C23" t="str">
            <v>RHNS_KEV_WOD_ELC_CHP</v>
          </cell>
          <cell r="D23"/>
          <cell r="E23"/>
          <cell r="F23"/>
          <cell r="G23">
            <v>2.1934987189627599E-3</v>
          </cell>
          <cell r="H23">
            <v>4.4148425406929578E-3</v>
          </cell>
          <cell r="I23">
            <v>4.4228412980541667E-3</v>
          </cell>
          <cell r="J23">
            <v>4.8047367488889227E-3</v>
          </cell>
          <cell r="K23">
            <v>1.0880960743510922E-2</v>
          </cell>
          <cell r="L23">
            <v>1.0289276107880099E-2</v>
          </cell>
          <cell r="M23">
            <v>1.3445513705571279E-2</v>
          </cell>
          <cell r="N23">
            <v>7.7557326196495595E-3</v>
          </cell>
          <cell r="O23">
            <v>1.250563241585829E-2</v>
          </cell>
        </row>
        <row r="24">
          <cell r="A24" t="str">
            <v>RHSA-WHWODBR</v>
          </cell>
          <cell r="B24" t="str">
            <v>VAR_fout</v>
          </cell>
          <cell r="C24" t="str">
            <v>RHSA-WHWOD</v>
          </cell>
          <cell r="D24">
            <v>0.52047562992243501</v>
          </cell>
          <cell r="E24">
            <v>0.59724160481494981</v>
          </cell>
          <cell r="F24">
            <v>0.295963217451018</v>
          </cell>
          <cell r="G24">
            <v>0.26425145667754801</v>
          </cell>
          <cell r="H24">
            <v>0.2453428767330397</v>
          </cell>
          <cell r="I24">
            <v>0.21534681013198917</v>
          </cell>
          <cell r="J24">
            <v>0.19023624614766005</v>
          </cell>
          <cell r="K24">
            <v>0.15735265492697831</v>
          </cell>
          <cell r="L24">
            <v>0.14867828087229792</v>
          </cell>
          <cell r="M24">
            <v>0.12594724573938398</v>
          </cell>
          <cell r="N24">
            <v>0.1177425275341301</v>
          </cell>
          <cell r="O24">
            <v>7.3943286384837686E-2</v>
          </cell>
        </row>
        <row r="25">
          <cell r="A25" t="str">
            <v>RHSA-WHWODBR</v>
          </cell>
          <cell r="B25" t="str">
            <v>VAR_fin</v>
          </cell>
          <cell r="C25" t="str">
            <v>RWOD</v>
          </cell>
          <cell r="D25">
            <v>1.04095125984487</v>
          </cell>
          <cell r="E25">
            <v>1.1944832096299001</v>
          </cell>
          <cell r="F25">
            <v>0.591926434902036</v>
          </cell>
          <cell r="G25">
            <v>0.52850291335509592</v>
          </cell>
          <cell r="H25">
            <v>0.49068575346607929</v>
          </cell>
          <cell r="I25">
            <v>0.43069362026397834</v>
          </cell>
          <cell r="J25">
            <v>0.38047249229531993</v>
          </cell>
          <cell r="K25">
            <v>0.31470530985395662</v>
          </cell>
          <cell r="L25">
            <v>0.29735656174459585</v>
          </cell>
          <cell r="M25">
            <v>0.25189449147876802</v>
          </cell>
          <cell r="N25">
            <v>0.23548505506826017</v>
          </cell>
          <cell r="O25">
            <v>0.14788657276967521</v>
          </cell>
        </row>
        <row r="26">
          <cell r="A26" t="str">
            <v>RHSA-WHWODBR</v>
          </cell>
          <cell r="B26" t="str">
            <v>VAR_ncap</v>
          </cell>
          <cell r="C26" t="str">
            <v>-</v>
          </cell>
          <cell r="D26"/>
          <cell r="E26">
            <v>5.1257299716664798E-3</v>
          </cell>
          <cell r="F26">
            <v>3.8684189954115902E-7</v>
          </cell>
          <cell r="G26">
            <v>2.2208779630100602E-6</v>
          </cell>
          <cell r="H26">
            <v>5.6609974355937799E-3</v>
          </cell>
          <cell r="I26">
            <v>8.9556107088088997E-3</v>
          </cell>
          <cell r="J26">
            <v>6.2121043937088797E-6</v>
          </cell>
          <cell r="K26">
            <v>1.90062236861144E-3</v>
          </cell>
          <cell r="L26">
            <v>6.9249016221726196E-3</v>
          </cell>
          <cell r="M26">
            <v>2.82157100533154E-5</v>
          </cell>
          <cell r="N26">
            <v>3.0353672460668299E-3</v>
          </cell>
          <cell r="O26">
            <v>2.1693201775392799E-3</v>
          </cell>
        </row>
        <row r="27">
          <cell r="A27" t="str">
            <v>RHSA-WHWODBR</v>
          </cell>
          <cell r="B27" t="str">
            <v>VAR_cap</v>
          </cell>
          <cell r="C27" t="str">
            <v>-</v>
          </cell>
          <cell r="D27">
            <v>3.5322010722483803E-2</v>
          </cell>
          <cell r="E27">
            <v>4.0447563119329955E-2</v>
          </cell>
          <cell r="F27">
            <v>3.8153844974993426E-2</v>
          </cell>
          <cell r="G27">
            <v>3.8097420621248698E-2</v>
          </cell>
          <cell r="H27">
            <v>1.6835935495144318E-2</v>
          </cell>
          <cell r="I27">
            <v>1.4617601793860627E-2</v>
          </cell>
          <cell r="J27">
            <v>1.4614860330043706E-2</v>
          </cell>
          <cell r="K27">
            <v>1.0860228075230804E-2</v>
          </cell>
          <cell r="L27">
            <v>1.0205214623457966E-2</v>
          </cell>
          <cell r="M27">
            <v>8.8502570422272029E-3</v>
          </cell>
          <cell r="N27">
            <v>8.1266467076023981E-3</v>
          </cell>
          <cell r="O27">
            <v>5.2309497069560106E-3</v>
          </cell>
        </row>
        <row r="28">
          <cell r="A28" t="str">
            <v>RHES-SHWODBR</v>
          </cell>
          <cell r="B28" t="str">
            <v>VAR_fout</v>
          </cell>
          <cell r="C28" t="str">
            <v>RHES-SHWOD</v>
          </cell>
          <cell r="D28">
            <v>4.3871590563969374</v>
          </cell>
          <cell r="E28">
            <v>4.3866933735298987</v>
          </cell>
          <cell r="F28">
            <v>4.1983300791621616</v>
          </cell>
          <cell r="G28">
            <v>3.9439104705279422</v>
          </cell>
          <cell r="H28">
            <v>3.6294985597613336</v>
          </cell>
          <cell r="I28">
            <v>3.2547258449873273</v>
          </cell>
          <cell r="J28">
            <v>2.8219371748537392</v>
          </cell>
          <cell r="K28">
            <v>2.4251739663291927</v>
          </cell>
          <cell r="L28">
            <v>2.162897208103153</v>
          </cell>
          <cell r="M28">
            <v>1.8940455483478027</v>
          </cell>
          <cell r="N28">
            <v>1.823929660862603</v>
          </cell>
          <cell r="O28">
            <v>1.2741036643676766</v>
          </cell>
        </row>
        <row r="29">
          <cell r="A29" t="str">
            <v>RHES-SHWODBR</v>
          </cell>
          <cell r="B29" t="str">
            <v>VAR_fin</v>
          </cell>
          <cell r="C29" t="str">
            <v>RWOD</v>
          </cell>
          <cell r="D29">
            <v>6.0932764672179651</v>
          </cell>
          <cell r="E29">
            <v>6.0926296854581876</v>
          </cell>
          <cell r="F29">
            <v>5.8310139988363341</v>
          </cell>
          <cell r="G29">
            <v>5.477653431288811</v>
          </cell>
          <cell r="H29">
            <v>5.040970221890742</v>
          </cell>
          <cell r="I29">
            <v>4.5204525624824043</v>
          </cell>
          <cell r="J29">
            <v>3.9193571872968609</v>
          </cell>
          <cell r="K29">
            <v>3.3682971754572151</v>
          </cell>
          <cell r="L29">
            <v>3.0040239001432694</v>
          </cell>
          <cell r="M29">
            <v>2.6306188171497276</v>
          </cell>
          <cell r="N29">
            <v>2.5332356400869491</v>
          </cell>
          <cell r="O29">
            <v>1.769588422732884</v>
          </cell>
        </row>
        <row r="30">
          <cell r="A30" t="str">
            <v>RHES-SHWODBR</v>
          </cell>
          <cell r="B30" t="str">
            <v>VAR_ncap</v>
          </cell>
          <cell r="C30" t="str">
            <v>-</v>
          </cell>
          <cell r="D30"/>
          <cell r="E30">
            <v>1.6888941075020499E-6</v>
          </cell>
          <cell r="F30">
            <v>8.2472381889349897E-7</v>
          </cell>
          <cell r="G30">
            <v>1.21124212967642E-5</v>
          </cell>
          <cell r="H30">
            <v>0.201881196843921</v>
          </cell>
          <cell r="I30">
            <v>6.1096114439856901E-2</v>
          </cell>
          <cell r="J30">
            <v>1.0872524065806001E-6</v>
          </cell>
          <cell r="K30">
            <v>0.13502845767580099</v>
          </cell>
          <cell r="L30">
            <v>3.0387486659928201E-2</v>
          </cell>
          <cell r="M30">
            <v>4.2462200410770303E-6</v>
          </cell>
          <cell r="N30">
            <v>0.10301925458186401</v>
          </cell>
          <cell r="O30">
            <v>1.49546263693098E-4</v>
          </cell>
        </row>
        <row r="31">
          <cell r="A31" t="str">
            <v>RHES-SHWODBR</v>
          </cell>
          <cell r="B31" t="str">
            <v>VAR_cap</v>
          </cell>
          <cell r="C31" t="str">
            <v>-</v>
          </cell>
          <cell r="D31">
            <v>0.354428052062076</v>
          </cell>
          <cell r="E31">
            <v>0.35442958027630539</v>
          </cell>
          <cell r="F31">
            <v>0.35442626317258469</v>
          </cell>
          <cell r="G31">
            <v>0.35443545830686657</v>
          </cell>
          <cell r="H31">
            <v>0.29380752427432599</v>
          </cell>
          <cell r="I31">
            <v>0.2629865744791306</v>
          </cell>
          <cell r="J31">
            <v>0.24434010741936668</v>
          </cell>
          <cell r="K31">
            <v>0.19612413616332783</v>
          </cell>
          <cell r="L31">
            <v>0.1748036536097945</v>
          </cell>
          <cell r="M31">
            <v>0.16541427647250875</v>
          </cell>
          <cell r="N31">
            <v>0.14769196253992381</v>
          </cell>
          <cell r="O31">
            <v>0.10317194032636796</v>
          </cell>
        </row>
        <row r="32">
          <cell r="A32" t="str">
            <v>D-EH2</v>
          </cell>
          <cell r="B32" t="str">
            <v>VAR_fout</v>
          </cell>
          <cell r="C32" t="str">
            <v>EH2</v>
          </cell>
          <cell r="D32"/>
          <cell r="E32"/>
          <cell r="F32"/>
          <cell r="G32"/>
          <cell r="H32"/>
          <cell r="I32">
            <v>2.5870599134299082E-3</v>
          </cell>
          <cell r="J32">
            <v>2.5682865726854021E-3</v>
          </cell>
          <cell r="K32">
            <v>6.0990469410887975E-3</v>
          </cell>
          <cell r="L32">
            <v>6.5118731686529376E-3</v>
          </cell>
          <cell r="M32">
            <v>5.6808305460898802E-2</v>
          </cell>
          <cell r="N32">
            <v>7.1306470583642798E-2</v>
          </cell>
          <cell r="O32">
            <v>7.2886914462701208E-2</v>
          </cell>
        </row>
        <row r="33">
          <cell r="A33" t="str">
            <v>D-EH2</v>
          </cell>
          <cell r="B33" t="str">
            <v>VAR_fin</v>
          </cell>
          <cell r="C33" t="str">
            <v>H2</v>
          </cell>
          <cell r="D33"/>
          <cell r="E33"/>
          <cell r="F33"/>
          <cell r="G33"/>
          <cell r="H33"/>
          <cell r="I33">
            <v>2.6131918317473849E-3</v>
          </cell>
          <cell r="J33">
            <v>2.594228861298386E-3</v>
          </cell>
          <cell r="K33">
            <v>6.1606534758472655E-3</v>
          </cell>
          <cell r="L33">
            <v>6.5776496653059948E-3</v>
          </cell>
          <cell r="M33">
            <v>5.7382126728180681E-2</v>
          </cell>
          <cell r="N33">
            <v>7.2026737963275508E-2</v>
          </cell>
          <cell r="O33">
            <v>7.362314592192036E-2</v>
          </cell>
        </row>
        <row r="34">
          <cell r="A34" t="str">
            <v>D-EH2</v>
          </cell>
          <cell r="B34" t="str">
            <v>VAR_ncap</v>
          </cell>
          <cell r="C34" t="str">
            <v>-</v>
          </cell>
          <cell r="D34"/>
          <cell r="E34"/>
          <cell r="F34"/>
          <cell r="G34">
            <v>2.1117570961996902E-6</v>
          </cell>
          <cell r="H34">
            <v>5.3910515001725302E-6</v>
          </cell>
          <cell r="I34">
            <v>1.3975634535504499E-3</v>
          </cell>
          <cell r="J34">
            <v>1.1254505788469199E-4</v>
          </cell>
          <cell r="K34">
            <v>1.19349735048044E-3</v>
          </cell>
          <cell r="L34">
            <v>2.6833538155301801E-5</v>
          </cell>
          <cell r="M34">
            <v>5.3517474752587304E-3</v>
          </cell>
          <cell r="N34">
            <v>5.1704776180379905E-4</v>
          </cell>
          <cell r="O34">
            <v>2.6450511216179399E-3</v>
          </cell>
        </row>
        <row r="35">
          <cell r="A35" t="str">
            <v>D-EH2</v>
          </cell>
          <cell r="B35" t="str">
            <v>VAR_cap</v>
          </cell>
          <cell r="C35" t="str">
            <v>-</v>
          </cell>
          <cell r="D35"/>
          <cell r="E35"/>
          <cell r="F35"/>
          <cell r="G35">
            <v>2.1117570961996902E-6</v>
          </cell>
          <cell r="H35">
            <v>7.50280859637222E-6</v>
          </cell>
          <cell r="I35">
            <v>1.40506626214682E-3</v>
          </cell>
          <cell r="J35">
            <v>1.5176113200315101E-3</v>
          </cell>
          <cell r="K35">
            <v>2.7111086705119501E-3</v>
          </cell>
          <cell r="L35">
            <v>2.7379422086672499E-3</v>
          </cell>
          <cell r="M35">
            <v>8.0896896839259894E-3</v>
          </cell>
          <cell r="N35">
            <v>8.6060679898196102E-3</v>
          </cell>
          <cell r="O35">
            <v>1.12496768102515E-2</v>
          </cell>
        </row>
        <row r="36">
          <cell r="A36" t="str">
            <v>SCOM-SHWODBR</v>
          </cell>
          <cell r="B36" t="str">
            <v>VAR_fout</v>
          </cell>
          <cell r="C36" t="str">
            <v>SCOM-SHWOD</v>
          </cell>
          <cell r="D36">
            <v>6.1735487955108086</v>
          </cell>
          <cell r="E36">
            <v>6.7165252019245054</v>
          </cell>
          <cell r="F36">
            <v>6.5277382173594836</v>
          </cell>
          <cell r="G36">
            <v>5.4667610008874057</v>
          </cell>
          <cell r="H36">
            <v>3.6748334813113646</v>
          </cell>
          <cell r="I36">
            <v>2.3263692415028401</v>
          </cell>
          <cell r="J36">
            <v>1.4397644829374237</v>
          </cell>
          <cell r="K36">
            <v>0.45933989964693417</v>
          </cell>
          <cell r="L36">
            <v>0.44823992947972857</v>
          </cell>
          <cell r="M36">
            <v>0.43773848951977312</v>
          </cell>
          <cell r="N36">
            <v>0.42843773774814148</v>
          </cell>
          <cell r="O36">
            <v>0.41069291160287236</v>
          </cell>
        </row>
        <row r="37">
          <cell r="A37" t="str">
            <v>SCOM-SHWODBR</v>
          </cell>
          <cell r="B37" t="str">
            <v>VAR_fin</v>
          </cell>
          <cell r="C37" t="str">
            <v>SWOD</v>
          </cell>
          <cell r="D37">
            <v>8.574373327098348</v>
          </cell>
          <cell r="E37">
            <v>9.3285072248951586</v>
          </cell>
          <cell r="F37">
            <v>9.0663030796659445</v>
          </cell>
          <cell r="G37">
            <v>7.5927236123436224</v>
          </cell>
          <cell r="H37">
            <v>5.1039353907102303</v>
          </cell>
          <cell r="I37">
            <v>3.2310683909761684</v>
          </cell>
          <cell r="J37">
            <v>1.9996728929686447</v>
          </cell>
          <cell r="K37">
            <v>0.63797208284296381</v>
          </cell>
          <cell r="L37">
            <v>0.62255545761073361</v>
          </cell>
          <cell r="M37">
            <v>0.60797012433301845</v>
          </cell>
          <cell r="N37">
            <v>0.595052413539085</v>
          </cell>
          <cell r="O37">
            <v>0.57040682167065648</v>
          </cell>
        </row>
        <row r="38">
          <cell r="A38" t="str">
            <v>SCOM-SHWODBR</v>
          </cell>
          <cell r="B38" t="str">
            <v>VAR_ncap</v>
          </cell>
          <cell r="C38" t="str">
            <v>-</v>
          </cell>
          <cell r="D38">
            <v>3.3934117209221899E-5</v>
          </cell>
          <cell r="E38">
            <v>4.0796524727781502E-2</v>
          </cell>
          <cell r="F38">
            <v>6.3309616382082803E-6</v>
          </cell>
          <cell r="G38">
            <v>1.6642505551345501E-5</v>
          </cell>
          <cell r="H38">
            <v>0.14325953311280901</v>
          </cell>
          <cell r="I38">
            <v>3.6792614165909801E-2</v>
          </cell>
          <cell r="J38">
            <v>3.5514981730309801E-6</v>
          </cell>
          <cell r="K38">
            <v>1.134669767686E-4</v>
          </cell>
          <cell r="L38">
            <v>2.9350447356523202E-2</v>
          </cell>
          <cell r="M38">
            <v>4.9474091577904602E-3</v>
          </cell>
          <cell r="N38">
            <v>8.7350180998577703E-3</v>
          </cell>
          <cell r="O38">
            <v>1.9057469619588999E-2</v>
          </cell>
        </row>
        <row r="39">
          <cell r="A39" t="str">
            <v>SCOM-SHWODBR</v>
          </cell>
          <cell r="B39" t="str">
            <v>VAR_cap</v>
          </cell>
          <cell r="C39" t="str">
            <v>-</v>
          </cell>
          <cell r="D39">
            <v>0.47845421193432119</v>
          </cell>
          <cell r="E39">
            <v>0.51925036734090135</v>
          </cell>
          <cell r="F39">
            <v>0.51823372345257745</v>
          </cell>
          <cell r="G39">
            <v>0.51821481655349644</v>
          </cell>
          <cell r="H39">
            <v>0.28797973772041346</v>
          </cell>
          <cell r="I39">
            <v>0.18006351916280544</v>
          </cell>
          <cell r="J39">
            <v>0.11929189502845861</v>
          </cell>
          <cell r="K39">
            <v>3.6899558436461886E-2</v>
          </cell>
          <cell r="L39">
            <v>3.5114649667109407E-2</v>
          </cell>
          <cell r="M39">
            <v>3.4405441218255207E-2</v>
          </cell>
          <cell r="N39">
            <v>3.3739136891240494E-2</v>
          </cell>
          <cell r="O39">
            <v>3.2733180052102996E-2</v>
          </cell>
        </row>
        <row r="40">
          <cell r="A40" t="str">
            <v>ITOT-SWHLTHCHP</v>
          </cell>
          <cell r="B40" t="str">
            <v>VAR_fout</v>
          </cell>
          <cell r="C40" t="str">
            <v>ITOT-SWH</v>
          </cell>
          <cell r="D40">
            <v>5.1850768558880045</v>
          </cell>
          <cell r="E40">
            <v>5.5675710466350843</v>
          </cell>
          <cell r="F40">
            <v>5.697476754991829</v>
          </cell>
          <cell r="G40">
            <v>8.6445052518026628</v>
          </cell>
          <cell r="H40">
            <v>8.5864197264767927</v>
          </cell>
          <cell r="I40">
            <v>8.2294213949103572</v>
          </cell>
          <cell r="J40">
            <v>10.287635920266153</v>
          </cell>
          <cell r="K40">
            <v>11.943005615712595</v>
          </cell>
          <cell r="L40">
            <v>12.282826634411878</v>
          </cell>
          <cell r="M40">
            <v>12.219405317383492</v>
          </cell>
          <cell r="N40">
            <v>12.2571042461981</v>
          </cell>
          <cell r="O40">
            <v>12.277555910865946</v>
          </cell>
        </row>
        <row r="41">
          <cell r="A41" t="str">
            <v>ITOT-SWHLTHCHP</v>
          </cell>
          <cell r="B41" t="str">
            <v>VAR_fin</v>
          </cell>
          <cell r="C41" t="str">
            <v>ITOTLTHCHPC</v>
          </cell>
          <cell r="D41">
            <v>5.1850768558880045</v>
          </cell>
          <cell r="E41">
            <v>5.5675710466350843</v>
          </cell>
          <cell r="F41">
            <v>5.697476754991829</v>
          </cell>
          <cell r="G41">
            <v>8.6445052518026628</v>
          </cell>
          <cell r="H41">
            <v>8.5864197264767927</v>
          </cell>
          <cell r="I41">
            <v>8.2294213949103572</v>
          </cell>
          <cell r="J41">
            <v>10.287635920266153</v>
          </cell>
          <cell r="K41">
            <v>11.943005615712595</v>
          </cell>
          <cell r="L41">
            <v>12.282826634411878</v>
          </cell>
          <cell r="M41">
            <v>12.219405317383492</v>
          </cell>
          <cell r="N41">
            <v>12.2571042461981</v>
          </cell>
          <cell r="O41">
            <v>12.277555910865946</v>
          </cell>
        </row>
        <row r="42">
          <cell r="A42" t="str">
            <v>ITOT-SWHLTHCHP</v>
          </cell>
          <cell r="B42" t="str">
            <v>VAR_fin</v>
          </cell>
          <cell r="C42" t="str">
            <v>ITOT_LTH_CHP_ON</v>
          </cell>
          <cell r="D42">
            <v>5.6086641344573902</v>
          </cell>
          <cell r="E42">
            <v>6.0095340290244081</v>
          </cell>
          <cell r="F42">
            <v>6.1300992086813419</v>
          </cell>
          <cell r="G42">
            <v>9.2516268794877501</v>
          </cell>
          <cell r="H42">
            <v>9.1410334128653172</v>
          </cell>
          <cell r="I42">
            <v>8.7150475493692845</v>
          </cell>
          <cell r="J42">
            <v>10.861805743998813</v>
          </cell>
          <cell r="K42">
            <v>12.57158485864483</v>
          </cell>
          <cell r="L42">
            <v>12.929291194117777</v>
          </cell>
          <cell r="M42">
            <v>12.862531913035259</v>
          </cell>
          <cell r="N42">
            <v>12.902214995997992</v>
          </cell>
          <cell r="O42">
            <v>12.923743064069427</v>
          </cell>
        </row>
        <row r="43">
          <cell r="A43" t="str">
            <v>ITOT-SWHLTHCHP</v>
          </cell>
          <cell r="B43" t="str">
            <v>VAR_ncap</v>
          </cell>
          <cell r="C43" t="str">
            <v>-</v>
          </cell>
          <cell r="D43"/>
          <cell r="E43">
            <v>7.5455533524729695E-2</v>
          </cell>
          <cell r="F43">
            <v>0.115381903013122</v>
          </cell>
          <cell r="G43">
            <v>0.220969422055453</v>
          </cell>
          <cell r="H43">
            <v>0.22606309918180201</v>
          </cell>
          <cell r="I43">
            <v>0.226417100212393</v>
          </cell>
          <cell r="J43">
            <v>0.263490029209202</v>
          </cell>
          <cell r="K43">
            <v>0.34242611224970498</v>
          </cell>
          <cell r="L43">
            <v>0.27366229577719797</v>
          </cell>
          <cell r="M43">
            <v>0.29755974612930902</v>
          </cell>
          <cell r="N43">
            <v>0.352816553496967</v>
          </cell>
          <cell r="O43">
            <v>0.26969428577752003</v>
          </cell>
        </row>
        <row r="44">
          <cell r="A44" t="str">
            <v>ITOT-SWHLTHCHP</v>
          </cell>
          <cell r="B44" t="str">
            <v>VAR_cap</v>
          </cell>
          <cell r="C44" t="str">
            <v>-</v>
          </cell>
          <cell r="D44">
            <v>0.62661755442165901</v>
          </cell>
          <cell r="E44">
            <v>0.33596853102844465</v>
          </cell>
          <cell r="F44">
            <v>0.350966664630254</v>
          </cell>
          <cell r="G44">
            <v>0.50912571735747214</v>
          </cell>
          <cell r="H44">
            <v>0.51331706425083601</v>
          </cell>
          <cell r="I44">
            <v>0.47206051085482803</v>
          </cell>
          <cell r="J44">
            <v>0.579054774024645</v>
          </cell>
          <cell r="K44">
            <v>0.66922933384370098</v>
          </cell>
          <cell r="L44">
            <v>0.69040673187738599</v>
          </cell>
          <cell r="M44">
            <v>0.68898715626658902</v>
          </cell>
          <cell r="N44">
            <v>0.69134010344622598</v>
          </cell>
          <cell r="O44">
            <v>0.69513581588464801</v>
          </cell>
        </row>
        <row r="45">
          <cell r="A45" t="str">
            <v>RHSA-WHSTG-NGAHP</v>
          </cell>
          <cell r="B45" t="str">
            <v>VAR_fout</v>
          </cell>
          <cell r="C45" t="str">
            <v>RHSA-WHANGAH</v>
          </cell>
          <cell r="D45"/>
          <cell r="E45"/>
          <cell r="F45">
            <v>5.1148524238180419E-4</v>
          </cell>
          <cell r="G45">
            <v>7.026290722571166E-4</v>
          </cell>
          <cell r="H45">
            <v>4.4190249889664197E-2</v>
          </cell>
          <cell r="I45">
            <v>0.1157540391993513</v>
          </cell>
          <cell r="J45">
            <v>0.15074738370309379</v>
          </cell>
          <cell r="K45">
            <v>0.26862110753587393</v>
          </cell>
          <cell r="L45">
            <v>0.28510880586628545</v>
          </cell>
          <cell r="M45">
            <v>0.32785517453263635</v>
          </cell>
          <cell r="N45">
            <v>0.49094774833906502</v>
          </cell>
          <cell r="O45">
            <v>0.3530468253936106</v>
          </cell>
        </row>
        <row r="46">
          <cell r="A46" t="str">
            <v>RHSA-WHSTG-NGAHP</v>
          </cell>
          <cell r="B46" t="str">
            <v>VAR_fin</v>
          </cell>
          <cell r="C46" t="str">
            <v>RHSA-WHANGAH</v>
          </cell>
          <cell r="D46"/>
          <cell r="E46"/>
          <cell r="F46">
            <v>5.1007979104673081E-4</v>
          </cell>
          <cell r="G46">
            <v>6.971096776053695E-4</v>
          </cell>
          <cell r="H46">
            <v>4.4194349931915781E-2</v>
          </cell>
          <cell r="I46">
            <v>0.11576355962026168</v>
          </cell>
          <cell r="J46">
            <v>0.15076227653577873</v>
          </cell>
          <cell r="K46">
            <v>0.26864516270558703</v>
          </cell>
          <cell r="L46">
            <v>0.28513212692766315</v>
          </cell>
          <cell r="M46">
            <v>0.32788424589804527</v>
          </cell>
          <cell r="N46">
            <v>0.49098021957022531</v>
          </cell>
          <cell r="O46">
            <v>0.35309508634269049</v>
          </cell>
        </row>
        <row r="47">
          <cell r="A47" t="str">
            <v>RHSA-WHSTG-NGAHP</v>
          </cell>
          <cell r="B47" t="str">
            <v>VAR_ncap</v>
          </cell>
          <cell r="C47" t="str">
            <v>-</v>
          </cell>
          <cell r="D47">
            <v>3.1884083835885399E-5</v>
          </cell>
          <cell r="E47">
            <v>2.9140462737749799E-5</v>
          </cell>
          <cell r="F47">
            <v>1.49870656357017E-4</v>
          </cell>
          <cell r="G47">
            <v>7.2631599078533203E-5</v>
          </cell>
          <cell r="H47">
            <v>8.0435028462664208E-3</v>
          </cell>
          <cell r="I47">
            <v>1.30814364637754E-2</v>
          </cell>
          <cell r="J47">
            <v>7.7457612894404797E-3</v>
          </cell>
          <cell r="K47">
            <v>2.7776552110561199E-2</v>
          </cell>
          <cell r="L47">
            <v>1.54483875249852E-2</v>
          </cell>
          <cell r="M47">
            <v>1.1252752432839E-2</v>
          </cell>
          <cell r="N47">
            <v>4.5002655603354799E-2</v>
          </cell>
          <cell r="O47">
            <v>1.55226989630121E-2</v>
          </cell>
        </row>
        <row r="48">
          <cell r="A48" t="str">
            <v>RHSA-WHSTG-NGAHP</v>
          </cell>
          <cell r="B48" t="str">
            <v>VAR_cap</v>
          </cell>
          <cell r="C48" t="str">
            <v>-</v>
          </cell>
          <cell r="D48">
            <v>3.1888423675945906E-5</v>
          </cell>
          <cell r="E48">
            <v>8.3331223252900642E-7</v>
          </cell>
          <cell r="F48">
            <v>1.4445493333763843E-4</v>
          </cell>
          <cell r="G48">
            <v>1.5247586758676351E-4</v>
          </cell>
          <cell r="H48">
            <v>8.1513430338129977E-3</v>
          </cell>
          <cell r="I48">
            <v>2.1100943092578775E-2</v>
          </cell>
          <cell r="J48">
            <v>2.8674539175438971E-2</v>
          </cell>
          <cell r="K48">
            <v>4.8180352503621821E-2</v>
          </cell>
          <cell r="L48">
            <v>5.1314637227927264E-2</v>
          </cell>
          <cell r="M48">
            <v>5.3632014743760871E-2</v>
          </cell>
          <cell r="N48">
            <v>7.0725803004411933E-2</v>
          </cell>
          <cell r="O48">
            <v>7.0990137518986057E-2</v>
          </cell>
        </row>
        <row r="49">
          <cell r="A49" t="str">
            <v>D-RES_LTH</v>
          </cell>
          <cell r="B49" t="str">
            <v>VAR_fout</v>
          </cell>
          <cell r="C49" t="str">
            <v>RHNS_LTH_DH</v>
          </cell>
          <cell r="D49"/>
          <cell r="E49">
            <v>5.445772830256685E-2</v>
          </cell>
          <cell r="F49">
            <v>7.2393493583891508E-2</v>
          </cell>
          <cell r="G49">
            <v>0.11201702246348537</v>
          </cell>
          <cell r="H49">
            <v>0.1740741655468955</v>
          </cell>
          <cell r="I49">
            <v>0.24360152796616172</v>
          </cell>
          <cell r="J49">
            <v>0.39230434874962938</v>
          </cell>
          <cell r="K49">
            <v>0.63178249670467312</v>
          </cell>
          <cell r="L49">
            <v>0.68627856509425422</v>
          </cell>
          <cell r="M49">
            <v>0.72136118336572064</v>
          </cell>
          <cell r="N49">
            <v>0.75820750255085956</v>
          </cell>
          <cell r="O49">
            <v>0.79697688456577398</v>
          </cell>
        </row>
        <row r="50">
          <cell r="A50" t="str">
            <v>D-RES_LTH</v>
          </cell>
          <cell r="B50" t="str">
            <v>VAR_fout</v>
          </cell>
          <cell r="C50" t="str">
            <v>RHEM_LTH_DH</v>
          </cell>
          <cell r="D50">
            <v>2.0646884562124952</v>
          </cell>
          <cell r="E50">
            <v>3.8269965775190964</v>
          </cell>
          <cell r="F50">
            <v>4.2134025067784755</v>
          </cell>
          <cell r="G50">
            <v>3.7325270800162516</v>
          </cell>
          <cell r="H50">
            <v>3.2790442137265128</v>
          </cell>
          <cell r="I50">
            <v>3.9379121326793776</v>
          </cell>
          <cell r="J50">
            <v>3.835432193907546</v>
          </cell>
          <cell r="K50">
            <v>3.7029471328644035</v>
          </cell>
          <cell r="L50">
            <v>3.5329339448830286</v>
          </cell>
          <cell r="M50">
            <v>3.2438680746408295</v>
          </cell>
          <cell r="N50">
            <v>3.2448112391548092</v>
          </cell>
          <cell r="O50">
            <v>2.5875399150276488</v>
          </cell>
        </row>
        <row r="51">
          <cell r="A51" t="str">
            <v>D-RES_LTH</v>
          </cell>
          <cell r="B51" t="str">
            <v>VAR_fout</v>
          </cell>
          <cell r="C51" t="str">
            <v>RHES_LTH_DH</v>
          </cell>
          <cell r="D51">
            <v>1.8798509036756779</v>
          </cell>
          <cell r="E51">
            <v>3.5391895868391585</v>
          </cell>
          <cell r="F51">
            <v>3.5389146620300429</v>
          </cell>
          <cell r="G51">
            <v>2.7496382943515383</v>
          </cell>
          <cell r="H51">
            <v>3.3078414943618908</v>
          </cell>
          <cell r="I51">
            <v>3.141722438944909</v>
          </cell>
          <cell r="J51">
            <v>2.9531917564756669</v>
          </cell>
          <cell r="K51">
            <v>2.7768095721208774</v>
          </cell>
          <cell r="L51">
            <v>2.5906631413190278</v>
          </cell>
          <cell r="M51">
            <v>2.3985709669253041</v>
          </cell>
          <cell r="N51">
            <v>2.3499737897298298</v>
          </cell>
          <cell r="O51">
            <v>1.9597627762577996</v>
          </cell>
        </row>
        <row r="52">
          <cell r="A52" t="str">
            <v>D-RES_LTH</v>
          </cell>
          <cell r="B52" t="str">
            <v>VAR_fout</v>
          </cell>
          <cell r="C52" t="str">
            <v>RHSA_LTH</v>
          </cell>
          <cell r="D52">
            <v>4.3954768085595219</v>
          </cell>
          <cell r="E52">
            <v>1.8402205551959216</v>
          </cell>
          <cell r="F52">
            <v>1.8402215106315876</v>
          </cell>
          <cell r="G52">
            <v>1.8402207030816828</v>
          </cell>
          <cell r="H52">
            <v>1.8402223756080118</v>
          </cell>
          <cell r="I52">
            <v>1.8402269647427134</v>
          </cell>
          <cell r="J52">
            <v>1.8402472120699451</v>
          </cell>
          <cell r="K52">
            <v>1.8402650720449083</v>
          </cell>
          <cell r="L52">
            <v>1.8402854590031537</v>
          </cell>
          <cell r="M52">
            <v>1.840321934565939</v>
          </cell>
          <cell r="N52">
            <v>1.8404181050401063</v>
          </cell>
          <cell r="O52">
            <v>1.8406544390210762</v>
          </cell>
        </row>
        <row r="53">
          <cell r="A53" t="str">
            <v>D-RES_LTH</v>
          </cell>
          <cell r="B53" t="str">
            <v>VAR_fout</v>
          </cell>
          <cell r="C53" t="str">
            <v>RHNM_LTH_DH</v>
          </cell>
          <cell r="D53"/>
          <cell r="E53">
            <v>0.35008636185307451</v>
          </cell>
          <cell r="F53">
            <v>0.38255095661036931</v>
          </cell>
          <cell r="G53">
            <v>0.44348001639445389</v>
          </cell>
          <cell r="H53">
            <v>0.51411763227672636</v>
          </cell>
          <cell r="I53">
            <v>0.59600931941901014</v>
          </cell>
          <cell r="J53">
            <v>0.69095125909321908</v>
          </cell>
          <cell r="K53">
            <v>0.80468171990609028</v>
          </cell>
          <cell r="L53">
            <v>0.93287321101456444</v>
          </cell>
          <cell r="M53">
            <v>1.0815096804424216</v>
          </cell>
          <cell r="N53">
            <v>1.2537966875424962</v>
          </cell>
          <cell r="O53">
            <v>1.45356812810799</v>
          </cell>
        </row>
        <row r="54">
          <cell r="A54" t="str">
            <v>D-RES_LTH</v>
          </cell>
          <cell r="B54" t="str">
            <v>VAR_fin</v>
          </cell>
          <cell r="C54" t="str">
            <v>LTH</v>
          </cell>
          <cell r="D54">
            <v>9.2187459213643415</v>
          </cell>
          <cell r="E54">
            <v>10.623590145141971</v>
          </cell>
          <cell r="F54">
            <v>11.081438825687389</v>
          </cell>
          <cell r="G54">
            <v>9.7553511974683911</v>
          </cell>
          <cell r="H54">
            <v>9.9794125686167749</v>
          </cell>
          <cell r="I54">
            <v>10.64551695459812</v>
          </cell>
          <cell r="J54">
            <v>10.555212596478819</v>
          </cell>
          <cell r="K54">
            <v>10.564868059181828</v>
          </cell>
          <cell r="L54">
            <v>10.377044898878758</v>
          </cell>
          <cell r="M54">
            <v>10.055000878292288</v>
          </cell>
          <cell r="N54">
            <v>10.229963838521405</v>
          </cell>
          <cell r="O54">
            <v>9.3542526919046889</v>
          </cell>
        </row>
        <row r="55">
          <cell r="A55" t="str">
            <v>D-RES_LTH</v>
          </cell>
          <cell r="B55" t="str">
            <v>VAR_ncap</v>
          </cell>
          <cell r="C55" t="str">
            <v>-</v>
          </cell>
          <cell r="D55">
            <v>0.62767670168600498</v>
          </cell>
          <cell r="E55">
            <v>3.2936828606397801E-2</v>
          </cell>
          <cell r="F55">
            <v>3.2304556122224799E-3</v>
          </cell>
          <cell r="G55">
            <v>6.1262106292245596E-3</v>
          </cell>
          <cell r="H55">
            <v>1.16761394606139E-2</v>
          </cell>
          <cell r="I55">
            <v>1.2217232510507599E-2</v>
          </cell>
          <cell r="J55">
            <v>1.7984648187457201E-2</v>
          </cell>
          <cell r="K55">
            <v>2.6089391596264999E-2</v>
          </cell>
          <cell r="L55">
            <v>1.3521285286327E-2</v>
          </cell>
          <cell r="M55">
            <v>1.5550391818448099E-2</v>
          </cell>
          <cell r="N55">
            <v>1.21307080702643E-2</v>
          </cell>
          <cell r="O55">
            <v>1.8423216409790302E-2</v>
          </cell>
        </row>
        <row r="56">
          <cell r="A56" t="str">
            <v>D-RES_LTH</v>
          </cell>
          <cell r="B56" t="str">
            <v>VAR_cap</v>
          </cell>
          <cell r="C56" t="str">
            <v>-</v>
          </cell>
          <cell r="D56">
            <v>0.62767670168600498</v>
          </cell>
          <cell r="E56">
            <v>0.660613530292403</v>
          </cell>
          <cell r="F56">
            <v>0.66384398590462501</v>
          </cell>
          <cell r="G56">
            <v>0.66997019653385004</v>
          </cell>
          <cell r="H56">
            <v>0.681646335994464</v>
          </cell>
          <cell r="I56">
            <v>0.693863568504971</v>
          </cell>
          <cell r="J56">
            <v>0.71184821669242804</v>
          </cell>
          <cell r="K56">
            <v>0.73793760828869304</v>
          </cell>
          <cell r="L56">
            <v>0.75145889357502005</v>
          </cell>
          <cell r="M56">
            <v>0.76700928539346902</v>
          </cell>
          <cell r="N56">
            <v>0.77913999346373297</v>
          </cell>
          <cell r="O56">
            <v>0.79756320987352303</v>
          </cell>
        </row>
        <row r="57">
          <cell r="A57" t="str">
            <v>D-RHEM_NKEV_GAS_ELC_CHP</v>
          </cell>
          <cell r="B57" t="str">
            <v>VAR_fout</v>
          </cell>
          <cell r="C57" t="str">
            <v>ELC5</v>
          </cell>
          <cell r="D57">
            <v>1.4034074463243E-2</v>
          </cell>
          <cell r="E57">
            <v>1.1967942811465558E-2</v>
          </cell>
          <cell r="F57">
            <v>4.9862475110071636E-2</v>
          </cell>
          <cell r="G57">
            <v>0.12590180911985721</v>
          </cell>
          <cell r="H57">
            <v>0.14338409298892013</v>
          </cell>
          <cell r="I57">
            <v>0.17499100013354613</v>
          </cell>
          <cell r="J57">
            <v>0.15556931238438115</v>
          </cell>
          <cell r="K57">
            <v>0.1633165239260593</v>
          </cell>
          <cell r="L57">
            <v>0.15465240661915367</v>
          </cell>
          <cell r="M57">
            <v>0.15736172667699863</v>
          </cell>
          <cell r="N57">
            <v>0.19102202889163669</v>
          </cell>
          <cell r="O57">
            <v>0.27005297262322403</v>
          </cell>
        </row>
        <row r="58">
          <cell r="A58" t="str">
            <v>D-RHEM_NKEV_GAS_ELC_CHP</v>
          </cell>
          <cell r="B58" t="str">
            <v>VAR_fout</v>
          </cell>
          <cell r="C58" t="str">
            <v>RHEM_ELC</v>
          </cell>
          <cell r="D58">
            <v>1.4262152684429657E-2</v>
          </cell>
          <cell r="E58">
            <v>1.2009540877499357E-2</v>
          </cell>
          <cell r="F58">
            <v>4.9663980950023064E-2</v>
          </cell>
          <cell r="G58">
            <v>0.12498230149509022</v>
          </cell>
          <cell r="H58">
            <v>0.13889583942557338</v>
          </cell>
          <cell r="I58">
            <v>0.17237914039614013</v>
          </cell>
          <cell r="J58">
            <v>0.15112989854770195</v>
          </cell>
          <cell r="K58">
            <v>0.15697831108312291</v>
          </cell>
          <cell r="L58">
            <v>0.14965038689388632</v>
          </cell>
          <cell r="M58">
            <v>0.15128364463620228</v>
          </cell>
          <cell r="N58">
            <v>0.1881494418010993</v>
          </cell>
          <cell r="O58">
            <v>0.26286827159458526</v>
          </cell>
        </row>
        <row r="59">
          <cell r="A59" t="str">
            <v>D-RHEM_NKEV_GAS_ELC_CHP</v>
          </cell>
          <cell r="B59" t="str">
            <v>VAR_fin</v>
          </cell>
          <cell r="C59" t="str">
            <v>RHEM_NKEV_GAS_ELC_CHP</v>
          </cell>
          <cell r="D59">
            <v>2.8296227147672673E-2</v>
          </cell>
          <cell r="E59">
            <v>2.3977483688964917E-2</v>
          </cell>
          <cell r="F59">
            <v>9.9520983479104957E-2</v>
          </cell>
          <cell r="G59">
            <v>0.25088411061494736</v>
          </cell>
          <cell r="H59">
            <v>0.28227993241449367</v>
          </cell>
          <cell r="I59">
            <v>0.34737014052968629</v>
          </cell>
          <cell r="J59">
            <v>0.30669921093208313</v>
          </cell>
          <cell r="K59">
            <v>0.3202948350091826</v>
          </cell>
          <cell r="L59">
            <v>0.30430279351303996</v>
          </cell>
          <cell r="M59">
            <v>0.30864537131320097</v>
          </cell>
          <cell r="N59">
            <v>0.37917147069273621</v>
          </cell>
          <cell r="O59">
            <v>0.5329212442178094</v>
          </cell>
        </row>
        <row r="60">
          <cell r="A60" t="str">
            <v>SCOM-SHDEM</v>
          </cell>
          <cell r="B60" t="str">
            <v>VAR_fout</v>
          </cell>
          <cell r="C60" t="str">
            <v>SCOM-SHD</v>
          </cell>
          <cell r="D60">
            <v>73.238415142015427</v>
          </cell>
          <cell r="E60">
            <v>78.573920102073046</v>
          </cell>
          <cell r="F60">
            <v>77.914848394901597</v>
          </cell>
          <cell r="G60">
            <v>76.654408440622078</v>
          </cell>
          <cell r="H60">
            <v>74.022153457895158</v>
          </cell>
          <cell r="I60">
            <v>71.296972759278148</v>
          </cell>
          <cell r="J60">
            <v>68.111110680442152</v>
          </cell>
          <cell r="K60">
            <v>64.954054928798655</v>
          </cell>
          <cell r="L60">
            <v>63.560124048013328</v>
          </cell>
          <cell r="M60">
            <v>62.238606065938988</v>
          </cell>
          <cell r="N60">
            <v>61.039632084839994</v>
          </cell>
          <cell r="O60">
            <v>58.655520470132672</v>
          </cell>
        </row>
        <row r="61">
          <cell r="A61" t="str">
            <v>SCOM-SHDEM</v>
          </cell>
          <cell r="B61" t="str">
            <v>VAR_fin</v>
          </cell>
          <cell r="C61" t="str">
            <v>SCOM-SHCON</v>
          </cell>
          <cell r="D61"/>
          <cell r="E61">
            <v>6.9646045322378987</v>
          </cell>
          <cell r="F61">
            <v>6.9630273991249236</v>
          </cell>
          <cell r="G61">
            <v>6.9633820919959275</v>
          </cell>
          <cell r="H61">
            <v>6.9632586912710579</v>
          </cell>
          <cell r="I61">
            <v>6.9634041865472263</v>
          </cell>
          <cell r="J61">
            <v>6.9634813311420825</v>
          </cell>
          <cell r="K61">
            <v>6.963134904208645</v>
          </cell>
          <cell r="L61">
            <v>6.9621310106374716</v>
          </cell>
          <cell r="M61">
            <v>6.9623887984657822</v>
          </cell>
          <cell r="N61">
            <v>6.9621692172986176</v>
          </cell>
          <cell r="O61">
            <v>6.9637700666538151</v>
          </cell>
        </row>
        <row r="62">
          <cell r="A62" t="str">
            <v>SCOM-SHDEM</v>
          </cell>
          <cell r="B62" t="str">
            <v>VAR_fin</v>
          </cell>
          <cell r="C62" t="str">
            <v>SCOM-SHWOD</v>
          </cell>
          <cell r="D62">
            <v>6.1735487955108086</v>
          </cell>
          <cell r="E62">
            <v>6.7165252019245054</v>
          </cell>
          <cell r="F62">
            <v>6.5277382173594836</v>
          </cell>
          <cell r="G62">
            <v>5.4667610008874057</v>
          </cell>
          <cell r="H62">
            <v>3.6748334813113646</v>
          </cell>
          <cell r="I62">
            <v>2.3263692415028401</v>
          </cell>
          <cell r="J62">
            <v>1.4397644829374237</v>
          </cell>
          <cell r="K62">
            <v>0.45933989964693417</v>
          </cell>
          <cell r="L62">
            <v>0.44823992947972857</v>
          </cell>
          <cell r="M62">
            <v>0.43773848951977312</v>
          </cell>
          <cell r="N62">
            <v>0.42843773774814148</v>
          </cell>
          <cell r="O62">
            <v>0.41069291160287236</v>
          </cell>
        </row>
        <row r="63">
          <cell r="A63" t="str">
            <v>SCOM-SHDEM</v>
          </cell>
          <cell r="B63" t="str">
            <v>VAR_fin</v>
          </cell>
          <cell r="C63" t="str">
            <v>SCOM-SHH2B</v>
          </cell>
          <cell r="D63"/>
          <cell r="E63"/>
          <cell r="F63"/>
          <cell r="G63">
            <v>1.6016038398277337E-3</v>
          </cell>
          <cell r="H63">
            <v>3.7383381499291744E-3</v>
          </cell>
          <cell r="I63">
            <v>5.6775714773390808E-3</v>
          </cell>
          <cell r="J63">
            <v>4.4780600923191574E-3</v>
          </cell>
          <cell r="K63">
            <v>1.8558081430192046E-2</v>
          </cell>
          <cell r="L63">
            <v>1.5799521597460005E-2</v>
          </cell>
          <cell r="M63">
            <v>7.9697019624806395E-2</v>
          </cell>
          <cell r="N63">
            <v>0.12820039972940181</v>
          </cell>
          <cell r="O63">
            <v>0.11133474260651793</v>
          </cell>
        </row>
        <row r="64">
          <cell r="A64" t="str">
            <v>SCOM-SHDEM</v>
          </cell>
          <cell r="B64" t="str">
            <v>VAR_fin</v>
          </cell>
          <cell r="C64" t="str">
            <v>SCOM-SHLTHD</v>
          </cell>
          <cell r="D64">
            <v>5.5539109690073012</v>
          </cell>
          <cell r="E64">
            <v>6.0159404214638927</v>
          </cell>
          <cell r="F64">
            <v>6.0159442030926273</v>
          </cell>
          <cell r="G64">
            <v>6.0159449139615884</v>
          </cell>
          <cell r="H64">
            <v>6.015948653564438</v>
          </cell>
          <cell r="I64">
            <v>6.0159585815936625</v>
          </cell>
          <cell r="J64">
            <v>6.4204880018937738</v>
          </cell>
          <cell r="K64">
            <v>8.700643781632607</v>
          </cell>
          <cell r="L64">
            <v>8.7010343967003365</v>
          </cell>
          <cell r="M64">
            <v>8.7010999023925883</v>
          </cell>
          <cell r="N64">
            <v>8.9449318779182718</v>
          </cell>
          <cell r="O64">
            <v>8.944990401246546</v>
          </cell>
        </row>
        <row r="65">
          <cell r="A65" t="str">
            <v>SCOM-SHDEM</v>
          </cell>
          <cell r="B65" t="str">
            <v>VAR_fin</v>
          </cell>
          <cell r="C65" t="str">
            <v>SCOM-SHELCB</v>
          </cell>
          <cell r="D65">
            <v>2.3940438625089571</v>
          </cell>
          <cell r="E65">
            <v>0.36580770955656605</v>
          </cell>
          <cell r="F65">
            <v>2.2258433287058859</v>
          </cell>
          <cell r="G65">
            <v>1.9293927148346677</v>
          </cell>
          <cell r="H65">
            <v>1.6204411204867737</v>
          </cell>
          <cell r="I65">
            <v>1.3314315983763019</v>
          </cell>
          <cell r="J65">
            <v>1.0493595999670156</v>
          </cell>
          <cell r="K65">
            <v>0.79576528487592313</v>
          </cell>
          <cell r="L65">
            <v>0.77647248714008166</v>
          </cell>
          <cell r="M65">
            <v>0.75441478027510001</v>
          </cell>
          <cell r="N65">
            <v>0.74160078423922271</v>
          </cell>
          <cell r="O65">
            <v>0.70480231228691737</v>
          </cell>
        </row>
        <row r="66">
          <cell r="A66" t="str">
            <v>SCOM-SHDEM</v>
          </cell>
          <cell r="B66" t="str">
            <v>VAR_fin</v>
          </cell>
          <cell r="C66" t="str">
            <v>SCOM-SHBIO</v>
          </cell>
          <cell r="D66">
            <v>1.2230742508175292</v>
          </cell>
          <cell r="E66">
            <v>1.3407711077682443</v>
          </cell>
          <cell r="F66">
            <v>1.4131414725636671</v>
          </cell>
          <cell r="G66">
            <v>1.4122632492032301</v>
          </cell>
          <cell r="H66">
            <v>1.5483635081915474</v>
          </cell>
          <cell r="I66">
            <v>1.6672836623881953</v>
          </cell>
          <cell r="J66">
            <v>1.757660337034894</v>
          </cell>
          <cell r="K66">
            <v>1.9041048987120313</v>
          </cell>
          <cell r="L66">
            <v>2.1886452767446301</v>
          </cell>
          <cell r="M66">
            <v>2.1798327912494884</v>
          </cell>
          <cell r="N66">
            <v>3.0571418912710935</v>
          </cell>
          <cell r="O66">
            <v>3.1766401953834835</v>
          </cell>
        </row>
        <row r="67">
          <cell r="A67" t="str">
            <v>SCOM-SHDEM</v>
          </cell>
          <cell r="B67" t="str">
            <v>VAR_fin</v>
          </cell>
          <cell r="C67" t="str">
            <v>SCOM-SHELCH</v>
          </cell>
          <cell r="D67">
            <v>4.2612164338401319</v>
          </cell>
          <cell r="E67">
            <v>4.617656765891244</v>
          </cell>
          <cell r="F67">
            <v>4.8192533173757619</v>
          </cell>
          <cell r="G67">
            <v>5.1888241200168981</v>
          </cell>
          <cell r="H67">
            <v>5.5694846692495439</v>
          </cell>
          <cell r="I67">
            <v>5.9648845149309455</v>
          </cell>
          <cell r="J67">
            <v>6.4122464717295751</v>
          </cell>
          <cell r="K67">
            <v>6.9197982120714618</v>
          </cell>
          <cell r="L67">
            <v>7.478941170152412</v>
          </cell>
          <cell r="M67">
            <v>7.9210464736617903</v>
          </cell>
          <cell r="N67">
            <v>8.5712574606084537</v>
          </cell>
          <cell r="O67">
            <v>9.1734912447805286</v>
          </cell>
        </row>
        <row r="68">
          <cell r="A68" t="str">
            <v>SCOM-SHDEM</v>
          </cell>
          <cell r="B68" t="str">
            <v>VAR_fin</v>
          </cell>
          <cell r="C68" t="str">
            <v>SCOM-SHPLT</v>
          </cell>
          <cell r="D68">
            <v>1.8770751223396096</v>
          </cell>
          <cell r="E68">
            <v>2.1600842382562431</v>
          </cell>
          <cell r="F68">
            <v>2.0883994921074067</v>
          </cell>
          <cell r="G68">
            <v>2.2800523893887639</v>
          </cell>
          <cell r="H68">
            <v>2.4141379653852657</v>
          </cell>
          <cell r="I68">
            <v>2.7209112755814502</v>
          </cell>
          <cell r="J68">
            <v>2.6027130932861602</v>
          </cell>
          <cell r="K68">
            <v>2.6587079525094461</v>
          </cell>
          <cell r="L68">
            <v>2.594819859583815</v>
          </cell>
          <cell r="M68">
            <v>2.534249486185193</v>
          </cell>
          <cell r="N68">
            <v>2.4792834015496528</v>
          </cell>
          <cell r="O68">
            <v>2.3699598057045064</v>
          </cell>
        </row>
        <row r="69">
          <cell r="A69" t="str">
            <v>SCOM-SHDEM</v>
          </cell>
          <cell r="B69" t="str">
            <v>VAR_fin</v>
          </cell>
          <cell r="C69" t="str">
            <v>SCOM-SHLTHC-NGA</v>
          </cell>
          <cell r="D69">
            <v>0.685665155622732</v>
          </cell>
          <cell r="E69">
            <v>0.74270273942281018</v>
          </cell>
          <cell r="F69">
            <v>0.64619226784950878</v>
          </cell>
          <cell r="G69">
            <v>2.6437730455954433</v>
          </cell>
          <cell r="H69">
            <v>5.0957167882158796</v>
          </cell>
          <cell r="I69">
            <v>5.3499237506463979</v>
          </cell>
          <cell r="J69">
            <v>5.3883227436766576</v>
          </cell>
          <cell r="K69">
            <v>3.9100688214076875</v>
          </cell>
          <cell r="L69">
            <v>3.9082263236868235</v>
          </cell>
          <cell r="M69">
            <v>3.9972549745786323</v>
          </cell>
          <cell r="N69">
            <v>4.3474679649173851</v>
          </cell>
          <cell r="O69">
            <v>4.6071582500060675</v>
          </cell>
        </row>
        <row r="70">
          <cell r="A70" t="str">
            <v>SCOM-SHDEM</v>
          </cell>
          <cell r="B70" t="str">
            <v>VAR_fin</v>
          </cell>
          <cell r="C70" t="str">
            <v>SCOM-SHSOL</v>
          </cell>
          <cell r="D70">
            <v>0.6270125219134377</v>
          </cell>
          <cell r="E70">
            <v>0.68734789882317138</v>
          </cell>
          <cell r="F70">
            <v>0.68389476083954748</v>
          </cell>
          <cell r="G70">
            <v>0.68572132725480883</v>
          </cell>
          <cell r="H70">
            <v>0.67998601932591607</v>
          </cell>
          <cell r="I70">
            <v>0.6814683938668108</v>
          </cell>
          <cell r="J70">
            <v>0.68509713171807896</v>
          </cell>
          <cell r="K70">
            <v>0.67950180941606375</v>
          </cell>
          <cell r="L70">
            <v>0.68205737796729493</v>
          </cell>
          <cell r="M70">
            <v>0.67887799656866854</v>
          </cell>
          <cell r="N70">
            <v>0.68067353327188651</v>
          </cell>
          <cell r="O70">
            <v>0.67705085720202907</v>
          </cell>
        </row>
        <row r="71">
          <cell r="A71" t="str">
            <v>SCOM-SHDEM</v>
          </cell>
          <cell r="B71" t="str">
            <v>VAR_fin</v>
          </cell>
          <cell r="C71" t="str">
            <v>SCOM-SHLTHC-WOD</v>
          </cell>
          <cell r="D71"/>
          <cell r="E71"/>
          <cell r="F71"/>
          <cell r="G71">
            <v>1.2789071026783611E-2</v>
          </cell>
          <cell r="H71">
            <v>9.6665506581345879E-3</v>
          </cell>
          <cell r="I71">
            <v>7.6981827822213316E-3</v>
          </cell>
          <cell r="J71">
            <v>1.2435107878735434E-2</v>
          </cell>
          <cell r="K71">
            <v>2.0616997425968592E-2</v>
          </cell>
          <cell r="L71">
            <v>1.8981150648070835E-2</v>
          </cell>
          <cell r="M71">
            <v>2.3725648092434853E-2</v>
          </cell>
          <cell r="N71">
            <v>2.4881155153358918E-2</v>
          </cell>
          <cell r="O71">
            <v>4.9159729976592549E-2</v>
          </cell>
        </row>
        <row r="72">
          <cell r="A72" t="str">
            <v>SCOM-SHDEM</v>
          </cell>
          <cell r="B72" t="str">
            <v>VAR_fin</v>
          </cell>
          <cell r="C72" t="str">
            <v>SCOM-SHNGA</v>
          </cell>
          <cell r="D72">
            <v>24.189720763414222</v>
          </cell>
          <cell r="E72">
            <v>25.32692079803898</v>
          </cell>
          <cell r="F72">
            <v>24.171917337724103</v>
          </cell>
          <cell r="G72">
            <v>25.0398365062997</v>
          </cell>
          <cell r="H72">
            <v>25.324044629514692</v>
          </cell>
          <cell r="I72">
            <v>25.481227946664927</v>
          </cell>
          <cell r="J72">
            <v>23.820739733692466</v>
          </cell>
          <cell r="K72">
            <v>22.244953960220013</v>
          </cell>
          <cell r="L72">
            <v>21.724810613360841</v>
          </cell>
          <cell r="M72">
            <v>21.106048393911685</v>
          </cell>
          <cell r="N72">
            <v>20.654913608497477</v>
          </cell>
          <cell r="O72">
            <v>19.663877818222677</v>
          </cell>
        </row>
        <row r="73">
          <cell r="A73" t="str">
            <v>SCOM-SHDEM</v>
          </cell>
          <cell r="B73" t="str">
            <v>VAR_fin</v>
          </cell>
          <cell r="C73" t="str">
            <v>SCOM-SHNGAH</v>
          </cell>
          <cell r="D73"/>
          <cell r="E73"/>
          <cell r="F73">
            <v>3.9119738405241702E-3</v>
          </cell>
          <cell r="G73">
            <v>4.3286376908164116E-3</v>
          </cell>
          <cell r="H73">
            <v>2.1318805769497934E-2</v>
          </cell>
          <cell r="I73">
            <v>3.2306970903984406E-2</v>
          </cell>
          <cell r="J73">
            <v>6.159876965102045E-2</v>
          </cell>
          <cell r="K73">
            <v>5.4517669209150348E-2</v>
          </cell>
          <cell r="L73">
            <v>4.1408987160235063E-2</v>
          </cell>
          <cell r="M73">
            <v>0.14743634674777689</v>
          </cell>
          <cell r="N73">
            <v>0.13932272582911798</v>
          </cell>
          <cell r="O73">
            <v>0.2071931286916685</v>
          </cell>
        </row>
        <row r="74">
          <cell r="A74" t="str">
            <v>SCOM-SHDEM</v>
          </cell>
          <cell r="B74" t="str">
            <v>VAR_fin</v>
          </cell>
          <cell r="C74" t="str">
            <v>SCOM-SHLTHC-BIO</v>
          </cell>
          <cell r="D74">
            <v>1.4100765332346208</v>
          </cell>
          <cell r="E74">
            <v>1.5273767552347797</v>
          </cell>
          <cell r="F74">
            <v>1.3802098931328248</v>
          </cell>
          <cell r="G74">
            <v>1.145128774390368</v>
          </cell>
          <cell r="H74">
            <v>0.93015103106962682</v>
          </cell>
          <cell r="I74">
            <v>0.74346380225960618</v>
          </cell>
          <cell r="J74">
            <v>0.68376947709795732</v>
          </cell>
          <cell r="K74">
            <v>0.63026869001459351</v>
          </cell>
          <cell r="L74">
            <v>0.57720964557893562</v>
          </cell>
          <cell r="M74">
            <v>0.50679732343929984</v>
          </cell>
          <cell r="N74">
            <v>0.45571954958352995</v>
          </cell>
          <cell r="O74">
            <v>0.40919006016122894</v>
          </cell>
        </row>
        <row r="75">
          <cell r="A75" t="str">
            <v>SCOM-SHDEM</v>
          </cell>
          <cell r="B75" t="str">
            <v>VAR_fin</v>
          </cell>
          <cell r="C75" t="str">
            <v>SCOM-SHLTHC-HFC</v>
          </cell>
          <cell r="D75"/>
          <cell r="E75"/>
          <cell r="F75"/>
          <cell r="G75">
            <v>1.7252902341918441E-3</v>
          </cell>
          <cell r="H75">
            <v>3.8090878207617191E-3</v>
          </cell>
          <cell r="I75">
            <v>3.8787170722155645E-3</v>
          </cell>
          <cell r="J75">
            <v>4.3926263381484981E-3</v>
          </cell>
          <cell r="K75">
            <v>1.2330576696651092E-2</v>
          </cell>
          <cell r="L75">
            <v>1.1615819827673938E-2</v>
          </cell>
          <cell r="M75">
            <v>2.73816754636706E-2</v>
          </cell>
          <cell r="N75">
            <v>2.1105136629249201E-2</v>
          </cell>
          <cell r="O75">
            <v>3.7133109669827982E-2</v>
          </cell>
        </row>
        <row r="76">
          <cell r="A76" t="str">
            <v>SCOM-SHDEM</v>
          </cell>
          <cell r="B76" t="str">
            <v>VAR_fin</v>
          </cell>
          <cell r="C76" t="str">
            <v>SCOM-SHLFO</v>
          </cell>
          <cell r="D76">
            <v>24.843070733806076</v>
          </cell>
          <cell r="E76">
            <v>22.108409510048698</v>
          </cell>
          <cell r="F76">
            <v>20.975588628450762</v>
          </cell>
          <cell r="G76">
            <v>17.863063040370612</v>
          </cell>
          <cell r="H76">
            <v>14.147384853116334</v>
          </cell>
          <cell r="I76">
            <v>12.001205297610559</v>
          </cell>
          <cell r="J76">
            <v>10.804948960461177</v>
          </cell>
          <cell r="K76">
            <v>8.9822715128392598</v>
          </cell>
          <cell r="L76">
            <v>7.4298524054656747</v>
          </cell>
          <cell r="M76">
            <v>6.1809900885915869</v>
          </cell>
          <cell r="N76">
            <v>3.4027058257829546</v>
          </cell>
          <cell r="O76">
            <v>1.149612305186247</v>
          </cell>
        </row>
        <row r="77">
          <cell r="A77" t="str">
            <v>ITOT-SWHSTG-NGAHP</v>
          </cell>
          <cell r="B77" t="str">
            <v>VAR_fout</v>
          </cell>
          <cell r="C77" t="str">
            <v>ITOT-SWHANGAH</v>
          </cell>
          <cell r="D77">
            <v>1.1968364456007644E-3</v>
          </cell>
          <cell r="E77">
            <v>2.3432723035734116E-3</v>
          </cell>
          <cell r="F77">
            <v>5.0242749080955168E-3</v>
          </cell>
          <cell r="G77">
            <v>3.0534477159369538E-3</v>
          </cell>
          <cell r="H77">
            <v>4.7450058239782824E-3</v>
          </cell>
          <cell r="I77">
            <v>5.1162767676882874E-3</v>
          </cell>
          <cell r="J77">
            <v>7.8269802904157876E-3</v>
          </cell>
          <cell r="K77">
            <v>1.5868075453398831E-2</v>
          </cell>
          <cell r="L77">
            <v>1.0621415791857672E-2</v>
          </cell>
          <cell r="M77">
            <v>2.3512632946455156E-2</v>
          </cell>
          <cell r="N77">
            <v>3.216973750593128E-2</v>
          </cell>
          <cell r="O77">
            <v>5.3004381819695814E-2</v>
          </cell>
        </row>
        <row r="78">
          <cell r="A78" t="str">
            <v>ITOT-SWHSTG-NGAHP</v>
          </cell>
          <cell r="B78" t="str">
            <v>VAR_fin</v>
          </cell>
          <cell r="C78" t="str">
            <v>ITOT-SWHANGAH</v>
          </cell>
          <cell r="D78">
            <v>1.1968364456007644E-3</v>
          </cell>
          <cell r="E78">
            <v>2.3432723035734116E-3</v>
          </cell>
          <cell r="F78">
            <v>6.4817264164929878E-3</v>
          </cell>
          <cell r="G78">
            <v>3.759886655403691E-3</v>
          </cell>
          <cell r="H78">
            <v>5.7350139226390847E-3</v>
          </cell>
          <cell r="I78">
            <v>6.0143126713624682E-3</v>
          </cell>
          <cell r="J78">
            <v>8.8635065930538215E-3</v>
          </cell>
          <cell r="K78">
            <v>1.7632420992937055E-2</v>
          </cell>
          <cell r="L78">
            <v>1.1796100095241874E-2</v>
          </cell>
          <cell r="M78">
            <v>2.6143755319286362E-2</v>
          </cell>
          <cell r="N78">
            <v>3.5761961986186391E-2</v>
          </cell>
          <cell r="O78">
            <v>5.8894468804154283E-2</v>
          </cell>
        </row>
        <row r="79">
          <cell r="A79" t="str">
            <v>ITOT-SWHSTG-NGAHP</v>
          </cell>
          <cell r="B79" t="str">
            <v>VAR_ncap</v>
          </cell>
          <cell r="C79" t="str">
            <v>-</v>
          </cell>
          <cell r="D79">
            <v>6.0340448190143899E-3</v>
          </cell>
          <cell r="E79">
            <v>1.37555375983525E-5</v>
          </cell>
          <cell r="F79">
            <v>8.9687077793195705E-4</v>
          </cell>
          <cell r="G79">
            <v>1.06416117023457E-3</v>
          </cell>
          <cell r="H79">
            <v>9.3651461260400696E-4</v>
          </cell>
          <cell r="I79">
            <v>1.4224321195079701E-3</v>
          </cell>
          <cell r="J79">
            <v>1.0811803793206599E-3</v>
          </cell>
          <cell r="K79">
            <v>1.44053716357785E-3</v>
          </cell>
          <cell r="L79">
            <v>1.44759759094212E-3</v>
          </cell>
          <cell r="M79">
            <v>3.9952604489428403E-2</v>
          </cell>
          <cell r="N79">
            <v>1.72660892685347E-3</v>
          </cell>
          <cell r="O79">
            <v>1.57331612958046E-3</v>
          </cell>
        </row>
        <row r="80">
          <cell r="A80" t="str">
            <v>ITOT-SWHSTG-NGAHP</v>
          </cell>
          <cell r="B80" t="str">
            <v>VAR_cap</v>
          </cell>
          <cell r="C80" t="str">
            <v>-</v>
          </cell>
          <cell r="D80">
            <v>6.0340448190143899E-3</v>
          </cell>
          <cell r="E80">
            <v>1.1896468962264029E-4</v>
          </cell>
          <cell r="F80">
            <v>1.0844425422561407E-3</v>
          </cell>
          <cell r="G80">
            <v>2.2545720649771693E-3</v>
          </cell>
          <cell r="H80">
            <v>2.8157474389925797E-3</v>
          </cell>
          <cell r="I80">
            <v>3.1844678227438629E-3</v>
          </cell>
          <cell r="J80">
            <v>3.2326965921722129E-3</v>
          </cell>
          <cell r="K80">
            <v>3.3955156752010786E-3</v>
          </cell>
          <cell r="L80">
            <v>3.2537553661369186E-3</v>
          </cell>
          <cell r="M80">
            <v>4.1930211581233848E-2</v>
          </cell>
          <cell r="N80">
            <v>4.1976063104468449E-2</v>
          </cell>
          <cell r="O80">
            <v>4.2162650469591598E-2</v>
          </cell>
        </row>
        <row r="81">
          <cell r="A81" t="str">
            <v>ITOT-STG-ELCSPEC</v>
          </cell>
          <cell r="B81" t="str">
            <v>VAR_fout</v>
          </cell>
          <cell r="C81" t="str">
            <v>ITOT-ELS</v>
          </cell>
          <cell r="D81"/>
          <cell r="E81">
            <v>3.6469687233735545E-2</v>
          </cell>
          <cell r="F81">
            <v>3.711648257065437E-2</v>
          </cell>
          <cell r="G81">
            <v>3.8154368242328582E-2</v>
          </cell>
          <cell r="H81">
            <v>9.9773804016626624E-2</v>
          </cell>
          <cell r="I81">
            <v>0.21192648936359346</v>
          </cell>
          <cell r="J81">
            <v>0.2717523481956815</v>
          </cell>
          <cell r="K81">
            <v>0.27258334581446436</v>
          </cell>
          <cell r="L81">
            <v>0.3283004657458769</v>
          </cell>
          <cell r="M81">
            <v>0.32112573714767656</v>
          </cell>
          <cell r="N81">
            <v>0.32183656521620785</v>
          </cell>
          <cell r="O81">
            <v>0.31628821589426331</v>
          </cell>
        </row>
        <row r="82">
          <cell r="A82" t="str">
            <v>ITOT-STG-ELCSPEC</v>
          </cell>
          <cell r="B82" t="str">
            <v>VAR_fin</v>
          </cell>
          <cell r="C82" t="str">
            <v>ITOT-ELS</v>
          </cell>
          <cell r="D82"/>
          <cell r="E82">
            <v>3.6470685447769907E-2</v>
          </cell>
          <cell r="F82">
            <v>3.7117480784688697E-2</v>
          </cell>
          <cell r="G82">
            <v>3.8156685698846601E-2</v>
          </cell>
          <cell r="H82">
            <v>9.9775293269682749E-2</v>
          </cell>
          <cell r="I82">
            <v>0.21192852942943444</v>
          </cell>
          <cell r="J82">
            <v>0.27175337095596258</v>
          </cell>
          <cell r="K82">
            <v>0.27258733867060148</v>
          </cell>
          <cell r="L82">
            <v>0.32830249490227464</v>
          </cell>
          <cell r="M82">
            <v>0.32113358921927426</v>
          </cell>
          <cell r="N82">
            <v>0.32184206668258536</v>
          </cell>
          <cell r="O82">
            <v>0.31629938716389366</v>
          </cell>
        </row>
        <row r="83">
          <cell r="A83" t="str">
            <v>ITOT-STG-ELCSPEC</v>
          </cell>
          <cell r="B83" t="str">
            <v>VAR_ncap</v>
          </cell>
          <cell r="C83" t="str">
            <v>-</v>
          </cell>
          <cell r="D83"/>
          <cell r="E83">
            <v>1.36899916214952E-3</v>
          </cell>
          <cell r="F83">
            <v>1.37576911487718E-5</v>
          </cell>
          <cell r="G83">
            <v>5.9300941170728897E-6</v>
          </cell>
          <cell r="H83">
            <v>2.1986445658646698E-3</v>
          </cell>
          <cell r="I83">
            <v>4.6640578401827403E-3</v>
          </cell>
          <cell r="J83">
            <v>3.2932457016189702E-3</v>
          </cell>
          <cell r="K83">
            <v>6.6578028193898996E-5</v>
          </cell>
          <cell r="L83">
            <v>3.8721502697192001E-3</v>
          </cell>
          <cell r="M83">
            <v>4.71688973587311E-3</v>
          </cell>
          <cell r="N83">
            <v>3.2949484261094999E-3</v>
          </cell>
          <cell r="O83">
            <v>7.8928604822025702E-5</v>
          </cell>
        </row>
        <row r="84">
          <cell r="A84" t="str">
            <v>ITOT-STG-ELCSPEC</v>
          </cell>
          <cell r="B84" t="str">
            <v>VAR_cap</v>
          </cell>
          <cell r="C84" t="str">
            <v>-</v>
          </cell>
          <cell r="D84"/>
          <cell r="E84">
            <v>1.36899916214952E-3</v>
          </cell>
          <cell r="F84">
            <v>1.3809466631887124E-3</v>
          </cell>
          <cell r="G84">
            <v>1.3842681695048881E-3</v>
          </cell>
          <cell r="H84">
            <v>3.5770556343980267E-3</v>
          </cell>
          <cell r="I84">
            <v>7.7106836714555035E-3</v>
          </cell>
          <cell r="J84">
            <v>1.0155274543606147E-2</v>
          </cell>
          <cell r="K84">
            <v>1.0210895535039451E-2</v>
          </cell>
          <cell r="L84">
            <v>1.1930278542037782E-2</v>
          </cell>
          <cell r="M84">
            <v>1.1932555761069568E-2</v>
          </cell>
          <cell r="N84">
            <v>1.1935721951221575E-2</v>
          </cell>
          <cell r="O84">
            <v>1.1942009390717854E-2</v>
          </cell>
        </row>
        <row r="85">
          <cell r="A85" t="str">
            <v>D-RHES_LTH_CHPNGA</v>
          </cell>
          <cell r="B85" t="str">
            <v>VAR_fout</v>
          </cell>
          <cell r="C85" t="str">
            <v>RHSA_LTH</v>
          </cell>
          <cell r="D85">
            <v>3.9099638401309698E-3</v>
          </cell>
          <cell r="E85">
            <v>5.0198592901102299E-3</v>
          </cell>
          <cell r="F85">
            <v>3.6832253287326366E-3</v>
          </cell>
          <cell r="G85">
            <v>1.8030498525777679E-3</v>
          </cell>
          <cell r="H85">
            <v>8.5403101405009897E-4</v>
          </cell>
          <cell r="I85">
            <v>1.4235117845376086E-4</v>
          </cell>
          <cell r="J85">
            <v>1.2037522433871821E-3</v>
          </cell>
          <cell r="K85">
            <v>2.5523457483585341E-4</v>
          </cell>
          <cell r="L85">
            <v>7.860564909513663E-4</v>
          </cell>
          <cell r="M85">
            <v>2.2603198311712448E-4</v>
          </cell>
          <cell r="N85">
            <v>4.3158460552348231E-4</v>
          </cell>
          <cell r="O85">
            <v>4.0184517756871796E-3</v>
          </cell>
        </row>
        <row r="86">
          <cell r="A86" t="str">
            <v>D-RHES_LTH_CHPNGA</v>
          </cell>
          <cell r="B86" t="str">
            <v>VAR_fout</v>
          </cell>
          <cell r="C86" t="str">
            <v>LTH</v>
          </cell>
          <cell r="D86"/>
          <cell r="E86"/>
          <cell r="F86">
            <v>9.2450694911497446E-6</v>
          </cell>
          <cell r="G86">
            <v>1.4815388398586916E-5</v>
          </cell>
          <cell r="H86">
            <v>4.6190263629383104E-5</v>
          </cell>
          <cell r="I86">
            <v>6.4364107625961524E-5</v>
          </cell>
          <cell r="J86">
            <v>7.3274712370215636E-5</v>
          </cell>
          <cell r="K86">
            <v>1.0872528345047518E-4</v>
          </cell>
          <cell r="L86">
            <v>1.03580617529778E-4</v>
          </cell>
          <cell r="M86">
            <v>1.374807815645523E-4</v>
          </cell>
          <cell r="N86">
            <v>3.6238759649920521E-4</v>
          </cell>
          <cell r="O86">
            <v>5.8760930940343062E-4</v>
          </cell>
        </row>
        <row r="87">
          <cell r="A87" t="str">
            <v>D-RHES_LTH_CHPNGA</v>
          </cell>
          <cell r="B87" t="str">
            <v>VAR_fout</v>
          </cell>
          <cell r="C87" t="str">
            <v>RHES_LTH_CHPNGA_ON</v>
          </cell>
          <cell r="D87">
            <v>3.1593170188502967E-2</v>
          </cell>
          <cell r="E87">
            <v>3.3401925856283866E-3</v>
          </cell>
          <cell r="F87">
            <v>2.4763732628258546E-2</v>
          </cell>
          <cell r="G87">
            <v>2.1858265338232215E-2</v>
          </cell>
          <cell r="H87">
            <v>4.8895118897795506E-2</v>
          </cell>
          <cell r="I87">
            <v>5.1047493878837141E-2</v>
          </cell>
          <cell r="J87">
            <v>4.7727943947339896E-2</v>
          </cell>
          <cell r="K87">
            <v>5.8528503575674629E-2</v>
          </cell>
          <cell r="L87">
            <v>5.3071656029025492E-2</v>
          </cell>
          <cell r="M87">
            <v>5.3785786600676094E-2</v>
          </cell>
          <cell r="N87">
            <v>0.32901277339238338</v>
          </cell>
          <cell r="O87">
            <v>0.31653946863522719</v>
          </cell>
        </row>
        <row r="88">
          <cell r="A88" t="str">
            <v>D-RHES_LTH_CHPNGA</v>
          </cell>
          <cell r="B88" t="str">
            <v>VAR_fin</v>
          </cell>
          <cell r="C88" t="str">
            <v>RHES_LTH_CHPNGA</v>
          </cell>
          <cell r="D88">
            <v>3.5503134028633969E-2</v>
          </cell>
          <cell r="E88">
            <v>8.3613635171588523E-3</v>
          </cell>
          <cell r="F88">
            <v>2.8456203026482316E-2</v>
          </cell>
          <cell r="G88">
            <v>2.3676444071360294E-2</v>
          </cell>
          <cell r="H88">
            <v>4.9795427829957897E-2</v>
          </cell>
          <cell r="I88">
            <v>5.125420916491686E-2</v>
          </cell>
          <cell r="J88">
            <v>4.9004970903097314E-2</v>
          </cell>
          <cell r="K88">
            <v>5.8892463433960957E-2</v>
          </cell>
          <cell r="L88">
            <v>5.396129313750659E-2</v>
          </cell>
          <cell r="M88">
            <v>5.4149299365357735E-2</v>
          </cell>
          <cell r="N88">
            <v>0.32980674559440587</v>
          </cell>
          <cell r="O88">
            <v>0.32114552972031774</v>
          </cell>
        </row>
        <row r="89">
          <cell r="A89" t="str">
            <v>D-ICOA</v>
          </cell>
          <cell r="B89" t="str">
            <v>VAR_fout</v>
          </cell>
          <cell r="C89" t="str">
            <v>ICOA</v>
          </cell>
          <cell r="D89">
            <v>3.5600046665558427</v>
          </cell>
          <cell r="E89">
            <v>3.4647169319511666</v>
          </cell>
          <cell r="F89">
            <v>3.2337699067947607</v>
          </cell>
          <cell r="G89">
            <v>3.6007281934830235E-3</v>
          </cell>
          <cell r="H89">
            <v>3.9038377100870949E-3</v>
          </cell>
          <cell r="I89">
            <v>3.6506334394136881E-3</v>
          </cell>
          <cell r="J89">
            <v>5.6072647622365124E-3</v>
          </cell>
          <cell r="K89">
            <v>1.2070446445515892E-2</v>
          </cell>
          <cell r="L89">
            <v>7.5510906371049312E-3</v>
          </cell>
          <cell r="M89">
            <v>1.1397405697162728E-2</v>
          </cell>
          <cell r="N89">
            <v>6.4781681295358901E-3</v>
          </cell>
          <cell r="O89">
            <v>1.2024115243862548E-2</v>
          </cell>
        </row>
        <row r="90">
          <cell r="A90" t="str">
            <v>D-ICOA</v>
          </cell>
          <cell r="B90" t="str">
            <v>VAR_fout</v>
          </cell>
          <cell r="C90" t="str">
            <v>CO2</v>
          </cell>
          <cell r="D90">
            <v>330.01243258972602</v>
          </cell>
          <cell r="E90">
            <v>321.17925959187301</v>
          </cell>
          <cell r="F90">
            <v>299.77047035987403</v>
          </cell>
          <cell r="G90">
            <v>0.333787503535876</v>
          </cell>
          <cell r="H90">
            <v>0.36188575572507398</v>
          </cell>
          <cell r="I90">
            <v>0.33841371983364898</v>
          </cell>
          <cell r="J90">
            <v>0.51979344345932499</v>
          </cell>
          <cell r="K90">
            <v>1.11893038549932</v>
          </cell>
          <cell r="L90">
            <v>0.69998610205962797</v>
          </cell>
          <cell r="M90">
            <v>1.0565395081269799</v>
          </cell>
          <cell r="N90">
            <v>0.60052618560797699</v>
          </cell>
          <cell r="O90">
            <v>1.1146354831060601</v>
          </cell>
        </row>
        <row r="91">
          <cell r="A91" t="str">
            <v>D-ICOA</v>
          </cell>
          <cell r="B91" t="str">
            <v>VAR_fin</v>
          </cell>
          <cell r="C91" t="str">
            <v>COA</v>
          </cell>
          <cell r="D91">
            <v>3.5600046665558427</v>
          </cell>
          <cell r="E91">
            <v>3.4647169319511666</v>
          </cell>
          <cell r="F91">
            <v>3.2337699067947607</v>
          </cell>
          <cell r="G91">
            <v>3.6007281934830235E-3</v>
          </cell>
          <cell r="H91">
            <v>3.9038377100870949E-3</v>
          </cell>
          <cell r="I91">
            <v>3.6506334394136881E-3</v>
          </cell>
          <cell r="J91">
            <v>5.6072647622365124E-3</v>
          </cell>
          <cell r="K91">
            <v>1.2070446445515892E-2</v>
          </cell>
          <cell r="L91">
            <v>7.5510906371049312E-3</v>
          </cell>
          <cell r="M91">
            <v>1.1397405697162728E-2</v>
          </cell>
          <cell r="N91">
            <v>6.4781681295358901E-3</v>
          </cell>
          <cell r="O91">
            <v>1.2024115243862548E-2</v>
          </cell>
        </row>
        <row r="92">
          <cell r="A92" t="str">
            <v>RHEM-SHCONBR1</v>
          </cell>
          <cell r="B92" t="str">
            <v>VAR_fout</v>
          </cell>
          <cell r="C92" t="str">
            <v>RHEM-SHCON</v>
          </cell>
          <cell r="D92">
            <v>0.39004443560146523</v>
          </cell>
          <cell r="E92">
            <v>0.7804654181716506</v>
          </cell>
          <cell r="F92">
            <v>0.78026377307360639</v>
          </cell>
          <cell r="G92">
            <v>0.78028136986586849</v>
          </cell>
          <cell r="H92">
            <v>0.78028883524967785</v>
          </cell>
          <cell r="I92">
            <v>0.78030752451875474</v>
          </cell>
          <cell r="J92">
            <v>0.78025861971187505</v>
          </cell>
          <cell r="K92">
            <v>2.0051684991477661</v>
          </cell>
          <cell r="L92">
            <v>3.4265259899531615</v>
          </cell>
          <cell r="M92">
            <v>3.4261379494810473</v>
          </cell>
          <cell r="N92">
            <v>3.4263632414015501</v>
          </cell>
          <cell r="O92">
            <v>3.4260450067685726</v>
          </cell>
        </row>
        <row r="93">
          <cell r="A93" t="str">
            <v>RHEM-SHCONBR1</v>
          </cell>
          <cell r="B93" t="str">
            <v>VAR_fin</v>
          </cell>
          <cell r="C93" t="str">
            <v>CON</v>
          </cell>
          <cell r="D93">
            <v>0.39004443560146523</v>
          </cell>
          <cell r="E93">
            <v>0.7804654181716506</v>
          </cell>
          <cell r="F93">
            <v>0.78026377307360639</v>
          </cell>
          <cell r="G93">
            <v>0.78028136986586849</v>
          </cell>
          <cell r="H93">
            <v>0.78028883524967785</v>
          </cell>
          <cell r="I93">
            <v>0.78030752451875474</v>
          </cell>
          <cell r="J93">
            <v>0.78025861971187505</v>
          </cell>
          <cell r="K93">
            <v>2.0051684991477661</v>
          </cell>
          <cell r="L93">
            <v>3.4265259899531615</v>
          </cell>
          <cell r="M93">
            <v>3.4261379494810473</v>
          </cell>
          <cell r="N93">
            <v>3.4263632414015501</v>
          </cell>
          <cell r="O93">
            <v>3.4260450067685726</v>
          </cell>
        </row>
        <row r="94">
          <cell r="A94" t="str">
            <v>RHEM-SHCONBR1</v>
          </cell>
          <cell r="B94" t="str">
            <v>VAR_ncap</v>
          </cell>
          <cell r="C94" t="str">
            <v>-</v>
          </cell>
          <cell r="D94">
            <v>2.7552107943333799E-2</v>
          </cell>
          <cell r="E94">
            <v>2.755208894326E-2</v>
          </cell>
          <cell r="F94">
            <v>2.0400254456917101E-7</v>
          </cell>
          <cell r="G94">
            <v>2.5120567441959102E-7</v>
          </cell>
          <cell r="H94">
            <v>2.0719358814751699E-7</v>
          </cell>
          <cell r="I94">
            <v>2.12967953321155E-7</v>
          </cell>
          <cell r="J94">
            <v>9.9961253339386404E-8</v>
          </cell>
          <cell r="K94">
            <v>0.113608719667455</v>
          </cell>
          <cell r="L94">
            <v>0.12836845089114099</v>
          </cell>
          <cell r="M94">
            <v>1.8408032028108999E-7</v>
          </cell>
          <cell r="N94">
            <v>2.65846242784031E-7</v>
          </cell>
          <cell r="O94">
            <v>1.14474941645952E-6</v>
          </cell>
        </row>
        <row r="95">
          <cell r="A95" t="str">
            <v>RHEM-SHCONBR1</v>
          </cell>
          <cell r="B95" t="str">
            <v>VAR_cap</v>
          </cell>
          <cell r="C95" t="str">
            <v>-</v>
          </cell>
          <cell r="D95">
            <v>2.7552107943333799E-2</v>
          </cell>
          <cell r="E95">
            <v>5.5104196886593799E-2</v>
          </cell>
          <cell r="F95">
            <v>5.51044008891384E-2</v>
          </cell>
          <cell r="G95">
            <v>5.51046520948128E-2</v>
          </cell>
          <cell r="H95">
            <v>5.5104859288400997E-2</v>
          </cell>
          <cell r="I95">
            <v>5.5105072256354297E-2</v>
          </cell>
          <cell r="J95">
            <v>5.5105172217607599E-2</v>
          </cell>
          <cell r="K95">
            <v>0.141615299809664</v>
          </cell>
          <cell r="L95">
            <v>0.24197793641488199</v>
          </cell>
          <cell r="M95">
            <v>0.24197787476171101</v>
          </cell>
          <cell r="N95">
            <v>0.24197793677276599</v>
          </cell>
          <cell r="O95">
            <v>0.24197886519582901</v>
          </cell>
        </row>
        <row r="96">
          <cell r="A96" t="str">
            <v>RHEM-SHELCBR</v>
          </cell>
          <cell r="B96" t="str">
            <v>VAR_fout</v>
          </cell>
          <cell r="C96" t="str">
            <v>RHEM-SHAELCB</v>
          </cell>
          <cell r="D96">
            <v>4.6280384125329812</v>
          </cell>
          <cell r="E96">
            <v>3.7231944403153521</v>
          </cell>
          <cell r="F96">
            <v>4.2959480052801826</v>
          </cell>
          <cell r="G96">
            <v>3.055166432508587</v>
          </cell>
          <cell r="H96">
            <v>1.899878149949416</v>
          </cell>
          <cell r="I96">
            <v>2.1061234485044755</v>
          </cell>
          <cell r="J96">
            <v>1.6202141142999211</v>
          </cell>
          <cell r="K96">
            <v>1.4139947856618944</v>
          </cell>
          <cell r="L96">
            <v>0.34563845929640508</v>
          </cell>
          <cell r="M96">
            <v>0.32405368770833515</v>
          </cell>
          <cell r="N96">
            <v>0.31750298737834071</v>
          </cell>
          <cell r="O96">
            <v>0.25342275463547537</v>
          </cell>
        </row>
        <row r="97">
          <cell r="A97" t="str">
            <v>RHEM-SHELCBR</v>
          </cell>
          <cell r="B97" t="str">
            <v>VAR_fin</v>
          </cell>
          <cell r="C97" t="str">
            <v>RHEM_ELC</v>
          </cell>
          <cell r="D97">
            <v>4.8716193816136668</v>
          </cell>
          <cell r="E97">
            <v>3.9191520424372084</v>
          </cell>
          <cell r="F97">
            <v>4.5220505318738713</v>
          </cell>
          <cell r="G97">
            <v>3.2159646657985106</v>
          </cell>
          <cell r="H97">
            <v>1.9998717367888579</v>
          </cell>
          <cell r="I97">
            <v>2.216972051057343</v>
          </cell>
          <cell r="J97">
            <v>1.7054885413683376</v>
          </cell>
          <cell r="K97">
            <v>1.4884155638546255</v>
          </cell>
          <cell r="L97">
            <v>0.36382995715411054</v>
          </cell>
          <cell r="M97">
            <v>0.3411091449561427</v>
          </cell>
          <cell r="N97">
            <v>0.33421367092456933</v>
          </cell>
          <cell r="O97">
            <v>0.26676079435313188</v>
          </cell>
        </row>
        <row r="98">
          <cell r="A98" t="str">
            <v>RHEM-SHELCBR</v>
          </cell>
          <cell r="B98" t="str">
            <v>VAR_ncap</v>
          </cell>
          <cell r="C98" t="str">
            <v>-</v>
          </cell>
          <cell r="D98">
            <v>5.0558265658003797E-6</v>
          </cell>
          <cell r="E98">
            <v>7.7728131771574204E-6</v>
          </cell>
          <cell r="F98">
            <v>1.0072685497338E-5</v>
          </cell>
          <cell r="G98">
            <v>1.5635634199865399E-5</v>
          </cell>
          <cell r="H98">
            <v>6.8007963976830302E-2</v>
          </cell>
          <cell r="I98">
            <v>8.9023500559231097E-2</v>
          </cell>
          <cell r="J98">
            <v>5.5854210065026303E-6</v>
          </cell>
          <cell r="K98">
            <v>1.63425024563362E-2</v>
          </cell>
          <cell r="L98">
            <v>1.3136014281745401E-4</v>
          </cell>
          <cell r="M98">
            <v>1.0906277514229901E-2</v>
          </cell>
          <cell r="N98">
            <v>1.27769767678527E-2</v>
          </cell>
          <cell r="O98">
            <v>1.3190181855288899E-4</v>
          </cell>
        </row>
        <row r="99">
          <cell r="A99" t="str">
            <v>RHEM-SHELCBR</v>
          </cell>
          <cell r="B99" t="str">
            <v>VAR_cap</v>
          </cell>
          <cell r="C99" t="str">
            <v>-</v>
          </cell>
          <cell r="D99">
            <v>0.32680619977490477</v>
          </cell>
          <cell r="E99">
            <v>0.32681111404017582</v>
          </cell>
          <cell r="F99">
            <v>0.32681876566266449</v>
          </cell>
          <cell r="G99">
            <v>0.32682818515315171</v>
          </cell>
          <cell r="H99">
            <v>0.15277990946527892</v>
          </cell>
          <cell r="I99">
            <v>0.15704284930344889</v>
          </cell>
          <cell r="J99">
            <v>0.15702756010593194</v>
          </cell>
          <cell r="K99">
            <v>0.10536541394664538</v>
          </cell>
          <cell r="L99">
            <v>3.0150944434532923E-2</v>
          </cell>
          <cell r="M99">
            <v>2.7372217839348244E-2</v>
          </cell>
          <cell r="N99">
            <v>2.6657278408268235E-2</v>
          </cell>
          <cell r="O99">
            <v>2.3806903711512822E-2</v>
          </cell>
        </row>
        <row r="100">
          <cell r="A100" t="str">
            <v>RHNM-SHLTHCHPNGA</v>
          </cell>
          <cell r="B100" t="str">
            <v>VAR_fout</v>
          </cell>
          <cell r="C100" t="str">
            <v>RHNM-SHLTHC-NGA</v>
          </cell>
          <cell r="D100"/>
          <cell r="E100">
            <v>2.5727945655240965E-3</v>
          </cell>
          <cell r="F100">
            <v>4.3769603563335029E-2</v>
          </cell>
          <cell r="G100">
            <v>0.74207204134477533</v>
          </cell>
          <cell r="H100">
            <v>0.74500152495638294</v>
          </cell>
          <cell r="I100">
            <v>0.74676648159558656</v>
          </cell>
          <cell r="J100">
            <v>0.74560215467543112</v>
          </cell>
          <cell r="K100">
            <v>0.7283364743853078</v>
          </cell>
          <cell r="L100">
            <v>0.73389641534328942</v>
          </cell>
          <cell r="M100">
            <v>0.75035761710243454</v>
          </cell>
          <cell r="N100">
            <v>0.43276576652024468</v>
          </cell>
          <cell r="O100">
            <v>0.12244889763760734</v>
          </cell>
        </row>
        <row r="101">
          <cell r="A101" t="str">
            <v>RHNM-SHLTHCHPNGA</v>
          </cell>
          <cell r="B101" t="str">
            <v>VAR_fin</v>
          </cell>
          <cell r="C101" t="str">
            <v>RHNMLTHCHPC</v>
          </cell>
          <cell r="D101"/>
          <cell r="E101">
            <v>2.5727945655240965E-3</v>
          </cell>
          <cell r="F101">
            <v>4.3769603563335029E-2</v>
          </cell>
          <cell r="G101">
            <v>0.74207204134477533</v>
          </cell>
          <cell r="H101">
            <v>0.74500152495638294</v>
          </cell>
          <cell r="I101">
            <v>0.74676648159558656</v>
          </cell>
          <cell r="J101">
            <v>0.74560215467543112</v>
          </cell>
          <cell r="K101">
            <v>0.7283364743853078</v>
          </cell>
          <cell r="L101">
            <v>0.73389641534328942</v>
          </cell>
          <cell r="M101">
            <v>0.75035761710243454</v>
          </cell>
          <cell r="N101">
            <v>0.43276576652024468</v>
          </cell>
          <cell r="O101">
            <v>0.12244889763760734</v>
          </cell>
        </row>
        <row r="102">
          <cell r="A102" t="str">
            <v>RHNM-SHLTHCHPNGA</v>
          </cell>
          <cell r="B102" t="str">
            <v>VAR_fin</v>
          </cell>
          <cell r="C102" t="str">
            <v>RHNM_LTH_CHPNGA_ON</v>
          </cell>
          <cell r="D102"/>
          <cell r="E102">
            <v>2.5987823894182802E-3</v>
          </cell>
          <cell r="F102">
            <v>4.4211720771045487E-2</v>
          </cell>
          <cell r="G102">
            <v>0.74956771853007587</v>
          </cell>
          <cell r="H102">
            <v>0.75252679288523516</v>
          </cell>
          <cell r="I102">
            <v>0.75430957736927928</v>
          </cell>
          <cell r="J102">
            <v>0.75313348957114223</v>
          </cell>
          <cell r="K102">
            <v>0.73569340847000797</v>
          </cell>
          <cell r="L102">
            <v>0.74130951044776716</v>
          </cell>
          <cell r="M102">
            <v>0.75793698697215528</v>
          </cell>
          <cell r="N102">
            <v>0.43713713789923719</v>
          </cell>
          <cell r="O102">
            <v>0.12368575518950238</v>
          </cell>
        </row>
        <row r="103">
          <cell r="A103" t="str">
            <v>RHNM-SHLTHCHPNGA</v>
          </cell>
          <cell r="B103" t="str">
            <v>VAR_ncap</v>
          </cell>
          <cell r="C103" t="str">
            <v>-</v>
          </cell>
          <cell r="D103"/>
          <cell r="E103">
            <v>3.3299300205655199E-4</v>
          </cell>
          <cell r="F103">
            <v>3.9540028176768298E-3</v>
          </cell>
          <cell r="G103">
            <v>5.5638295444994303E-2</v>
          </cell>
          <cell r="H103">
            <v>3.62234504523972E-2</v>
          </cell>
          <cell r="I103">
            <v>4.1021664544555102E-2</v>
          </cell>
          <cell r="J103">
            <v>3.8457648050430497E-2</v>
          </cell>
          <cell r="K103">
            <v>4.0332894821905302E-2</v>
          </cell>
          <cell r="L103">
            <v>3.7473017265601399E-2</v>
          </cell>
          <cell r="M103">
            <v>3.6137907831004901E-2</v>
          </cell>
          <cell r="N103">
            <v>2.1848857058818699E-2</v>
          </cell>
          <cell r="O103">
            <v>7.8275053355798194E-3</v>
          </cell>
        </row>
        <row r="104">
          <cell r="A104" t="str">
            <v>RHNM-SHLTHCHPNGA</v>
          </cell>
          <cell r="B104" t="str">
            <v>VAR_cap</v>
          </cell>
          <cell r="C104" t="str">
            <v>-</v>
          </cell>
          <cell r="D104"/>
          <cell r="E104">
            <v>3.3299300205655199E-4</v>
          </cell>
          <cell r="F104">
            <v>4.1598797727050605E-3</v>
          </cell>
          <cell r="G104">
            <v>5.8013540403827377E-2</v>
          </cell>
          <cell r="H104">
            <v>6.0236399101064597E-2</v>
          </cell>
          <cell r="I104">
            <v>6.1913470317493904E-2</v>
          </cell>
          <cell r="J104">
            <v>6.5778942518203792E-2</v>
          </cell>
          <cell r="K104">
            <v>6.3808954352443395E-2</v>
          </cell>
          <cell r="L104">
            <v>6.3118727720197304E-2</v>
          </cell>
          <cell r="M104">
            <v>6.2991913776169001E-2</v>
          </cell>
          <cell r="N104">
            <v>3.9941883020437698E-2</v>
          </cell>
          <cell r="O104">
            <v>1.4744964321998101E-2</v>
          </cell>
        </row>
        <row r="105">
          <cell r="A105" t="str">
            <v>RHEM-SHCONBR2</v>
          </cell>
          <cell r="B105" t="str">
            <v>VAR_fout</v>
          </cell>
          <cell r="C105" t="str">
            <v>RHEM-SHCON</v>
          </cell>
          <cell r="D105">
            <v>0.60740195570860789</v>
          </cell>
          <cell r="E105">
            <v>1.215524300488273</v>
          </cell>
          <cell r="F105">
            <v>1.2152643136043526</v>
          </cell>
          <cell r="G105">
            <v>1.2153141961315759</v>
          </cell>
          <cell r="H105">
            <v>1.2153090740047987</v>
          </cell>
          <cell r="I105">
            <v>1.2153352593738787</v>
          </cell>
          <cell r="J105">
            <v>1.2152716531684291</v>
          </cell>
          <cell r="K105">
            <v>0.61816773030518968</v>
          </cell>
          <cell r="L105">
            <v>1.7957466124058147E-2</v>
          </cell>
          <cell r="M105">
            <v>1.7989820900075535E-2</v>
          </cell>
          <cell r="N105">
            <v>1.7957410254156005E-2</v>
          </cell>
          <cell r="O105">
            <v>1.8060482208777429E-2</v>
          </cell>
        </row>
        <row r="106">
          <cell r="A106" t="str">
            <v>RHEM-SHCONBR2</v>
          </cell>
          <cell r="B106" t="str">
            <v>VAR_fin</v>
          </cell>
          <cell r="C106" t="str">
            <v>CON</v>
          </cell>
          <cell r="D106">
            <v>0.60740195570860789</v>
          </cell>
          <cell r="E106">
            <v>1.215524300488273</v>
          </cell>
          <cell r="F106">
            <v>1.2152643136043526</v>
          </cell>
          <cell r="G106">
            <v>1.2153141961315759</v>
          </cell>
          <cell r="H106">
            <v>1.2153090740047987</v>
          </cell>
          <cell r="I106">
            <v>1.2153352593738787</v>
          </cell>
          <cell r="J106">
            <v>1.2152716531684291</v>
          </cell>
          <cell r="K106">
            <v>0.61816773030518968</v>
          </cell>
          <cell r="L106">
            <v>1.7957466124058147E-2</v>
          </cell>
          <cell r="M106">
            <v>1.7989820900075535E-2</v>
          </cell>
          <cell r="N106">
            <v>1.7957410254156005E-2</v>
          </cell>
          <cell r="O106">
            <v>1.8060482208777429E-2</v>
          </cell>
        </row>
        <row r="107">
          <cell r="A107" t="str">
            <v>RHEM-SHCONBR2</v>
          </cell>
          <cell r="B107" t="str">
            <v>VAR_ncap</v>
          </cell>
          <cell r="C107" t="str">
            <v>-</v>
          </cell>
          <cell r="D107">
            <v>4.2912642614414603E-2</v>
          </cell>
          <cell r="E107">
            <v>4.2912607109411E-2</v>
          </cell>
          <cell r="F107">
            <v>2.0265142879954899E-7</v>
          </cell>
          <cell r="G107">
            <v>2.15124196289638E-7</v>
          </cell>
          <cell r="H107">
            <v>1.6099499531284E-7</v>
          </cell>
          <cell r="I107">
            <v>1.87742992668977E-7</v>
          </cell>
          <cell r="J107">
            <v>9.4221233627517998E-8</v>
          </cell>
          <cell r="K107">
            <v>4.15462813420551E-5</v>
          </cell>
          <cell r="L107">
            <v>1.2246042156112899E-3</v>
          </cell>
          <cell r="M107">
            <v>1.88172821022375E-7</v>
          </cell>
          <cell r="N107">
            <v>2.7324332620321302E-7</v>
          </cell>
          <cell r="O107">
            <v>1.2066511007966799E-6</v>
          </cell>
        </row>
        <row r="108">
          <cell r="A108" t="str">
            <v>RHEM-SHCONBR2</v>
          </cell>
          <cell r="B108" t="str">
            <v>VAR_cap</v>
          </cell>
          <cell r="C108" t="str">
            <v>-</v>
          </cell>
          <cell r="D108">
            <v>4.2912642614414603E-2</v>
          </cell>
          <cell r="E108">
            <v>8.5825249723825603E-2</v>
          </cell>
          <cell r="F108">
            <v>8.5825452375254394E-2</v>
          </cell>
          <cell r="G108">
            <v>8.5825667499450697E-2</v>
          </cell>
          <cell r="H108">
            <v>8.5825828494446005E-2</v>
          </cell>
          <cell r="I108">
            <v>8.5826016237438699E-2</v>
          </cell>
          <cell r="J108">
            <v>8.5826110458672306E-2</v>
          </cell>
          <cell r="K108">
            <v>4.3661370872012301E-2</v>
          </cell>
          <cell r="L108">
            <v>1.26681237881962E-3</v>
          </cell>
          <cell r="M108">
            <v>1.2667816289959799E-3</v>
          </cell>
          <cell r="N108">
            <v>1.26689300191025E-3</v>
          </cell>
          <cell r="O108">
            <v>1.267912785435E-3</v>
          </cell>
        </row>
        <row r="109">
          <cell r="A109" t="str">
            <v>D-RHSA_LTH</v>
          </cell>
          <cell r="B109" t="str">
            <v>VAR_fout</v>
          </cell>
          <cell r="C109" t="str">
            <v>RHSA_LTH</v>
          </cell>
          <cell r="D109">
            <v>2.0938881557861972E-3</v>
          </cell>
          <cell r="E109">
            <v>4.5931878139840676E-2</v>
          </cell>
          <cell r="F109">
            <v>2.0000766593979705E-2</v>
          </cell>
          <cell r="G109">
            <v>1.142728700972832E-2</v>
          </cell>
          <cell r="H109">
            <v>2.2283258873104981E-2</v>
          </cell>
          <cell r="I109">
            <v>0.21532454658789996</v>
          </cell>
          <cell r="J109">
            <v>6.5296784465264546E-2</v>
          </cell>
          <cell r="K109">
            <v>0.22009966299036132</v>
          </cell>
          <cell r="L109">
            <v>6.7986058030022084E-2</v>
          </cell>
          <cell r="M109">
            <v>0.10358342225623339</v>
          </cell>
          <cell r="N109">
            <v>0.16210976492083304</v>
          </cell>
          <cell r="O109">
            <v>3.4252491988995278E-2</v>
          </cell>
        </row>
        <row r="110">
          <cell r="A110" t="str">
            <v>D-RHSA_LTH</v>
          </cell>
          <cell r="B110" t="str">
            <v>VAR_fin</v>
          </cell>
          <cell r="C110" t="str">
            <v>RHEM_LTH_CHPWOD_ON</v>
          </cell>
          <cell r="D110">
            <v>3.2805206674516851E-5</v>
          </cell>
          <cell r="E110">
            <v>4.7605376099432186E-5</v>
          </cell>
          <cell r="F110">
            <v>3.1898553593538176E-5</v>
          </cell>
          <cell r="G110">
            <v>3.6299357265037665E-4</v>
          </cell>
          <cell r="H110">
            <v>1.1334890534362909E-3</v>
          </cell>
          <cell r="I110">
            <v>3.2053255040336986E-3</v>
          </cell>
          <cell r="J110">
            <v>2.1079645540518226E-3</v>
          </cell>
          <cell r="K110">
            <v>9.5946150118260479E-3</v>
          </cell>
          <cell r="L110">
            <v>5.2621072692064534E-3</v>
          </cell>
          <cell r="M110">
            <v>6.8521459118707859E-3</v>
          </cell>
          <cell r="N110">
            <v>8.1137655689741805E-3</v>
          </cell>
          <cell r="O110">
            <v>1.7687582163396188E-3</v>
          </cell>
        </row>
        <row r="111">
          <cell r="A111" t="str">
            <v>D-RHSA_LTH</v>
          </cell>
          <cell r="B111" t="str">
            <v>VAR_fin</v>
          </cell>
          <cell r="C111" t="str">
            <v>RHNM_LTH_CHPWOD_ON</v>
          </cell>
          <cell r="D111">
            <v>4.1266876330081412E-5</v>
          </cell>
          <cell r="E111">
            <v>4.277592713460216E-5</v>
          </cell>
          <cell r="F111">
            <v>1.8348402548250719E-5</v>
          </cell>
          <cell r="G111">
            <v>1.6784718474196791E-3</v>
          </cell>
          <cell r="H111">
            <v>7.2983460326931781E-4</v>
          </cell>
          <cell r="I111">
            <v>3.9693316072272854E-3</v>
          </cell>
          <cell r="J111">
            <v>1.5349535034720531E-4</v>
          </cell>
          <cell r="K111">
            <v>1.1134166486482543E-2</v>
          </cell>
          <cell r="L111">
            <v>3.0925314817198814E-3</v>
          </cell>
          <cell r="M111">
            <v>1.6146758766862018E-3</v>
          </cell>
          <cell r="N111">
            <v>1.0085294980772106E-2</v>
          </cell>
          <cell r="O111">
            <v>7.1330265601486924E-4</v>
          </cell>
        </row>
        <row r="112">
          <cell r="A112" t="str">
            <v>D-RHSA_LTH</v>
          </cell>
          <cell r="B112" t="str">
            <v>VAR_fin</v>
          </cell>
          <cell r="C112" t="str">
            <v>RHES_LTH_CHPWOD_ON</v>
          </cell>
          <cell r="D112">
            <v>2.7777304440417864E-5</v>
          </cell>
          <cell r="E112">
            <v>7.0248281241993353E-5</v>
          </cell>
          <cell r="F112">
            <v>1.8400932351534007E-5</v>
          </cell>
          <cell r="G112"/>
          <cell r="H112">
            <v>4.508897925444926E-4</v>
          </cell>
          <cell r="I112">
            <v>3.3105269077987539E-4</v>
          </cell>
          <cell r="J112">
            <v>6.0369422526172897E-4</v>
          </cell>
          <cell r="K112">
            <v>1.8302519881966833E-3</v>
          </cell>
          <cell r="L112">
            <v>5.0497861511793294E-4</v>
          </cell>
          <cell r="M112">
            <v>1.9169652938882346E-3</v>
          </cell>
          <cell r="N112">
            <v>1.6315431156589321E-3</v>
          </cell>
          <cell r="O112">
            <v>9.6986617322639482E-5</v>
          </cell>
        </row>
        <row r="113">
          <cell r="A113" t="str">
            <v>D-RHSA_LTH</v>
          </cell>
          <cell r="B113" t="str">
            <v>VAR_fin</v>
          </cell>
          <cell r="C113" t="str">
            <v>RHNS_LTH_CHPWOD_ON</v>
          </cell>
          <cell r="D113">
            <v>5.3045944061268834E-5</v>
          </cell>
          <cell r="E113">
            <v>4.765389322221005E-5</v>
          </cell>
          <cell r="F113">
            <v>3.8916478042389305E-6</v>
          </cell>
          <cell r="G113">
            <v>7.2899723633638243E-4</v>
          </cell>
          <cell r="H113">
            <v>3.1008808008881576E-4</v>
          </cell>
          <cell r="I113"/>
          <cell r="J113">
            <v>1.267487128906539E-3</v>
          </cell>
          <cell r="K113">
            <v>2.4502197886538627E-3</v>
          </cell>
          <cell r="L113">
            <v>8.0404892618921161E-4</v>
          </cell>
          <cell r="M113">
            <v>5.615993661492621E-5</v>
          </cell>
          <cell r="N113">
            <v>2.5628562728241553E-3</v>
          </cell>
          <cell r="O113">
            <v>4.9077033595987442E-3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RHEM_LTH_CHPNGA_ON</v>
          </cell>
          <cell r="D114">
            <v>1.2693957710552303E-3</v>
          </cell>
          <cell r="E114">
            <v>4.4953011183209705E-2</v>
          </cell>
          <cell r="F114">
            <v>1.2964563859688211E-2</v>
          </cell>
          <cell r="G114">
            <v>7.4796879822329216E-4</v>
          </cell>
          <cell r="H114">
            <v>1.7099186068222742E-2</v>
          </cell>
          <cell r="I114">
            <v>0.14389826512322515</v>
          </cell>
          <cell r="J114">
            <v>2.7347623721989709E-2</v>
          </cell>
          <cell r="K114">
            <v>8.0471658081883959E-2</v>
          </cell>
          <cell r="L114">
            <v>2.6077900309578347E-2</v>
          </cell>
          <cell r="M114">
            <v>3.9221657358129651E-2</v>
          </cell>
          <cell r="N114">
            <v>4.682649353340624E-2</v>
          </cell>
          <cell r="O114">
            <v>2.3335249018759035E-2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RHNM_LTH_CHPNGA_ON</v>
          </cell>
          <cell r="D115">
            <v>3.2690812844986578E-5</v>
          </cell>
          <cell r="E115">
            <v>1.8238667452048589E-4</v>
          </cell>
          <cell r="F115">
            <v>4.2596540298183404E-3</v>
          </cell>
          <cell r="G115">
            <v>6.7653389066715756E-3</v>
          </cell>
          <cell r="H115">
            <v>8.7550004791689677E-4</v>
          </cell>
          <cell r="I115">
            <v>6.2328743063918855E-2</v>
          </cell>
          <cell r="J115">
            <v>3.1766660654880527E-2</v>
          </cell>
          <cell r="K115">
            <v>0.10625129779503777</v>
          </cell>
          <cell r="L115">
            <v>3.0245001003073625E-2</v>
          </cell>
          <cell r="M115">
            <v>4.9715483527595923E-2</v>
          </cell>
          <cell r="N115">
            <v>8.6498548748519977E-2</v>
          </cell>
          <cell r="O115">
            <v>3.1972009444970226E-3</v>
          </cell>
        </row>
        <row r="116">
          <cell r="A116" t="str">
            <v>D-RHSA_LTH</v>
          </cell>
          <cell r="B116" t="str">
            <v>VAR_fin</v>
          </cell>
          <cell r="C116" t="str">
            <v>RHES_LTH_CHPNGA_ON</v>
          </cell>
          <cell r="D116">
            <v>5.8333303476833134E-4</v>
          </cell>
          <cell r="E116"/>
          <cell r="F116">
            <v>2.4094566617971964E-3</v>
          </cell>
          <cell r="G116"/>
          <cell r="H116">
            <v>8.8960271125243832E-4</v>
          </cell>
          <cell r="I116">
            <v>1.591828598715025E-3</v>
          </cell>
          <cell r="J116">
            <v>2.3769654118675632E-4</v>
          </cell>
          <cell r="K116">
            <v>4.8054286026692292E-3</v>
          </cell>
          <cell r="L116">
            <v>1.0361008728344127E-3</v>
          </cell>
          <cell r="M116">
            <v>4.0953204592616872E-3</v>
          </cell>
          <cell r="N116">
            <v>1.4149968527777783E-3</v>
          </cell>
          <cell r="O116">
            <v>2.332911764633241E-4</v>
          </cell>
        </row>
        <row r="117">
          <cell r="A117" t="str">
            <v>D-RHSA_LTH</v>
          </cell>
          <cell r="B117" t="str">
            <v>VAR_fin</v>
          </cell>
          <cell r="C117" t="str">
            <v>RHNS_LTH_CHPNGA_ON</v>
          </cell>
          <cell r="D117">
            <v>5.357320561136597E-5</v>
          </cell>
          <cell r="E117">
            <v>5.8819680441223369E-4</v>
          </cell>
          <cell r="F117">
            <v>2.9455250637839598E-4</v>
          </cell>
          <cell r="G117">
            <v>1.1435166484270167E-3</v>
          </cell>
          <cell r="H117">
            <v>7.9466851637397353E-4</v>
          </cell>
          <cell r="I117"/>
          <cell r="J117">
            <v>1.8121622886402128E-3</v>
          </cell>
          <cell r="K117">
            <v>3.5620252356111794E-3</v>
          </cell>
          <cell r="L117">
            <v>9.6338955230218309E-4</v>
          </cell>
          <cell r="M117">
            <v>1.1101389218599728E-4</v>
          </cell>
          <cell r="N117">
            <v>4.976265847899718E-3</v>
          </cell>
        </row>
        <row r="118">
          <cell r="A118" t="str">
            <v>RHEM-SHLTHCHPWOD</v>
          </cell>
          <cell r="B118" t="str">
            <v>VAR_fout</v>
          </cell>
          <cell r="C118" t="str">
            <v>RHEM-SHLTHC-WOD</v>
          </cell>
          <cell r="D118"/>
          <cell r="E118"/>
          <cell r="F118"/>
          <cell r="G118">
            <v>8.535729122376717E-3</v>
          </cell>
          <cell r="H118">
            <v>1.1543732511746198E-2</v>
          </cell>
          <cell r="I118">
            <v>1.017228383193724E-2</v>
          </cell>
          <cell r="J118">
            <v>1.1519137679045558E-2</v>
          </cell>
          <cell r="K118">
            <v>2.5822257469488644E-2</v>
          </cell>
          <cell r="L118">
            <v>2.5615292983606732E-2</v>
          </cell>
          <cell r="M118">
            <v>2.0767034162734677E-2</v>
          </cell>
          <cell r="N118">
            <v>2.4274576416664046E-2</v>
          </cell>
          <cell r="O118">
            <v>4.7170840831594348E-2</v>
          </cell>
        </row>
        <row r="119">
          <cell r="A119" t="str">
            <v>RHEM-SHLTHCHPWOD</v>
          </cell>
          <cell r="B119" t="str">
            <v>VAR_fin</v>
          </cell>
          <cell r="C119" t="str">
            <v>RHEM_LTH_CHPWOD_ON</v>
          </cell>
          <cell r="D119"/>
          <cell r="E119"/>
          <cell r="F119"/>
          <cell r="G119">
            <v>8.6219486084613307E-3</v>
          </cell>
          <cell r="H119">
            <v>1.1660335870450707E-2</v>
          </cell>
          <cell r="I119">
            <v>1.027503417367398E-2</v>
          </cell>
          <cell r="J119">
            <v>1.1635492605096524E-2</v>
          </cell>
          <cell r="K119">
            <v>2.608308835301883E-2</v>
          </cell>
          <cell r="L119">
            <v>2.5874033316774483E-2</v>
          </cell>
          <cell r="M119">
            <v>2.0976802184580499E-2</v>
          </cell>
          <cell r="N119">
            <v>2.4519774158246525E-2</v>
          </cell>
          <cell r="O119">
            <v>4.7647313971307406E-2</v>
          </cell>
        </row>
        <row r="120">
          <cell r="A120" t="str">
            <v>RHEM-SHLTHCHPWOD</v>
          </cell>
          <cell r="B120" t="str">
            <v>VAR_fin</v>
          </cell>
          <cell r="C120" t="str">
            <v>RHEMLTHCHPC</v>
          </cell>
          <cell r="D120"/>
          <cell r="E120"/>
          <cell r="F120"/>
          <cell r="G120">
            <v>8.535729122376717E-3</v>
          </cell>
          <cell r="H120">
            <v>1.1543732511746198E-2</v>
          </cell>
          <cell r="I120">
            <v>1.017228383193724E-2</v>
          </cell>
          <cell r="J120">
            <v>1.1519137679045558E-2</v>
          </cell>
          <cell r="K120">
            <v>2.5822257469488644E-2</v>
          </cell>
          <cell r="L120">
            <v>2.5615292983606732E-2</v>
          </cell>
          <cell r="M120">
            <v>2.0767034162734677E-2</v>
          </cell>
          <cell r="N120">
            <v>2.4274576416664046E-2</v>
          </cell>
          <cell r="O120">
            <v>4.7170840831594348E-2</v>
          </cell>
        </row>
        <row r="121">
          <cell r="A121" t="str">
            <v>RHEM-SHLTHCHPWOD</v>
          </cell>
          <cell r="B121" t="str">
            <v>VAR_ncap</v>
          </cell>
          <cell r="C121" t="str">
            <v>-</v>
          </cell>
          <cell r="D121"/>
          <cell r="E121"/>
          <cell r="F121"/>
          <cell r="G121">
            <v>8.3510954961511005E-4</v>
          </cell>
          <cell r="H121">
            <v>9.2324047356616098E-4</v>
          </cell>
          <cell r="I121">
            <v>8.34020844429717E-4</v>
          </cell>
          <cell r="J121">
            <v>9.1755906325329797E-4</v>
          </cell>
          <cell r="K121">
            <v>2.3515463965020499E-3</v>
          </cell>
          <cell r="L121">
            <v>1.8728875839928399E-3</v>
          </cell>
          <cell r="M121">
            <v>1.54172222526155E-3</v>
          </cell>
          <cell r="N121">
            <v>1.84857499705385E-3</v>
          </cell>
          <cell r="O121">
            <v>3.77434482249082E-3</v>
          </cell>
        </row>
        <row r="122">
          <cell r="A122" t="str">
            <v>RHEM-SHLTHCHPWOD</v>
          </cell>
          <cell r="B122" t="str">
            <v>VAR_cap</v>
          </cell>
          <cell r="C122" t="str">
            <v>-</v>
          </cell>
          <cell r="D122"/>
          <cell r="E122"/>
          <cell r="F122"/>
          <cell r="G122">
            <v>8.3510954961511005E-4</v>
          </cell>
          <cell r="H122">
            <v>1.1949195377983688E-3</v>
          </cell>
          <cell r="I122">
            <v>1.1135602191721002E-3</v>
          </cell>
          <cell r="J122">
            <v>1.3423621242463499E-3</v>
          </cell>
          <cell r="K122">
            <v>2.9365962465863499E-3</v>
          </cell>
          <cell r="L122">
            <v>2.7739285439100699E-3</v>
          </cell>
          <cell r="M122">
            <v>2.4060551091631098E-3</v>
          </cell>
          <cell r="N122">
            <v>2.6949013888168801E-3</v>
          </cell>
          <cell r="O122">
            <v>4.8967699419777203E-3</v>
          </cell>
        </row>
        <row r="123">
          <cell r="A123" t="str">
            <v>D-RHEM_LTH_CHPWOD</v>
          </cell>
          <cell r="B123" t="str">
            <v>VAR_fout</v>
          </cell>
          <cell r="C123" t="str">
            <v>RHEM_LTH_CHPWOD_ON</v>
          </cell>
          <cell r="D123">
            <v>3.2805206674516851E-5</v>
          </cell>
          <cell r="E123">
            <v>4.7605376099432186E-5</v>
          </cell>
          <cell r="F123">
            <v>3.1898553593538176E-5</v>
          </cell>
          <cell r="G123">
            <v>8.9849421811117047E-3</v>
          </cell>
          <cell r="H123">
            <v>1.2793824923886992E-2</v>
          </cell>
          <cell r="I123">
            <v>1.3480359677707684E-2</v>
          </cell>
          <cell r="J123">
            <v>1.3743457159148351E-2</v>
          </cell>
          <cell r="K123">
            <v>3.5677703364844909E-2</v>
          </cell>
          <cell r="L123">
            <v>3.1136140585980968E-2</v>
          </cell>
          <cell r="M123">
            <v>2.782894809645127E-2</v>
          </cell>
          <cell r="N123">
            <v>3.2633539727220717E-2</v>
          </cell>
          <cell r="O123">
            <v>4.9416072187647035E-2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RHSA_LTH</v>
          </cell>
          <cell r="D124">
            <v>4.1635131552726852E-5</v>
          </cell>
          <cell r="E124">
            <v>8.4289942068961271E-5</v>
          </cell>
          <cell r="F124">
            <v>3.7535456157751124E-5</v>
          </cell>
          <cell r="G124">
            <v>1.2231722630515309E-3</v>
          </cell>
          <cell r="H124">
            <v>1.7320080948912877E-3</v>
          </cell>
          <cell r="I124">
            <v>2.7681376744443102E-4</v>
          </cell>
          <cell r="J124">
            <v>2.5234979194771038E-3</v>
          </cell>
          <cell r="K124">
            <v>5.3598006635783874E-4</v>
          </cell>
          <cell r="L124">
            <v>4.3388182726820119E-3</v>
          </cell>
          <cell r="M124">
            <v>8.1451647111897276E-4</v>
          </cell>
          <cell r="N124">
            <v>5.9798488352231474E-4</v>
          </cell>
          <cell r="O124">
            <v>8.9433403605313246E-3</v>
          </cell>
        </row>
        <row r="125">
          <cell r="A125" t="str">
            <v>D-RHEM_LTH_CHPWOD</v>
          </cell>
          <cell r="B125" t="str">
            <v>VAR_fout</v>
          </cell>
          <cell r="C125" t="str">
            <v>LTH</v>
          </cell>
          <cell r="D125"/>
          <cell r="E125">
            <v>2.3135277455649381E-6</v>
          </cell>
          <cell r="F125">
            <v>4.5267959812567604E-6</v>
          </cell>
          <cell r="G125">
            <v>6.0609910547155413E-6</v>
          </cell>
          <cell r="H125">
            <v>1.4304254555607224E-5</v>
          </cell>
          <cell r="I125">
            <v>1.8217719116785012E-5</v>
          </cell>
          <cell r="J125">
            <v>2.6379236597110602E-5</v>
          </cell>
          <cell r="K125">
            <v>6.8952953949966681E-5</v>
          </cell>
          <cell r="L125">
            <v>7.6022511378884142E-5</v>
          </cell>
          <cell r="M125">
            <v>7.3367184660340788E-5</v>
          </cell>
          <cell r="N125">
            <v>9.3934851595924636E-5</v>
          </cell>
          <cell r="O125">
            <v>1.8349876464289418E-4</v>
          </cell>
        </row>
        <row r="126">
          <cell r="A126" t="str">
            <v>D-RHEM_LTH_CHPWOD</v>
          </cell>
          <cell r="B126" t="str">
            <v>VAR_fin</v>
          </cell>
          <cell r="C126" t="str">
            <v>RHEM_LTH_CHPWOD</v>
          </cell>
          <cell r="D126">
            <v>7.4440338227243724E-5</v>
          </cell>
          <cell r="E126">
            <v>1.3420884591395843E-4</v>
          </cell>
          <cell r="F126">
            <v>7.3960805732546103E-5</v>
          </cell>
          <cell r="G126">
            <v>1.0214771333754329E-2</v>
          </cell>
          <cell r="H126">
            <v>1.4540137273333901E-2</v>
          </cell>
          <cell r="I126">
            <v>1.3775391164268895E-2</v>
          </cell>
          <cell r="J126">
            <v>1.6293334315222566E-2</v>
          </cell>
          <cell r="K126">
            <v>3.6282636385152653E-2</v>
          </cell>
          <cell r="L126">
            <v>3.5550981370041854E-2</v>
          </cell>
          <cell r="M126">
            <v>2.8716831752230578E-2</v>
          </cell>
          <cell r="N126">
            <v>3.3325459462338926E-2</v>
          </cell>
          <cell r="O126">
            <v>5.8542911312821286E-2</v>
          </cell>
        </row>
        <row r="127">
          <cell r="A127" t="str">
            <v>RHES-SHLTHDH</v>
          </cell>
          <cell r="B127" t="str">
            <v>VAR_fout</v>
          </cell>
          <cell r="C127" t="str">
            <v>RHES-SHLTHD</v>
          </cell>
          <cell r="D127">
            <v>1.8610523946389201</v>
          </cell>
          <cell r="E127">
            <v>3.5037976909707642</v>
          </cell>
          <cell r="F127">
            <v>3.5035255154097404</v>
          </cell>
          <cell r="G127">
            <v>2.7221419114080221</v>
          </cell>
          <cell r="H127">
            <v>3.2747630794182712</v>
          </cell>
          <cell r="I127">
            <v>3.1103052145554582</v>
          </cell>
          <cell r="J127">
            <v>2.9236598389109116</v>
          </cell>
          <cell r="K127">
            <v>2.7490414763996669</v>
          </cell>
          <cell r="L127">
            <v>2.5647565099058371</v>
          </cell>
          <cell r="M127">
            <v>2.37458525725605</v>
          </cell>
          <cell r="N127">
            <v>2.3264740518325291</v>
          </cell>
          <cell r="O127">
            <v>1.9401651484952209</v>
          </cell>
        </row>
        <row r="128">
          <cell r="A128" t="str">
            <v>RHES-SHLTHDH</v>
          </cell>
          <cell r="B128" t="str">
            <v>VAR_fin</v>
          </cell>
          <cell r="C128" t="str">
            <v>RHESLTHDHC</v>
          </cell>
          <cell r="D128">
            <v>1.8610523946389201</v>
          </cell>
          <cell r="E128">
            <v>3.5037976909707642</v>
          </cell>
          <cell r="F128">
            <v>3.5035255154097404</v>
          </cell>
          <cell r="G128">
            <v>2.7221419114080221</v>
          </cell>
          <cell r="H128">
            <v>3.2747630794182712</v>
          </cell>
          <cell r="I128">
            <v>3.1103052145554582</v>
          </cell>
          <cell r="J128">
            <v>2.9236598389109116</v>
          </cell>
          <cell r="K128">
            <v>2.7490414763996669</v>
          </cell>
          <cell r="L128">
            <v>2.5647565099058371</v>
          </cell>
          <cell r="M128">
            <v>2.37458525725605</v>
          </cell>
          <cell r="N128">
            <v>2.3264740518325291</v>
          </cell>
          <cell r="O128">
            <v>1.9401651484952209</v>
          </cell>
        </row>
        <row r="129">
          <cell r="A129" t="str">
            <v>RHES-SHLTHDH</v>
          </cell>
          <cell r="B129" t="str">
            <v>VAR_fin</v>
          </cell>
          <cell r="C129" t="str">
            <v>RHES_LTH_DH</v>
          </cell>
          <cell r="D129">
            <v>1.8798509036756779</v>
          </cell>
          <cell r="E129">
            <v>3.5391895868391585</v>
          </cell>
          <cell r="F129">
            <v>3.5389146620300429</v>
          </cell>
          <cell r="G129">
            <v>2.7496382943515383</v>
          </cell>
          <cell r="H129">
            <v>3.3078414943618908</v>
          </cell>
          <cell r="I129">
            <v>3.141722438944909</v>
          </cell>
          <cell r="J129">
            <v>2.9531917564756669</v>
          </cell>
          <cell r="K129">
            <v>2.7768095721208774</v>
          </cell>
          <cell r="L129">
            <v>2.5906631413190278</v>
          </cell>
          <cell r="M129">
            <v>2.3985709669253041</v>
          </cell>
          <cell r="N129">
            <v>2.3499737897298298</v>
          </cell>
          <cell r="O129">
            <v>1.9597627762577996</v>
          </cell>
          <cell r="P129"/>
          <cell r="Q129"/>
          <cell r="R129"/>
        </row>
        <row r="130">
          <cell r="A130" t="str">
            <v>RHES-SHLTHDH</v>
          </cell>
          <cell r="B130" t="str">
            <v>VAR_ncap</v>
          </cell>
          <cell r="C130" t="str">
            <v>-</v>
          </cell>
          <cell r="D130"/>
          <cell r="E130">
            <v>1.68287459293773E-7</v>
          </cell>
          <cell r="F130">
            <v>7.1629165884151905E-8</v>
          </cell>
          <cell r="G130">
            <v>7.5039958969412303E-8</v>
          </cell>
          <cell r="H130">
            <v>1.2821541553454699E-7</v>
          </cell>
          <cell r="I130">
            <v>1.3960280202212101E-7</v>
          </cell>
          <cell r="J130">
            <v>1.6502935246671499E-7</v>
          </cell>
          <cell r="K130">
            <v>2.0365365814698799E-7</v>
          </cell>
          <cell r="L130">
            <v>2.2805957200145301E-7</v>
          </cell>
          <cell r="M130">
            <v>3.3650045928349499E-7</v>
          </cell>
          <cell r="N130">
            <v>4.3892884569404399E-7</v>
          </cell>
          <cell r="O130">
            <v>1.51258056806209E-6</v>
          </cell>
        </row>
        <row r="131">
          <cell r="A131" t="str">
            <v>RHES-SHLTHDH</v>
          </cell>
          <cell r="B131" t="str">
            <v>VAR_cap</v>
          </cell>
          <cell r="C131" t="str">
            <v>-</v>
          </cell>
          <cell r="D131">
            <v>0.31204626794151202</v>
          </cell>
          <cell r="E131">
            <v>0.31204643622897132</v>
          </cell>
          <cell r="F131">
            <v>0.3120465078581372</v>
          </cell>
          <cell r="G131">
            <v>0.31204658289809617</v>
          </cell>
          <cell r="H131">
            <v>0.31204671111351173</v>
          </cell>
          <cell r="I131">
            <v>0.31204685071631372</v>
          </cell>
          <cell r="J131">
            <v>0.31204701574566618</v>
          </cell>
          <cell r="K131">
            <v>0.31204721939932434</v>
          </cell>
          <cell r="L131">
            <v>0.31204744745889634</v>
          </cell>
          <cell r="M131">
            <v>0.31204778395935562</v>
          </cell>
          <cell r="N131">
            <v>0.31204822288820133</v>
          </cell>
          <cell r="O131">
            <v>0.31204973546876941</v>
          </cell>
        </row>
        <row r="132">
          <cell r="A132" t="str">
            <v>RHEM-SHCONBR3</v>
          </cell>
          <cell r="B132" t="str">
            <v>VAR_fout</v>
          </cell>
          <cell r="C132" t="str">
            <v>RHEM-SHCON</v>
          </cell>
          <cell r="D132">
            <v>0.47298365805064257</v>
          </cell>
          <cell r="E132">
            <v>0.96160580517076433</v>
          </cell>
          <cell r="F132">
            <v>0.96137563902361478</v>
          </cell>
          <cell r="G132">
            <v>0.96140561801369362</v>
          </cell>
          <cell r="H132">
            <v>0.96140629881663153</v>
          </cell>
          <cell r="I132">
            <v>0.9614270081777847</v>
          </cell>
          <cell r="J132">
            <v>0.96137115804678164</v>
          </cell>
          <cell r="K132">
            <v>0.49109928476391074</v>
          </cell>
          <cell r="L132">
            <v>1.2752240549313435E-3</v>
          </cell>
          <cell r="M132">
            <v>1.3107883703979363E-3</v>
          </cell>
          <cell r="N132">
            <v>1.2802385188288219E-3</v>
          </cell>
          <cell r="O132">
            <v>1.4160615775210147E-3</v>
          </cell>
        </row>
        <row r="133">
          <cell r="A133" t="str">
            <v>RHEM-SHCONBR3</v>
          </cell>
          <cell r="B133" t="str">
            <v>VAR_fin</v>
          </cell>
          <cell r="C133" t="str">
            <v>CON</v>
          </cell>
          <cell r="D133">
            <v>0.47298365805064257</v>
          </cell>
          <cell r="E133">
            <v>0.96160580517076433</v>
          </cell>
          <cell r="F133">
            <v>0.96137563902361478</v>
          </cell>
          <cell r="G133">
            <v>0.96140561801369362</v>
          </cell>
          <cell r="H133">
            <v>0.96140629881663153</v>
          </cell>
          <cell r="I133">
            <v>0.9614270081777847</v>
          </cell>
          <cell r="J133">
            <v>0.96137115804678164</v>
          </cell>
          <cell r="K133">
            <v>0.49109928476391074</v>
          </cell>
          <cell r="L133">
            <v>1.2752240549313435E-3</v>
          </cell>
          <cell r="M133">
            <v>1.3107883703979363E-3</v>
          </cell>
          <cell r="N133">
            <v>1.2802385188288219E-3</v>
          </cell>
          <cell r="O133">
            <v>1.4160615775210147E-3</v>
          </cell>
        </row>
        <row r="134">
          <cell r="A134" t="str">
            <v>RHEM-SHCONBR3</v>
          </cell>
          <cell r="B134" t="str">
            <v>VAR_ncap</v>
          </cell>
          <cell r="C134" t="str">
            <v>-</v>
          </cell>
          <cell r="D134">
            <v>3.3413292126877998E-2</v>
          </cell>
          <cell r="E134">
            <v>3.4481870790070701E-2</v>
          </cell>
          <cell r="F134">
            <v>7.3361291378571398E-8</v>
          </cell>
          <cell r="G134">
            <v>9.4880489362621502E-8</v>
          </cell>
          <cell r="H134">
            <v>9.8658765703975903E-8</v>
          </cell>
          <cell r="I134">
            <v>1.0793185232754799E-7</v>
          </cell>
          <cell r="J134">
            <v>6.7504464391176897E-8</v>
          </cell>
          <cell r="K134">
            <v>1.8299167373698401E-6</v>
          </cell>
          <cell r="L134">
            <v>8.6097310114556104E-5</v>
          </cell>
          <cell r="M134">
            <v>2.1417506588416901E-7</v>
          </cell>
          <cell r="N134">
            <v>3.8070410546225698E-7</v>
          </cell>
          <cell r="O134">
            <v>3.0532052831424299E-6</v>
          </cell>
        </row>
        <row r="135">
          <cell r="A135" t="str">
            <v>RHEM-SHCONBR3</v>
          </cell>
          <cell r="B135" t="str">
            <v>VAR_cap</v>
          </cell>
          <cell r="C135" t="str">
            <v>-</v>
          </cell>
          <cell r="D135">
            <v>3.3413292126877998E-2</v>
          </cell>
          <cell r="E135">
            <v>6.7895162916948804E-2</v>
          </cell>
          <cell r="F135">
            <v>6.7895236278240206E-2</v>
          </cell>
          <cell r="G135">
            <v>6.7895331158729505E-2</v>
          </cell>
          <cell r="H135">
            <v>6.7895429817495204E-2</v>
          </cell>
          <cell r="I135">
            <v>6.7895537749347507E-2</v>
          </cell>
          <cell r="J135">
            <v>6.78956052538119E-2</v>
          </cell>
          <cell r="K135">
            <v>3.4686693612518298E-2</v>
          </cell>
          <cell r="L135">
            <v>8.8293015270567894E-5</v>
          </cell>
          <cell r="M135">
            <v>8.8415497000232798E-5</v>
          </cell>
          <cell r="N135">
            <v>8.8698120242101402E-5</v>
          </cell>
          <cell r="O135">
            <v>9.1642815770805996E-5</v>
          </cell>
        </row>
        <row r="136">
          <cell r="A136" t="str">
            <v>D-RHSA_ELC</v>
          </cell>
          <cell r="B136" t="str">
            <v>VAR_fout</v>
          </cell>
          <cell r="C136" t="str">
            <v>RHSA_ELC</v>
          </cell>
          <cell r="D136">
            <v>57.537088940701565</v>
          </cell>
          <cell r="E136">
            <v>55.02945794718844</v>
          </cell>
          <cell r="F136">
            <v>55.307805094225472</v>
          </cell>
          <cell r="G136">
            <v>57.519652557771529</v>
          </cell>
          <cell r="H136">
            <v>65.678999024483062</v>
          </cell>
          <cell r="I136">
            <v>67.262934242002302</v>
          </cell>
          <cell r="J136">
            <v>69.574425922971756</v>
          </cell>
          <cell r="K136">
            <v>72.601049693159183</v>
          </cell>
          <cell r="L136">
            <v>76.218422748775012</v>
          </cell>
          <cell r="M136">
            <v>81.444282377014716</v>
          </cell>
          <cell r="N136">
            <v>84.117810845914391</v>
          </cell>
          <cell r="O136">
            <v>91.820975020357594</v>
          </cell>
        </row>
        <row r="137">
          <cell r="A137" t="str">
            <v>D-RHSA_ELC</v>
          </cell>
          <cell r="B137" t="str">
            <v>VAR_fin</v>
          </cell>
          <cell r="C137" t="str">
            <v>RHNS_ELC</v>
          </cell>
          <cell r="D137">
            <v>13.175261309831642</v>
          </cell>
          <cell r="E137">
            <v>15.221787234013686</v>
          </cell>
          <cell r="F137">
            <v>14.609323433311156</v>
          </cell>
          <cell r="G137">
            <v>14.430733837357105</v>
          </cell>
          <cell r="H137">
            <v>16.451115652208351</v>
          </cell>
          <cell r="I137">
            <v>16.525584759398392</v>
          </cell>
          <cell r="J137">
            <v>17.022854664823345</v>
          </cell>
          <cell r="K137">
            <v>18.038874923289594</v>
          </cell>
          <cell r="L137">
            <v>18.303215912767115</v>
          </cell>
          <cell r="M137">
            <v>20.138372011205497</v>
          </cell>
          <cell r="N137">
            <v>19.734071549966977</v>
          </cell>
          <cell r="O137">
            <v>21.24135575568949</v>
          </cell>
        </row>
        <row r="138">
          <cell r="A138" t="str">
            <v>D-RHSA_ELC</v>
          </cell>
          <cell r="B138" t="str">
            <v>VAR_fin</v>
          </cell>
          <cell r="C138" t="str">
            <v>RHES_ELC</v>
          </cell>
          <cell r="D138">
            <v>16.578959408911796</v>
          </cell>
          <cell r="E138">
            <v>13.314321365482147</v>
          </cell>
          <cell r="F138">
            <v>13.115274775737491</v>
          </cell>
          <cell r="G138">
            <v>14.333100673316457</v>
          </cell>
          <cell r="H138">
            <v>16.189628245741904</v>
          </cell>
          <cell r="I138">
            <v>17.292811132639493</v>
          </cell>
          <cell r="J138">
            <v>17.812454903368366</v>
          </cell>
          <cell r="K138">
            <v>18.735442485439147</v>
          </cell>
          <cell r="L138">
            <v>19.956743846039334</v>
          </cell>
          <cell r="M138">
            <v>21.137282459884361</v>
          </cell>
          <cell r="N138">
            <v>23.004761616164387</v>
          </cell>
          <cell r="O138">
            <v>25.373519943580924</v>
          </cell>
        </row>
        <row r="139">
          <cell r="A139" t="str">
            <v>D-RHSA_ELC</v>
          </cell>
          <cell r="B139" t="str">
            <v>VAR_fin</v>
          </cell>
          <cell r="C139" t="str">
            <v>RHNM_ELC</v>
          </cell>
          <cell r="D139">
            <v>11.83688115607413</v>
          </cell>
          <cell r="E139">
            <v>13.595313726378855</v>
          </cell>
          <cell r="F139">
            <v>15.06359967207033</v>
          </cell>
          <cell r="G139">
            <v>15.446433094530972</v>
          </cell>
          <cell r="H139">
            <v>17.663399267712403</v>
          </cell>
          <cell r="I139">
            <v>17.953279826798159</v>
          </cell>
          <cell r="J139">
            <v>18.452407078398476</v>
          </cell>
          <cell r="K139">
            <v>18.94332434676166</v>
          </cell>
          <cell r="L139">
            <v>19.827804291948183</v>
          </cell>
          <cell r="M139">
            <v>20.913528271444349</v>
          </cell>
          <cell r="N139">
            <v>21.521493111055978</v>
          </cell>
          <cell r="O139">
            <v>23.40252359168597</v>
          </cell>
        </row>
        <row r="140">
          <cell r="A140" t="str">
            <v>D-RHSA_ELC</v>
          </cell>
          <cell r="B140" t="str">
            <v>VAR_fin</v>
          </cell>
          <cell r="C140" t="str">
            <v>RHEM_ELC</v>
          </cell>
          <cell r="D140">
            <v>15.946029922828231</v>
          </cell>
          <cell r="E140">
            <v>12.898032716365535</v>
          </cell>
          <cell r="F140">
            <v>12.519619695348544</v>
          </cell>
          <cell r="G140">
            <v>13.309385405493824</v>
          </cell>
          <cell r="H140">
            <v>15.37486932662897</v>
          </cell>
          <cell r="I140">
            <v>15.491313816463618</v>
          </cell>
          <cell r="J140">
            <v>16.28676449694467</v>
          </cell>
          <cell r="K140">
            <v>16.883463137879598</v>
          </cell>
          <cell r="L140">
            <v>18.130708095522333</v>
          </cell>
          <cell r="M140">
            <v>19.255158021619241</v>
          </cell>
          <cell r="N140">
            <v>19.857539222050743</v>
          </cell>
          <cell r="O140">
            <v>21.803701948143278</v>
          </cell>
        </row>
        <row r="141">
          <cell r="A141" t="str">
            <v>SCOM-SHLTHDH</v>
          </cell>
          <cell r="B141" t="str">
            <v>VAR_fout</v>
          </cell>
          <cell r="C141" t="str">
            <v>SCOM-SHLTHD</v>
          </cell>
          <cell r="D141">
            <v>5.5539109690073012</v>
          </cell>
          <cell r="E141">
            <v>6.0159404214638927</v>
          </cell>
          <cell r="F141">
            <v>6.0159442030926273</v>
          </cell>
          <cell r="G141">
            <v>6.0159449139615884</v>
          </cell>
          <cell r="H141">
            <v>6.015948653564438</v>
          </cell>
          <cell r="I141">
            <v>6.0159585815936625</v>
          </cell>
          <cell r="J141">
            <v>6.4204880018937738</v>
          </cell>
          <cell r="K141">
            <v>8.700643781632607</v>
          </cell>
          <cell r="L141">
            <v>8.7010343967003365</v>
          </cell>
          <cell r="M141">
            <v>8.7010999023925883</v>
          </cell>
          <cell r="N141">
            <v>8.9449318779182718</v>
          </cell>
          <cell r="O141">
            <v>8.944990401246546</v>
          </cell>
        </row>
        <row r="142">
          <cell r="A142" t="str">
            <v>SCOM-SHLTHDH</v>
          </cell>
          <cell r="B142" t="str">
            <v>VAR_fin</v>
          </cell>
          <cell r="C142" t="str">
            <v>SCOMLTHDHC</v>
          </cell>
          <cell r="D142">
            <v>5.5539109690073012</v>
          </cell>
          <cell r="E142">
            <v>6.0159404214638927</v>
          </cell>
          <cell r="F142">
            <v>6.0159442030926273</v>
          </cell>
          <cell r="G142">
            <v>6.0159449139615884</v>
          </cell>
          <cell r="H142">
            <v>6.015948653564438</v>
          </cell>
          <cell r="I142">
            <v>6.0159585815936625</v>
          </cell>
          <cell r="J142">
            <v>6.4204880018937738</v>
          </cell>
          <cell r="K142">
            <v>8.700643781632607</v>
          </cell>
          <cell r="L142">
            <v>8.7010343967003365</v>
          </cell>
          <cell r="M142">
            <v>8.7010999023925883</v>
          </cell>
          <cell r="N142">
            <v>8.9449318779182718</v>
          </cell>
          <cell r="O142">
            <v>8.944990401246546</v>
          </cell>
        </row>
        <row r="143">
          <cell r="A143" t="str">
            <v>SCOM-SHLTHDH</v>
          </cell>
          <cell r="B143" t="str">
            <v>VAR_fin</v>
          </cell>
          <cell r="C143" t="str">
            <v>SCOM_LTH_DH</v>
          </cell>
          <cell r="D143">
            <v>5.6100110798053535</v>
          </cell>
          <cell r="E143">
            <v>6.0767074964281766</v>
          </cell>
          <cell r="F143">
            <v>6.0767113162551816</v>
          </cell>
          <cell r="G143">
            <v>6.0767120343046335</v>
          </cell>
          <cell r="H143">
            <v>6.0767158116812467</v>
          </cell>
          <cell r="I143">
            <v>6.0767258399935935</v>
          </cell>
          <cell r="J143">
            <v>6.4853414160543101</v>
          </cell>
          <cell r="K143">
            <v>8.7885290723561713</v>
          </cell>
          <cell r="L143">
            <v>8.7889236330306435</v>
          </cell>
          <cell r="M143">
            <v>8.7889898003965659</v>
          </cell>
          <cell r="N143">
            <v>9.0352847251699657</v>
          </cell>
          <cell r="O143">
            <v>9.0353438396429731</v>
          </cell>
        </row>
        <row r="144">
          <cell r="A144" t="str">
            <v>SCOM-SHLTHDH</v>
          </cell>
          <cell r="B144" t="str">
            <v>VAR_ncap</v>
          </cell>
          <cell r="C144" t="str">
            <v>-</v>
          </cell>
          <cell r="D144">
            <v>5.0317926102405202E-8</v>
          </cell>
          <cell r="E144">
            <v>1.5001306785127601E-7</v>
          </cell>
          <cell r="F144">
            <v>4.1457269912321199E-7</v>
          </cell>
          <cell r="G144">
            <v>3.4434252263031101E-7</v>
          </cell>
          <cell r="H144">
            <v>0.58712766960919405</v>
          </cell>
          <cell r="I144">
            <v>0.19164245155726001</v>
          </cell>
          <cell r="J144">
            <v>6.04864985881035E-4</v>
          </cell>
          <cell r="K144">
            <v>0.65744733426892299</v>
          </cell>
          <cell r="L144">
            <v>0.16227953773321599</v>
          </cell>
          <cell r="M144">
            <v>2.997043282649E-2</v>
          </cell>
          <cell r="N144">
            <v>0.59244767845417001</v>
          </cell>
          <cell r="O144">
            <v>0.22728419185509199</v>
          </cell>
        </row>
        <row r="145">
          <cell r="A145" t="str">
            <v>SCOM-SHLTHDH</v>
          </cell>
          <cell r="B145" t="str">
            <v>VAR_cap</v>
          </cell>
          <cell r="C145" t="str">
            <v>-</v>
          </cell>
          <cell r="D145">
            <v>0.84970030324813106</v>
          </cell>
          <cell r="E145">
            <v>0.84970045326119892</v>
          </cell>
          <cell r="F145">
            <v>0.84970086783389809</v>
          </cell>
          <cell r="G145">
            <v>0.84970121217642069</v>
          </cell>
          <cell r="H145">
            <v>0.80748512181420595</v>
          </cell>
          <cell r="I145">
            <v>0.77877048705789098</v>
          </cell>
          <cell r="J145">
            <v>0.77937498615233503</v>
          </cell>
          <cell r="K145">
            <v>0.84969465081206397</v>
          </cell>
          <cell r="L145">
            <v>0.84969823932356803</v>
          </cell>
          <cell r="M145">
            <v>0.84969730482862904</v>
          </cell>
          <cell r="N145">
            <v>0.84970115017828995</v>
          </cell>
          <cell r="O145">
            <v>0.84970230313575301</v>
          </cell>
        </row>
        <row r="146">
          <cell r="A146" t="str">
            <v>ITOT-SWHSTG-ELC</v>
          </cell>
          <cell r="B146" t="str">
            <v>VAR_fout</v>
          </cell>
          <cell r="C146" t="str">
            <v>ITOT-SWHAELC</v>
          </cell>
          <cell r="D146">
            <v>1.4426133270977238E-4</v>
          </cell>
          <cell r="E146">
            <v>6.2200593771010178E-5</v>
          </cell>
          <cell r="F146">
            <v>0.23279218148565878</v>
          </cell>
          <cell r="G146">
            <v>0.28438485988454687</v>
          </cell>
          <cell r="H146">
            <v>0.54945512194870982</v>
          </cell>
          <cell r="I146">
            <v>0.46678330921897621</v>
          </cell>
          <cell r="J146">
            <v>0.52756753962932168</v>
          </cell>
          <cell r="K146">
            <v>1.0351852943390647</v>
          </cell>
          <cell r="L146">
            <v>0.98478136902329727</v>
          </cell>
          <cell r="M146">
            <v>1.1050808855300007</v>
          </cell>
          <cell r="N146">
            <v>1.1970620722398333</v>
          </cell>
          <cell r="O146">
            <v>1.2521467594538604</v>
          </cell>
        </row>
        <row r="147">
          <cell r="A147" t="str">
            <v>ITOT-SWHSTG-ELC</v>
          </cell>
          <cell r="B147" t="str">
            <v>VAR_fin</v>
          </cell>
          <cell r="C147" t="str">
            <v>ITOT-SWHAELC</v>
          </cell>
          <cell r="D147">
            <v>1.0708191818297968E-4</v>
          </cell>
          <cell r="E147">
            <v>5.3612609710667223E-5</v>
          </cell>
          <cell r="F147">
            <v>0.30044270327663364</v>
          </cell>
          <cell r="G147">
            <v>0.35555295372397616</v>
          </cell>
          <cell r="H147">
            <v>0.6660913979148686</v>
          </cell>
          <cell r="I147">
            <v>0.54924251773051791</v>
          </cell>
          <cell r="J147">
            <v>0.60300806347746316</v>
          </cell>
          <cell r="K147">
            <v>1.1502956418760517</v>
          </cell>
          <cell r="L147">
            <v>1.0942907451312223</v>
          </cell>
          <cell r="M147">
            <v>1.2279580122184339</v>
          </cell>
          <cell r="N147">
            <v>1.3301627839538432</v>
          </cell>
          <cell r="O147">
            <v>1.3913668791577578</v>
          </cell>
        </row>
        <row r="148">
          <cell r="A148" t="str">
            <v>ITOT-SWHSTG-ELC</v>
          </cell>
          <cell r="B148" t="str">
            <v>VAR_ncap</v>
          </cell>
          <cell r="C148" t="str">
            <v>-</v>
          </cell>
          <cell r="D148">
            <v>5.1187144024000802E-3</v>
          </cell>
          <cell r="E148">
            <v>0.177951725322476</v>
          </cell>
          <cell r="F148">
            <v>3.2893730257248298E-4</v>
          </cell>
          <cell r="G148">
            <v>1.20761428988959E-2</v>
          </cell>
          <cell r="H148">
            <v>0.10516804504845</v>
          </cell>
          <cell r="I148">
            <v>0.11337289181355401</v>
          </cell>
          <cell r="J148">
            <v>2.51425489230141E-2</v>
          </cell>
          <cell r="K148">
            <v>9.8996536403565094E-2</v>
          </cell>
          <cell r="L148">
            <v>9.6172930502676807E-2</v>
          </cell>
          <cell r="M148">
            <v>4.8715399244261798E-2</v>
          </cell>
          <cell r="N148">
            <v>0.107088450459178</v>
          </cell>
          <cell r="O148">
            <v>8.6473152803344805E-2</v>
          </cell>
        </row>
        <row r="149">
          <cell r="A149" t="str">
            <v>ITOT-SWHSTG-ELC</v>
          </cell>
          <cell r="B149" t="str">
            <v>VAR_cap</v>
          </cell>
          <cell r="C149" t="str">
            <v>-</v>
          </cell>
          <cell r="D149">
            <v>5.1187144024000802E-3</v>
          </cell>
          <cell r="E149">
            <v>0.18306221062200276</v>
          </cell>
          <cell r="F149">
            <v>0.18337966029713307</v>
          </cell>
          <cell r="G149">
            <v>0.19545958881765857</v>
          </cell>
          <cell r="H149">
            <v>0.21004427651887045</v>
          </cell>
          <cell r="I149">
            <v>0.22837319571987039</v>
          </cell>
          <cell r="J149">
            <v>0.24366758889309031</v>
          </cell>
          <cell r="K149">
            <v>0.23746426662092043</v>
          </cell>
          <cell r="L149">
            <v>0.23431969391951096</v>
          </cell>
          <cell r="M149">
            <v>0.24377472105203044</v>
          </cell>
          <cell r="N149">
            <v>0.23889320057556798</v>
          </cell>
          <cell r="O149">
            <v>0.24218508557464521</v>
          </cell>
        </row>
        <row r="150">
          <cell r="A150" t="str">
            <v>D-SCOM_SOLELC</v>
          </cell>
          <cell r="B150" t="str">
            <v>VAR_fout</v>
          </cell>
          <cell r="C150" t="str">
            <v>ELC5</v>
          </cell>
          <cell r="D150">
            <v>0.57564493807350314</v>
          </cell>
          <cell r="E150">
            <v>1.7283991013696278</v>
          </cell>
          <cell r="F150">
            <v>2.0867970261750255</v>
          </cell>
          <cell r="G150">
            <v>2.5688978641127149</v>
          </cell>
          <cell r="H150">
            <v>2.3468783258514305</v>
          </cell>
          <cell r="I150">
            <v>2.8356151323824355</v>
          </cell>
          <cell r="J150">
            <v>2.9938685588645084</v>
          </cell>
          <cell r="K150">
            <v>2.722225388971518</v>
          </cell>
          <cell r="L150">
            <v>2.8653961797509178</v>
          </cell>
          <cell r="M150">
            <v>3.0084438972413712</v>
          </cell>
          <cell r="N150">
            <v>3.1326475420736895</v>
          </cell>
          <cell r="O150">
            <v>3.3689227872499119</v>
          </cell>
        </row>
        <row r="151">
          <cell r="A151" t="str">
            <v>D-SCOM_SOLELC</v>
          </cell>
          <cell r="B151" t="str">
            <v>VAR_fout</v>
          </cell>
          <cell r="C151" t="str">
            <v>SCOM_ELC</v>
          </cell>
          <cell r="D151">
            <v>2.2639787476984639</v>
          </cell>
          <cell r="E151">
            <v>1.566056065162531</v>
          </cell>
          <cell r="F151">
            <v>1.8468727651877588</v>
          </cell>
          <cell r="G151">
            <v>1.8397171488443667</v>
          </cell>
          <cell r="H151">
            <v>2.2862258552700405</v>
          </cell>
          <cell r="I151">
            <v>2.0338470983963095</v>
          </cell>
          <cell r="J151">
            <v>2.1239125982574536</v>
          </cell>
          <cell r="K151">
            <v>2.6538876616166718</v>
          </cell>
          <cell r="L151">
            <v>2.7872111680600269</v>
          </cell>
          <cell r="M151">
            <v>2.9296643244874265</v>
          </cell>
          <cell r="N151">
            <v>3.1080777849085459</v>
          </cell>
          <cell r="O151">
            <v>3.1787289598260369</v>
          </cell>
        </row>
        <row r="152">
          <cell r="A152" t="str">
            <v>D-SCOM_SOLELC</v>
          </cell>
          <cell r="B152" t="str">
            <v>VAR_fin</v>
          </cell>
          <cell r="C152" t="str">
            <v>SCOM_SOL_ELC</v>
          </cell>
          <cell r="D152">
            <v>2.8396236857719668</v>
          </cell>
          <cell r="E152">
            <v>3.2944552945441319</v>
          </cell>
          <cell r="F152">
            <v>3.9336697913627812</v>
          </cell>
          <cell r="G152">
            <v>4.40861501295708</v>
          </cell>
          <cell r="H152">
            <v>4.6331041811214675</v>
          </cell>
          <cell r="I152">
            <v>4.8694622307787476</v>
          </cell>
          <cell r="J152">
            <v>5.1177811571219607</v>
          </cell>
          <cell r="K152">
            <v>5.3761130505882004</v>
          </cell>
          <cell r="L152">
            <v>5.6526073478109407</v>
          </cell>
          <cell r="M152">
            <v>5.9381082217287968</v>
          </cell>
          <cell r="N152">
            <v>6.2407253269822354</v>
          </cell>
          <cell r="O152">
            <v>6.5476517470759505</v>
          </cell>
        </row>
        <row r="153">
          <cell r="A153" t="str">
            <v>D-ILFO</v>
          </cell>
          <cell r="B153" t="str">
            <v>VAR_fout</v>
          </cell>
          <cell r="C153" t="str">
            <v>CO2</v>
          </cell>
          <cell r="D153">
            <v>689.86864910362999</v>
          </cell>
          <cell r="E153">
            <v>659.57491758625997</v>
          </cell>
          <cell r="F153">
            <v>600.83486332758798</v>
          </cell>
          <cell r="G153">
            <v>534.56430268014606</v>
          </cell>
          <cell r="H153">
            <v>417.97601708459598</v>
          </cell>
          <cell r="I153">
            <v>259.75476355462303</v>
          </cell>
          <cell r="J153">
            <v>143.08561650221301</v>
          </cell>
          <cell r="K153">
            <v>28.0470864726285</v>
          </cell>
          <cell r="L153">
            <v>27.3931084776038</v>
          </cell>
          <cell r="M153">
            <v>27.6729966357729</v>
          </cell>
          <cell r="N153">
            <v>26.7790268810766</v>
          </cell>
          <cell r="O153">
            <v>26.9531786901385</v>
          </cell>
        </row>
        <row r="154">
          <cell r="A154" t="str">
            <v>D-ILFO</v>
          </cell>
          <cell r="B154" t="str">
            <v>VAR_fout</v>
          </cell>
          <cell r="C154" t="str">
            <v>ILFO</v>
          </cell>
          <cell r="D154">
            <v>9.2041660609747851</v>
          </cell>
          <cell r="E154">
            <v>8.7999897937175913</v>
          </cell>
          <cell r="F154">
            <v>8.0166775798785022</v>
          </cell>
          <cell r="G154">
            <v>7.1338780100183197</v>
          </cell>
          <cell r="H154">
            <v>5.5784471107939178</v>
          </cell>
          <cell r="I154">
            <v>3.467476765517655</v>
          </cell>
          <cell r="J154">
            <v>1.9108943047246356</v>
          </cell>
          <cell r="K154">
            <v>0.37607897666285878</v>
          </cell>
          <cell r="L154">
            <v>0.36735917421432862</v>
          </cell>
          <cell r="M154">
            <v>0.37127263369506802</v>
          </cell>
          <cell r="N154">
            <v>0.3594229019101321</v>
          </cell>
          <cell r="O154">
            <v>0.36412694530853507</v>
          </cell>
        </row>
        <row r="155">
          <cell r="A155" t="str">
            <v>D-ILFO</v>
          </cell>
          <cell r="B155" t="str">
            <v>VAR_fin</v>
          </cell>
          <cell r="C155" t="str">
            <v>LFO</v>
          </cell>
          <cell r="D155">
            <v>9.3604972741333849</v>
          </cell>
          <cell r="E155">
            <v>8.9494561409261859</v>
          </cell>
          <cell r="F155">
            <v>8.1524404793431238</v>
          </cell>
          <cell r="G155">
            <v>7.253246983448383</v>
          </cell>
          <cell r="H155">
            <v>5.6713163783527287</v>
          </cell>
          <cell r="I155">
            <v>3.5244879722472611</v>
          </cell>
          <cell r="J155">
            <v>1.9414601967735898</v>
          </cell>
          <cell r="K155">
            <v>0.38055748266795797</v>
          </cell>
          <cell r="L155">
            <v>0.3716839684885182</v>
          </cell>
          <cell r="M155">
            <v>0.37548163684902258</v>
          </cell>
          <cell r="N155">
            <v>0.36335178943116214</v>
          </cell>
          <cell r="O155">
            <v>0.36571477191504032</v>
          </cell>
        </row>
        <row r="156">
          <cell r="A156" t="str">
            <v>D-ILFO</v>
          </cell>
          <cell r="B156" t="str">
            <v>VAR_fin</v>
          </cell>
          <cell r="C156" t="str">
            <v>BDS</v>
          </cell>
          <cell r="D156"/>
          <cell r="E156"/>
          <cell r="F156">
            <v>3.9902148088558304E-4</v>
          </cell>
          <cell r="G156">
            <v>1.802912942384238E-3</v>
          </cell>
          <cell r="H156">
            <v>1.8797187800128851E-3</v>
          </cell>
          <cell r="I156">
            <v>1.8833031870489757E-3</v>
          </cell>
          <cell r="J156">
            <v>1.8942027064114985E-3</v>
          </cell>
          <cell r="K156">
            <v>1.9091321878306612E-3</v>
          </cell>
          <cell r="L156">
            <v>1.9169517704589452E-3</v>
          </cell>
          <cell r="M156">
            <v>2.0970001117011578E-3</v>
          </cell>
          <cell r="N156">
            <v>2.1768241617935104E-3</v>
          </cell>
          <cell r="O156">
            <v>4.6014255327558639E-3</v>
          </cell>
        </row>
        <row r="157">
          <cell r="A157" t="str">
            <v>RHEM-SHSTG-NGAHP</v>
          </cell>
          <cell r="B157" t="str">
            <v>VAR_fout</v>
          </cell>
          <cell r="C157" t="str">
            <v>RHEM-SHANGAH</v>
          </cell>
          <cell r="D157"/>
          <cell r="E157"/>
          <cell r="F157">
            <v>4.3623459415116693E-4</v>
          </cell>
          <cell r="G157">
            <v>5.5034085964243034E-4</v>
          </cell>
          <cell r="H157">
            <v>7.2764271564778249E-4</v>
          </cell>
          <cell r="I157">
            <v>5.4317905453079185E-4</v>
          </cell>
          <cell r="J157">
            <v>3.6514694490405941E-4</v>
          </cell>
          <cell r="K157">
            <v>8.8261256492020064E-4</v>
          </cell>
          <cell r="L157">
            <v>8.2881688420369346E-4</v>
          </cell>
          <cell r="M157">
            <v>6.2024143378228212E-4</v>
          </cell>
          <cell r="N157">
            <v>5.6967487311753589E-4</v>
          </cell>
          <cell r="O157">
            <v>1.7867894076993133E-3</v>
          </cell>
        </row>
        <row r="158">
          <cell r="A158" t="str">
            <v>RHEM-SHSTG-NGAHP</v>
          </cell>
          <cell r="B158" t="str">
            <v>VAR_fin</v>
          </cell>
          <cell r="C158" t="str">
            <v>RHEM-SHANGAH</v>
          </cell>
          <cell r="D158"/>
          <cell r="E158"/>
          <cell r="F158">
            <v>4.5096392568467575E-4</v>
          </cell>
          <cell r="G158">
            <v>5.4797286769799514E-4</v>
          </cell>
          <cell r="H158">
            <v>7.3583599672749232E-4</v>
          </cell>
          <cell r="I158">
            <v>5.5665092839648979E-4</v>
          </cell>
          <cell r="J158">
            <v>4.0811008198110977E-4</v>
          </cell>
          <cell r="K158">
            <v>9.2563838792379856E-4</v>
          </cell>
          <cell r="L158">
            <v>8.4742075268795188E-4</v>
          </cell>
          <cell r="M158">
            <v>6.656308857363822E-4</v>
          </cell>
          <cell r="N158">
            <v>5.9307991200166813E-4</v>
          </cell>
          <cell r="O158">
            <v>1.832995886640142E-3</v>
          </cell>
        </row>
        <row r="159">
          <cell r="A159" t="str">
            <v>RHEM-SHSTG-NGAHP</v>
          </cell>
          <cell r="B159" t="str">
            <v>VAR_ncap</v>
          </cell>
          <cell r="C159" t="str">
            <v>-</v>
          </cell>
          <cell r="D159">
            <v>4.0686316763281102E-5</v>
          </cell>
          <cell r="E159">
            <v>2.0057870448940101E-5</v>
          </cell>
          <cell r="F159">
            <v>1.5124248782911901E-4</v>
          </cell>
          <cell r="G159">
            <v>6.3000228512424898E-5</v>
          </cell>
          <cell r="H159">
            <v>1.01403916250636E-4</v>
          </cell>
          <cell r="I159">
            <v>8.6121690263221294E-5</v>
          </cell>
          <cell r="J159">
            <v>1.17957720964031E-4</v>
          </cell>
          <cell r="K159">
            <v>2.36991286944064E-4</v>
          </cell>
          <cell r="L159">
            <v>1.7232298622785999E-4</v>
          </cell>
          <cell r="M159">
            <v>2.0848848199520501E-4</v>
          </cell>
          <cell r="N159">
            <v>1.3908758909179599E-4</v>
          </cell>
          <cell r="O159">
            <v>6.0028121898503403E-4</v>
          </cell>
        </row>
        <row r="160">
          <cell r="A160" t="str">
            <v>RHEM-SHSTG-NGAHP</v>
          </cell>
          <cell r="B160" t="str">
            <v>VAR_cap</v>
          </cell>
          <cell r="C160" t="str">
            <v>-</v>
          </cell>
          <cell r="D160">
            <v>4.0686316763281102E-5</v>
          </cell>
          <cell r="E160">
            <v>-3.4686217792801913E-6</v>
          </cell>
          <cell r="F160">
            <v>1.4212358951537379E-4</v>
          </cell>
          <cell r="G160">
            <v>1.4923716278775204E-4</v>
          </cell>
          <cell r="H160">
            <v>1.8248427989563302E-4</v>
          </cell>
          <cell r="I160">
            <v>1.38256540876684E-4</v>
          </cell>
          <cell r="J160">
            <v>1.3889518361432003E-4</v>
          </cell>
          <cell r="K160">
            <v>2.58360975233076E-4</v>
          </cell>
          <cell r="L160">
            <v>2.23880260497785E-4</v>
          </cell>
          <cell r="M160">
            <v>2.5825620448798801E-4</v>
          </cell>
          <cell r="N160">
            <v>2.0040751184020297E-4</v>
          </cell>
          <cell r="O160">
            <v>6.8109351294011098E-4</v>
          </cell>
        </row>
        <row r="161">
          <cell r="A161" t="str">
            <v>RHEM-SHCONBR4</v>
          </cell>
          <cell r="B161" t="str">
            <v>VAR_fout</v>
          </cell>
          <cell r="C161" t="str">
            <v>RHEM-SHCON</v>
          </cell>
          <cell r="D161">
            <v>3.4912157471600084E-4</v>
          </cell>
          <cell r="E161">
            <v>0.48693024804966745</v>
          </cell>
          <cell r="F161">
            <v>0.48677749567102563</v>
          </cell>
          <cell r="G161">
            <v>0.4867656492150636</v>
          </cell>
          <cell r="H161">
            <v>0.4867811876416821</v>
          </cell>
          <cell r="I161">
            <v>0.48679213307513602</v>
          </cell>
          <cell r="J161">
            <v>0.48675478608508199</v>
          </cell>
          <cell r="K161">
            <v>0.32842210749860812</v>
          </cell>
          <cell r="L161">
            <v>7.5450300526129998E-4</v>
          </cell>
          <cell r="M161">
            <v>7.9111762309426784E-4</v>
          </cell>
          <cell r="N161">
            <v>7.6159428386313242E-4</v>
          </cell>
          <cell r="O161">
            <v>9.396685651213996E-4</v>
          </cell>
        </row>
        <row r="162">
          <cell r="A162" t="str">
            <v>RHEM-SHCONBR4</v>
          </cell>
          <cell r="B162" t="str">
            <v>VAR_fin</v>
          </cell>
          <cell r="C162" t="str">
            <v>CON</v>
          </cell>
          <cell r="D162">
            <v>3.4912157471600084E-4</v>
          </cell>
          <cell r="E162">
            <v>0.48693024804966745</v>
          </cell>
          <cell r="F162">
            <v>0.48677749567102563</v>
          </cell>
          <cell r="G162">
            <v>0.4867656492150636</v>
          </cell>
          <cell r="H162">
            <v>0.4867811876416821</v>
          </cell>
          <cell r="I162">
            <v>0.48679213307513602</v>
          </cell>
          <cell r="J162">
            <v>0.48675478608508199</v>
          </cell>
          <cell r="K162">
            <v>0.32842210749860812</v>
          </cell>
          <cell r="L162">
            <v>7.5450300526129998E-4</v>
          </cell>
          <cell r="M162">
            <v>7.9111762309426784E-4</v>
          </cell>
          <cell r="N162">
            <v>7.6159428386313242E-4</v>
          </cell>
          <cell r="O162">
            <v>9.396685651213996E-4</v>
          </cell>
        </row>
        <row r="163">
          <cell r="A163" t="str">
            <v>RHEM-SHCONBR4</v>
          </cell>
          <cell r="B163" t="str">
            <v>VAR_ncap</v>
          </cell>
          <cell r="C163" t="str">
            <v>-</v>
          </cell>
          <cell r="D163">
            <v>1.30912473763688E-5</v>
          </cell>
          <cell r="E163">
            <v>3.4363544744906702E-2</v>
          </cell>
          <cell r="F163">
            <v>5.69552278644816E-8</v>
          </cell>
          <cell r="G163">
            <v>7.2259222047603394E-8</v>
          </cell>
          <cell r="H163">
            <v>7.7461843281715504E-8</v>
          </cell>
          <cell r="I163">
            <v>8.9413629268087304E-8</v>
          </cell>
          <cell r="J163">
            <v>6.02293892054836E-8</v>
          </cell>
          <cell r="K163">
            <v>1.1455470165396599E-6</v>
          </cell>
          <cell r="L163">
            <v>5.0030037949512599E-5</v>
          </cell>
          <cell r="M163">
            <v>2.33947688029371E-7</v>
          </cell>
          <cell r="N163">
            <v>4.6284343486526898E-7</v>
          </cell>
          <cell r="O163">
            <v>5.83902774807936E-6</v>
          </cell>
        </row>
        <row r="164">
          <cell r="A164" t="str">
            <v>RHEM-SHCONBR4</v>
          </cell>
          <cell r="B164" t="str">
            <v>VAR_cap</v>
          </cell>
          <cell r="C164" t="str">
            <v>-</v>
          </cell>
          <cell r="D164">
            <v>1.30912473763688E-5</v>
          </cell>
          <cell r="E164">
            <v>3.4376635992283099E-2</v>
          </cell>
          <cell r="F164">
            <v>3.4376692947511001E-2</v>
          </cell>
          <cell r="G164">
            <v>3.4376765206733002E-2</v>
          </cell>
          <cell r="H164">
            <v>3.4376842668576303E-2</v>
          </cell>
          <cell r="I164">
            <v>3.4376932082205602E-2</v>
          </cell>
          <cell r="J164">
            <v>3.4376992311594801E-2</v>
          </cell>
          <cell r="K164">
            <v>2.31966530248802E-2</v>
          </cell>
          <cell r="L164">
            <v>5.1472851023350102E-5</v>
          </cell>
          <cell r="M164">
            <v>5.1636637515836899E-5</v>
          </cell>
          <cell r="N164">
            <v>5.2021741597124098E-5</v>
          </cell>
          <cell r="O164">
            <v>5.7771633226231798E-5</v>
          </cell>
        </row>
        <row r="165">
          <cell r="A165" t="str">
            <v>RHNM-SHCONBR</v>
          </cell>
          <cell r="B165" t="str">
            <v>VAR_fout</v>
          </cell>
          <cell r="C165" t="str">
            <v>RHNM-SHCON</v>
          </cell>
          <cell r="D165"/>
          <cell r="E165"/>
          <cell r="F165">
            <v>3.3952042386826818E-4</v>
          </cell>
          <cell r="G165">
            <v>2.5683824441088092E-4</v>
          </cell>
          <cell r="H165">
            <v>3.3774196052356787E-4</v>
          </cell>
          <cell r="I165">
            <v>3.3833163975581222E-4</v>
          </cell>
          <cell r="J165">
            <v>3.3483136195776124E-4</v>
          </cell>
          <cell r="K165">
            <v>1.2746805442043661E-3</v>
          </cell>
          <cell r="L165">
            <v>1.2925470855243522E-3</v>
          </cell>
          <cell r="M165">
            <v>1.3504608823069694E-3</v>
          </cell>
          <cell r="N165">
            <v>1.2817560071064769E-3</v>
          </cell>
          <cell r="O165">
            <v>1.408484972104006E-3</v>
          </cell>
        </row>
        <row r="166">
          <cell r="A166" t="str">
            <v>RHNM-SHCONBR</v>
          </cell>
          <cell r="B166" t="str">
            <v>VAR_fin</v>
          </cell>
          <cell r="C166" t="str">
            <v>CON</v>
          </cell>
          <cell r="D166"/>
          <cell r="E166"/>
          <cell r="F166">
            <v>3.3952042386826818E-4</v>
          </cell>
          <cell r="G166">
            <v>2.5683824441088092E-4</v>
          </cell>
          <cell r="H166">
            <v>3.3774196052356787E-4</v>
          </cell>
          <cell r="I166">
            <v>3.3833163975581222E-4</v>
          </cell>
          <cell r="J166">
            <v>3.3483136195776124E-4</v>
          </cell>
          <cell r="K166">
            <v>1.2746805442043661E-3</v>
          </cell>
          <cell r="L166">
            <v>1.2925470855243522E-3</v>
          </cell>
          <cell r="M166">
            <v>1.3504608823069694E-3</v>
          </cell>
          <cell r="N166">
            <v>1.2817560071064769E-3</v>
          </cell>
          <cell r="O166">
            <v>1.408484972104006E-3</v>
          </cell>
        </row>
        <row r="167">
          <cell r="A167" t="str">
            <v>RHNM-SHCONBR</v>
          </cell>
          <cell r="B167" t="str">
            <v>VAR_ncap</v>
          </cell>
          <cell r="C167" t="str">
            <v>-</v>
          </cell>
          <cell r="D167"/>
          <cell r="E167">
            <v>8.5711124803047895E-8</v>
          </cell>
          <cell r="F167">
            <v>1.8738662186743501E-5</v>
          </cell>
          <cell r="G167">
            <v>5.3730441680757895E-7</v>
          </cell>
          <cell r="H167">
            <v>1.4350184878389E-6</v>
          </cell>
          <cell r="I167">
            <v>3.9742881416089901E-7</v>
          </cell>
          <cell r="J167">
            <v>3.6876604453937399E-7</v>
          </cell>
          <cell r="K167">
            <v>8.3156518989703496E-5</v>
          </cell>
          <cell r="L167">
            <v>3.16981837566876E-6</v>
          </cell>
          <cell r="M167">
            <v>7.8689758956648703E-7</v>
          </cell>
          <cell r="N167">
            <v>7.6438533401678903E-7</v>
          </cell>
          <cell r="O167">
            <v>1.4423454202900801E-5</v>
          </cell>
        </row>
        <row r="168">
          <cell r="A168" t="str">
            <v>RHNM-SHCONBR</v>
          </cell>
          <cell r="B168" t="str">
            <v>VAR_cap</v>
          </cell>
          <cell r="C168" t="str">
            <v>-</v>
          </cell>
          <cell r="D168"/>
          <cell r="E168">
            <v>8.5711124803047895E-8</v>
          </cell>
          <cell r="F168">
            <v>1.874731440398837E-5</v>
          </cell>
          <cell r="G168">
            <v>1.9253184627964332E-5</v>
          </cell>
          <cell r="H168">
            <v>2.0571025491363696E-5</v>
          </cell>
          <cell r="I168">
            <v>2.0688752079308782E-5</v>
          </cell>
          <cell r="J168">
            <v>2.0781085183733575E-5</v>
          </cell>
          <cell r="K168">
            <v>1.037426815286848E-4</v>
          </cell>
          <cell r="L168">
            <v>1.0737020002029342E-4</v>
          </cell>
          <cell r="M168">
            <v>1.0731093197078904E-4</v>
          </cell>
          <cell r="N168">
            <v>1.0787979217382262E-4</v>
          </cell>
          <cell r="O168">
            <v>1.2343811598534299E-4</v>
          </cell>
        </row>
        <row r="169">
          <cell r="A169" t="str">
            <v>RHEM-SHCONBR5</v>
          </cell>
          <cell r="B169" t="str">
            <v>VAR_fout</v>
          </cell>
          <cell r="C169" t="str">
            <v>RHEM-SHCON</v>
          </cell>
          <cell r="D169">
            <v>3.0674211571034597E-4</v>
          </cell>
          <cell r="E169">
            <v>5.2736124573450997E-3</v>
          </cell>
          <cell r="F169">
            <v>5.2645304704875958E-3</v>
          </cell>
          <cell r="G169">
            <v>5.1996810739296552E-3</v>
          </cell>
          <cell r="H169">
            <v>5.2326964306892484E-3</v>
          </cell>
          <cell r="I169">
            <v>5.2293608561564857E-3</v>
          </cell>
          <cell r="J169">
            <v>5.2230199540444508E-3</v>
          </cell>
          <cell r="K169">
            <v>3.5014592588488267E-3</v>
          </cell>
          <cell r="L169">
            <v>6.6773669026541865E-4</v>
          </cell>
          <cell r="M169">
            <v>7.0445979891896467E-4</v>
          </cell>
          <cell r="N169">
            <v>6.7528070817149746E-4</v>
          </cell>
          <cell r="O169">
            <v>8.6476879124799738E-4</v>
          </cell>
        </row>
        <row r="170">
          <cell r="A170" t="str">
            <v>RHEM-SHCONBR5</v>
          </cell>
          <cell r="B170" t="str">
            <v>VAR_fin</v>
          </cell>
          <cell r="C170" t="str">
            <v>CON</v>
          </cell>
          <cell r="D170">
            <v>3.0674211571034597E-4</v>
          </cell>
          <cell r="E170">
            <v>5.2736124573450997E-3</v>
          </cell>
          <cell r="F170">
            <v>5.2645304704875958E-3</v>
          </cell>
          <cell r="G170">
            <v>5.1996810739296552E-3</v>
          </cell>
          <cell r="H170">
            <v>5.2326964306892484E-3</v>
          </cell>
          <cell r="I170">
            <v>5.2293608561564857E-3</v>
          </cell>
          <cell r="J170">
            <v>5.2230199540444508E-3</v>
          </cell>
          <cell r="K170">
            <v>3.5014592588488267E-3</v>
          </cell>
          <cell r="L170">
            <v>6.6773669026541865E-4</v>
          </cell>
          <cell r="M170">
            <v>7.0445979891896467E-4</v>
          </cell>
          <cell r="N170">
            <v>6.7528070817149746E-4</v>
          </cell>
          <cell r="O170">
            <v>8.6476879124799738E-4</v>
          </cell>
        </row>
        <row r="171">
          <cell r="A171" t="str">
            <v>RHEM-SHCONBR5</v>
          </cell>
          <cell r="B171" t="str">
            <v>VAR_ncap</v>
          </cell>
          <cell r="C171" t="str">
            <v>-</v>
          </cell>
          <cell r="D171">
            <v>1.00728926934875E-5</v>
          </cell>
          <cell r="E171">
            <v>3.5507181618281902E-4</v>
          </cell>
          <cell r="F171">
            <v>5.61826041071212E-8</v>
          </cell>
          <cell r="G171">
            <v>7.1528405717629306E-8</v>
          </cell>
          <cell r="H171">
            <v>7.5739440152137807E-8</v>
          </cell>
          <cell r="I171">
            <v>8.9711131885758804E-8</v>
          </cell>
          <cell r="J171">
            <v>6.2324410252255505E-8</v>
          </cell>
          <cell r="K171">
            <v>1.26011251390147E-6</v>
          </cell>
          <cell r="L171">
            <v>4.3775508459972199E-5</v>
          </cell>
          <cell r="M171">
            <v>2.3630078709738101E-7</v>
          </cell>
          <cell r="N171">
            <v>4.8992604188044996E-7</v>
          </cell>
          <cell r="O171">
            <v>6.6076432482837597E-6</v>
          </cell>
        </row>
        <row r="172">
          <cell r="A172" t="str">
            <v>RHEM-SHCONBR5</v>
          </cell>
          <cell r="B172" t="str">
            <v>VAR_cap</v>
          </cell>
          <cell r="C172" t="str">
            <v>-</v>
          </cell>
          <cell r="D172">
            <v>1.00728926934875E-5</v>
          </cell>
          <cell r="E172">
            <v>3.6514470887630702E-4</v>
          </cell>
          <cell r="F172">
            <v>3.65200891480414E-4</v>
          </cell>
          <cell r="G172">
            <v>3.65272419886131E-4</v>
          </cell>
          <cell r="H172">
            <v>3.6534815932628398E-4</v>
          </cell>
          <cell r="I172">
            <v>3.6543787045816901E-4</v>
          </cell>
          <cell r="J172">
            <v>3.6550019486842201E-4</v>
          </cell>
          <cell r="K172">
            <v>2.4468124329409397E-4</v>
          </cell>
          <cell r="L172">
            <v>4.5332787877718002E-5</v>
          </cell>
          <cell r="M172">
            <v>4.5499696743261203E-5</v>
          </cell>
          <cell r="N172">
            <v>4.5913254185312297E-5</v>
          </cell>
          <cell r="O172">
            <v>5.2431815461387502E-5</v>
          </cell>
        </row>
        <row r="173">
          <cell r="A173" t="str">
            <v>ITOT-SWHNGABR</v>
          </cell>
          <cell r="B173" t="str">
            <v>VAR_fout</v>
          </cell>
          <cell r="C173" t="str">
            <v>ITOT-SWH</v>
          </cell>
          <cell r="D173">
            <v>28.619777779756735</v>
          </cell>
          <cell r="E173">
            <v>24.237779334933755</v>
          </cell>
          <cell r="F173">
            <v>27.11457216520742</v>
          </cell>
          <cell r="G173">
            <v>23.409466923510994</v>
          </cell>
          <cell r="H173">
            <v>21.297220532998921</v>
          </cell>
          <cell r="I173">
            <v>20.041029420569835</v>
          </cell>
          <cell r="J173">
            <v>16.835184059773631</v>
          </cell>
          <cell r="K173">
            <v>15.269244660764345</v>
          </cell>
          <cell r="L173">
            <v>14.361303719270456</v>
          </cell>
          <cell r="M173">
            <v>11.293281737259171</v>
          </cell>
          <cell r="N173">
            <v>10.146525693849979</v>
          </cell>
          <cell r="O173">
            <v>8.9312514318215168</v>
          </cell>
        </row>
        <row r="174">
          <cell r="A174" t="str">
            <v>ITOT-SWHNGABR</v>
          </cell>
          <cell r="B174" t="str">
            <v>VAR_fout</v>
          </cell>
          <cell r="C174" t="str">
            <v>CO2_I</v>
          </cell>
          <cell r="D174">
            <v>2005.153773194</v>
          </cell>
          <cell r="E174">
            <v>1696.6578847784999</v>
          </cell>
          <cell r="F174">
            <v>1895.54836604256</v>
          </cell>
          <cell r="G174">
            <v>1632.9631941940299</v>
          </cell>
          <cell r="H174">
            <v>1482.3904882060001</v>
          </cell>
          <cell r="I174">
            <v>1391.9274172722701</v>
          </cell>
          <cell r="J174">
            <v>1166.7380153696199</v>
          </cell>
          <cell r="K174">
            <v>1055.92721720226</v>
          </cell>
          <cell r="L174">
            <v>993.13959587354202</v>
          </cell>
          <cell r="M174">
            <v>780.97403131847295</v>
          </cell>
          <cell r="N174">
            <v>701.67142371546197</v>
          </cell>
          <cell r="O174">
            <v>617.63051677141198</v>
          </cell>
        </row>
        <row r="175">
          <cell r="A175" t="str">
            <v>ITOT-SWHNGABR</v>
          </cell>
          <cell r="B175" t="str">
            <v>VAR_fin</v>
          </cell>
          <cell r="C175" t="str">
            <v>INGA</v>
          </cell>
          <cell r="D175">
            <v>35.552371865141822</v>
          </cell>
          <cell r="E175">
            <v>30.082586609547935</v>
          </cell>
          <cell r="F175">
            <v>33.609013582314844</v>
          </cell>
          <cell r="G175">
            <v>28.95324812400759</v>
          </cell>
          <cell r="H175">
            <v>26.283519294432647</v>
          </cell>
          <cell r="I175">
            <v>24.679564136033225</v>
          </cell>
          <cell r="J175">
            <v>20.686844244142261</v>
          </cell>
          <cell r="K175">
            <v>18.722113780181918</v>
          </cell>
          <cell r="L175">
            <v>17.608858082864206</v>
          </cell>
          <cell r="M175">
            <v>13.847057292880745</v>
          </cell>
          <cell r="N175">
            <v>12.440982689990467</v>
          </cell>
          <cell r="O175">
            <v>10.950895687436368</v>
          </cell>
        </row>
        <row r="176">
          <cell r="A176" t="str">
            <v>ITOT-SWHNGABR</v>
          </cell>
          <cell r="B176" t="str">
            <v>VAR_ncap</v>
          </cell>
          <cell r="C176" t="str">
            <v>-</v>
          </cell>
          <cell r="D176"/>
          <cell r="E176">
            <v>1.1217771684220701E-4</v>
          </cell>
          <cell r="F176">
            <v>2.1145727221031201E-4</v>
          </cell>
          <cell r="G176">
            <v>7.72808431159344E-5</v>
          </cell>
          <cell r="H176">
            <v>0.83524227989709199</v>
          </cell>
          <cell r="I176">
            <v>0.37495702859271601</v>
          </cell>
          <cell r="J176">
            <v>1.5844012325248399E-4</v>
          </cell>
          <cell r="K176">
            <v>0.72368254718455904</v>
          </cell>
          <cell r="L176">
            <v>0.21034264557660301</v>
          </cell>
          <cell r="M176">
            <v>1.1761781446932801E-3</v>
          </cell>
          <cell r="N176">
            <v>0.46568896518859498</v>
          </cell>
          <cell r="O176">
            <v>0.23214332256277501</v>
          </cell>
        </row>
        <row r="177">
          <cell r="A177" t="str">
            <v>ITOT-SWHNGABR</v>
          </cell>
          <cell r="B177" t="str">
            <v>VAR_cap</v>
          </cell>
          <cell r="C177" t="str">
            <v>-</v>
          </cell>
          <cell r="D177">
            <v>1.556581895256</v>
          </cell>
          <cell r="E177">
            <v>1.556646362295518</v>
          </cell>
          <cell r="F177">
            <v>1.5567931396848527</v>
          </cell>
          <cell r="G177">
            <v>1.5564456317304669</v>
          </cell>
          <cell r="H177">
            <v>1.23899138351053</v>
          </cell>
          <cell r="I177">
            <v>1.2102152026875161</v>
          </cell>
          <cell r="J177">
            <v>1.2097755005091686</v>
          </cell>
          <cell r="K177">
            <v>1.0986447996179671</v>
          </cell>
          <cell r="L177">
            <v>0.99162167534194179</v>
          </cell>
          <cell r="M177">
            <v>0.93492709028527687</v>
          </cell>
          <cell r="N177">
            <v>0.73843638417919344</v>
          </cell>
          <cell r="O177">
            <v>0.69865017062562773</v>
          </cell>
        </row>
        <row r="178">
          <cell r="A178" t="str">
            <v>RHNM-SHSOLBR</v>
          </cell>
          <cell r="B178" t="str">
            <v>VAR_fout</v>
          </cell>
          <cell r="C178" t="str">
            <v>RHNM-SHASOL</v>
          </cell>
          <cell r="D178"/>
          <cell r="E178">
            <v>2.1548906319012507E-2</v>
          </cell>
          <cell r="F178">
            <v>2.2741377527606771E-2</v>
          </cell>
          <cell r="G178">
            <v>2.6175151775521172E-2</v>
          </cell>
          <cell r="H178">
            <v>1.4612636201775338E-2</v>
          </cell>
          <cell r="I178">
            <v>4.5658225863460123E-3</v>
          </cell>
          <cell r="J178">
            <v>4.0352461349358795E-3</v>
          </cell>
          <cell r="K178">
            <v>9.3564015590416102E-3</v>
          </cell>
          <cell r="L178">
            <v>9.1275892509335016E-3</v>
          </cell>
          <cell r="M178">
            <v>3.4286438760301206E-2</v>
          </cell>
          <cell r="N178">
            <v>1.1137704601193123E-2</v>
          </cell>
          <cell r="O178">
            <v>1.0982970700298807E-2</v>
          </cell>
        </row>
        <row r="179">
          <cell r="A179" t="str">
            <v>RHNM-SHSOLBR</v>
          </cell>
          <cell r="B179" t="str">
            <v>VAR_fin</v>
          </cell>
          <cell r="C179" t="str">
            <v>SOL</v>
          </cell>
          <cell r="D179"/>
          <cell r="E179">
            <v>2.1548906319012507E-2</v>
          </cell>
          <cell r="F179">
            <v>2.2741377527606771E-2</v>
          </cell>
          <cell r="G179">
            <v>2.6175151775521172E-2</v>
          </cell>
          <cell r="H179">
            <v>1.4612636201775338E-2</v>
          </cell>
          <cell r="I179">
            <v>4.5658225863460123E-3</v>
          </cell>
          <cell r="J179">
            <v>4.0352461349358795E-3</v>
          </cell>
          <cell r="K179">
            <v>9.3564015590416102E-3</v>
          </cell>
          <cell r="L179">
            <v>9.1275892509335016E-3</v>
          </cell>
          <cell r="M179">
            <v>3.4286438760301206E-2</v>
          </cell>
          <cell r="N179">
            <v>1.1137704601193123E-2</v>
          </cell>
          <cell r="O179">
            <v>1.0982970700298807E-2</v>
          </cell>
        </row>
        <row r="180">
          <cell r="A180" t="str">
            <v>RHNM-SHSOLBR</v>
          </cell>
          <cell r="B180" t="str">
            <v>VAR_ncap</v>
          </cell>
          <cell r="C180" t="str">
            <v>-</v>
          </cell>
          <cell r="D180"/>
          <cell r="E180">
            <v>3.2413698700150999E-3</v>
          </cell>
          <cell r="F180">
            <v>3.2100855197895399E-4</v>
          </cell>
          <cell r="G180">
            <v>4.7111853742796202E-4</v>
          </cell>
          <cell r="H180">
            <v>2.3195273390759201E-4</v>
          </cell>
          <cell r="I180">
            <v>3.4176691728843002E-4</v>
          </cell>
          <cell r="J180">
            <v>2.0753021969494801E-4</v>
          </cell>
          <cell r="K180">
            <v>1.7481513996601299E-3</v>
          </cell>
          <cell r="L180">
            <v>4.4631193055402299E-5</v>
          </cell>
          <cell r="M180">
            <v>3.47514375838643E-3</v>
          </cell>
          <cell r="N180">
            <v>9.0909181387652494E-6</v>
          </cell>
          <cell r="O180">
            <v>7.6370499583519697E-5</v>
          </cell>
        </row>
        <row r="181">
          <cell r="A181" t="str">
            <v>RHNM-SHSOLBR</v>
          </cell>
          <cell r="B181" t="str">
            <v>VAR_cap</v>
          </cell>
          <cell r="C181" t="str">
            <v>-</v>
          </cell>
          <cell r="D181"/>
          <cell r="E181">
            <v>3.2413698700150999E-3</v>
          </cell>
          <cell r="F181">
            <v>3.5623784219940601E-3</v>
          </cell>
          <cell r="G181">
            <v>4.0334969594220203E-3</v>
          </cell>
          <cell r="H181">
            <v>2.6847755759678502E-3</v>
          </cell>
          <cell r="I181">
            <v>1.02262017942388E-3</v>
          </cell>
          <cell r="J181">
            <v>7.8124987089097102E-4</v>
          </cell>
          <cell r="K181">
            <v>2.2974485366435101E-3</v>
          </cell>
          <cell r="L181">
            <v>2.0253298875570502E-3</v>
          </cell>
          <cell r="M181">
            <v>5.26792635110196E-3</v>
          </cell>
          <cell r="N181">
            <v>3.8243531084249699E-3</v>
          </cell>
          <cell r="O181">
            <v>3.5606051761087102E-3</v>
          </cell>
        </row>
        <row r="182">
          <cell r="A182" t="str">
            <v>RHEM-SHPLTBR</v>
          </cell>
          <cell r="B182" t="str">
            <v>VAR_fout</v>
          </cell>
          <cell r="C182" t="str">
            <v>RHEM-SHPLT</v>
          </cell>
          <cell r="D182">
            <v>1.4011323055565117</v>
          </cell>
          <cell r="E182">
            <v>1.607798522481146</v>
          </cell>
          <cell r="F182">
            <v>1.6078073150655499</v>
          </cell>
          <cell r="G182">
            <v>1.6078007247510351</v>
          </cell>
          <cell r="H182">
            <v>1.6078049845533868</v>
          </cell>
          <cell r="I182">
            <v>1.607808978577747</v>
          </cell>
          <cell r="J182">
            <v>1.6078183183873394</v>
          </cell>
          <cell r="K182">
            <v>1.6078260568692315</v>
          </cell>
          <cell r="L182">
            <v>1.6078283634301491</v>
          </cell>
          <cell r="M182">
            <v>1.6078440246491517</v>
          </cell>
          <cell r="N182">
            <v>1.6078639879732493</v>
          </cell>
          <cell r="O182">
            <v>1.6079207682470236</v>
          </cell>
        </row>
        <row r="183">
          <cell r="A183" t="str">
            <v>RHEM-SHPLTBR</v>
          </cell>
          <cell r="B183" t="str">
            <v>VAR_fin</v>
          </cell>
          <cell r="C183" t="str">
            <v>RHEMPLTBRC</v>
          </cell>
          <cell r="D183">
            <v>1.4011323055565117</v>
          </cell>
          <cell r="E183">
            <v>1.607798522481146</v>
          </cell>
          <cell r="F183">
            <v>1.6078073150655499</v>
          </cell>
          <cell r="G183">
            <v>1.6078007247510351</v>
          </cell>
          <cell r="H183">
            <v>1.6078049845533868</v>
          </cell>
          <cell r="I183">
            <v>1.607808978577747</v>
          </cell>
          <cell r="J183">
            <v>1.6078183183873394</v>
          </cell>
          <cell r="K183">
            <v>1.6078260568692315</v>
          </cell>
          <cell r="L183">
            <v>1.6078283634301491</v>
          </cell>
          <cell r="M183">
            <v>1.6078440246491517</v>
          </cell>
          <cell r="N183">
            <v>1.6078639879732493</v>
          </cell>
          <cell r="O183">
            <v>1.6079207682470236</v>
          </cell>
        </row>
        <row r="184">
          <cell r="A184" t="str">
            <v>RHEM-SHPLTBR</v>
          </cell>
          <cell r="B184" t="str">
            <v>VAR_fin</v>
          </cell>
          <cell r="C184" t="str">
            <v>RPLT</v>
          </cell>
          <cell r="D184">
            <v>1.5568136728405688</v>
          </cell>
          <cell r="E184">
            <v>1.7864428027568275</v>
          </cell>
          <cell r="F184">
            <v>1.7864525722950571</v>
          </cell>
          <cell r="G184">
            <v>1.7864452497233709</v>
          </cell>
          <cell r="H184">
            <v>1.7864499828370959</v>
          </cell>
          <cell r="I184">
            <v>1.7864544206419415</v>
          </cell>
          <cell r="J184">
            <v>1.7864647982081538</v>
          </cell>
          <cell r="K184">
            <v>1.7864733965213666</v>
          </cell>
          <cell r="L184">
            <v>1.7864759593668318</v>
          </cell>
          <cell r="M184">
            <v>1.7864933607212798</v>
          </cell>
          <cell r="N184">
            <v>1.7865155421925005</v>
          </cell>
          <cell r="O184">
            <v>1.7865786313855807</v>
          </cell>
        </row>
        <row r="185">
          <cell r="A185" t="str">
            <v>RHEM-SHPLTBR</v>
          </cell>
          <cell r="B185" t="str">
            <v>VAR_ncap</v>
          </cell>
          <cell r="C185" t="str">
            <v>-</v>
          </cell>
          <cell r="D185">
            <v>1.0493459113849E-4</v>
          </cell>
          <cell r="E185">
            <v>1.4654789409882799E-2</v>
          </cell>
          <cell r="F185">
            <v>7.1122980495721501E-6</v>
          </cell>
          <cell r="G185">
            <v>9.3148764671706702E-5</v>
          </cell>
          <cell r="H185">
            <v>8.1024446391378097E-2</v>
          </cell>
          <cell r="I185">
            <v>3.2704979749985597E-2</v>
          </cell>
          <cell r="J185">
            <v>7.4656399213432099E-4</v>
          </cell>
          <cell r="K185">
            <v>8.0725758788413607E-2</v>
          </cell>
          <cell r="L185">
            <v>2.7481562555707599E-2</v>
          </cell>
          <cell r="M185">
            <v>6.3207342083848898E-3</v>
          </cell>
          <cell r="N185">
            <v>7.4524482323831701E-2</v>
          </cell>
          <cell r="O185">
            <v>3.3051612045143897E-2</v>
          </cell>
        </row>
        <row r="186">
          <cell r="A186" t="str">
            <v>RHEM-SHPLTBR</v>
          </cell>
          <cell r="B186" t="str">
            <v>VAR_cap</v>
          </cell>
          <cell r="C186" t="str">
            <v>-</v>
          </cell>
          <cell r="D186">
            <v>9.9803990711419086E-2</v>
          </cell>
          <cell r="E186">
            <v>0.11445860813974761</v>
          </cell>
          <cell r="F186">
            <v>0.11446471959239136</v>
          </cell>
          <cell r="G186">
            <v>0.11455684683245604</v>
          </cell>
          <cell r="H186">
            <v>0.11451258676322634</v>
          </cell>
          <cell r="I186">
            <v>0.11380486508340178</v>
          </cell>
          <cell r="J186">
            <v>0.11447491809032577</v>
          </cell>
          <cell r="K186">
            <v>0.11417575847209259</v>
          </cell>
          <cell r="L186">
            <v>0.11387850151214153</v>
          </cell>
          <cell r="M186">
            <v>0.11452587227409013</v>
          </cell>
          <cell r="N186">
            <v>0.11391035863127576</v>
          </cell>
          <cell r="O186">
            <v>0.11389400877887033</v>
          </cell>
        </row>
        <row r="187">
          <cell r="A187" t="str">
            <v>RHEM-SHCONBR6</v>
          </cell>
          <cell r="B187" t="str">
            <v>VAR_fout</v>
          </cell>
          <cell r="C187" t="str">
            <v>RHEM-SHCON</v>
          </cell>
          <cell r="D187"/>
          <cell r="E187">
            <v>1.1605588147811212E-3</v>
          </cell>
          <cell r="F187">
            <v>1.154180813660943E-3</v>
          </cell>
          <cell r="G187">
            <v>1.0873352589196971E-3</v>
          </cell>
          <cell r="H187">
            <v>1.1207980123757216E-3</v>
          </cell>
          <cell r="I187">
            <v>1.1167568470962777E-3</v>
          </cell>
          <cell r="J187">
            <v>1.1113035540027331E-3</v>
          </cell>
          <cell r="K187">
            <v>8.1489857614041217E-4</v>
          </cell>
          <cell r="L187">
            <v>4.8409674074867078E-4</v>
          </cell>
          <cell r="M187">
            <v>5.2201562646889273E-4</v>
          </cell>
          <cell r="N187">
            <v>4.9353274263544899E-4</v>
          </cell>
          <cell r="O187">
            <v>7.0027430111397693E-4</v>
          </cell>
        </row>
        <row r="188">
          <cell r="A188" t="str">
            <v>RHEM-SHCONBR6</v>
          </cell>
          <cell r="B188" t="str">
            <v>VAR_fin</v>
          </cell>
          <cell r="C188" t="str">
            <v>CON</v>
          </cell>
          <cell r="D188"/>
          <cell r="E188">
            <v>1.1605588147811212E-3</v>
          </cell>
          <cell r="F188">
            <v>1.154180813660943E-3</v>
          </cell>
          <cell r="G188">
            <v>1.0873352589196971E-3</v>
          </cell>
          <cell r="H188">
            <v>1.1207980123757216E-3</v>
          </cell>
          <cell r="I188">
            <v>1.1167568470962777E-3</v>
          </cell>
          <cell r="J188">
            <v>1.1113035540027331E-3</v>
          </cell>
          <cell r="K188">
            <v>8.1489857614041217E-4</v>
          </cell>
          <cell r="L188">
            <v>4.8409674074867078E-4</v>
          </cell>
          <cell r="M188">
            <v>5.2201562646889273E-4</v>
          </cell>
          <cell r="N188">
            <v>4.9353274263544899E-4</v>
          </cell>
          <cell r="O188">
            <v>7.0027430111397693E-4</v>
          </cell>
        </row>
        <row r="189">
          <cell r="A189" t="str">
            <v>RHEM-SHCONBR6</v>
          </cell>
          <cell r="B189" t="str">
            <v>VAR_ncap</v>
          </cell>
          <cell r="C189" t="str">
            <v>-</v>
          </cell>
          <cell r="D189"/>
          <cell r="E189">
            <v>7.4331942080595097E-5</v>
          </cell>
          <cell r="F189">
            <v>5.8214320091223202E-8</v>
          </cell>
          <cell r="G189">
            <v>7.3799004863002403E-8</v>
          </cell>
          <cell r="H189">
            <v>8.1572666350791103E-8</v>
          </cell>
          <cell r="I189">
            <v>9.1165612621328703E-8</v>
          </cell>
          <cell r="J189">
            <v>6.3160460495888006E-8</v>
          </cell>
          <cell r="K189">
            <v>3.3011385513061501E-6</v>
          </cell>
          <cell r="L189">
            <v>2.8769621284207601E-5</v>
          </cell>
          <cell r="M189">
            <v>2.7524696352090602E-7</v>
          </cell>
          <cell r="N189">
            <v>5.4393888582828601E-7</v>
          </cell>
          <cell r="O189">
            <v>7.7356293005625299E-6</v>
          </cell>
        </row>
        <row r="190">
          <cell r="A190" t="str">
            <v>RHEM-SHCONBR6</v>
          </cell>
          <cell r="B190" t="str">
            <v>VAR_cap</v>
          </cell>
          <cell r="C190" t="str">
            <v>-</v>
          </cell>
          <cell r="D190"/>
          <cell r="E190">
            <v>7.4331942080595097E-5</v>
          </cell>
          <cell r="F190">
            <v>7.4390156400686399E-5</v>
          </cell>
          <cell r="G190">
            <v>7.4463955405549401E-5</v>
          </cell>
          <cell r="H190">
            <v>7.4545528071900198E-5</v>
          </cell>
          <cell r="I190">
            <v>7.4636693684521495E-5</v>
          </cell>
          <cell r="J190">
            <v>7.4699854145017394E-5</v>
          </cell>
          <cell r="K190">
            <v>5.3832915773706401E-5</v>
          </cell>
          <cell r="L190">
            <v>3.2378328635275203E-5</v>
          </cell>
          <cell r="M190">
            <v>3.2581905538502701E-5</v>
          </cell>
          <cell r="N190">
            <v>3.3044448091630997E-5</v>
          </cell>
          <cell r="O190">
            <v>4.0688735445921401E-5</v>
          </cell>
        </row>
        <row r="191">
          <cell r="A191" t="str">
            <v>RHEM-SHCONBR7</v>
          </cell>
          <cell r="B191" t="str">
            <v>VAR_fout</v>
          </cell>
          <cell r="C191" t="str">
            <v>RHEM-SHCON</v>
          </cell>
          <cell r="D191"/>
          <cell r="E191">
            <v>4.9736070207824067E-4</v>
          </cell>
          <cell r="F191">
            <v>4.9224218201019451E-4</v>
          </cell>
          <cell r="G191">
            <v>4.2507450663560652E-4</v>
          </cell>
          <cell r="H191">
            <v>4.5842684866604098E-4</v>
          </cell>
          <cell r="I191">
            <v>4.5377977645377526E-4</v>
          </cell>
          <cell r="J191">
            <v>4.4883743507361917E-4</v>
          </cell>
          <cell r="K191">
            <v>4.7256533482317243E-4</v>
          </cell>
          <cell r="L191">
            <v>3.2903550846704975E-4</v>
          </cell>
          <cell r="M191">
            <v>3.6752439517201825E-4</v>
          </cell>
          <cell r="N191">
            <v>3.4069106373804859E-4</v>
          </cell>
          <cell r="O191">
            <v>5.4260518915063291E-4</v>
          </cell>
        </row>
        <row r="192">
          <cell r="A192" t="str">
            <v>RHEM-SHCONBR7</v>
          </cell>
          <cell r="B192" t="str">
            <v>VAR_fin</v>
          </cell>
          <cell r="C192" t="str">
            <v>CON</v>
          </cell>
          <cell r="D192"/>
          <cell r="E192">
            <v>4.9736070207824067E-4</v>
          </cell>
          <cell r="F192">
            <v>4.9224218201019451E-4</v>
          </cell>
          <cell r="G192">
            <v>4.2507450663560652E-4</v>
          </cell>
          <cell r="H192">
            <v>4.5842684866604098E-4</v>
          </cell>
          <cell r="I192">
            <v>4.5377977645377526E-4</v>
          </cell>
          <cell r="J192">
            <v>4.4883743507361917E-4</v>
          </cell>
          <cell r="K192">
            <v>4.7256533482317243E-4</v>
          </cell>
          <cell r="L192">
            <v>3.2903550846704975E-4</v>
          </cell>
          <cell r="M192">
            <v>3.6752439517201825E-4</v>
          </cell>
          <cell r="N192">
            <v>3.4069106373804859E-4</v>
          </cell>
          <cell r="O192">
            <v>5.4260518915063291E-4</v>
          </cell>
        </row>
        <row r="193">
          <cell r="A193" t="str">
            <v>RHEM-SHCONBR7</v>
          </cell>
          <cell r="B193" t="str">
            <v>VAR_ncap</v>
          </cell>
          <cell r="C193" t="str">
            <v>-</v>
          </cell>
          <cell r="D193"/>
          <cell r="E193">
            <v>2.7499535206665599E-5</v>
          </cell>
          <cell r="F193">
            <v>6.1700441840698095E-8</v>
          </cell>
          <cell r="G193">
            <v>7.8174129151701298E-8</v>
          </cell>
          <cell r="H193">
            <v>6.7910096169410396E-8</v>
          </cell>
          <cell r="I193">
            <v>6.1512112000016105E-8</v>
          </cell>
          <cell r="J193">
            <v>6.2900058665904705E-8</v>
          </cell>
          <cell r="K193">
            <v>1.07001210924183E-5</v>
          </cell>
          <cell r="L193">
            <v>1.0410836076741201E-5</v>
          </cell>
          <cell r="M193">
            <v>3.24512205722557E-7</v>
          </cell>
          <cell r="N193">
            <v>6.3630060752557201E-7</v>
          </cell>
          <cell r="O193">
            <v>7.2752002198467901E-6</v>
          </cell>
        </row>
        <row r="194">
          <cell r="A194" t="str">
            <v>RHEM-SHCONBR7</v>
          </cell>
          <cell r="B194" t="str">
            <v>VAR_cap</v>
          </cell>
          <cell r="C194" t="str">
            <v>-</v>
          </cell>
          <cell r="D194"/>
          <cell r="E194">
            <v>2.7499535206665599E-5</v>
          </cell>
          <cell r="F194">
            <v>2.7561235648506299E-5</v>
          </cell>
          <cell r="G194">
            <v>2.7639409777658001E-5</v>
          </cell>
          <cell r="H194">
            <v>2.77073198738275E-5</v>
          </cell>
          <cell r="I194">
            <v>2.7768831985827501E-5</v>
          </cell>
          <cell r="J194">
            <v>2.7831732044493401E-5</v>
          </cell>
          <cell r="K194">
            <v>2.9590732218931398E-5</v>
          </cell>
          <cell r="L194">
            <v>2.1379209009382301E-5</v>
          </cell>
          <cell r="M194">
            <v>2.1627791641717401E-5</v>
          </cell>
          <cell r="N194">
            <v>2.2198580800642599E-5</v>
          </cell>
          <cell r="O194">
            <v>2.9409870260920299E-5</v>
          </cell>
        </row>
        <row r="195">
          <cell r="A195" t="str">
            <v>RHEM-SHCONBR8</v>
          </cell>
          <cell r="B195" t="str">
            <v>VAR_fout</v>
          </cell>
          <cell r="C195" t="str">
            <v>RHEM-SHCON</v>
          </cell>
          <cell r="D195"/>
          <cell r="E195">
            <v>1.6712102776941578E-4</v>
          </cell>
          <cell r="F195">
            <v>1.6350916792160899E-4</v>
          </cell>
          <cell r="G195">
            <v>9.6866575045009457E-5</v>
          </cell>
          <cell r="H195">
            <v>1.300826175775934E-4</v>
          </cell>
          <cell r="I195">
            <v>1.2506477182016145E-4</v>
          </cell>
          <cell r="J195">
            <v>1.2062213301326894E-4</v>
          </cell>
          <cell r="K195">
            <v>1.8687119258396206E-4</v>
          </cell>
          <cell r="L195">
            <v>1.3004669379620414E-4</v>
          </cell>
          <cell r="M195">
            <v>1.7117985327978619E-4</v>
          </cell>
          <cell r="N195">
            <v>1.4627663899577928E-4</v>
          </cell>
          <cell r="O195">
            <v>2.8954146936849631E-4</v>
          </cell>
        </row>
        <row r="196">
          <cell r="A196" t="str">
            <v>RHEM-SHCONBR8</v>
          </cell>
          <cell r="B196" t="str">
            <v>VAR_fin</v>
          </cell>
          <cell r="C196" t="str">
            <v>CON</v>
          </cell>
          <cell r="D196"/>
          <cell r="E196">
            <v>1.6712102776941578E-4</v>
          </cell>
          <cell r="F196">
            <v>1.6350916792160899E-4</v>
          </cell>
          <cell r="G196">
            <v>9.6866575045009457E-5</v>
          </cell>
          <cell r="H196">
            <v>1.300826175775934E-4</v>
          </cell>
          <cell r="I196">
            <v>1.2506477182016145E-4</v>
          </cell>
          <cell r="J196">
            <v>1.2062213301326894E-4</v>
          </cell>
          <cell r="K196">
            <v>1.8687119258396206E-4</v>
          </cell>
          <cell r="L196">
            <v>1.3004669379620414E-4</v>
          </cell>
          <cell r="M196">
            <v>1.7117985327978619E-4</v>
          </cell>
          <cell r="N196">
            <v>1.4627663899577928E-4</v>
          </cell>
          <cell r="O196">
            <v>2.8954146936849631E-4</v>
          </cell>
        </row>
        <row r="197">
          <cell r="A197" t="str">
            <v>RHEM-SHCONBR8</v>
          </cell>
          <cell r="B197" t="str">
            <v>VAR_ncap</v>
          </cell>
          <cell r="C197" t="str">
            <v>-</v>
          </cell>
          <cell r="D197"/>
          <cell r="E197">
            <v>4.1734655640129003E-6</v>
          </cell>
          <cell r="F197">
            <v>8.8336328652258399E-8</v>
          </cell>
          <cell r="G197">
            <v>1.3040041559480199E-7</v>
          </cell>
          <cell r="H197">
            <v>5.866500159393E-8</v>
          </cell>
          <cell r="I197">
            <v>4.3299307827915703E-8</v>
          </cell>
          <cell r="J197">
            <v>6.2691843098961297E-8</v>
          </cell>
          <cell r="K197">
            <v>6.1277307217682798E-6</v>
          </cell>
          <cell r="L197">
            <v>8.0564001587490505E-7</v>
          </cell>
          <cell r="M197">
            <v>5.9256630773107002E-7</v>
          </cell>
          <cell r="N197">
            <v>7.1763157068858599E-7</v>
          </cell>
          <cell r="O197">
            <v>2.9460436983123999E-6</v>
          </cell>
        </row>
        <row r="198">
          <cell r="A198" t="str">
            <v>RHEM-SHCONBR8</v>
          </cell>
          <cell r="B198" t="str">
            <v>VAR_cap</v>
          </cell>
          <cell r="C198" t="str">
            <v>-</v>
          </cell>
          <cell r="D198"/>
          <cell r="E198">
            <v>4.1734655640129003E-6</v>
          </cell>
          <cell r="F198">
            <v>4.2618018926651598E-6</v>
          </cell>
          <cell r="G198">
            <v>4.3922023082599599E-6</v>
          </cell>
          <cell r="H198">
            <v>4.4508673098538896E-6</v>
          </cell>
          <cell r="I198">
            <v>4.4941666176818103E-6</v>
          </cell>
          <cell r="J198">
            <v>4.5568584607807696E-6</v>
          </cell>
          <cell r="K198">
            <v>9.3276404205270094E-6</v>
          </cell>
          <cell r="L198">
            <v>7.22025587091113E-6</v>
          </cell>
          <cell r="M198">
            <v>7.6905931978950702E-6</v>
          </cell>
          <cell r="N198">
            <v>8.3531721195691597E-6</v>
          </cell>
          <cell r="O198">
            <v>1.1252304157474201E-5</v>
          </cell>
          <cell r="P198"/>
          <cell r="Q198"/>
          <cell r="R198"/>
        </row>
        <row r="199">
          <cell r="A199" t="str">
            <v>RHES-SHELCHP</v>
          </cell>
          <cell r="B199" t="str">
            <v>VAR_fout</v>
          </cell>
          <cell r="C199" t="str">
            <v>RHES-SHAELCH</v>
          </cell>
          <cell r="D199">
            <v>9.1578266147875436</v>
          </cell>
          <cell r="E199">
            <v>10.275920642721999</v>
          </cell>
          <cell r="F199">
            <v>10.275913587429329</v>
          </cell>
          <cell r="G199">
            <v>10.275923723941895</v>
          </cell>
          <cell r="H199">
            <v>10.275946140503278</v>
          </cell>
          <cell r="I199">
            <v>10.275964351943491</v>
          </cell>
          <cell r="J199">
            <v>10.276021164604181</v>
          </cell>
          <cell r="K199">
            <v>10.276057868949275</v>
          </cell>
          <cell r="L199">
            <v>10.276069931451243</v>
          </cell>
          <cell r="M199">
            <v>10.2761572695856</v>
          </cell>
          <cell r="N199">
            <v>10.27628002925592</v>
          </cell>
          <cell r="O199">
            <v>10.276501518480242</v>
          </cell>
        </row>
        <row r="200">
          <cell r="A200" t="str">
            <v>RHES-SHELCHP</v>
          </cell>
          <cell r="B200" t="str">
            <v>VAR_fin</v>
          </cell>
          <cell r="C200" t="str">
            <v>RHES_ELC</v>
          </cell>
          <cell r="D200">
            <v>2.8618208171211093</v>
          </cell>
          <cell r="E200">
            <v>3.158582164771107</v>
          </cell>
          <cell r="F200">
            <v>3.0827740762287985</v>
          </cell>
          <cell r="G200">
            <v>2.9642087665216961</v>
          </cell>
          <cell r="H200">
            <v>2.8677058996753351</v>
          </cell>
          <cell r="I200">
            <v>2.7772876626874283</v>
          </cell>
          <cell r="J200">
            <v>2.7042160959484698</v>
          </cell>
          <cell r="K200">
            <v>2.6348866330639207</v>
          </cell>
          <cell r="L200">
            <v>2.6348897260131414</v>
          </cell>
          <cell r="M200">
            <v>2.634912120406566</v>
          </cell>
          <cell r="N200">
            <v>2.6349435972451078</v>
          </cell>
          <cell r="O200">
            <v>2.6350003893539111</v>
          </cell>
          <cell r="Q200"/>
        </row>
        <row r="201">
          <cell r="A201" t="str">
            <v>RHES-SHELCHP</v>
          </cell>
          <cell r="B201" t="str">
            <v>VAR_fin</v>
          </cell>
          <cell r="C201" t="str">
            <v>RHESELCHPC</v>
          </cell>
          <cell r="D201">
            <v>9.1578266147875436</v>
          </cell>
          <cell r="E201">
            <v>10.275920642721999</v>
          </cell>
          <cell r="F201">
            <v>10.275913587429329</v>
          </cell>
          <cell r="G201">
            <v>10.275923723941895</v>
          </cell>
          <cell r="H201">
            <v>10.275946140503278</v>
          </cell>
          <cell r="I201">
            <v>10.275964351943491</v>
          </cell>
          <cell r="J201">
            <v>10.276021164604181</v>
          </cell>
          <cell r="K201">
            <v>10.276057868949275</v>
          </cell>
          <cell r="L201">
            <v>10.276069931451243</v>
          </cell>
          <cell r="M201">
            <v>10.2761572695856</v>
          </cell>
          <cell r="N201">
            <v>10.27628002925592</v>
          </cell>
          <cell r="O201">
            <v>10.276501518480242</v>
          </cell>
          <cell r="P201"/>
          <cell r="Q201"/>
          <cell r="R201"/>
          <cell r="S201"/>
        </row>
        <row r="202">
          <cell r="A202" t="str">
            <v>RHES-SHELCHP</v>
          </cell>
          <cell r="B202" t="str">
            <v>VAR_ncap</v>
          </cell>
          <cell r="C202" t="str">
            <v>-</v>
          </cell>
          <cell r="D202">
            <v>1.24756260545706E-7</v>
          </cell>
          <cell r="E202">
            <v>9.0328827449232998E-2</v>
          </cell>
          <cell r="F202">
            <v>6.1944894508764994E-5</v>
          </cell>
          <cell r="G202">
            <v>1.40030496741245E-5</v>
          </cell>
          <cell r="H202">
            <v>0.59204916748536796</v>
          </cell>
          <cell r="I202">
            <v>0.238171795142711</v>
          </cell>
          <cell r="J202">
            <v>1.5951242415677799E-5</v>
          </cell>
          <cell r="K202">
            <v>0.59212298632452698</v>
          </cell>
          <cell r="L202">
            <v>0.20153935776780099</v>
          </cell>
          <cell r="M202">
            <v>3.66517037344503E-2</v>
          </cell>
          <cell r="N202">
            <v>0.551141360773995</v>
          </cell>
          <cell r="O202">
            <v>0.24265978752152401</v>
          </cell>
        </row>
        <row r="203">
          <cell r="A203" t="str">
            <v>RHES-SHELCHP</v>
          </cell>
          <cell r="B203" t="str">
            <v>VAR_cap</v>
          </cell>
          <cell r="C203" t="str">
            <v>-</v>
          </cell>
          <cell r="D203">
            <v>0.7398380526816255</v>
          </cell>
          <cell r="E203">
            <v>0.83016675256370587</v>
          </cell>
          <cell r="F203">
            <v>0.83022804024898422</v>
          </cell>
          <cell r="G203">
            <v>0.83024144312715997</v>
          </cell>
          <cell r="H203">
            <v>0.83026819535578145</v>
          </cell>
          <cell r="I203">
            <v>0.83024411652477348</v>
          </cell>
          <cell r="J203">
            <v>0.83023618829906343</v>
          </cell>
          <cell r="K203">
            <v>0.83030968201260069</v>
          </cell>
          <cell r="L203">
            <v>0.83027125100372889</v>
          </cell>
          <cell r="M203">
            <v>0.83031290609809105</v>
          </cell>
          <cell r="N203">
            <v>0.83031834059826604</v>
          </cell>
          <cell r="O203">
            <v>0.83045183633504827</v>
          </cell>
        </row>
        <row r="204">
          <cell r="A204" t="str">
            <v>RHSA-WHELCHP</v>
          </cell>
          <cell r="B204" t="str">
            <v>VAR_fout</v>
          </cell>
          <cell r="C204" t="str">
            <v>RHSA-WHAELCH</v>
          </cell>
          <cell r="D204">
            <v>3.2399137642188243</v>
          </cell>
          <cell r="E204">
            <v>3.6354719052981195</v>
          </cell>
          <cell r="F204">
            <v>4.9304397969049258</v>
          </cell>
          <cell r="G204">
            <v>5.9873469531867745</v>
          </cell>
          <cell r="H204">
            <v>7.7714937858454585</v>
          </cell>
          <cell r="I204">
            <v>8.0138335187479495</v>
          </cell>
          <cell r="J204">
            <v>8.2383246850551597</v>
          </cell>
          <cell r="K204">
            <v>8.2471902380513402</v>
          </cell>
          <cell r="L204">
            <v>10.300063071174497</v>
          </cell>
          <cell r="M204">
            <v>10.442990033896214</v>
          </cell>
          <cell r="N204">
            <v>9.0540668843662058</v>
          </cell>
          <cell r="O204">
            <v>10.43060565858223</v>
          </cell>
        </row>
        <row r="205">
          <cell r="A205" t="str">
            <v>RHSA-WHELCHP</v>
          </cell>
          <cell r="B205" t="str">
            <v>VAR_fin</v>
          </cell>
          <cell r="C205" t="str">
            <v>RHSA_ELC</v>
          </cell>
          <cell r="D205">
            <v>1.1489055901485206</v>
          </cell>
          <cell r="E205">
            <v>1.2864373337926833</v>
          </cell>
          <cell r="F205">
            <v>1.7391322034937988</v>
          </cell>
          <cell r="G205">
            <v>2.100823492346235</v>
          </cell>
          <cell r="H205">
            <v>2.6523869576264327</v>
          </cell>
          <cell r="I205">
            <v>2.6624031623747317</v>
          </cell>
          <cell r="J205">
            <v>2.6878710228564913</v>
          </cell>
          <cell r="K205">
            <v>2.6433302045036369</v>
          </cell>
          <cell r="L205">
            <v>3.3013022664020819</v>
          </cell>
          <cell r="M205">
            <v>3.3471121903513517</v>
          </cell>
          <cell r="N205">
            <v>2.9019445142199367</v>
          </cell>
          <cell r="O205">
            <v>3.3431428392891784</v>
          </cell>
        </row>
        <row r="206">
          <cell r="A206" t="str">
            <v>RHSA-WHELCHP</v>
          </cell>
          <cell r="B206" t="str">
            <v>VAR_ncap</v>
          </cell>
          <cell r="C206" t="str">
            <v>-</v>
          </cell>
          <cell r="D206">
            <v>3.40404193493237E-6</v>
          </cell>
          <cell r="E206">
            <v>3.27923016929055E-2</v>
          </cell>
          <cell r="F206">
            <v>9.0837286274295007E-2</v>
          </cell>
          <cell r="G206">
            <v>7.22844259169345E-2</v>
          </cell>
          <cell r="H206">
            <v>0.293849067159907</v>
          </cell>
          <cell r="I206">
            <v>0.17337423564530999</v>
          </cell>
          <cell r="J206">
            <v>9.2314542970373004E-2</v>
          </cell>
          <cell r="K206">
            <v>0.29591938571320098</v>
          </cell>
          <cell r="L206">
            <v>0.29988004722901801</v>
          </cell>
          <cell r="M206">
            <v>0.115117636591324</v>
          </cell>
          <cell r="N206">
            <v>0.245389195591143</v>
          </cell>
          <cell r="O206">
            <v>0.34645013225760801</v>
          </cell>
        </row>
        <row r="207">
          <cell r="A207" t="str">
            <v>RHSA-WHELCHP</v>
          </cell>
          <cell r="B207" t="str">
            <v>VAR_cap</v>
          </cell>
          <cell r="C207" t="str">
            <v>-</v>
          </cell>
          <cell r="D207">
            <v>0.21335606646117594</v>
          </cell>
          <cell r="E207">
            <v>0.24614794432114009</v>
          </cell>
          <cell r="F207">
            <v>0.33698465072549594</v>
          </cell>
          <cell r="G207">
            <v>0.40926845128738193</v>
          </cell>
          <cell r="H207">
            <v>0.52909946330306556</v>
          </cell>
          <cell r="I207">
            <v>0.54483003436079436</v>
          </cell>
          <cell r="J207">
            <v>0.5595370328456748</v>
          </cell>
          <cell r="K207">
            <v>0.56160660956267616</v>
          </cell>
          <cell r="L207">
            <v>0.70252085136772013</v>
          </cell>
          <cell r="M207">
            <v>0.71091531705722866</v>
          </cell>
          <cell r="N207">
            <v>0.61773245107294072</v>
          </cell>
          <cell r="O207">
            <v>0.70695542572054471</v>
          </cell>
        </row>
        <row r="208">
          <cell r="A208" t="str">
            <v>D-ITOT_LTH_CHP</v>
          </cell>
          <cell r="B208" t="str">
            <v>VAR_fout</v>
          </cell>
          <cell r="C208" t="str">
            <v>ITOT_LTH_CHP_ON</v>
          </cell>
          <cell r="D208">
            <v>5.6086641344573902</v>
          </cell>
          <cell r="E208">
            <v>6.0095340290244081</v>
          </cell>
          <cell r="F208">
            <v>6.1300992086813419</v>
          </cell>
          <cell r="G208">
            <v>9.2516268794877501</v>
          </cell>
          <cell r="H208">
            <v>9.1410334128653172</v>
          </cell>
          <cell r="I208">
            <v>8.7150475493692845</v>
          </cell>
          <cell r="J208">
            <v>10.861805743998813</v>
          </cell>
          <cell r="K208">
            <v>12.57158485864483</v>
          </cell>
          <cell r="L208">
            <v>12.929291194117777</v>
          </cell>
          <cell r="M208">
            <v>12.862531913035259</v>
          </cell>
          <cell r="N208">
            <v>12.902214995997992</v>
          </cell>
          <cell r="O208">
            <v>12.923743064069427</v>
          </cell>
        </row>
        <row r="209">
          <cell r="A209" t="str">
            <v>D-ITOT_LTH_CHP</v>
          </cell>
          <cell r="B209" t="str">
            <v>VAR_fout</v>
          </cell>
          <cell r="C209" t="str">
            <v>LTH</v>
          </cell>
          <cell r="D209"/>
          <cell r="E209">
            <v>1.1787486832730903E-3</v>
          </cell>
          <cell r="F209">
            <v>3.2205855713779113E-3</v>
          </cell>
          <cell r="G209">
            <v>1.0542877402620072E-2</v>
          </cell>
          <cell r="H209">
            <v>9.1762634042428601E-3</v>
          </cell>
          <cell r="I209">
            <v>1.3004813188968118E-2</v>
          </cell>
          <cell r="J209">
            <v>2.0157548909201052E-2</v>
          </cell>
          <cell r="K209">
            <v>2.9130783712618541E-2</v>
          </cell>
          <cell r="L209">
            <v>3.9378536682778624E-2</v>
          </cell>
          <cell r="M209">
            <v>3.651190080081658E-2</v>
          </cell>
          <cell r="N209">
            <v>4.1441443809262249E-2</v>
          </cell>
          <cell r="O209">
            <v>3.3108371494382886E-2</v>
          </cell>
        </row>
        <row r="210">
          <cell r="A210" t="str">
            <v>D-ITOT_LTH_CHP</v>
          </cell>
          <cell r="B210" t="str">
            <v>VAR_fin</v>
          </cell>
          <cell r="C210" t="str">
            <v>ITOT_LTH_CHP</v>
          </cell>
          <cell r="D210">
            <v>5.6086641344573902</v>
          </cell>
          <cell r="E210">
            <v>6.0107127777076803</v>
          </cell>
          <cell r="F210">
            <v>6.1333197942527207</v>
          </cell>
          <cell r="G210">
            <v>9.2621697568903656</v>
          </cell>
          <cell r="H210">
            <v>9.1502096762695704</v>
          </cell>
          <cell r="I210">
            <v>8.7280523625582536</v>
          </cell>
          <cell r="J210">
            <v>10.881963292908017</v>
          </cell>
          <cell r="K210">
            <v>12.600715642357443</v>
          </cell>
          <cell r="L210">
            <v>12.968669730800556</v>
          </cell>
          <cell r="M210">
            <v>12.899043813836071</v>
          </cell>
          <cell r="N210">
            <v>12.943656439807263</v>
          </cell>
          <cell r="O210">
            <v>12.956851435563806</v>
          </cell>
        </row>
        <row r="211">
          <cell r="A211" t="str">
            <v>RHEM-SHCONBR9</v>
          </cell>
          <cell r="B211" t="str">
            <v>VAR_fout</v>
          </cell>
          <cell r="C211" t="str">
            <v>RHEM-SHCON</v>
          </cell>
          <cell r="D211"/>
          <cell r="E211">
            <v>1.0837207297502403E-4</v>
          </cell>
          <cell r="F211">
            <v>1.0481642317480078E-4</v>
          </cell>
          <cell r="G211">
            <v>4.1361368197712309E-5</v>
          </cell>
          <cell r="H211">
            <v>7.4173050725418694E-5</v>
          </cell>
          <cell r="I211">
            <v>6.8918254023344887E-5</v>
          </cell>
          <cell r="J211">
            <v>6.4345914903011811E-5</v>
          </cell>
          <cell r="K211">
            <v>8.3915689683655386E-5</v>
          </cell>
          <cell r="L211">
            <v>5.6321337964159796E-5</v>
          </cell>
          <cell r="M211">
            <v>9.2919375217181865E-5</v>
          </cell>
          <cell r="N211">
            <v>6.3156349625087619E-5</v>
          </cell>
          <cell r="O211">
            <v>1.7179826904462089E-4</v>
          </cell>
        </row>
        <row r="212">
          <cell r="A212" t="str">
            <v>RHEM-SHCONBR9</v>
          </cell>
          <cell r="B212" t="str">
            <v>VAR_fin</v>
          </cell>
          <cell r="C212" t="str">
            <v>CON</v>
          </cell>
          <cell r="D212"/>
          <cell r="E212">
            <v>1.0837207297502403E-4</v>
          </cell>
          <cell r="F212">
            <v>1.0481642317480078E-4</v>
          </cell>
          <cell r="G212">
            <v>4.1361368197712309E-5</v>
          </cell>
          <cell r="H212">
            <v>7.4173050725418694E-5</v>
          </cell>
          <cell r="I212">
            <v>6.8918254023344887E-5</v>
          </cell>
          <cell r="J212">
            <v>6.4345914903011811E-5</v>
          </cell>
          <cell r="K212">
            <v>8.3915689683655386E-5</v>
          </cell>
          <cell r="L212">
            <v>5.6321337964159796E-5</v>
          </cell>
          <cell r="M212">
            <v>9.2919375217181865E-5</v>
          </cell>
          <cell r="N212">
            <v>6.3156349625087619E-5</v>
          </cell>
          <cell r="O212">
            <v>1.7179826904462089E-4</v>
          </cell>
        </row>
        <row r="213">
          <cell r="A213" t="str">
            <v>RHEM-SHCONBR9</v>
          </cell>
          <cell r="B213" t="str">
            <v>VAR_ncap</v>
          </cell>
          <cell r="C213" t="str">
            <v>-</v>
          </cell>
          <cell r="D213"/>
          <cell r="E213">
            <v>2.2072582905927099E-8</v>
          </cell>
          <cell r="F213">
            <v>7.5252419998236894E-8</v>
          </cell>
          <cell r="G213">
            <v>3.532418748697E-7</v>
          </cell>
          <cell r="H213">
            <v>3.1524394992814297E-8</v>
          </cell>
          <cell r="I213">
            <v>2.8094433560558899E-8</v>
          </cell>
          <cell r="J213">
            <v>4.48174017067903E-8</v>
          </cell>
          <cell r="K213">
            <v>1.4646313126990701E-6</v>
          </cell>
          <cell r="L213">
            <v>1.15854247177828E-7</v>
          </cell>
          <cell r="M213">
            <v>4.39951846647594E-7</v>
          </cell>
          <cell r="N213">
            <v>3.2041829002710902E-7</v>
          </cell>
          <cell r="O213">
            <v>3.91766240439116E-7</v>
          </cell>
        </row>
        <row r="214">
          <cell r="A214" t="str">
            <v>RHEM-SHCONBR9</v>
          </cell>
          <cell r="B214" t="str">
            <v>VAR_cap</v>
          </cell>
          <cell r="C214" t="str">
            <v>-</v>
          </cell>
          <cell r="D214"/>
          <cell r="E214">
            <v>2.2072582905927099E-8</v>
          </cell>
          <cell r="F214">
            <v>9.7325002904163996E-8</v>
          </cell>
          <cell r="G214">
            <v>4.5056687777386401E-7</v>
          </cell>
          <cell r="H214">
            <v>4.8209127276667801E-7</v>
          </cell>
          <cell r="I214">
            <v>5.1018570632723702E-7</v>
          </cell>
          <cell r="J214">
            <v>5.5500310803402704E-7</v>
          </cell>
          <cell r="K214">
            <v>2.0124578037011799E-6</v>
          </cell>
          <cell r="L214">
            <v>1.9662313859295599E-6</v>
          </cell>
          <cell r="M214">
            <v>2.1248736367846598E-6</v>
          </cell>
          <cell r="N214">
            <v>2.4149530105654502E-6</v>
          </cell>
          <cell r="O214">
            <v>2.7774393386975101E-6</v>
          </cell>
        </row>
        <row r="215">
          <cell r="A215" t="str">
            <v>SCOM-SHELCHP</v>
          </cell>
          <cell r="B215" t="str">
            <v>VAR_fout</v>
          </cell>
          <cell r="C215" t="str">
            <v>SCOM-SHAELCH</v>
          </cell>
          <cell r="D215">
            <v>4.2612372164217485</v>
          </cell>
          <cell r="E215">
            <v>4.6176637042527622</v>
          </cell>
          <cell r="F215">
            <v>4.8231247437127642</v>
          </cell>
          <cell r="G215">
            <v>5.1965220432475077</v>
          </cell>
          <cell r="H215">
            <v>5.5800088610912617</v>
          </cell>
          <cell r="I215">
            <v>6.0025163073055818</v>
          </cell>
          <cell r="J215">
            <v>6.4386485773905893</v>
          </cell>
          <cell r="K215">
            <v>6.9461592584371807</v>
          </cell>
          <cell r="L215">
            <v>7.5033713009632415</v>
          </cell>
          <cell r="M215">
            <v>7.9763432294121124</v>
          </cell>
          <cell r="N215">
            <v>8.614737779919885</v>
          </cell>
          <cell r="O215">
            <v>9.2204057327466575</v>
          </cell>
        </row>
        <row r="216">
          <cell r="A216" t="str">
            <v>SCOM-SHELCHP</v>
          </cell>
          <cell r="B216" t="str">
            <v>VAR_fin</v>
          </cell>
          <cell r="C216" t="str">
            <v>SCOMELCHPC</v>
          </cell>
          <cell r="D216">
            <v>4.2612372164217485</v>
          </cell>
          <cell r="E216">
            <v>4.6176637042527622</v>
          </cell>
          <cell r="F216">
            <v>4.8231247437127642</v>
          </cell>
          <cell r="G216">
            <v>5.1965220432475077</v>
          </cell>
          <cell r="H216">
            <v>5.5800088610912617</v>
          </cell>
          <cell r="I216">
            <v>6.0025163073055818</v>
          </cell>
          <cell r="J216">
            <v>6.4386485773905893</v>
          </cell>
          <cell r="K216">
            <v>6.9461592584371807</v>
          </cell>
          <cell r="L216">
            <v>7.5033713009632415</v>
          </cell>
          <cell r="M216">
            <v>7.9763432294121124</v>
          </cell>
          <cell r="N216">
            <v>8.614737779919885</v>
          </cell>
          <cell r="O216">
            <v>9.2204057327466575</v>
          </cell>
        </row>
        <row r="217">
          <cell r="A217" t="str">
            <v>SCOM-SHELCHP</v>
          </cell>
          <cell r="B217" t="str">
            <v>VAR_fin</v>
          </cell>
          <cell r="C217" t="str">
            <v>SCOM_ELC</v>
          </cell>
          <cell r="D217">
            <v>1.3316366301317961</v>
          </cell>
          <cell r="E217">
            <v>1.4252048469915946</v>
          </cell>
          <cell r="F217">
            <v>1.4615529526402338</v>
          </cell>
          <cell r="G217">
            <v>1.5283888362492664</v>
          </cell>
          <cell r="H217">
            <v>1.5942882460260754</v>
          </cell>
          <cell r="I217">
            <v>1.6673656409182189</v>
          </cell>
          <cell r="J217">
            <v>1.7401752911866466</v>
          </cell>
          <cell r="K217">
            <v>1.8279366469571532</v>
          </cell>
          <cell r="L217">
            <v>1.974571394990327</v>
          </cell>
          <cell r="M217">
            <v>2.0990376919505565</v>
          </cell>
          <cell r="N217">
            <v>2.2670362578736527</v>
          </cell>
          <cell r="O217">
            <v>2.4264225612491184</v>
          </cell>
        </row>
        <row r="218">
          <cell r="A218" t="str">
            <v>SCOM-SHELCHP</v>
          </cell>
          <cell r="B218" t="str">
            <v>VAR_ncap</v>
          </cell>
          <cell r="C218" t="str">
            <v>-</v>
          </cell>
          <cell r="D218">
            <v>3.6153214913186E-7</v>
          </cell>
          <cell r="E218">
            <v>7.7435322024697096E-7</v>
          </cell>
          <cell r="F218">
            <v>1.24480072628399E-6</v>
          </cell>
          <cell r="G218">
            <v>3.5892487681695499E-6</v>
          </cell>
          <cell r="H218">
            <v>0.31949954887328302</v>
          </cell>
          <cell r="I218">
            <v>0.14601037522889301</v>
          </cell>
          <cell r="J218">
            <v>3.2006953554057103E-2</v>
          </cell>
          <cell r="K218">
            <v>0.35872094925616799</v>
          </cell>
          <cell r="L218">
            <v>0.17086996335125501</v>
          </cell>
          <cell r="M218">
            <v>8.6750609831044295E-2</v>
          </cell>
          <cell r="N218">
            <v>0.39868282802462202</v>
          </cell>
          <cell r="O218">
            <v>0.227042215528139</v>
          </cell>
        </row>
        <row r="219">
          <cell r="A219" t="str">
            <v>SCOM-SHELCHP</v>
          </cell>
          <cell r="B219" t="str">
            <v>VAR_cap</v>
          </cell>
          <cell r="C219" t="str">
            <v>-</v>
          </cell>
          <cell r="D219">
            <v>0.43061767498593712</v>
          </cell>
          <cell r="E219">
            <v>0.43061431565441183</v>
          </cell>
          <cell r="F219">
            <v>0.43061225713820744</v>
          </cell>
          <cell r="G219">
            <v>0.43061390847543396</v>
          </cell>
          <cell r="H219">
            <v>0.43117430530296114</v>
          </cell>
          <cell r="I219">
            <v>0.4655107197507623</v>
          </cell>
          <cell r="J219">
            <v>0.49751546261127794</v>
          </cell>
          <cell r="K219">
            <v>0.53673502585117205</v>
          </cell>
          <cell r="L219">
            <v>0.57978839797469428</v>
          </cell>
          <cell r="M219">
            <v>0.61633805724158308</v>
          </cell>
          <cell r="N219">
            <v>0.66566699654987427</v>
          </cell>
          <cell r="O219">
            <v>0.71247145120328992</v>
          </cell>
        </row>
        <row r="220">
          <cell r="A220" t="str">
            <v>D-ITOT_NKEV_OIL_ELC_CHP</v>
          </cell>
          <cell r="B220" t="str">
            <v>VAR_fout</v>
          </cell>
          <cell r="C220" t="str">
            <v>ITOT_ELC</v>
          </cell>
          <cell r="D220">
            <v>6.0418356943756329E-2</v>
          </cell>
          <cell r="E220">
            <v>0.16655132522370655</v>
          </cell>
          <cell r="F220">
            <v>1.7467487373149777E-3</v>
          </cell>
          <cell r="G220">
            <v>0.16221229617411925</v>
          </cell>
          <cell r="H220">
            <v>0.15705099949530416</v>
          </cell>
          <cell r="I220">
            <v>1.8658302401980541E-2</v>
          </cell>
          <cell r="J220">
            <v>2.1284175314054694E-2</v>
          </cell>
          <cell r="K220">
            <v>2.3529173503793639E-2</v>
          </cell>
          <cell r="L220">
            <v>2.3826816816962405E-2</v>
          </cell>
          <cell r="M220">
            <v>2.1887550173743515E-2</v>
          </cell>
          <cell r="N220">
            <v>2.209611869004377E-2</v>
          </cell>
          <cell r="O220">
            <v>1.9184773234334544E-2</v>
          </cell>
        </row>
        <row r="221">
          <cell r="A221" t="str">
            <v>D-ITOT_NKEV_OIL_ELC_CHP</v>
          </cell>
          <cell r="B221" t="str">
            <v>VAR_fout</v>
          </cell>
          <cell r="C221" t="str">
            <v>ELC5</v>
          </cell>
          <cell r="D221">
            <v>1.0088340011819179E-2</v>
          </cell>
          <cell r="E221">
            <v>4.8086718887441265E-3</v>
          </cell>
          <cell r="F221">
            <v>1.3147490570537626E-3</v>
          </cell>
          <cell r="G221">
            <v>2.959482554727313E-3</v>
          </cell>
          <cell r="H221">
            <v>6.5555186995686293E-3</v>
          </cell>
          <cell r="I221">
            <v>2.5717655285613177E-3</v>
          </cell>
          <cell r="J221">
            <v>3.0757812221645694E-3</v>
          </cell>
          <cell r="K221">
            <v>5.3590418775334263E-3</v>
          </cell>
          <cell r="L221">
            <v>3.3716014175491833E-3</v>
          </cell>
          <cell r="M221">
            <v>6.1383980723456119E-3</v>
          </cell>
          <cell r="N221">
            <v>5.4915981043769466E-3</v>
          </cell>
          <cell r="O221">
            <v>9.2752832609762047E-3</v>
          </cell>
        </row>
        <row r="222">
          <cell r="A222" t="str">
            <v>D-ITOT_NKEV_OIL_ELC_CHP</v>
          </cell>
          <cell r="B222" t="str">
            <v>VAR_fin</v>
          </cell>
          <cell r="C222" t="str">
            <v>ITOT_NKEV_OIL_ELC_CHP</v>
          </cell>
          <cell r="D222">
            <v>7.0506696955575487E-2</v>
          </cell>
          <cell r="E222">
            <v>0.17135999711245065</v>
          </cell>
          <cell r="F222">
            <v>3.0483021365038236E-3</v>
          </cell>
          <cell r="G222">
            <v>0.16516354809372127</v>
          </cell>
          <cell r="H222">
            <v>0.16359068805493493</v>
          </cell>
          <cell r="I222">
            <v>2.1198736010250831E-2</v>
          </cell>
          <cell r="J222">
            <v>2.4329572586778644E-2</v>
          </cell>
          <cell r="K222">
            <v>2.8854919761296317E-2</v>
          </cell>
          <cell r="L222">
            <v>2.7164892568203914E-2</v>
          </cell>
          <cell r="M222">
            <v>2.7986772436282305E-2</v>
          </cell>
          <cell r="N222">
            <v>2.7549581102389767E-2</v>
          </cell>
          <cell r="O222">
            <v>2.8389036021391995E-2</v>
          </cell>
        </row>
        <row r="223">
          <cell r="A223" t="str">
            <v>RHNS-SHELCBR</v>
          </cell>
          <cell r="B223" t="str">
            <v>VAR_fout</v>
          </cell>
          <cell r="C223" t="str">
            <v>RHNS-SHAELCB</v>
          </cell>
          <cell r="D223"/>
          <cell r="E223">
            <v>6.9065025790762652E-2</v>
          </cell>
          <cell r="F223">
            <v>0.14931321898953631</v>
          </cell>
          <cell r="G223">
            <v>7.205905522403791E-2</v>
          </cell>
          <cell r="H223">
            <v>0.10406365151425902</v>
          </cell>
          <cell r="I223">
            <v>1.979840608643248E-2</v>
          </cell>
          <cell r="J223">
            <v>0.44014162262672363</v>
          </cell>
          <cell r="K223">
            <v>0.41695216575276278</v>
          </cell>
          <cell r="L223">
            <v>6.059063066252101E-2</v>
          </cell>
          <cell r="M223">
            <v>1.0427687369906315E-2</v>
          </cell>
          <cell r="N223">
            <v>8.5640390484352652E-3</v>
          </cell>
          <cell r="O223">
            <v>1.077088482507817E-2</v>
          </cell>
        </row>
        <row r="224">
          <cell r="A224" t="str">
            <v>RHNS-SHELCBR</v>
          </cell>
          <cell r="B224" t="str">
            <v>VAR_fin</v>
          </cell>
          <cell r="C224" t="str">
            <v>RHNS_ELC</v>
          </cell>
          <cell r="D224"/>
          <cell r="E224">
            <v>7.270002714817117E-2</v>
          </cell>
          <cell r="F224">
            <v>0.15717180946266976</v>
          </cell>
          <cell r="G224">
            <v>7.5851637077934797E-2</v>
          </cell>
          <cell r="H224">
            <v>0.10954068580448313</v>
          </cell>
          <cell r="I224">
            <v>2.0840427459402608E-2</v>
          </cell>
          <cell r="J224">
            <v>0.4633069711860251</v>
          </cell>
          <cell r="K224">
            <v>0.43889701658185593</v>
          </cell>
          <cell r="L224">
            <v>6.3779611223706345E-2</v>
          </cell>
          <cell r="M224">
            <v>1.097651302095403E-2</v>
          </cell>
          <cell r="N224">
            <v>9.014777945721331E-3</v>
          </cell>
          <cell r="O224">
            <v>1.1337773500082292E-2</v>
          </cell>
        </row>
        <row r="225">
          <cell r="A225" t="str">
            <v>RHNS-SHELCBR</v>
          </cell>
          <cell r="B225" t="str">
            <v>VAR_ncap</v>
          </cell>
          <cell r="C225" t="str">
            <v>-</v>
          </cell>
          <cell r="D225"/>
          <cell r="E225">
            <v>1.10854780237054E-2</v>
          </cell>
          <cell r="F225"/>
          <cell r="G225"/>
          <cell r="H225">
            <v>2.1850873802422102E-3</v>
          </cell>
          <cell r="I225"/>
          <cell r="J225">
            <v>3.0562831474809E-2</v>
          </cell>
          <cell r="L225">
            <v>1.16881507336005E-5</v>
          </cell>
          <cell r="M225">
            <v>1.15399032034884E-3</v>
          </cell>
          <cell r="N225">
            <v>4.9309549402396996E-6</v>
          </cell>
          <cell r="O225">
            <v>2.7311826794667698E-4</v>
          </cell>
        </row>
        <row r="226">
          <cell r="A226" t="str">
            <v>RHNS-SHELCBR</v>
          </cell>
          <cell r="B226" t="str">
            <v>VAR_cap</v>
          </cell>
          <cell r="C226" t="str">
            <v>-</v>
          </cell>
          <cell r="D226"/>
          <cell r="E226">
            <v>1.10854780237054E-2</v>
          </cell>
          <cell r="F226">
            <v>1.1082883719512203E-2</v>
          </cell>
          <cell r="G226">
            <v>1.1075724609144381E-2</v>
          </cell>
          <cell r="H226">
            <v>7.8591156551189624E-3</v>
          </cell>
          <cell r="I226">
            <v>2.1843092549710301E-3</v>
          </cell>
          <cell r="J226">
            <v>3.2737064793460509E-2</v>
          </cell>
          <cell r="K226">
            <v>3.0562236512526805E-2</v>
          </cell>
          <cell r="L226">
            <v>7.6792340164934976E-3</v>
          </cell>
          <cell r="M226">
            <v>1.1645869894435594E-3</v>
          </cell>
          <cell r="N226">
            <v>1.1585127884619325E-3</v>
          </cell>
          <cell r="O226">
            <v>1.4260225921330577E-3</v>
          </cell>
        </row>
        <row r="227">
          <cell r="A227" t="str">
            <v>ITOT-SWHSTG-SOL</v>
          </cell>
          <cell r="B227" t="str">
            <v>VAR_fout</v>
          </cell>
          <cell r="C227" t="str">
            <v>ITOT-SWHASOL</v>
          </cell>
          <cell r="D227">
            <v>4.5031698749553719E-4</v>
          </cell>
          <cell r="E227">
            <v>4.9706438119668064E-4</v>
          </cell>
          <cell r="F227">
            <v>7.0440727178267709E-4</v>
          </cell>
          <cell r="G227">
            <v>1.1603443650390719E-3</v>
          </cell>
          <cell r="H227">
            <v>2.1051529437869161E-3</v>
          </cell>
          <cell r="I227">
            <v>2.0970645530428724E-3</v>
          </cell>
          <cell r="J227">
            <v>2.2447418571678044E-3</v>
          </cell>
          <cell r="K227">
            <v>2.075356654141085E-3</v>
          </cell>
          <cell r="L227">
            <v>2.9556652981449776E-3</v>
          </cell>
          <cell r="M227">
            <v>3.5370329703353709E-3</v>
          </cell>
          <cell r="N227">
            <v>5.0352574442361128E-3</v>
          </cell>
          <cell r="O227">
            <v>6.3810515311963868E-3</v>
          </cell>
        </row>
        <row r="228">
          <cell r="A228" t="str">
            <v>ITOT-SWHSTG-SOL</v>
          </cell>
          <cell r="B228" t="str">
            <v>VAR_fin</v>
          </cell>
          <cell r="C228" t="str">
            <v>ITOT-SWHASOL</v>
          </cell>
          <cell r="D228">
            <v>4.5241160053717181E-4</v>
          </cell>
          <cell r="E228">
            <v>4.2170020344218541E-4</v>
          </cell>
          <cell r="F228">
            <v>6.3657758287910668E-4</v>
          </cell>
          <cell r="G228">
            <v>1.1992025174857883E-3</v>
          </cell>
          <cell r="H228">
            <v>2.398182537752249E-3</v>
          </cell>
          <cell r="I228">
            <v>2.3250011800109421E-3</v>
          </cell>
          <cell r="J228">
            <v>2.3784734772517571E-3</v>
          </cell>
          <cell r="K228">
            <v>2.158760680690664E-3</v>
          </cell>
          <cell r="L228">
            <v>3.1760370218856769E-3</v>
          </cell>
          <cell r="M228">
            <v>3.7156359968749933E-3</v>
          </cell>
          <cell r="N228">
            <v>5.4671733844814099E-3</v>
          </cell>
          <cell r="O228">
            <v>6.7124131930826579E-3</v>
          </cell>
        </row>
        <row r="229">
          <cell r="A229" t="str">
            <v>ITOT-SWHSTG-SOL</v>
          </cell>
          <cell r="B229" t="str">
            <v>VAR_ncap</v>
          </cell>
          <cell r="C229" t="str">
            <v>-</v>
          </cell>
          <cell r="D229">
            <v>2.2140954421928901E-5</v>
          </cell>
          <cell r="E229">
            <v>6.6319978381348302E-8</v>
          </cell>
          <cell r="F229">
            <v>1.8732046872394901E-5</v>
          </cell>
          <cell r="G229">
            <v>8.5117129102611799E-5</v>
          </cell>
          <cell r="H229">
            <v>1.8945835475799001E-4</v>
          </cell>
          <cell r="I229">
            <v>5.6502961845577696E-7</v>
          </cell>
          <cell r="J229">
            <v>9.3676778748368805E-6</v>
          </cell>
          <cell r="K229">
            <v>1.15667737971518E-4</v>
          </cell>
          <cell r="L229">
            <v>1.5763638155914399E-4</v>
          </cell>
          <cell r="M229">
            <v>1.6204750567911801E-7</v>
          </cell>
          <cell r="N229">
            <v>3.7310823543146402E-4</v>
          </cell>
          <cell r="O229">
            <v>9.7269093529775692E-7</v>
          </cell>
        </row>
        <row r="230">
          <cell r="A230" t="str">
            <v>ITOT-SWHSTG-SOL</v>
          </cell>
          <cell r="B230" t="str">
            <v>VAR_cap</v>
          </cell>
          <cell r="C230" t="str">
            <v>-</v>
          </cell>
          <cell r="D230">
            <v>2.2140954421928901E-5</v>
          </cell>
          <cell r="E230">
            <v>2.2207274400310199E-5</v>
          </cell>
          <cell r="F230">
            <v>4.0939321272705199E-5</v>
          </cell>
          <cell r="G230">
            <v>1.26056450375317E-4</v>
          </cell>
          <cell r="H230">
            <v>2.9908342304955698E-4</v>
          </cell>
          <cell r="I230">
            <v>2.6288091947044499E-4</v>
          </cell>
          <cell r="J230">
            <v>1.99391062251283E-4</v>
          </cell>
          <cell r="K230">
            <v>1.25600445464811E-4</v>
          </cell>
          <cell r="L230">
            <v>2.8151744201635099E-4</v>
          </cell>
          <cell r="M230">
            <v>2.7346616703634199E-4</v>
          </cell>
          <cell r="N230">
            <v>5.0142106565448505E-4</v>
          </cell>
          <cell r="O230">
            <v>3.7424297387244102E-4</v>
          </cell>
        </row>
        <row r="231">
          <cell r="A231" t="str">
            <v>RHES-SHLTHCHPNGA</v>
          </cell>
          <cell r="B231" t="str">
            <v>VAR_fout</v>
          </cell>
          <cell r="C231" t="str">
            <v>RHES-SHLTHC-NGA</v>
          </cell>
          <cell r="D231">
            <v>3.069973878219729E-2</v>
          </cell>
          <cell r="E231">
            <v>3.3067906597720985E-3</v>
          </cell>
          <cell r="F231">
            <v>2.2130733206796739E-2</v>
          </cell>
          <cell r="G231">
            <v>2.1639682684849882E-2</v>
          </cell>
          <cell r="H231">
            <v>4.7525461024677626E-2</v>
          </cell>
          <cell r="I231">
            <v>4.8961108627320879E-2</v>
          </cell>
          <cell r="J231">
            <v>4.7015344932091613E-2</v>
          </cell>
          <cell r="K231">
            <v>5.3185844223275346E-2</v>
          </cell>
          <cell r="L231">
            <v>5.1515199604629108E-2</v>
          </cell>
          <cell r="M231">
            <v>4.9193561480000238E-2</v>
          </cell>
          <cell r="N231">
            <v>0.32432179877420941</v>
          </cell>
          <cell r="O231">
            <v>0.31314311568417608</v>
          </cell>
        </row>
        <row r="232">
          <cell r="A232" t="str">
            <v>RHES-SHLTHCHPNGA</v>
          </cell>
          <cell r="B232" t="str">
            <v>VAR_fin</v>
          </cell>
          <cell r="C232" t="str">
            <v>RHESLTHCHPC</v>
          </cell>
          <cell r="D232">
            <v>3.069973878219729E-2</v>
          </cell>
          <cell r="E232">
            <v>3.3067906597720985E-3</v>
          </cell>
          <cell r="F232">
            <v>2.2130733206796739E-2</v>
          </cell>
          <cell r="G232">
            <v>2.1639682684849882E-2</v>
          </cell>
          <cell r="H232">
            <v>4.7525461024677626E-2</v>
          </cell>
          <cell r="I232">
            <v>4.8961108627320879E-2</v>
          </cell>
          <cell r="J232">
            <v>4.7015344932091613E-2</v>
          </cell>
          <cell r="K232">
            <v>5.3185844223275346E-2</v>
          </cell>
          <cell r="L232">
            <v>5.1515199604629108E-2</v>
          </cell>
          <cell r="M232">
            <v>4.9193561480000238E-2</v>
          </cell>
          <cell r="N232">
            <v>0.32432179877420941</v>
          </cell>
          <cell r="O232">
            <v>0.31314311568417608</v>
          </cell>
        </row>
        <row r="233">
          <cell r="A233" t="str">
            <v>RHES-SHLTHCHPNGA</v>
          </cell>
          <cell r="B233" t="str">
            <v>VAR_fin</v>
          </cell>
          <cell r="C233" t="str">
            <v>RHES_LTH_CHPNGA_ON</v>
          </cell>
          <cell r="D233">
            <v>3.1009837153734635E-2</v>
          </cell>
          <cell r="E233">
            <v>3.3401925856283866E-3</v>
          </cell>
          <cell r="F233">
            <v>2.2354275966461341E-2</v>
          </cell>
          <cell r="G233">
            <v>2.1858265338232215E-2</v>
          </cell>
          <cell r="H233">
            <v>4.800551618654305E-2</v>
          </cell>
          <cell r="I233">
            <v>4.9455665280122123E-2</v>
          </cell>
          <cell r="J233">
            <v>4.749024740615311E-2</v>
          </cell>
          <cell r="K233">
            <v>5.372307497300538E-2</v>
          </cell>
          <cell r="L233">
            <v>5.2035555156191057E-2</v>
          </cell>
          <cell r="M233">
            <v>4.9690466141414341E-2</v>
          </cell>
          <cell r="N233">
            <v>0.32759777653960587</v>
          </cell>
          <cell r="O233">
            <v>0.31630617745876377</v>
          </cell>
        </row>
        <row r="234">
          <cell r="A234" t="str">
            <v>RHES-SHLTHCHPNGA</v>
          </cell>
          <cell r="B234" t="str">
            <v>VAR_ncap</v>
          </cell>
          <cell r="C234" t="str">
            <v>-</v>
          </cell>
          <cell r="D234"/>
          <cell r="E234">
            <v>2.9879550437854699E-4</v>
          </cell>
          <cell r="F234">
            <v>2.3938364753811701E-3</v>
          </cell>
          <cell r="G234">
            <v>1.43228574196629E-3</v>
          </cell>
          <cell r="H234">
            <v>3.6880776991054E-3</v>
          </cell>
          <cell r="I234">
            <v>3.5981378706972799E-3</v>
          </cell>
          <cell r="J234">
            <v>2.9367593290656399E-3</v>
          </cell>
          <cell r="K234">
            <v>3.9699371576362996E-3</v>
          </cell>
          <cell r="L234">
            <v>3.2498450547038399E-3</v>
          </cell>
          <cell r="M234">
            <v>3.46023894277142E-3</v>
          </cell>
          <cell r="N234">
            <v>2.7278810825800099E-2</v>
          </cell>
          <cell r="O234">
            <v>1.7384036173326001E-2</v>
          </cell>
        </row>
        <row r="235">
          <cell r="A235" t="str">
            <v>RHES-SHLTHCHPNGA</v>
          </cell>
          <cell r="B235" t="str">
            <v>VAR_cap</v>
          </cell>
          <cell r="C235" t="str">
            <v>-</v>
          </cell>
          <cell r="D235">
            <v>5.3757649990155603E-3</v>
          </cell>
          <cell r="E235">
            <v>4.5716756107523713E-4</v>
          </cell>
          <cell r="F235">
            <v>2.6780010437214511E-3</v>
          </cell>
          <cell r="G235">
            <v>2.2578461973984301E-3</v>
          </cell>
          <cell r="H235">
            <v>4.6515787472175794E-3</v>
          </cell>
          <cell r="I235">
            <v>4.7381929726515101E-3</v>
          </cell>
          <cell r="J235">
            <v>4.5110263210846298E-3</v>
          </cell>
          <cell r="K235">
            <v>5.5447339619166596E-3</v>
          </cell>
          <cell r="L235">
            <v>4.9460436711382698E-3</v>
          </cell>
          <cell r="M235">
            <v>5.1528615047003803E-3</v>
          </cell>
          <cell r="N235">
            <v>2.970694132735411E-2</v>
          </cell>
          <cell r="O235">
            <v>2.9179514698933099E-2</v>
          </cell>
        </row>
        <row r="236">
          <cell r="A236" t="str">
            <v>RHSA-WHSTG-ELC</v>
          </cell>
          <cell r="B236" t="str">
            <v>VAR_fout</v>
          </cell>
          <cell r="C236" t="str">
            <v>RHSA-WHAELCB</v>
          </cell>
          <cell r="D236">
            <v>6.8435696454205399E-7</v>
          </cell>
          <cell r="E236">
            <v>6.3201983600122066E-6</v>
          </cell>
          <cell r="F236">
            <v>1.3887827124075689</v>
          </cell>
          <cell r="G236">
            <v>1.1876168578562734</v>
          </cell>
          <cell r="H236">
            <v>0.68056070944231728</v>
          </cell>
          <cell r="I236">
            <v>0.73068644778848413</v>
          </cell>
          <cell r="J236">
            <v>0.71955183123925925</v>
          </cell>
          <cell r="K236">
            <v>0.36670215407729284</v>
          </cell>
          <cell r="L236">
            <v>0.11110112012815689</v>
          </cell>
          <cell r="M236">
            <v>7.8090593112432577E-2</v>
          </cell>
          <cell r="N236">
            <v>7.5292540474756225E-2</v>
          </cell>
          <cell r="O236">
            <v>5.96468860663791E-2</v>
          </cell>
        </row>
        <row r="237">
          <cell r="A237" t="str">
            <v>RHSA-WHSTG-ELC</v>
          </cell>
          <cell r="B237" t="str">
            <v>VAR_fin</v>
          </cell>
          <cell r="C237" t="str">
            <v>RHSA-WHAELCB</v>
          </cell>
          <cell r="D237">
            <v>6.4023021821534021E-6</v>
          </cell>
          <cell r="E237">
            <v>1.6529791096835109E-6</v>
          </cell>
          <cell r="F237">
            <v>1.3888249076177555</v>
          </cell>
          <cell r="G237">
            <v>1.1876563948565457</v>
          </cell>
          <cell r="H237">
            <v>0.6805860162124201</v>
          </cell>
          <cell r="I237">
            <v>0.73071673919463365</v>
          </cell>
          <cell r="J237">
            <v>0.71957993578499724</v>
          </cell>
          <cell r="K237">
            <v>0.36671845825465416</v>
          </cell>
          <cell r="L237">
            <v>0.11111569955655892</v>
          </cell>
          <cell r="M237">
            <v>7.8096670312925068E-2</v>
          </cell>
          <cell r="N237">
            <v>7.5300362345134375E-2</v>
          </cell>
          <cell r="O237">
            <v>5.9658520713835081E-2</v>
          </cell>
        </row>
        <row r="238">
          <cell r="A238" t="str">
            <v>RHSA-WHSTG-ELC</v>
          </cell>
          <cell r="B238" t="str">
            <v>VAR_ncap</v>
          </cell>
          <cell r="C238" t="str">
            <v>-</v>
          </cell>
          <cell r="D238">
            <v>1.75112847487226E-2</v>
          </cell>
          <cell r="E238">
            <v>9.3865101510547694E-2</v>
          </cell>
          <cell r="F238">
            <v>1.2624276247954799E-4</v>
          </cell>
          <cell r="G238">
            <v>1.3898275461885401E-4</v>
          </cell>
          <cell r="H238">
            <v>1.3594150571113101E-2</v>
          </cell>
          <cell r="I238">
            <v>4.5121137738905498E-2</v>
          </cell>
          <cell r="J238">
            <v>3.2895589770355897E-4</v>
          </cell>
          <cell r="K238">
            <v>1.19586611099831E-3</v>
          </cell>
          <cell r="L238">
            <v>5.42082887701828E-3</v>
          </cell>
          <cell r="M238">
            <v>2.5141487035267702E-3</v>
          </cell>
          <cell r="N238">
            <v>2.0904046860493299E-3</v>
          </cell>
          <cell r="O238">
            <v>2.8633876961233701E-3</v>
          </cell>
        </row>
        <row r="239">
          <cell r="A239" t="str">
            <v>RHSA-WHSTG-ELC</v>
          </cell>
          <cell r="B239" t="str">
            <v>VAR_cap</v>
          </cell>
          <cell r="C239" t="str">
            <v>-</v>
          </cell>
          <cell r="D239">
            <v>1.7512194117611322E-2</v>
          </cell>
          <cell r="E239">
            <v>0.11128360864914327</v>
          </cell>
          <cell r="F239">
            <v>0.11127717585372195</v>
          </cell>
          <cell r="G239">
            <v>0.11128576314397405</v>
          </cell>
          <cell r="H239">
            <v>6.6101259545831306E-2</v>
          </cell>
          <cell r="I239">
            <v>5.8726692258095722E-2</v>
          </cell>
          <cell r="J239">
            <v>5.8733483650457011E-2</v>
          </cell>
          <cell r="K239">
            <v>3.0736845394164901E-2</v>
          </cell>
          <cell r="L239">
            <v>1.078386264272768E-2</v>
          </cell>
          <cell r="M239">
            <v>8.3490241350401787E-3</v>
          </cell>
          <cell r="N239">
            <v>7.831683817081778E-3</v>
          </cell>
          <cell r="O239">
            <v>6.733483851003608E-3</v>
          </cell>
        </row>
        <row r="240">
          <cell r="A240" t="str">
            <v>ITOT-SWHLFOBR</v>
          </cell>
          <cell r="B240" t="str">
            <v>VAR_fout</v>
          </cell>
          <cell r="C240" t="str">
            <v>ITOT-SWH</v>
          </cell>
          <cell r="D240">
            <v>6.9177143033654129</v>
          </cell>
          <cell r="E240">
            <v>6.3116803853627035</v>
          </cell>
          <cell r="F240">
            <v>6.245993435090214</v>
          </cell>
          <cell r="G240">
            <v>5.0979683693596245</v>
          </cell>
          <cell r="H240">
            <v>3.8997309376318068</v>
          </cell>
          <cell r="I240">
            <v>2.6745204562159097</v>
          </cell>
          <cell r="J240">
            <v>1.4398683298106232</v>
          </cell>
          <cell r="K240">
            <v>0.20692537410071793</v>
          </cell>
          <cell r="L240">
            <v>0.20680724327592886</v>
          </cell>
          <cell r="M240">
            <v>0.20677431891925452</v>
          </cell>
          <cell r="N240">
            <v>0.19924703726853876</v>
          </cell>
          <cell r="O240">
            <v>0.19754458465599486</v>
          </cell>
        </row>
        <row r="241">
          <cell r="A241" t="str">
            <v>ITOT-SWHLFOBR</v>
          </cell>
          <cell r="B241" t="str">
            <v>VAR_fout</v>
          </cell>
          <cell r="C241" t="str">
            <v>CO2_I</v>
          </cell>
          <cell r="D241">
            <v>655.76897319323405</v>
          </cell>
          <cell r="E241">
            <v>597.35323699016101</v>
          </cell>
          <cell r="F241">
            <v>589.70775528210299</v>
          </cell>
          <cell r="G241">
            <v>479.38735275552602</v>
          </cell>
          <cell r="H241">
            <v>365.24576572092298</v>
          </cell>
          <cell r="I241">
            <v>249.496532935011</v>
          </cell>
          <cell r="J241">
            <v>133.78773303854101</v>
          </cell>
          <cell r="K241">
            <v>19.150892311442799</v>
          </cell>
          <cell r="L241">
            <v>19.139959332758899</v>
          </cell>
          <cell r="M241">
            <v>19.1369121916733</v>
          </cell>
          <cell r="N241">
            <v>18.440264132355999</v>
          </cell>
          <cell r="O241">
            <v>18.282702563167799</v>
          </cell>
        </row>
        <row r="242">
          <cell r="A242" t="str">
            <v>ITOT-SWHLFOBR</v>
          </cell>
          <cell r="B242" t="str">
            <v>VAR_fin</v>
          </cell>
          <cell r="C242" t="str">
            <v>ILFO</v>
          </cell>
          <cell r="D242">
            <v>8.8978151043858027</v>
          </cell>
          <cell r="E242">
            <v>8.1051999591609381</v>
          </cell>
          <cell r="F242">
            <v>8.001462079811434</v>
          </cell>
          <cell r="G242">
            <v>6.504577377958296</v>
          </cell>
          <cell r="H242">
            <v>4.9558448537438764</v>
          </cell>
          <cell r="I242">
            <v>3.3852989543420744</v>
          </cell>
          <cell r="J242">
            <v>1.8153016694510247</v>
          </cell>
          <cell r="K242">
            <v>0.25984928509420385</v>
          </cell>
          <cell r="L242">
            <v>0.25970094074299799</v>
          </cell>
          <cell r="M242">
            <v>0.25965959554509166</v>
          </cell>
          <cell r="N242">
            <v>0.25020711170089588</v>
          </cell>
          <cell r="O242">
            <v>0.24806923423565583</v>
          </cell>
        </row>
        <row r="243">
          <cell r="A243" t="str">
            <v>ITOT-SWHLFOBR</v>
          </cell>
          <cell r="B243" t="str">
            <v>VAR_ncap</v>
          </cell>
          <cell r="C243" t="str">
            <v>-</v>
          </cell>
          <cell r="D243"/>
          <cell r="E243">
            <v>1.26367417651719E-2</v>
          </cell>
          <cell r="F243">
            <v>8.6362106705918106E-5</v>
          </cell>
          <cell r="G243">
            <v>1.01140364462616E-4</v>
          </cell>
          <cell r="H243">
            <v>0.16330223253595699</v>
          </cell>
          <cell r="I243">
            <v>2.9630924168241798E-3</v>
          </cell>
          <cell r="J243">
            <v>8.4973368909476902E-5</v>
          </cell>
          <cell r="K243">
            <v>1.7302926412622301E-2</v>
          </cell>
          <cell r="L243">
            <v>1.21403396565737E-3</v>
          </cell>
          <cell r="M243">
            <v>3.4075914593855301E-4</v>
          </cell>
          <cell r="N243">
            <v>1.41649752089561E-2</v>
          </cell>
          <cell r="O243">
            <v>4.98119187427736E-3</v>
          </cell>
        </row>
        <row r="244">
          <cell r="A244" t="str">
            <v>ITOT-SWHLFOBR</v>
          </cell>
          <cell r="B244" t="str">
            <v>VAR_cap</v>
          </cell>
          <cell r="C244" t="str">
            <v>-</v>
          </cell>
          <cell r="D244">
            <v>0.37633543963083199</v>
          </cell>
          <cell r="E244">
            <v>0.38896243317109019</v>
          </cell>
          <cell r="F244">
            <v>0.38894999626241045</v>
          </cell>
          <cell r="G244">
            <v>0.38869515606047467</v>
          </cell>
          <cell r="H244">
            <v>0.26728255685254354</v>
          </cell>
          <cell r="I244">
            <v>0.16630002040161493</v>
          </cell>
          <cell r="J244">
            <v>0.14319341669478097</v>
          </cell>
          <cell r="K244">
            <v>2.0160003344142485E-2</v>
          </cell>
          <cell r="L244">
            <v>1.891602660164271E-2</v>
          </cell>
          <cell r="M244">
            <v>1.8673811270932143E-2</v>
          </cell>
          <cell r="N244">
            <v>1.8199964262282941E-2</v>
          </cell>
          <cell r="O244">
            <v>1.931801463886812E-2</v>
          </cell>
        </row>
        <row r="245">
          <cell r="A245" t="str">
            <v>D-SCOM_LTH_CHPNGA</v>
          </cell>
          <cell r="B245" t="str">
            <v>VAR_fout</v>
          </cell>
          <cell r="C245" t="str">
            <v>LTH</v>
          </cell>
          <cell r="D245"/>
          <cell r="E245">
            <v>1.7785368309560513E-5</v>
          </cell>
          <cell r="F245">
            <v>2.1213429801098069E-4</v>
          </cell>
          <cell r="G245">
            <v>3.0834707700366482E-3</v>
          </cell>
          <cell r="H245">
            <v>9.2353737436271007E-3</v>
          </cell>
          <cell r="I245">
            <v>1.3176318268575179E-2</v>
          </cell>
          <cell r="J245">
            <v>1.6473757235926863E-2</v>
          </cell>
          <cell r="K245">
            <v>1.3633649739744206E-2</v>
          </cell>
          <cell r="L245">
            <v>1.655586868316072E-2</v>
          </cell>
          <cell r="M245">
            <v>1.9159802216312777E-2</v>
          </cell>
          <cell r="N245">
            <v>2.3544895531966946E-2</v>
          </cell>
          <cell r="O245">
            <v>2.6449399594421736E-2</v>
          </cell>
        </row>
        <row r="246">
          <cell r="A246" t="str">
            <v>D-SCOM_LTH_CHPNGA</v>
          </cell>
          <cell r="B246" t="str">
            <v>VAR_fout</v>
          </cell>
          <cell r="C246" t="str">
            <v>SCOM_LTH_CHPNGA_ON</v>
          </cell>
          <cell r="D246">
            <v>0.6925910662855882</v>
          </cell>
          <cell r="E246">
            <v>0.75020478729576834</v>
          </cell>
          <cell r="F246">
            <v>0.65271946247425028</v>
          </cell>
          <cell r="G246">
            <v>2.6704778238337807</v>
          </cell>
          <cell r="H246">
            <v>5.1471886749655349</v>
          </cell>
          <cell r="I246">
            <v>5.4039633844913064</v>
          </cell>
          <cell r="J246">
            <v>5.442750246138039</v>
          </cell>
          <cell r="K246">
            <v>3.949564466068372</v>
          </cell>
          <cell r="L246">
            <v>3.9477033572594169</v>
          </cell>
          <cell r="M246">
            <v>4.0376312874531619</v>
          </cell>
          <cell r="N246">
            <v>4.3913817827448289</v>
          </cell>
          <cell r="O246">
            <v>4.6536952020263325</v>
          </cell>
        </row>
        <row r="247">
          <cell r="A247" t="str">
            <v>D-SCOM_LTH_CHPNGA</v>
          </cell>
          <cell r="B247" t="str">
            <v>VAR_fin</v>
          </cell>
          <cell r="C247" t="str">
            <v>SCOM_LTH_CHPNGA</v>
          </cell>
          <cell r="D247">
            <v>0.6925910662855882</v>
          </cell>
          <cell r="E247">
            <v>0.75022257266407799</v>
          </cell>
          <cell r="F247">
            <v>0.65293159677226198</v>
          </cell>
          <cell r="G247">
            <v>2.6735612946038154</v>
          </cell>
          <cell r="H247">
            <v>5.1564240487091642</v>
          </cell>
          <cell r="I247">
            <v>5.4171397027598882</v>
          </cell>
          <cell r="J247">
            <v>5.4592240033739587</v>
          </cell>
          <cell r="K247">
            <v>3.9631981158081184</v>
          </cell>
          <cell r="L247">
            <v>3.9642592259425817</v>
          </cell>
          <cell r="M247">
            <v>4.0567910896694768</v>
          </cell>
          <cell r="N247">
            <v>4.414926678276796</v>
          </cell>
          <cell r="O247">
            <v>4.6801446016207562</v>
          </cell>
        </row>
        <row r="248">
          <cell r="A248" t="str">
            <v>D-IWOD</v>
          </cell>
          <cell r="B248" t="str">
            <v>VAR_fout</v>
          </cell>
          <cell r="C248" t="str">
            <v>IWOD</v>
          </cell>
          <cell r="D248">
            <v>9.8778737043311224</v>
          </cell>
          <cell r="E248">
            <v>12.918185446348579</v>
          </cell>
          <cell r="F248">
            <v>14.392786510482079</v>
          </cell>
          <cell r="G248">
            <v>17.386226782770468</v>
          </cell>
          <cell r="H248">
            <v>19.961361745926034</v>
          </cell>
          <cell r="I248">
            <v>22.717046921644865</v>
          </cell>
          <cell r="J248">
            <v>26.737395700324115</v>
          </cell>
          <cell r="K248">
            <v>30.02477707226846</v>
          </cell>
          <cell r="L248">
            <v>30.430668303989112</v>
          </cell>
          <cell r="M248">
            <v>30.673621534093865</v>
          </cell>
          <cell r="N248">
            <v>28.549248760552302</v>
          </cell>
          <cell r="O248">
            <v>29.591135371836955</v>
          </cell>
        </row>
        <row r="249">
          <cell r="A249" t="str">
            <v>D-IWOD</v>
          </cell>
          <cell r="B249" t="str">
            <v>VAR_fin</v>
          </cell>
          <cell r="C249" t="str">
            <v>WOD</v>
          </cell>
          <cell r="D249">
            <v>9.8778737043311224</v>
          </cell>
          <cell r="E249">
            <v>12.918185446348579</v>
          </cell>
          <cell r="F249">
            <v>14.392786510482079</v>
          </cell>
          <cell r="G249">
            <v>17.386226782770468</v>
          </cell>
          <cell r="H249">
            <v>19.961361745926034</v>
          </cell>
          <cell r="I249">
            <v>22.717046921644865</v>
          </cell>
          <cell r="J249">
            <v>26.737395700324115</v>
          </cell>
          <cell r="K249">
            <v>30.02477707226846</v>
          </cell>
          <cell r="L249">
            <v>30.430668303989112</v>
          </cell>
          <cell r="M249">
            <v>30.673621534093865</v>
          </cell>
          <cell r="N249">
            <v>28.549248760552302</v>
          </cell>
          <cell r="O249">
            <v>29.591135371836955</v>
          </cell>
        </row>
        <row r="250">
          <cell r="A250" t="str">
            <v>SCOM-ELCSPEC</v>
          </cell>
          <cell r="B250" t="str">
            <v>VAR_fout</v>
          </cell>
          <cell r="C250" t="str">
            <v>SCOM-ELS</v>
          </cell>
          <cell r="D250">
            <v>56.994774574912441</v>
          </cell>
          <cell r="E250">
            <v>58.701894525398288</v>
          </cell>
          <cell r="F250">
            <v>51.050702749225387</v>
          </cell>
          <cell r="G250">
            <v>51.729103311672702</v>
          </cell>
          <cell r="H250">
            <v>52.121237672095553</v>
          </cell>
          <cell r="I250">
            <v>52.656922080036935</v>
          </cell>
          <cell r="J250">
            <v>52.049274876146804</v>
          </cell>
          <cell r="K250">
            <v>52.11312949121605</v>
          </cell>
          <cell r="L250">
            <v>53.16142277211987</v>
          </cell>
          <cell r="M250">
            <v>54.01539168254574</v>
          </cell>
          <cell r="N250">
            <v>54.825520254860649</v>
          </cell>
          <cell r="O250">
            <v>55.597391071534147</v>
          </cell>
        </row>
        <row r="251">
          <cell r="A251" t="str">
            <v>SCOM-ELCSPEC</v>
          </cell>
          <cell r="B251" t="str">
            <v>VAR_fin</v>
          </cell>
          <cell r="C251" t="str">
            <v>SCOM_ELC</v>
          </cell>
          <cell r="D251">
            <v>56.994774574912441</v>
          </cell>
          <cell r="E251">
            <v>58.701894525398288</v>
          </cell>
          <cell r="F251">
            <v>51.050702749225387</v>
          </cell>
          <cell r="G251">
            <v>51.729103311672702</v>
          </cell>
          <cell r="H251">
            <v>52.121237672095553</v>
          </cell>
          <cell r="I251">
            <v>52.656922080036935</v>
          </cell>
          <cell r="J251">
            <v>52.049274876146804</v>
          </cell>
          <cell r="K251">
            <v>52.11312949121605</v>
          </cell>
          <cell r="L251">
            <v>53.16142277211987</v>
          </cell>
          <cell r="M251">
            <v>54.01539168254574</v>
          </cell>
          <cell r="N251">
            <v>54.825520254860649</v>
          </cell>
          <cell r="O251">
            <v>55.597391071534147</v>
          </cell>
        </row>
        <row r="252">
          <cell r="A252" t="str">
            <v>SCOM-ELCSPEC</v>
          </cell>
          <cell r="B252" t="str">
            <v>VAR_ncap</v>
          </cell>
          <cell r="C252" t="str">
            <v>-</v>
          </cell>
          <cell r="D252">
            <v>4.3639291957415901E-7</v>
          </cell>
          <cell r="E252">
            <v>4.0424315137010196E-6</v>
          </cell>
          <cell r="F252">
            <v>3.6407256678679599E-6</v>
          </cell>
          <cell r="G252">
            <v>4.4676462878439702E-6</v>
          </cell>
          <cell r="H252">
            <v>3.2703126520040797E-5</v>
          </cell>
          <cell r="I252">
            <v>5.6627044088140302E-2</v>
          </cell>
          <cell r="J252">
            <v>3.5171392718388299</v>
          </cell>
          <cell r="K252">
            <v>1.9345364926931401</v>
          </cell>
          <cell r="L252">
            <v>0.110813201857032</v>
          </cell>
          <cell r="M252">
            <v>9.0315571399049902E-2</v>
          </cell>
          <cell r="N252">
            <v>0.69285922902156405</v>
          </cell>
          <cell r="O252">
            <v>3.04812801104248</v>
          </cell>
        </row>
        <row r="253">
          <cell r="A253" t="str">
            <v>SCOM-ELCSPEC</v>
          </cell>
          <cell r="B253" t="str">
            <v>VAR_cap</v>
          </cell>
          <cell r="C253" t="str">
            <v>-</v>
          </cell>
          <cell r="D253">
            <v>6.6055317047467792</v>
          </cell>
          <cell r="E253">
            <v>6.2047523824560109</v>
          </cell>
          <cell r="F253">
            <v>5.5091650600598303</v>
          </cell>
          <cell r="G253">
            <v>5.5091568149662695</v>
          </cell>
          <cell r="H253">
            <v>5.509183090320489</v>
          </cell>
          <cell r="I253">
            <v>5.5658018712282704</v>
          </cell>
          <cell r="J253">
            <v>5.5015729439843755</v>
          </cell>
          <cell r="K253">
            <v>5.5083238415510953</v>
          </cell>
          <cell r="L253">
            <v>5.6191261707016906</v>
          </cell>
          <cell r="M253">
            <v>5.7093965132497928</v>
          </cell>
          <cell r="N253">
            <v>5.7950217138712992</v>
          </cell>
          <cell r="O253">
            <v>5.876617259035303</v>
          </cell>
        </row>
        <row r="254">
          <cell r="A254" t="str">
            <v>D-ITOT_KEV_WST_ELC_CHP</v>
          </cell>
          <cell r="B254" t="str">
            <v>VAR_fout</v>
          </cell>
          <cell r="C254" t="str">
            <v>ITOT_ELC</v>
          </cell>
          <cell r="D254">
            <v>2.605003238189455E-3</v>
          </cell>
          <cell r="E254">
            <v>9.7269320270614327E-4</v>
          </cell>
          <cell r="F254">
            <v>1.7999793203944861E-3</v>
          </cell>
          <cell r="G254">
            <v>0.32335329157037912</v>
          </cell>
          <cell r="H254">
            <v>0.32157347423952448</v>
          </cell>
          <cell r="I254">
            <v>0.32144208117118117</v>
          </cell>
          <cell r="J254">
            <v>0.31820097745521314</v>
          </cell>
          <cell r="K254">
            <v>0.31307972720744554</v>
          </cell>
          <cell r="L254">
            <v>0.31524229075525917</v>
          </cell>
          <cell r="M254">
            <v>0.3102304505684122</v>
          </cell>
          <cell r="N254">
            <v>0.30722397132048629</v>
          </cell>
          <cell r="O254">
            <v>0.29565811724567942</v>
          </cell>
        </row>
        <row r="255">
          <cell r="A255" t="str">
            <v>D-ITOT_KEV_WST_ELC_CHP</v>
          </cell>
          <cell r="B255" t="str">
            <v>VAR_fout</v>
          </cell>
          <cell r="C255" t="str">
            <v>ELC5</v>
          </cell>
          <cell r="D255">
            <v>0.22744607853982649</v>
          </cell>
          <cell r="E255">
            <v>0.2291865150169948</v>
          </cell>
          <cell r="F255">
            <v>0.33491626431022709</v>
          </cell>
          <cell r="G255">
            <v>9.6092334933139296E-3</v>
          </cell>
          <cell r="H255">
            <v>7.6327281336848341E-3</v>
          </cell>
          <cell r="I255">
            <v>6.1132221124161083E-3</v>
          </cell>
          <cell r="J255">
            <v>7.6954176810120675E-3</v>
          </cell>
          <cell r="K255">
            <v>1.1165720052044708E-2</v>
          </cell>
          <cell r="L255">
            <v>8.9991380997890835E-3</v>
          </cell>
          <cell r="M255">
            <v>1.4017011157382867E-2</v>
          </cell>
          <cell r="N255">
            <v>1.7017360199606445E-2</v>
          </cell>
          <cell r="O255">
            <v>2.862550963341038E-2</v>
          </cell>
        </row>
        <row r="256">
          <cell r="A256" t="str">
            <v>D-ITOT_KEV_WST_ELC_CHP</v>
          </cell>
          <cell r="B256" t="str">
            <v>VAR_fin</v>
          </cell>
          <cell r="C256" t="str">
            <v>ITOT_KEV_WST_ELC_CHP</v>
          </cell>
          <cell r="D256">
            <v>0.23005108177801603</v>
          </cell>
          <cell r="E256">
            <v>0.23015920821970107</v>
          </cell>
          <cell r="F256">
            <v>0.33671027806550829</v>
          </cell>
          <cell r="G256">
            <v>0.33294802673439294</v>
          </cell>
          <cell r="H256">
            <v>0.3291893884353923</v>
          </cell>
          <cell r="I256">
            <v>0.32752728783397744</v>
          </cell>
          <cell r="J256">
            <v>0.32586597960914537</v>
          </cell>
          <cell r="K256">
            <v>0.3242090969954205</v>
          </cell>
          <cell r="L256">
            <v>0.32420435538443976</v>
          </cell>
          <cell r="M256">
            <v>0.32420888593535296</v>
          </cell>
          <cell r="N256">
            <v>0.32420624712160295</v>
          </cell>
          <cell r="O256">
            <v>0.32422017755861182</v>
          </cell>
        </row>
        <row r="257">
          <cell r="A257" t="str">
            <v>D-RHNM_SOLELC</v>
          </cell>
          <cell r="B257" t="str">
            <v>VAR_fout</v>
          </cell>
          <cell r="C257" t="str">
            <v>ELC5</v>
          </cell>
          <cell r="D257"/>
          <cell r="E257">
            <v>4.8455020671916899E-5</v>
          </cell>
          <cell r="F257">
            <v>1.6541850739969344</v>
          </cell>
          <cell r="G257">
            <v>4.1887137307945803</v>
          </cell>
          <cell r="H257">
            <v>4.2885881940007513</v>
          </cell>
          <cell r="I257">
            <v>4.2982262446147903</v>
          </cell>
          <cell r="J257">
            <v>4.956955326199922</v>
          </cell>
          <cell r="K257">
            <v>5.2149713702206029</v>
          </cell>
          <cell r="L257">
            <v>5.3403158633901144</v>
          </cell>
          <cell r="M257">
            <v>5.6647910046703398</v>
          </cell>
          <cell r="N257">
            <v>5.3076661567929033</v>
          </cell>
          <cell r="O257">
            <v>5.4798327436559191</v>
          </cell>
        </row>
        <row r="258">
          <cell r="A258" t="str">
            <v>D-RHNM_SOLELC</v>
          </cell>
          <cell r="B258" t="str">
            <v>VAR_fout</v>
          </cell>
          <cell r="C258" t="str">
            <v>RHNM_ELC</v>
          </cell>
          <cell r="D258"/>
          <cell r="E258">
            <v>4.8492040197155631E-5</v>
          </cell>
          <cell r="F258">
            <v>1.2269936080205293</v>
          </cell>
          <cell r="G258">
            <v>2.2403690826567741</v>
          </cell>
          <cell r="H258">
            <v>2.4680825643157283</v>
          </cell>
          <cell r="I258">
            <v>2.8031377607044643</v>
          </cell>
          <cell r="J258">
            <v>2.5066268767459055</v>
          </cell>
          <cell r="K258">
            <v>2.6271924932804223</v>
          </cell>
          <cell r="L258">
            <v>2.9036314735631676</v>
          </cell>
          <cell r="M258">
            <v>2.9971324072994068</v>
          </cell>
          <cell r="N258">
            <v>3.7956827349507445</v>
          </cell>
          <cell r="O258">
            <v>4.0767234932720395</v>
          </cell>
        </row>
        <row r="259">
          <cell r="A259" t="str">
            <v>D-RHNM_SOLELC</v>
          </cell>
          <cell r="B259" t="str">
            <v>VAR_fin</v>
          </cell>
          <cell r="C259" t="str">
            <v>RHNM_SOL_ELC</v>
          </cell>
          <cell r="D259"/>
          <cell r="E259">
            <v>9.6101213922925103E-5</v>
          </cell>
          <cell r="F259">
            <v>2.8811786820174627</v>
          </cell>
          <cell r="G259">
            <v>6.4290828134513571</v>
          </cell>
          <cell r="H259">
            <v>6.7566707583164796</v>
          </cell>
          <cell r="I259">
            <v>7.1013640053192528</v>
          </cell>
          <cell r="J259">
            <v>7.4635822029458279</v>
          </cell>
          <cell r="K259">
            <v>7.8421638635010193</v>
          </cell>
          <cell r="L259">
            <v>8.2439473369532834</v>
          </cell>
          <cell r="M259">
            <v>8.661923411969747</v>
          </cell>
          <cell r="N259">
            <v>9.10334889174365</v>
          </cell>
          <cell r="O259">
            <v>9.5565562369279604</v>
          </cell>
        </row>
        <row r="260">
          <cell r="A260" t="str">
            <v>RHNM-SHSTG-ELCHP</v>
          </cell>
          <cell r="B260" t="str">
            <v>VAR_fout</v>
          </cell>
          <cell r="C260" t="str">
            <v>RHNM-SHAELCH</v>
          </cell>
          <cell r="D260"/>
          <cell r="E260">
            <v>6.6419230230331028E-2</v>
          </cell>
          <cell r="F260">
            <v>0.31800447450042574</v>
          </cell>
          <cell r="G260">
            <v>0.62251422525337774</v>
          </cell>
          <cell r="H260">
            <v>0.5434538176905237</v>
          </cell>
          <cell r="I260">
            <v>0.57023420041660877</v>
          </cell>
          <cell r="J260">
            <v>0.56949697041224079</v>
          </cell>
          <cell r="K260">
            <v>0.56892521385009975</v>
          </cell>
          <cell r="L260">
            <v>0.62404237784104843</v>
          </cell>
          <cell r="M260">
            <v>0.56236624168259486</v>
          </cell>
          <cell r="N260">
            <v>0.57709482086368169</v>
          </cell>
          <cell r="O260">
            <v>0.52816105086584142</v>
          </cell>
        </row>
        <row r="261">
          <cell r="A261" t="str">
            <v>RHNM-SHSTG-ELCHP</v>
          </cell>
          <cell r="B261" t="str">
            <v>VAR_fin</v>
          </cell>
          <cell r="C261" t="str">
            <v>RHNM-SHAELCH</v>
          </cell>
          <cell r="D261"/>
          <cell r="E261">
            <v>6.6431780682893585E-2</v>
          </cell>
          <cell r="F261">
            <v>0.31801607957954753</v>
          </cell>
          <cell r="G261">
            <v>0.62253284021779465</v>
          </cell>
          <cell r="H261">
            <v>0.5434808588112725</v>
          </cell>
          <cell r="I261">
            <v>0.57027187682654723</v>
          </cell>
          <cell r="J261">
            <v>0.56956320960672269</v>
          </cell>
          <cell r="K261">
            <v>0.56899118887669786</v>
          </cell>
          <cell r="L261">
            <v>0.62409856713383161</v>
          </cell>
          <cell r="M261">
            <v>0.56243470547076957</v>
          </cell>
          <cell r="N261">
            <v>0.57714259753017927</v>
          </cell>
          <cell r="O261">
            <v>0.52823022613708814</v>
          </cell>
        </row>
        <row r="262">
          <cell r="A262" t="str">
            <v>RHNM-SHSTG-ELCHP</v>
          </cell>
          <cell r="B262" t="str">
            <v>VAR_ncap</v>
          </cell>
          <cell r="C262" t="str">
            <v>-</v>
          </cell>
          <cell r="D262">
            <v>2.2380511880993399E-4</v>
          </cell>
          <cell r="E262">
            <v>9.4535149787900903E-3</v>
          </cell>
          <cell r="F262">
            <v>2.6723863954344201E-2</v>
          </cell>
          <cell r="G262">
            <v>2.5786320703344499E-2</v>
          </cell>
          <cell r="H262">
            <v>4.6878742497038998E-3</v>
          </cell>
          <cell r="I262">
            <v>3.0607117486798899E-2</v>
          </cell>
          <cell r="J262">
            <v>2.6396417500445499E-2</v>
          </cell>
          <cell r="K262">
            <v>5.2013560378982998E-3</v>
          </cell>
          <cell r="L262">
            <v>2.9560720422386302E-2</v>
          </cell>
          <cell r="M262">
            <v>2.7611509001277901E-2</v>
          </cell>
          <cell r="N262">
            <v>1.3831175158556299E-2</v>
          </cell>
          <cell r="O262">
            <v>2.11026769785638E-2</v>
          </cell>
        </row>
        <row r="263">
          <cell r="A263" t="str">
            <v>RHNM-SHSTG-ELCHP</v>
          </cell>
          <cell r="B263" t="str">
            <v>VAR_cap</v>
          </cell>
          <cell r="C263" t="str">
            <v>-</v>
          </cell>
          <cell r="D263">
            <v>2.2380511880993399E-4</v>
          </cell>
          <cell r="E263">
            <v>9.6503570026388718E-3</v>
          </cell>
          <cell r="F263">
            <v>3.6337145758950425E-2</v>
          </cell>
          <cell r="G263">
            <v>6.2061733043976039E-2</v>
          </cell>
          <cell r="H263">
            <v>6.1784896615022906E-2</v>
          </cell>
          <cell r="I263">
            <v>6.1495710999680563E-2</v>
          </cell>
          <cell r="J263">
            <v>6.150137949596713E-2</v>
          </cell>
          <cell r="K263">
            <v>6.1560468175325338E-2</v>
          </cell>
          <cell r="L263">
            <v>6.1524647300436636E-2</v>
          </cell>
          <cell r="M263">
            <v>6.1582573197013046E-2</v>
          </cell>
          <cell r="N263">
            <v>6.1538090934531504E-2</v>
          </cell>
          <cell r="O263">
            <v>6.1593206739208643E-2</v>
          </cell>
        </row>
        <row r="264">
          <cell r="A264" t="str">
            <v>D-SCOM_LTH</v>
          </cell>
          <cell r="B264" t="str">
            <v>VAR_fout</v>
          </cell>
          <cell r="C264" t="str">
            <v>SCOM_LTH_DH</v>
          </cell>
          <cell r="D264">
            <v>5.6100110798053535</v>
          </cell>
          <cell r="E264">
            <v>6.0767074964281766</v>
          </cell>
          <cell r="F264">
            <v>6.0767113162551816</v>
          </cell>
          <cell r="G264">
            <v>6.0767120343046335</v>
          </cell>
          <cell r="H264">
            <v>6.0767158116812467</v>
          </cell>
          <cell r="I264">
            <v>6.0767258399935935</v>
          </cell>
          <cell r="J264">
            <v>6.4853414160543101</v>
          </cell>
          <cell r="K264">
            <v>8.7885290723561713</v>
          </cell>
          <cell r="L264">
            <v>8.7889236330306435</v>
          </cell>
          <cell r="M264">
            <v>8.7889898003965659</v>
          </cell>
          <cell r="N264">
            <v>9.0352847251699657</v>
          </cell>
          <cell r="O264">
            <v>9.0353438396429731</v>
          </cell>
        </row>
        <row r="265">
          <cell r="A265" t="str">
            <v>D-SCOM_LTH</v>
          </cell>
          <cell r="B265" t="str">
            <v>VAR_fin</v>
          </cell>
          <cell r="C265" t="str">
            <v>LTH</v>
          </cell>
          <cell r="D265">
            <v>6.0987877788423717</v>
          </cell>
          <cell r="E265">
            <v>6.6044093188630759</v>
          </cell>
          <cell r="F265">
            <v>6.6018109168233288</v>
          </cell>
          <cell r="G265">
            <v>6.597478662202362</v>
          </cell>
          <cell r="H265">
            <v>6.5931554100465064</v>
          </cell>
          <cell r="I265">
            <v>6.5888446032357857</v>
          </cell>
          <cell r="J265">
            <v>7.0272901912108985</v>
          </cell>
          <cell r="K265">
            <v>9.5167102319671155</v>
          </cell>
          <cell r="L265">
            <v>9.5171374843067245</v>
          </cell>
          <cell r="M265">
            <v>9.5172091340268352</v>
          </cell>
          <cell r="N265">
            <v>9.7839110373118015</v>
          </cell>
          <cell r="O265">
            <v>9.7839750497654769</v>
          </cell>
        </row>
        <row r="266">
          <cell r="A266" t="str">
            <v>D-SCOM_LTH</v>
          </cell>
          <cell r="B266" t="str">
            <v>VAR_ncap</v>
          </cell>
          <cell r="C266" t="str">
            <v>-</v>
          </cell>
          <cell r="D266">
            <v>0.84970033656634802</v>
          </cell>
          <cell r="E266">
            <v>3.6775437726386801E-7</v>
          </cell>
          <cell r="F266">
            <v>3.1485857983290701E-7</v>
          </cell>
          <cell r="G266">
            <v>2.81665347190283E-7</v>
          </cell>
          <cell r="H266">
            <v>2.95290541991568E-7</v>
          </cell>
          <cell r="I266">
            <v>3.6302056539227601E-7</v>
          </cell>
          <cell r="J266">
            <v>4.8329368565931304E-7</v>
          </cell>
          <cell r="K266">
            <v>7.1302247277107197E-7</v>
          </cell>
          <cell r="L266">
            <v>5.9483055758921104E-7</v>
          </cell>
          <cell r="M266">
            <v>1.50376188889432E-6</v>
          </cell>
          <cell r="N266">
            <v>1.41795117198777E-6</v>
          </cell>
          <cell r="O266">
            <v>8.3527205955771699E-6</v>
          </cell>
        </row>
        <row r="267">
          <cell r="A267" t="str">
            <v>D-SCOM_LTH</v>
          </cell>
          <cell r="B267" t="str">
            <v>VAR_cap</v>
          </cell>
          <cell r="C267" t="str">
            <v>-</v>
          </cell>
          <cell r="D267">
            <v>0.84970033656634802</v>
          </cell>
          <cell r="E267">
            <v>0.84970070432072498</v>
          </cell>
          <cell r="F267">
            <v>0.84970101917930496</v>
          </cell>
          <cell r="G267">
            <v>0.84970130084465201</v>
          </cell>
          <cell r="H267">
            <v>0.84970159613519403</v>
          </cell>
          <cell r="I267">
            <v>0.84970195915575897</v>
          </cell>
          <cell r="J267">
            <v>0.84970244244944504</v>
          </cell>
          <cell r="K267">
            <v>0.84970315547191799</v>
          </cell>
          <cell r="L267">
            <v>0.84970375030247502</v>
          </cell>
          <cell r="M267">
            <v>0.84970525406436404</v>
          </cell>
          <cell r="N267">
            <v>0.84970667201553596</v>
          </cell>
          <cell r="O267">
            <v>0.84971502473613203</v>
          </cell>
        </row>
        <row r="268">
          <cell r="A268" t="str">
            <v>ITOT-SWHBIOBR</v>
          </cell>
          <cell r="B268" t="str">
            <v>VAR_fout</v>
          </cell>
          <cell r="C268" t="str">
            <v>ITOT-SWH</v>
          </cell>
          <cell r="D268">
            <v>0.31051681264859937</v>
          </cell>
          <cell r="E268">
            <v>0.39251950671501346</v>
          </cell>
          <cell r="F268">
            <v>0.67058956318223317</v>
          </cell>
          <cell r="G268">
            <v>1.5736595089289216</v>
          </cell>
          <cell r="H268">
            <v>2.6306241141522912</v>
          </cell>
          <cell r="I268">
            <v>4.0813103545145513</v>
          </cell>
          <cell r="J268">
            <v>4.1345100207684951</v>
          </cell>
          <cell r="K268">
            <v>4.1609195050326226</v>
          </cell>
          <cell r="L268">
            <v>4.20736154725601</v>
          </cell>
          <cell r="M268">
            <v>4.4215328205076734</v>
          </cell>
          <cell r="N268">
            <v>4.42165135018986</v>
          </cell>
          <cell r="O268">
            <v>4.4303983117895296</v>
          </cell>
        </row>
        <row r="269">
          <cell r="A269" t="str">
            <v>ITOT-SWHBIOBR</v>
          </cell>
          <cell r="B269" t="str">
            <v>VAR_fin</v>
          </cell>
          <cell r="C269" t="str">
            <v>IBIO</v>
          </cell>
          <cell r="D269">
            <v>0.43673250724134999</v>
          </cell>
          <cell r="E269">
            <v>0.55206681675810632</v>
          </cell>
          <cell r="F269">
            <v>0.94316394259104497</v>
          </cell>
          <cell r="G269">
            <v>2.213304513261495</v>
          </cell>
          <cell r="H269">
            <v>3.6998932688499142</v>
          </cell>
          <cell r="I269">
            <v>5.7402395984733579</v>
          </cell>
          <cell r="J269">
            <v>5.7784905950642838</v>
          </cell>
          <cell r="K269">
            <v>5.7790548681008715</v>
          </cell>
          <cell r="L269">
            <v>5.8435577045222322</v>
          </cell>
          <cell r="M269">
            <v>6.1410178062606571</v>
          </cell>
          <cell r="N269">
            <v>6.141182430819244</v>
          </cell>
          <cell r="O269">
            <v>6.1533309885965624</v>
          </cell>
        </row>
        <row r="270">
          <cell r="A270" t="str">
            <v>ITOT-SWHBIOBR</v>
          </cell>
          <cell r="B270" t="str">
            <v>VAR_ncap</v>
          </cell>
          <cell r="C270" t="str">
            <v>-</v>
          </cell>
          <cell r="D270"/>
          <cell r="E270">
            <v>1.40700929597524E-2</v>
          </cell>
          <cell r="F270">
            <v>1.2469437910871401E-2</v>
          </cell>
          <cell r="G270">
            <v>5.0368966396849402E-2</v>
          </cell>
          <cell r="H270">
            <v>9.3894706239052494E-2</v>
          </cell>
          <cell r="I270">
            <v>0.201131820558024</v>
          </cell>
          <cell r="J270">
            <v>1.00200307959025E-3</v>
          </cell>
          <cell r="K270">
            <v>0.15131009835532999</v>
          </cell>
          <cell r="L270">
            <v>0.12946932007835399</v>
          </cell>
          <cell r="M270">
            <v>1.9891019264010101E-2</v>
          </cell>
          <cell r="N270">
            <v>0.19453812360328701</v>
          </cell>
          <cell r="O270">
            <v>0.140336271511108</v>
          </cell>
        </row>
        <row r="271">
          <cell r="A271" t="str">
            <v>ITOT-SWHBIOBR</v>
          </cell>
          <cell r="B271" t="str">
            <v>VAR_cap</v>
          </cell>
          <cell r="C271" t="str">
            <v>-</v>
          </cell>
          <cell r="D271">
            <v>1.7013611085743299E-2</v>
          </cell>
          <cell r="E271">
            <v>3.1074290763694872E-2</v>
          </cell>
          <cell r="F271">
            <v>4.3521981124607888E-2</v>
          </cell>
          <cell r="G271">
            <v>9.3856945295974173E-2</v>
          </cell>
          <cell r="H271">
            <v>0.1682071837247946</v>
          </cell>
          <cell r="I271">
            <v>0.33830068730779289</v>
          </cell>
          <cell r="J271">
            <v>0.29592862461144948</v>
          </cell>
          <cell r="K271">
            <v>0.35331757636703098</v>
          </cell>
          <cell r="L271">
            <v>0.31237511497055132</v>
          </cell>
          <cell r="M271">
            <v>0.30045698060021331</v>
          </cell>
          <cell r="N271">
            <v>0.32938737004009983</v>
          </cell>
          <cell r="O271">
            <v>0.35438815700078746</v>
          </cell>
        </row>
        <row r="272">
          <cell r="A272" t="str">
            <v>RHNS-SHPLTBR</v>
          </cell>
          <cell r="B272" t="str">
            <v>VAR_fout</v>
          </cell>
          <cell r="C272" t="str">
            <v>RHNS-SHPLT</v>
          </cell>
          <cell r="D272"/>
          <cell r="E272"/>
          <cell r="F272">
            <v>8.8397788818148006E-4</v>
          </cell>
          <cell r="G272">
            <v>5.0325652402486145E-3</v>
          </cell>
          <cell r="H272">
            <v>5.1639492786115394E-3</v>
          </cell>
          <cell r="I272">
            <v>5.4040970520790226E-3</v>
          </cell>
          <cell r="J272">
            <v>5.4313224828845298E-3</v>
          </cell>
          <cell r="K272">
            <v>8.1918018856894578E-3</v>
          </cell>
          <cell r="L272">
            <v>8.1987365291768758E-3</v>
          </cell>
          <cell r="M272">
            <v>8.2493338954350553E-3</v>
          </cell>
          <cell r="N272">
            <v>8.2808888247671818E-3</v>
          </cell>
          <cell r="O272">
            <v>8.9834993056224048E-3</v>
          </cell>
        </row>
        <row r="273">
          <cell r="A273" t="str">
            <v>RHNS-SHPLTBR</v>
          </cell>
          <cell r="B273" t="str">
            <v>VAR_fin</v>
          </cell>
          <cell r="C273" t="str">
            <v>RPLT</v>
          </cell>
          <cell r="D273"/>
          <cell r="E273"/>
          <cell r="F273">
            <v>9.8219765353497763E-4</v>
          </cell>
          <cell r="G273">
            <v>5.5917391558317885E-3</v>
          </cell>
          <cell r="H273">
            <v>5.7377214206794855E-3</v>
          </cell>
          <cell r="I273">
            <v>6.0045522800878026E-3</v>
          </cell>
          <cell r="J273">
            <v>6.034802758760587E-3</v>
          </cell>
          <cell r="K273">
            <v>9.1020020952105041E-3</v>
          </cell>
          <cell r="L273">
            <v>9.1097072546409818E-3</v>
          </cell>
          <cell r="M273">
            <v>9.1659265504833911E-3</v>
          </cell>
          <cell r="N273">
            <v>9.2009875830746449E-3</v>
          </cell>
          <cell r="O273">
            <v>9.9816658951360059E-3</v>
          </cell>
        </row>
        <row r="274">
          <cell r="A274" t="str">
            <v>RHNS-SHPLTBR</v>
          </cell>
          <cell r="B274" t="str">
            <v>VAR_ncap</v>
          </cell>
          <cell r="C274" t="str">
            <v>-</v>
          </cell>
          <cell r="D274"/>
          <cell r="E274">
            <v>2.5929135898070702E-7</v>
          </cell>
          <cell r="F274">
            <v>9.9090866035636896E-5</v>
          </cell>
          <cell r="G274">
            <v>3.6620921428544799E-4</v>
          </cell>
          <cell r="H274">
            <v>5.99117681662282E-6</v>
          </cell>
          <cell r="I274">
            <v>1.18205639587671E-4</v>
          </cell>
          <cell r="J274">
            <v>3.1486766267454201E-4</v>
          </cell>
          <cell r="K274">
            <v>2.5438687199970801E-4</v>
          </cell>
          <cell r="L274">
            <v>1.01639144810721E-4</v>
          </cell>
          <cell r="M274">
            <v>3.3517873146676102E-4</v>
          </cell>
          <cell r="N274">
            <v>2.2693848666808901E-4</v>
          </cell>
          <cell r="O274">
            <v>2.3264059323070799E-4</v>
          </cell>
        </row>
        <row r="275">
          <cell r="A275" t="str">
            <v>RHNS-SHPLTBR</v>
          </cell>
          <cell r="B275" t="str">
            <v>VAR_cap</v>
          </cell>
          <cell r="C275" t="str">
            <v>-</v>
          </cell>
          <cell r="D275"/>
          <cell r="E275">
            <v>2.5929135898070702E-7</v>
          </cell>
          <cell r="F275">
            <v>9.9022053683033999E-5</v>
          </cell>
          <cell r="G275">
            <v>4.6461142528028779E-4</v>
          </cell>
          <cell r="H275">
            <v>4.6984501865522058E-4</v>
          </cell>
          <cell r="I275">
            <v>4.4018958464135102E-4</v>
          </cell>
          <cell r="J275">
            <v>4.3830688337997514E-4</v>
          </cell>
          <cell r="K275">
            <v>6.8632491954353212E-4</v>
          </cell>
          <cell r="L275">
            <v>6.4603723407459642E-4</v>
          </cell>
          <cell r="M275">
            <v>6.898964208121751E-4</v>
          </cell>
          <cell r="N275">
            <v>6.746440337910101E-4</v>
          </cell>
          <cell r="O275">
            <v>7.9332742571295483E-4</v>
          </cell>
        </row>
        <row r="276">
          <cell r="A276" t="str">
            <v>D-RHNM_KEV_WOD_ELC_CHP</v>
          </cell>
          <cell r="B276" t="str">
            <v>VAR_fout</v>
          </cell>
          <cell r="C276" t="str">
            <v>ELC5</v>
          </cell>
          <cell r="D276"/>
          <cell r="E276"/>
          <cell r="F276"/>
          <cell r="G276">
            <v>4.5746341447719906E-3</v>
          </cell>
          <cell r="H276">
            <v>3.1043131250175168E-3</v>
          </cell>
          <cell r="I276">
            <v>2.8119929346769688E-3</v>
          </cell>
          <cell r="J276">
            <v>3.4349615683289267E-3</v>
          </cell>
          <cell r="K276">
            <v>7.5591075541206806E-3</v>
          </cell>
          <cell r="L276">
            <v>7.03945022384479E-3</v>
          </cell>
          <cell r="M276">
            <v>6.4444720363725071E-3</v>
          </cell>
          <cell r="N276">
            <v>6.5481029099255352E-3</v>
          </cell>
          <cell r="O276">
            <v>1.0405168843798286E-2</v>
          </cell>
        </row>
        <row r="277">
          <cell r="A277" t="str">
            <v>D-RHNM_KEV_WOD_ELC_CHP</v>
          </cell>
          <cell r="B277" t="str">
            <v>VAR_fout</v>
          </cell>
          <cell r="C277" t="str">
            <v>RHNM_ELC</v>
          </cell>
          <cell r="D277"/>
          <cell r="E277"/>
          <cell r="F277"/>
          <cell r="G277">
            <v>8.2359960814970892E-4</v>
          </cell>
          <cell r="H277">
            <v>3.0937755020012266E-3</v>
          </cell>
          <cell r="I277">
            <v>2.8056529585522233E-3</v>
          </cell>
          <cell r="J277">
            <v>3.420548444227324E-3</v>
          </cell>
          <cell r="K277">
            <v>7.5169766825365237E-3</v>
          </cell>
          <cell r="L277">
            <v>6.9980068590902453E-3</v>
          </cell>
          <cell r="M277">
            <v>6.4192109949461826E-3</v>
          </cell>
          <cell r="N277">
            <v>6.5380734591072194E-3</v>
          </cell>
          <cell r="O277">
            <v>1.0383080653455569E-2</v>
          </cell>
        </row>
        <row r="278">
          <cell r="A278" t="str">
            <v>D-RHNM_KEV_WOD_ELC_CHP</v>
          </cell>
          <cell r="B278" t="str">
            <v>VAR_fin</v>
          </cell>
          <cell r="C278" t="str">
            <v>RHNM_KEV_WOD_ELC_CHP</v>
          </cell>
          <cell r="D278"/>
          <cell r="E278"/>
          <cell r="F278"/>
          <cell r="G278">
            <v>5.393984812932036E-3</v>
          </cell>
          <cell r="H278">
            <v>6.1918163440734478E-3</v>
          </cell>
          <cell r="I278">
            <v>5.6054709548431191E-3</v>
          </cell>
          <cell r="J278">
            <v>6.8433350741701812E-3</v>
          </cell>
          <cell r="K278">
            <v>1.5051734359885062E-2</v>
          </cell>
          <cell r="L278">
            <v>1.4025282144548974E-2</v>
          </cell>
          <cell r="M278">
            <v>1.2839333154546538E-2</v>
          </cell>
          <cell r="N278">
            <v>1.3074263257278644E-2</v>
          </cell>
          <cell r="O278">
            <v>2.07645978248336E-2</v>
          </cell>
        </row>
        <row r="279">
          <cell r="A279" t="str">
            <v>SCOM-SHLTHCHPNGA</v>
          </cell>
          <cell r="B279" t="str">
            <v>VAR_fout</v>
          </cell>
          <cell r="C279" t="str">
            <v>SCOM-SHLTHC-NGA</v>
          </cell>
          <cell r="D279">
            <v>0.685665155622732</v>
          </cell>
          <cell r="E279">
            <v>0.74270273942281018</v>
          </cell>
          <cell r="F279">
            <v>0.64619226784950878</v>
          </cell>
          <cell r="G279">
            <v>2.6437730455954433</v>
          </cell>
          <cell r="H279">
            <v>5.0957167882158796</v>
          </cell>
          <cell r="I279">
            <v>5.3499237506463979</v>
          </cell>
          <cell r="J279">
            <v>5.3883227436766576</v>
          </cell>
          <cell r="K279">
            <v>3.9100688214076875</v>
          </cell>
          <cell r="L279">
            <v>3.9082263236868235</v>
          </cell>
          <cell r="M279">
            <v>3.9972549745786323</v>
          </cell>
          <cell r="N279">
            <v>4.3474679649173851</v>
          </cell>
          <cell r="O279">
            <v>4.6071582500060675</v>
          </cell>
        </row>
        <row r="280">
          <cell r="A280" t="str">
            <v>SCOM-SHLTHCHPNGA</v>
          </cell>
          <cell r="B280" t="str">
            <v>VAR_fin</v>
          </cell>
          <cell r="C280" t="str">
            <v>SCOMLTHCHPC</v>
          </cell>
          <cell r="D280">
            <v>0.685665155622732</v>
          </cell>
          <cell r="E280">
            <v>0.74270273942281018</v>
          </cell>
          <cell r="F280">
            <v>0.64619226784950878</v>
          </cell>
          <cell r="G280">
            <v>2.6437730455954433</v>
          </cell>
          <cell r="H280">
            <v>5.0957167882158796</v>
          </cell>
          <cell r="I280">
            <v>5.3499237506463979</v>
          </cell>
          <cell r="J280">
            <v>5.3883227436766576</v>
          </cell>
          <cell r="K280">
            <v>3.9100688214076875</v>
          </cell>
          <cell r="L280">
            <v>3.9082263236868235</v>
          </cell>
          <cell r="M280">
            <v>3.9972549745786323</v>
          </cell>
          <cell r="N280">
            <v>4.3474679649173851</v>
          </cell>
          <cell r="O280">
            <v>4.6071582500060675</v>
          </cell>
        </row>
        <row r="281">
          <cell r="A281" t="str">
            <v>SCOM-SHLTHCHPNGA</v>
          </cell>
          <cell r="B281" t="str">
            <v>VAR_fin</v>
          </cell>
          <cell r="C281" t="str">
            <v>SCOM_LTH_CHPNGA_ON</v>
          </cell>
          <cell r="D281">
            <v>0.6925910662855882</v>
          </cell>
          <cell r="E281">
            <v>0.75020478729576834</v>
          </cell>
          <cell r="F281">
            <v>0.65271946247425028</v>
          </cell>
          <cell r="G281">
            <v>2.6704778238337807</v>
          </cell>
          <cell r="H281">
            <v>5.1471886749655349</v>
          </cell>
          <cell r="I281">
            <v>5.4039633844913064</v>
          </cell>
          <cell r="J281">
            <v>5.442750246138039</v>
          </cell>
          <cell r="K281">
            <v>3.949564466068372</v>
          </cell>
          <cell r="L281">
            <v>3.9477033572594169</v>
          </cell>
          <cell r="M281">
            <v>4.0376312874531619</v>
          </cell>
          <cell r="N281">
            <v>4.3913817827448289</v>
          </cell>
          <cell r="O281">
            <v>4.6536952020263325</v>
          </cell>
        </row>
        <row r="282">
          <cell r="A282" t="str">
            <v>SCOM-SHLTHCHPNGA</v>
          </cell>
          <cell r="B282" t="str">
            <v>VAR_ncap</v>
          </cell>
          <cell r="C282" t="str">
            <v>-</v>
          </cell>
          <cell r="D282">
            <v>1.5993299531664999E-7</v>
          </cell>
          <cell r="E282">
            <v>3.3648176339559299E-2</v>
          </cell>
          <cell r="F282">
            <v>2.8127627514934E-2</v>
          </cell>
          <cell r="G282">
            <v>0.16923202313546301</v>
          </cell>
          <cell r="H282">
            <v>0.23755802128647299</v>
          </cell>
          <cell r="I282">
            <v>0.19589564868679801</v>
          </cell>
          <cell r="J282">
            <v>0.15449673572890099</v>
          </cell>
          <cell r="K282">
            <v>0.149204871203585</v>
          </cell>
          <cell r="L282">
            <v>0.14817201678509201</v>
          </cell>
          <cell r="M282">
            <v>0.153119130735037</v>
          </cell>
          <cell r="N282">
            <v>0.18140509066563501</v>
          </cell>
          <cell r="O282">
            <v>0.16945715426806399</v>
          </cell>
        </row>
        <row r="283">
          <cell r="A283" t="str">
            <v>SCOM-SHLTHCHPNGA</v>
          </cell>
          <cell r="B283" t="str">
            <v>VAR_cap</v>
          </cell>
          <cell r="C283" t="str">
            <v>-</v>
          </cell>
          <cell r="D283">
            <v>7.5969428891522223E-2</v>
          </cell>
          <cell r="E283">
            <v>5.7390358698071992E-2</v>
          </cell>
          <cell r="F283">
            <v>4.9938209224652794E-2</v>
          </cell>
          <cell r="G283">
            <v>0.2042866117387569</v>
          </cell>
          <cell r="H283">
            <v>0.39375238558229858</v>
          </cell>
          <cell r="I283">
            <v>0.413395721358427</v>
          </cell>
          <cell r="J283">
            <v>0.41636043691379404</v>
          </cell>
          <cell r="K283">
            <v>0.30214615254595401</v>
          </cell>
          <cell r="L283">
            <v>0.30199552073185698</v>
          </cell>
          <cell r="M283">
            <v>0.30888073900572</v>
          </cell>
          <cell r="N283">
            <v>0.33593920683452705</v>
          </cell>
          <cell r="O283">
            <v>0.35601872351237202</v>
          </cell>
        </row>
        <row r="284">
          <cell r="A284" t="str">
            <v>ITOT-PROCESSCO2</v>
          </cell>
          <cell r="B284" t="str">
            <v>VAR_fout</v>
          </cell>
          <cell r="C284" t="str">
            <v>CO2</v>
          </cell>
          <cell r="D284">
            <v>2089.34680048464</v>
          </cell>
          <cell r="E284">
            <v>2111.0131698740802</v>
          </cell>
          <cell r="F284">
            <v>2102.26947106126</v>
          </cell>
          <cell r="G284">
            <v>2093.6570624126398</v>
          </cell>
          <cell r="H284">
            <v>2085.53495476948</v>
          </cell>
          <cell r="I284">
            <v>2077.4128471263102</v>
          </cell>
          <cell r="J284">
            <v>2070.5807016906501</v>
          </cell>
          <cell r="K284">
            <v>2063.74855625499</v>
          </cell>
          <cell r="L284">
            <v>2063.74855625499</v>
          </cell>
          <cell r="M284">
            <v>2063.74855625499</v>
          </cell>
          <cell r="N284">
            <v>2063.74855625499</v>
          </cell>
          <cell r="O284">
            <v>2063.74855625499</v>
          </cell>
        </row>
        <row r="285">
          <cell r="A285" t="str">
            <v>ITOT-PROCESSCO2</v>
          </cell>
          <cell r="B285" t="str">
            <v>VAR_fout</v>
          </cell>
          <cell r="C285" t="str">
            <v>CO2P</v>
          </cell>
          <cell r="D285">
            <v>2089.34680048464</v>
          </cell>
          <cell r="E285">
            <v>2111.0131698740802</v>
          </cell>
          <cell r="F285">
            <v>2102.26947106126</v>
          </cell>
          <cell r="G285">
            <v>2093.6570624126398</v>
          </cell>
          <cell r="H285">
            <v>2085.53495476948</v>
          </cell>
          <cell r="I285">
            <v>2077.4128471263102</v>
          </cell>
          <cell r="J285">
            <v>2070.5807016906501</v>
          </cell>
          <cell r="K285">
            <v>2063.74855625499</v>
          </cell>
          <cell r="L285">
            <v>2063.74855625499</v>
          </cell>
          <cell r="M285">
            <v>2063.74855625499</v>
          </cell>
          <cell r="N285">
            <v>2063.74855625499</v>
          </cell>
          <cell r="O285">
            <v>2063.74855625499</v>
          </cell>
        </row>
        <row r="286">
          <cell r="A286" t="str">
            <v>RHNM-SHWODBR</v>
          </cell>
          <cell r="B286" t="str">
            <v>VAR_fout</v>
          </cell>
          <cell r="C286" t="str">
            <v>RHNM-SHWOD</v>
          </cell>
          <cell r="D286"/>
          <cell r="E286">
            <v>8.1141391515425834E-2</v>
          </cell>
          <cell r="F286">
            <v>8.1140889766530097E-2</v>
          </cell>
          <cell r="G286">
            <v>8.1138645656529187E-2</v>
          </cell>
          <cell r="H286">
            <v>8.1139163391694066E-2</v>
          </cell>
          <cell r="I286">
            <v>8.1137633581173763E-2</v>
          </cell>
          <cell r="J286">
            <v>8.1137119752780401E-2</v>
          </cell>
          <cell r="K286">
            <v>8.1137932880462699E-2</v>
          </cell>
          <cell r="L286">
            <v>8.1134374883618507E-2</v>
          </cell>
          <cell r="M286">
            <v>8.1134605929460063E-2</v>
          </cell>
          <cell r="N286">
            <v>6.8141373140302844E-2</v>
          </cell>
          <cell r="O286">
            <v>4.1505123282451463E-2</v>
          </cell>
        </row>
        <row r="287">
          <cell r="A287" t="str">
            <v>RHNM-SHWODBR</v>
          </cell>
          <cell r="B287" t="str">
            <v>VAR_fin</v>
          </cell>
          <cell r="C287" t="str">
            <v>RHNMWODBRC</v>
          </cell>
          <cell r="D287"/>
          <cell r="E287">
            <v>8.1141391515425834E-2</v>
          </cell>
          <cell r="F287">
            <v>8.1140889766530097E-2</v>
          </cell>
          <cell r="G287">
            <v>8.1138645656529187E-2</v>
          </cell>
          <cell r="H287">
            <v>8.1139163391694066E-2</v>
          </cell>
          <cell r="I287">
            <v>8.1137633581173763E-2</v>
          </cell>
          <cell r="J287">
            <v>8.1137119752780401E-2</v>
          </cell>
          <cell r="K287">
            <v>8.1137932880462699E-2</v>
          </cell>
          <cell r="L287">
            <v>8.1134374883618507E-2</v>
          </cell>
          <cell r="M287">
            <v>8.1134605929460063E-2</v>
          </cell>
          <cell r="N287">
            <v>6.8141373140302844E-2</v>
          </cell>
          <cell r="O287">
            <v>4.1505123282451463E-2</v>
          </cell>
        </row>
        <row r="288">
          <cell r="A288" t="str">
            <v>RHNM-SHWODBR</v>
          </cell>
          <cell r="B288" t="str">
            <v>VAR_fin</v>
          </cell>
          <cell r="C288" t="str">
            <v>RWOD</v>
          </cell>
          <cell r="D288"/>
          <cell r="E288">
            <v>0.11269637710475808</v>
          </cell>
          <cell r="F288">
            <v>0.11269568023129183</v>
          </cell>
          <cell r="G288">
            <v>0.11269256341184616</v>
          </cell>
          <cell r="H288">
            <v>0.11269328248846404</v>
          </cell>
          <cell r="I288">
            <v>0.11269115775163023</v>
          </cell>
          <cell r="J288">
            <v>0.11269044410108399</v>
          </cell>
          <cell r="K288">
            <v>0.11269157344508691</v>
          </cell>
          <cell r="L288">
            <v>0.11268663178280332</v>
          </cell>
          <cell r="M288">
            <v>0.11268695267980562</v>
          </cell>
          <cell r="N288">
            <v>9.4640796028198346E-2</v>
          </cell>
          <cell r="O288">
            <v>5.7646004558960365E-2</v>
          </cell>
        </row>
        <row r="289">
          <cell r="A289" t="str">
            <v>RHNM-SHWODBR</v>
          </cell>
          <cell r="B289" t="str">
            <v>VAR_ncap</v>
          </cell>
          <cell r="C289" t="str">
            <v>-</v>
          </cell>
          <cell r="D289"/>
          <cell r="E289">
            <v>6.3850471282507299E-3</v>
          </cell>
          <cell r="F289">
            <v>1.41889352654585E-4</v>
          </cell>
          <cell r="G289"/>
          <cell r="H289">
            <v>6.31361006150747E-3</v>
          </cell>
          <cell r="I289"/>
          <cell r="J289">
            <v>6.3586937020826701E-3</v>
          </cell>
          <cell r="K289"/>
          <cell r="L289">
            <v>1.1106149284491999E-3</v>
          </cell>
          <cell r="M289">
            <v>5.30678383283448E-3</v>
          </cell>
          <cell r="N289">
            <v>1.0022898921460401E-5</v>
          </cell>
          <cell r="O289">
            <v>1.46818103339094E-5</v>
          </cell>
        </row>
        <row r="290">
          <cell r="A290" t="str">
            <v>RHNM-SHWODBR</v>
          </cell>
          <cell r="B290" t="str">
            <v>VAR_cap</v>
          </cell>
          <cell r="C290" t="str">
            <v>-</v>
          </cell>
          <cell r="D290"/>
          <cell r="E290">
            <v>6.3850471282507299E-3</v>
          </cell>
          <cell r="F290">
            <v>6.5261290929692116E-3</v>
          </cell>
          <cell r="G290">
            <v>6.5248712150427412E-3</v>
          </cell>
          <cell r="H290">
            <v>8.5614966436259703E-3</v>
          </cell>
          <cell r="I290">
            <v>6.3425663409534755E-3</v>
          </cell>
          <cell r="J290">
            <v>9.592524565412E-3</v>
          </cell>
          <cell r="K290">
            <v>6.3584117261972755E-3</v>
          </cell>
          <cell r="L290">
            <v>6.6254006344941066E-3</v>
          </cell>
          <cell r="M290">
            <v>6.4167840520128619E-3</v>
          </cell>
          <cell r="N290">
            <v>6.065693871754073E-3</v>
          </cell>
          <cell r="O290">
            <v>5.3253221563504581E-3</v>
          </cell>
        </row>
        <row r="291">
          <cell r="A291" t="str">
            <v>RHNS-SHDEM</v>
          </cell>
          <cell r="B291" t="str">
            <v>VAR_fout</v>
          </cell>
          <cell r="C291" t="str">
            <v>RHNS-SHD</v>
          </cell>
          <cell r="D291"/>
          <cell r="E291">
            <v>0.40468474157116097</v>
          </cell>
          <cell r="F291">
            <v>0.97896184894018168</v>
          </cell>
          <cell r="G291">
            <v>1.8213001332059027</v>
          </cell>
          <cell r="H291">
            <v>2.5492379365481295</v>
          </cell>
          <cell r="I291">
            <v>3.2448537498998999</v>
          </cell>
          <cell r="J291">
            <v>3.9476923331595399</v>
          </cell>
          <cell r="K291">
            <v>4.640940441924938</v>
          </cell>
          <cell r="L291">
            <v>4.5132691916419718</v>
          </cell>
          <cell r="M291">
            <v>4.3780871033880588</v>
          </cell>
          <cell r="N291">
            <v>4.2942157029400096</v>
          </cell>
          <cell r="O291">
            <v>3.996216882388933</v>
          </cell>
        </row>
        <row r="292">
          <cell r="A292" t="str">
            <v>RHNS-SHDEM</v>
          </cell>
          <cell r="B292" t="str">
            <v>VAR_fin</v>
          </cell>
          <cell r="C292" t="str">
            <v>RHNS-SHLTHC-WOD</v>
          </cell>
          <cell r="D292"/>
          <cell r="E292">
            <v>7.3479087790518527E-5</v>
          </cell>
          <cell r="F292">
            <v>2.3894872167049667E-4</v>
          </cell>
          <cell r="G292">
            <v>4.7799408622136129E-3</v>
          </cell>
          <cell r="H292">
            <v>9.1111714829254214E-3</v>
          </cell>
          <cell r="I292">
            <v>9.0859837939911963E-3</v>
          </cell>
          <cell r="J292">
            <v>9.4254596738274823E-3</v>
          </cell>
          <cell r="K292">
            <v>2.1002188518350368E-2</v>
          </cell>
          <cell r="L292">
            <v>2.1975270356803848E-2</v>
          </cell>
          <cell r="M292">
            <v>2.684605848433921E-2</v>
          </cell>
          <cell r="N292">
            <v>1.4682577171351763E-2</v>
          </cell>
          <cell r="O292">
            <v>6.3249791242752651E-2</v>
          </cell>
        </row>
        <row r="293">
          <cell r="A293" t="str">
            <v>RHNS-SHDEM</v>
          </cell>
          <cell r="B293" t="str">
            <v>VAR_fin</v>
          </cell>
          <cell r="C293" t="str">
            <v>RHNS-SHLFO</v>
          </cell>
          <cell r="D293"/>
          <cell r="E293">
            <v>4.4275965305332899E-5</v>
          </cell>
          <cell r="F293">
            <v>1.4925155694756403E-4</v>
          </cell>
          <cell r="G293">
            <v>1.2241184537904923E-3</v>
          </cell>
          <cell r="H293">
            <v>5.515818416247059E-4</v>
          </cell>
          <cell r="I293"/>
          <cell r="J293">
            <v>5.8460963257727461E-5</v>
          </cell>
          <cell r="K293"/>
          <cell r="L293">
            <v>5.4529208186346995E-4</v>
          </cell>
          <cell r="M293">
            <v>5.8068082272550153E-4</v>
          </cell>
          <cell r="N293">
            <v>9.4338298915060495E-4</v>
          </cell>
          <cell r="O293">
            <v>2.773972169258378E-2</v>
          </cell>
        </row>
        <row r="294">
          <cell r="A294" t="str">
            <v>RHNS-SHDEM</v>
          </cell>
          <cell r="B294" t="str">
            <v>VAR_fin</v>
          </cell>
          <cell r="C294" t="str">
            <v>RHNS-SHNGAH</v>
          </cell>
          <cell r="D294"/>
          <cell r="E294">
            <v>8.6465749268038598E-5</v>
          </cell>
          <cell r="F294">
            <v>6.2493918544839272E-3</v>
          </cell>
          <cell r="G294">
            <v>6.4737798034887259E-3</v>
          </cell>
          <cell r="H294">
            <v>0.50771689629030792</v>
          </cell>
          <cell r="I294">
            <v>1.2883191623974264</v>
          </cell>
          <cell r="J294">
            <v>1.2890699291850063</v>
          </cell>
          <cell r="K294">
            <v>1.5716823058240681</v>
          </cell>
          <cell r="L294">
            <v>1.5719032812373173</v>
          </cell>
          <cell r="M294">
            <v>1.5693599921841539</v>
          </cell>
          <cell r="N294">
            <v>1.5639574908985279</v>
          </cell>
          <cell r="O294">
            <v>1.3536976779880774</v>
          </cell>
        </row>
        <row r="295">
          <cell r="A295" t="str">
            <v>RHNS-SHDEM</v>
          </cell>
          <cell r="B295" t="str">
            <v>VAR_fin</v>
          </cell>
          <cell r="C295" t="str">
            <v>RHNS-SHCON</v>
          </cell>
          <cell r="D295"/>
          <cell r="E295"/>
          <cell r="F295">
            <v>2.6913654806575181E-4</v>
          </cell>
          <cell r="G295">
            <v>2.1708586747281339E-4</v>
          </cell>
          <cell r="H295">
            <v>3.1272478181163579E-4</v>
          </cell>
          <cell r="I295">
            <v>3.2149707675583391E-4</v>
          </cell>
          <cell r="J295">
            <v>3.2165404552975016E-4</v>
          </cell>
          <cell r="K295">
            <v>9.7704892529417624E-4</v>
          </cell>
          <cell r="L295">
            <v>9.0713790511111792E-4</v>
          </cell>
          <cell r="M295">
            <v>9.7344789202350129E-4</v>
          </cell>
          <cell r="N295">
            <v>8.7015222078742525E-4</v>
          </cell>
          <cell r="O295">
            <v>1.140756527211394E-3</v>
          </cell>
        </row>
        <row r="296">
          <cell r="A296" t="str">
            <v>RHNS-SHDEM</v>
          </cell>
          <cell r="B296" t="str">
            <v>VAR_fin</v>
          </cell>
          <cell r="C296" t="str">
            <v>RHNS-SHWOD</v>
          </cell>
          <cell r="D296"/>
          <cell r="E296">
            <v>2.6326974905112734E-2</v>
          </cell>
          <cell r="F296">
            <v>9.0496179661305173E-2</v>
          </cell>
          <cell r="G296">
            <v>0.10092190539108817</v>
          </cell>
          <cell r="H296">
            <v>0.21077352155204801</v>
          </cell>
          <cell r="I296">
            <v>0.14270563804044659</v>
          </cell>
          <cell r="J296">
            <v>0.2644597811467897</v>
          </cell>
          <cell r="K296">
            <v>0.14253308744190221</v>
          </cell>
          <cell r="L296">
            <v>0.32108765959891145</v>
          </cell>
          <cell r="M296">
            <v>0.19493067404947526</v>
          </cell>
          <cell r="N296">
            <v>0.1278810252632952</v>
          </cell>
          <cell r="O296">
            <v>0.1039192632549564</v>
          </cell>
        </row>
        <row r="297">
          <cell r="A297" t="str">
            <v>RHNS-SHDEM</v>
          </cell>
          <cell r="B297" t="str">
            <v>VAR_fin</v>
          </cell>
          <cell r="C297" t="str">
            <v>RHNS-SHNST</v>
          </cell>
          <cell r="D297"/>
          <cell r="E297">
            <v>3.8518901588743854E-5</v>
          </cell>
          <cell r="F297">
            <v>1.0517195739885425E-3</v>
          </cell>
          <cell r="G297">
            <v>2.9621683435949412E-4</v>
          </cell>
          <cell r="H297">
            <v>5.9613738631140209E-4</v>
          </cell>
          <cell r="I297">
            <v>1.6428548330053299E-3</v>
          </cell>
          <cell r="J297">
            <v>1.5017289131562821E-3</v>
          </cell>
          <cell r="K297">
            <v>3.1142830903241772E-3</v>
          </cell>
          <cell r="L297">
            <v>1.31114543542928E-3</v>
          </cell>
          <cell r="M297">
            <v>1.9713049555330911E-3</v>
          </cell>
          <cell r="N297">
            <v>1.9828700349110457E-3</v>
          </cell>
          <cell r="O297">
            <v>1.9323542196053823E-3</v>
          </cell>
        </row>
        <row r="298">
          <cell r="A298" t="str">
            <v>RHNS-SHDEM</v>
          </cell>
          <cell r="B298" t="str">
            <v>VAR_fin</v>
          </cell>
          <cell r="C298" t="str">
            <v>RHNS-SHPLT</v>
          </cell>
          <cell r="D298"/>
          <cell r="E298">
            <v>4.6316309326438028E-5</v>
          </cell>
          <cell r="F298">
            <v>2.9248408917309657E-3</v>
          </cell>
          <cell r="G298">
            <v>5.7572779255732742E-3</v>
          </cell>
          <cell r="H298">
            <v>6.2238084084056235E-3</v>
          </cell>
          <cell r="I298">
            <v>6.459955310015815E-3</v>
          </cell>
          <cell r="J298">
            <v>6.5994353480679085E-3</v>
          </cell>
          <cell r="K298">
            <v>1.0125715576345491E-2</v>
          </cell>
          <cell r="L298">
            <v>9.898424176014128E-3</v>
          </cell>
          <cell r="M298">
            <v>1.0598533797256754E-2</v>
          </cell>
          <cell r="N298">
            <v>1.1357144317762372E-2</v>
          </cell>
          <cell r="O298">
            <v>5.8295173316897105E-2</v>
          </cell>
        </row>
        <row r="299">
          <cell r="A299" t="str">
            <v>RHNS-SHDEM</v>
          </cell>
          <cell r="B299" t="str">
            <v>VAR_fin</v>
          </cell>
          <cell r="C299" t="str">
            <v>RHNS-SHLTHD</v>
          </cell>
          <cell r="D299"/>
          <cell r="E299">
            <v>5.3550329988903703E-2</v>
          </cell>
          <cell r="F299">
            <v>6.9989401904301113E-2</v>
          </cell>
          <cell r="G299">
            <v>0.1088654801325358</v>
          </cell>
          <cell r="H299">
            <v>0.17093879611286569</v>
          </cell>
          <cell r="I299">
            <v>0.23924865122680714</v>
          </cell>
          <cell r="J299">
            <v>0.38635743418726054</v>
          </cell>
          <cell r="K299">
            <v>0.62137590077682336</v>
          </cell>
          <cell r="L299">
            <v>0.67502260070819653</v>
          </cell>
          <cell r="M299">
            <v>0.70724315022989626</v>
          </cell>
          <cell r="N299">
            <v>0.7389846376970457</v>
          </cell>
          <cell r="O299">
            <v>0.64293440262959467</v>
          </cell>
        </row>
        <row r="300">
          <cell r="A300" t="str">
            <v>RHNS-SHDEM</v>
          </cell>
          <cell r="B300" t="str">
            <v>VAR_fin</v>
          </cell>
          <cell r="C300" t="str">
            <v>RHNS-SHELCB</v>
          </cell>
          <cell r="D300"/>
          <cell r="E300">
            <v>6.8620288421820136E-2</v>
          </cell>
          <cell r="F300">
            <v>0.14671219345120073</v>
          </cell>
          <cell r="G300">
            <v>7.0220508080983304E-2</v>
          </cell>
          <cell r="H300">
            <v>0.10189536202383129</v>
          </cell>
          <cell r="I300">
            <v>1.8567219226900571E-2</v>
          </cell>
          <cell r="J300">
            <v>0.43722133709719962</v>
          </cell>
          <cell r="K300">
            <v>0.41312509082738019</v>
          </cell>
          <cell r="L300">
            <v>5.8497237448692382E-2</v>
          </cell>
          <cell r="M300">
            <v>1.0832023308680347E-2</v>
          </cell>
          <cell r="N300">
            <v>1.0364669148560469E-2</v>
          </cell>
          <cell r="O300">
            <v>5.823472771193685E-2</v>
          </cell>
        </row>
        <row r="301">
          <cell r="A301" t="str">
            <v>RHNS-SHDEM</v>
          </cell>
          <cell r="B301" t="str">
            <v>VAR_fin</v>
          </cell>
          <cell r="C301" t="str">
            <v>RHNS-SHELCH</v>
          </cell>
          <cell r="D301"/>
          <cell r="E301">
            <v>0.24155966422286046</v>
          </cell>
          <cell r="F301">
            <v>0.63942417439620158</v>
          </cell>
          <cell r="G301">
            <v>1.5017221447221014</v>
          </cell>
          <cell r="H301">
            <v>1.5038539230069912</v>
          </cell>
          <cell r="I301">
            <v>1.5039763116302274</v>
          </cell>
          <cell r="J301">
            <v>1.504773238788605</v>
          </cell>
          <cell r="K301">
            <v>1.788552677560981</v>
          </cell>
          <cell r="L301">
            <v>1.7887408372386628</v>
          </cell>
          <cell r="M301">
            <v>1.7862876163290167</v>
          </cell>
          <cell r="N301">
            <v>1.7812016636220429</v>
          </cell>
          <cell r="O301">
            <v>1.5488946848647742</v>
          </cell>
        </row>
        <row r="302">
          <cell r="A302" t="str">
            <v>RHNS-SHDEM</v>
          </cell>
          <cell r="B302" t="str">
            <v>VAR_fin</v>
          </cell>
          <cell r="C302" t="str">
            <v>RHNS-SHSOL</v>
          </cell>
          <cell r="D302"/>
          <cell r="E302">
            <v>1.3294986885870986E-2</v>
          </cell>
          <cell r="F302">
            <v>1.5122541239131917E-2</v>
          </cell>
          <cell r="G302">
            <v>1.4068420800469477E-2</v>
          </cell>
          <cell r="H302">
            <v>1.6164333775303012E-2</v>
          </cell>
          <cell r="I302">
            <v>1.3709803253436183E-2</v>
          </cell>
          <cell r="J302">
            <v>1.4663977331380305E-2</v>
          </cell>
          <cell r="K302">
            <v>1.8330124579752499E-2</v>
          </cell>
          <cell r="L302">
            <v>1.8437651833075192E-2</v>
          </cell>
          <cell r="M302">
            <v>1.8317375781185193E-2</v>
          </cell>
          <cell r="N302">
            <v>1.1866278487285097E-2</v>
          </cell>
          <cell r="O302">
            <v>6.0124666443695615E-2</v>
          </cell>
        </row>
        <row r="303">
          <cell r="A303" t="str">
            <v>RHNS-SHDEM</v>
          </cell>
          <cell r="B303" t="str">
            <v>VAR_fin</v>
          </cell>
          <cell r="C303" t="str">
            <v>RHNS-SHLTHC-NGA</v>
          </cell>
          <cell r="D303"/>
          <cell r="E303">
            <v>1.2150329547275407E-3</v>
          </cell>
          <cell r="F303">
            <v>6.6435154582392131E-3</v>
          </cell>
          <cell r="G303">
            <v>7.0545940954131288E-3</v>
          </cell>
          <cell r="H303">
            <v>2.0971584215985221E-2</v>
          </cell>
          <cell r="I303">
            <v>2.109531193421443E-2</v>
          </cell>
          <cell r="J303">
            <v>3.342431683273004E-2</v>
          </cell>
          <cell r="K303">
            <v>5.075300439104484E-2</v>
          </cell>
          <cell r="L303">
            <v>4.4419047273832918E-2</v>
          </cell>
          <cell r="M303">
            <v>4.9634155614196603E-2</v>
          </cell>
          <cell r="N303">
            <v>2.8955039720243572E-2</v>
          </cell>
          <cell r="O303">
            <v>6.9684713307861496E-2</v>
          </cell>
        </row>
        <row r="304">
          <cell r="A304" t="str">
            <v>RHNS-SHDEM</v>
          </cell>
          <cell r="B304" t="str">
            <v>VAR_fin</v>
          </cell>
          <cell r="C304" t="str">
            <v>RHNS-SHNGA</v>
          </cell>
          <cell r="D304"/>
          <cell r="E304">
            <v>6.2490912703579537E-5</v>
          </cell>
          <cell r="F304">
            <v>2.4700950237114411E-4</v>
          </cell>
          <cell r="G304">
            <v>1.4784572582593992E-4</v>
          </cell>
          <cell r="H304">
            <v>6.584606513080299E-4</v>
          </cell>
          <cell r="I304">
            <v>2.0398404700400517E-4</v>
          </cell>
          <cell r="J304">
            <v>3.4822944983738509E-4</v>
          </cell>
          <cell r="K304"/>
          <cell r="L304">
            <v>9.3747484778954916E-4</v>
          </cell>
          <cell r="M304">
            <v>1.1391548606683255E-3</v>
          </cell>
          <cell r="N304">
            <v>1.5425787339117519E-3</v>
          </cell>
          <cell r="O304">
            <v>6.9877524740605086E-3</v>
          </cell>
        </row>
        <row r="305">
          <cell r="A305" t="str">
            <v>RES-ELCSPEC</v>
          </cell>
          <cell r="B305" t="str">
            <v>VAR_fout</v>
          </cell>
          <cell r="C305" t="str">
            <v>RHSA-ELS</v>
          </cell>
          <cell r="D305">
            <v>44.576905509554948</v>
          </cell>
          <cell r="E305">
            <v>44.861180257150714</v>
          </cell>
          <cell r="F305">
            <v>44.662714330046107</v>
          </cell>
          <cell r="G305">
            <v>45.065504070759275</v>
          </cell>
          <cell r="H305">
            <v>45.56797541921167</v>
          </cell>
          <cell r="I305">
            <v>46.187070161096486</v>
          </cell>
          <cell r="J305">
            <v>47.279228669083643</v>
          </cell>
          <cell r="K305">
            <v>48.814108930112774</v>
          </cell>
          <cell r="L305">
            <v>51.401574564556682</v>
          </cell>
          <cell r="M305">
            <v>54.870586949092534</v>
          </cell>
          <cell r="N305">
            <v>58.002973212427008</v>
          </cell>
          <cell r="O305">
            <v>65.381294302537725</v>
          </cell>
        </row>
        <row r="306">
          <cell r="A306" t="str">
            <v>RES-ELCSPEC</v>
          </cell>
          <cell r="B306" t="str">
            <v>VAR_fin</v>
          </cell>
          <cell r="C306" t="str">
            <v>RHSA_ELC</v>
          </cell>
          <cell r="D306">
            <v>44.576905509554948</v>
          </cell>
          <cell r="E306">
            <v>44.861180257150714</v>
          </cell>
          <cell r="F306">
            <v>44.662714330046107</v>
          </cell>
          <cell r="G306">
            <v>45.065504070759275</v>
          </cell>
          <cell r="H306">
            <v>45.56797541921167</v>
          </cell>
          <cell r="I306">
            <v>46.187070161096486</v>
          </cell>
          <cell r="J306">
            <v>47.279228669083643</v>
          </cell>
          <cell r="K306">
            <v>48.814108930112774</v>
          </cell>
          <cell r="L306">
            <v>51.401574564556682</v>
          </cell>
          <cell r="M306">
            <v>54.870586949092534</v>
          </cell>
          <cell r="N306">
            <v>58.002973212427008</v>
          </cell>
          <cell r="O306">
            <v>65.381294302537725</v>
          </cell>
        </row>
        <row r="307">
          <cell r="A307" t="str">
            <v>RES-ELCSPEC</v>
          </cell>
          <cell r="B307" t="str">
            <v>VAR_ncap</v>
          </cell>
          <cell r="C307" t="str">
            <v>-</v>
          </cell>
          <cell r="D307">
            <v>0.19321260643330401</v>
          </cell>
          <cell r="E307">
            <v>9.0613717789789305E-6</v>
          </cell>
          <cell r="F307">
            <v>1.17105623817953E-5</v>
          </cell>
          <cell r="G307">
            <v>5.1378321276951298E-3</v>
          </cell>
          <cell r="H307">
            <v>5.3123052593358498E-2</v>
          </cell>
          <cell r="I307">
            <v>6.5453718703266994E-2</v>
          </cell>
          <cell r="J307">
            <v>3.1931885765430601</v>
          </cell>
          <cell r="K307">
            <v>1.8427589222610801</v>
          </cell>
          <cell r="L307">
            <v>0.27862392376568701</v>
          </cell>
          <cell r="M307">
            <v>0.41981887627379999</v>
          </cell>
          <cell r="N307">
            <v>0.89643181648958803</v>
          </cell>
          <cell r="O307">
            <v>3.4731971378227602</v>
          </cell>
        </row>
        <row r="308">
          <cell r="A308" t="str">
            <v>RES-ELCSPEC</v>
          </cell>
          <cell r="B308" t="str">
            <v>VAR_cap</v>
          </cell>
          <cell r="C308" t="str">
            <v>-</v>
          </cell>
          <cell r="D308">
            <v>4.7117492905637741</v>
          </cell>
          <cell r="E308">
            <v>4.7423716712701705</v>
          </cell>
          <cell r="F308">
            <v>4.7582617863520387</v>
          </cell>
          <cell r="G308">
            <v>4.7633941787904464</v>
          </cell>
          <cell r="H308">
            <v>4.8165060791987662</v>
          </cell>
          <cell r="I308">
            <v>4.8819438973339144</v>
          </cell>
          <cell r="J308">
            <v>4.9973830316184724</v>
          </cell>
          <cell r="K308">
            <v>5.1596225314197817</v>
          </cell>
          <cell r="L308">
            <v>5.4331130095650622</v>
          </cell>
          <cell r="M308">
            <v>5.7997947628879016</v>
          </cell>
          <cell r="N308">
            <v>6.1308822208138807</v>
          </cell>
          <cell r="O308">
            <v>6.9107803282324243</v>
          </cell>
        </row>
        <row r="309">
          <cell r="A309" t="str">
            <v>SCOM-SHCONBR1</v>
          </cell>
          <cell r="B309" t="str">
            <v>VAR_fout</v>
          </cell>
          <cell r="C309" t="str">
            <v>SCOM-SHCON</v>
          </cell>
          <cell r="D309"/>
          <cell r="E309">
            <v>1.5198153159710257</v>
          </cell>
          <cell r="F309">
            <v>1.5194759644552265</v>
          </cell>
          <cell r="G309">
            <v>1.5195713159747097</v>
          </cell>
          <cell r="H309">
            <v>1.5194354638165986</v>
          </cell>
          <cell r="I309">
            <v>1.5194691275540093</v>
          </cell>
          <cell r="J309">
            <v>1.519364809553815</v>
          </cell>
          <cell r="K309">
            <v>2.6175625479300826</v>
          </cell>
          <cell r="L309">
            <v>2.6177576553270536</v>
          </cell>
          <cell r="M309">
            <v>2.6177209684515468</v>
          </cell>
          <cell r="N309">
            <v>2.6177515001608924</v>
          </cell>
          <cell r="O309">
            <v>2.6177567390646432</v>
          </cell>
        </row>
        <row r="310">
          <cell r="A310" t="str">
            <v>SCOM-SHCONBR1</v>
          </cell>
          <cell r="B310" t="str">
            <v>VAR_fin</v>
          </cell>
          <cell r="C310" t="str">
            <v>CON</v>
          </cell>
          <cell r="D310"/>
          <cell r="E310">
            <v>1.5198153159710257</v>
          </cell>
          <cell r="F310">
            <v>1.5194759644552265</v>
          </cell>
          <cell r="G310">
            <v>1.5195713159747097</v>
          </cell>
          <cell r="H310">
            <v>1.5194354638165986</v>
          </cell>
          <cell r="I310">
            <v>1.5194691275540093</v>
          </cell>
          <cell r="J310">
            <v>1.519364809553815</v>
          </cell>
          <cell r="K310">
            <v>2.6175625479300826</v>
          </cell>
          <cell r="L310">
            <v>2.6177576553270536</v>
          </cell>
          <cell r="M310">
            <v>2.6177209684515468</v>
          </cell>
          <cell r="N310">
            <v>2.6177515001608924</v>
          </cell>
          <cell r="O310">
            <v>2.6177567390646432</v>
          </cell>
        </row>
        <row r="311">
          <cell r="A311" t="str">
            <v>SCOM-SHCONBR1</v>
          </cell>
          <cell r="B311" t="str">
            <v>VAR_ncap</v>
          </cell>
          <cell r="C311" t="str">
            <v>-</v>
          </cell>
          <cell r="D311"/>
          <cell r="E311">
            <v>0.11743196874359001</v>
          </cell>
          <cell r="F311">
            <v>1.06751678157187E-6</v>
          </cell>
          <cell r="G311">
            <v>1.93570979760596E-6</v>
          </cell>
          <cell r="H311">
            <v>2.5646499510290002E-7</v>
          </cell>
          <cell r="I311">
            <v>2.5574078784001801E-7</v>
          </cell>
          <cell r="J311">
            <v>3.03610552648571E-7</v>
          </cell>
          <cell r="K311">
            <v>0.123053111025025</v>
          </cell>
          <cell r="L311">
            <v>7.9298200619246903E-2</v>
          </cell>
          <cell r="M311">
            <v>1.85157899419002E-6</v>
          </cell>
          <cell r="N311">
            <v>3.3238236230621799E-6</v>
          </cell>
          <cell r="O311">
            <v>2.6032299118816699E-6</v>
          </cell>
        </row>
        <row r="312">
          <cell r="A312" t="str">
            <v>SCOM-SHCONBR1</v>
          </cell>
          <cell r="B312" t="str">
            <v>VAR_cap</v>
          </cell>
          <cell r="C312" t="str">
            <v>-</v>
          </cell>
          <cell r="D312"/>
          <cell r="E312">
            <v>0.11743196874359001</v>
          </cell>
          <cell r="F312">
            <v>0.11743264876340695</v>
          </cell>
          <cell r="G312">
            <v>0.11743446026691079</v>
          </cell>
          <cell r="H312">
            <v>0.11742972251128818</v>
          </cell>
          <cell r="I312">
            <v>0.11742955482820061</v>
          </cell>
          <cell r="J312">
            <v>0.11742304945315679</v>
          </cell>
          <cell r="K312">
            <v>0.20230117291033639</v>
          </cell>
          <cell r="L312">
            <v>0.2023526138243727</v>
          </cell>
          <cell r="M312">
            <v>0.20234586744377844</v>
          </cell>
          <cell r="N312">
            <v>0.20235417990342516</v>
          </cell>
          <cell r="O312">
            <v>0.20235669508225718</v>
          </cell>
        </row>
        <row r="313">
          <cell r="A313" t="str">
            <v>RHSA-WHSTG-SOL</v>
          </cell>
          <cell r="B313" t="str">
            <v>VAR_fout</v>
          </cell>
          <cell r="C313" t="str">
            <v>RHSA-WHASOL</v>
          </cell>
          <cell r="D313">
            <v>5.9263951476484113E-5</v>
          </cell>
          <cell r="E313">
            <v>6.8938141147027452E-5</v>
          </cell>
          <cell r="F313">
            <v>0.49795466024704671</v>
          </cell>
          <cell r="G313">
            <v>0.52019477902194788</v>
          </cell>
          <cell r="H313">
            <v>0.27476447289343059</v>
          </cell>
          <cell r="I313">
            <v>0.246925078580438</v>
          </cell>
          <cell r="J313">
            <v>0.24742552612178084</v>
          </cell>
          <cell r="K313">
            <v>0.23181001147158756</v>
          </cell>
          <cell r="L313">
            <v>0.23189036333600221</v>
          </cell>
          <cell r="M313">
            <v>0.21690529552559698</v>
          </cell>
          <cell r="N313">
            <v>0.22153240396157939</v>
          </cell>
          <cell r="O313">
            <v>0.16518335131358169</v>
          </cell>
        </row>
        <row r="314">
          <cell r="A314" t="str">
            <v>RHSA-WHSTG-SOL</v>
          </cell>
          <cell r="B314" t="str">
            <v>VAR_fin</v>
          </cell>
          <cell r="C314" t="str">
            <v>RHSA-WHASOL</v>
          </cell>
          <cell r="D314">
            <v>3.2136135477743776E-6</v>
          </cell>
          <cell r="E314">
            <v>6.1985778454820255E-6</v>
          </cell>
          <cell r="F314">
            <v>0.49791521768046682</v>
          </cell>
          <cell r="G314">
            <v>0.52013294390795572</v>
          </cell>
          <cell r="H314">
            <v>0.27470235617245897</v>
          </cell>
          <cell r="I314">
            <v>0.24689011800054533</v>
          </cell>
          <cell r="J314">
            <v>0.24734413348336651</v>
          </cell>
          <cell r="K314">
            <v>0.23173384455491131</v>
          </cell>
          <cell r="L314">
            <v>0.23185183945454452</v>
          </cell>
          <cell r="M314">
            <v>0.21676211390830999</v>
          </cell>
          <cell r="N314">
            <v>0.22149662150675145</v>
          </cell>
          <cell r="O314">
            <v>0.16505578910641941</v>
          </cell>
        </row>
        <row r="315">
          <cell r="A315" t="str">
            <v>RHSA-WHSTG-SOL</v>
          </cell>
          <cell r="B315" t="str">
            <v>VAR_ncap</v>
          </cell>
          <cell r="C315" t="str">
            <v>-</v>
          </cell>
          <cell r="D315">
            <v>1.52607885554965E-2</v>
          </cell>
          <cell r="E315">
            <v>6.3005069624152393E-2</v>
          </cell>
          <cell r="F315">
            <v>1.0377074532605699E-5</v>
          </cell>
          <cell r="G315">
            <v>5.1634412768951196E-6</v>
          </cell>
          <cell r="H315">
            <v>6.1802432497475596E-3</v>
          </cell>
          <cell r="I315">
            <v>3.2220398427783001E-2</v>
          </cell>
          <cell r="J315">
            <v>4.9015058516600502E-6</v>
          </cell>
          <cell r="K315">
            <v>3.8714296948742801E-3</v>
          </cell>
          <cell r="L315">
            <v>2.6847598723217E-2</v>
          </cell>
          <cell r="M315">
            <v>2.9381710352395902E-3</v>
          </cell>
          <cell r="N315">
            <v>1.2304261801258499E-2</v>
          </cell>
          <cell r="O315">
            <v>1.10130022563023E-2</v>
          </cell>
        </row>
        <row r="316">
          <cell r="A316" t="str">
            <v>RHSA-WHSTG-SOL</v>
          </cell>
          <cell r="B316" t="str">
            <v>VAR_cap</v>
          </cell>
          <cell r="C316" t="str">
            <v>-</v>
          </cell>
          <cell r="D316">
            <v>1.5261851108460097E-2</v>
          </cell>
          <cell r="E316">
            <v>7.8266920732612405E-2</v>
          </cell>
          <cell r="F316">
            <v>7.8277297807145096E-2</v>
          </cell>
          <cell r="G316">
            <v>7.8282461248421906E-2</v>
          </cell>
          <cell r="H316">
            <v>4.243396524533647E-2</v>
          </cell>
          <cell r="I316">
            <v>3.8407001944196703E-2</v>
          </cell>
          <cell r="J316">
            <v>3.8405543183382199E-2</v>
          </cell>
          <cell r="K316">
            <v>3.6096729628508899E-2</v>
          </cell>
          <cell r="L316">
            <v>3.5674076106903103E-2</v>
          </cell>
          <cell r="M316">
            <v>3.3657199453330899E-2</v>
          </cell>
          <cell r="N316">
            <v>3.42646902849131E-2</v>
          </cell>
          <cell r="O316">
            <v>2.6255435092800299E-2</v>
          </cell>
        </row>
        <row r="317">
          <cell r="A317" t="str">
            <v>SCOM-SHCONBR2</v>
          </cell>
          <cell r="B317" t="str">
            <v>VAR_fout</v>
          </cell>
          <cell r="C317" t="str">
            <v>SCOM-SHCON</v>
          </cell>
          <cell r="D317"/>
          <cell r="E317">
            <v>2.3671105409355984</v>
          </cell>
          <cell r="F317">
            <v>2.3666779230297346</v>
          </cell>
          <cell r="G317">
            <v>2.366802814466856</v>
          </cell>
          <cell r="H317">
            <v>2.366643861426474</v>
          </cell>
          <cell r="I317">
            <v>2.3666937427337276</v>
          </cell>
          <cell r="J317">
            <v>2.3665631156163536</v>
          </cell>
          <cell r="K317">
            <v>2.2662673983776966</v>
          </cell>
          <cell r="L317">
            <v>4.0772349891255839</v>
          </cell>
          <cell r="M317">
            <v>4.077194605461532</v>
          </cell>
          <cell r="N317">
            <v>4.0772185586128966</v>
          </cell>
          <cell r="O317">
            <v>4.077216409939024</v>
          </cell>
        </row>
        <row r="318">
          <cell r="A318" t="str">
            <v>SCOM-SHCONBR2</v>
          </cell>
          <cell r="B318" t="str">
            <v>VAR_fin</v>
          </cell>
          <cell r="C318" t="str">
            <v>CON</v>
          </cell>
          <cell r="D318"/>
          <cell r="E318">
            <v>2.3671105409355984</v>
          </cell>
          <cell r="F318">
            <v>2.3666779230297346</v>
          </cell>
          <cell r="G318">
            <v>2.366802814466856</v>
          </cell>
          <cell r="H318">
            <v>2.366643861426474</v>
          </cell>
          <cell r="I318">
            <v>2.3666937427337276</v>
          </cell>
          <cell r="J318">
            <v>2.3665631156163536</v>
          </cell>
          <cell r="K318">
            <v>2.2662673983776966</v>
          </cell>
          <cell r="L318">
            <v>4.0772349891255839</v>
          </cell>
          <cell r="M318">
            <v>4.077194605461532</v>
          </cell>
          <cell r="N318">
            <v>4.0772185586128966</v>
          </cell>
          <cell r="O318">
            <v>4.077216409939024</v>
          </cell>
        </row>
        <row r="319">
          <cell r="A319" t="str">
            <v>SCOM-SHCONBR2</v>
          </cell>
          <cell r="B319" t="str">
            <v>VAR_ncap</v>
          </cell>
          <cell r="C319" t="str">
            <v>-</v>
          </cell>
          <cell r="D319"/>
          <cell r="E319">
            <v>0.18290250873514</v>
          </cell>
          <cell r="F319">
            <v>9.3356259971028001E-7</v>
          </cell>
          <cell r="G319">
            <v>1.6077566167818199E-6</v>
          </cell>
          <cell r="H319">
            <v>2.56794860287566E-7</v>
          </cell>
          <cell r="I319">
            <v>2.5397718925707299E-7</v>
          </cell>
          <cell r="J319">
            <v>3.0029939814709801E-7</v>
          </cell>
          <cell r="K319">
            <v>5.1720640724372498E-2</v>
          </cell>
          <cell r="L319">
            <v>0.263432329772952</v>
          </cell>
          <cell r="M319">
            <v>1.5261675813163801E-6</v>
          </cell>
          <cell r="N319">
            <v>1.8564587956712701E-6</v>
          </cell>
          <cell r="O319">
            <v>3.4689977332737499E-6</v>
          </cell>
        </row>
        <row r="320">
          <cell r="A320" t="str">
            <v>SCOM-SHCONBR2</v>
          </cell>
          <cell r="B320" t="str">
            <v>VAR_cap</v>
          </cell>
          <cell r="C320" t="str">
            <v>-</v>
          </cell>
          <cell r="E320">
            <v>0.18290250873514</v>
          </cell>
          <cell r="F320">
            <v>0.18290304867656426</v>
          </cell>
          <cell r="G320">
            <v>0.18290453563578224</v>
          </cell>
          <cell r="H320">
            <v>0.18289977730692814</v>
          </cell>
          <cell r="I320">
            <v>0.18289962084083014</v>
          </cell>
          <cell r="J320">
            <v>0.18289218371724231</v>
          </cell>
          <cell r="K320">
            <v>0.17515127551295284</v>
          </cell>
          <cell r="L320">
            <v>0.31515403214555698</v>
          </cell>
          <cell r="M320">
            <v>0.31514743453115585</v>
          </cell>
          <cell r="N320">
            <v>0.31515408217822521</v>
          </cell>
          <cell r="O320">
            <v>0.31515756704555842</v>
          </cell>
        </row>
        <row r="321">
          <cell r="A321" t="str">
            <v>SCOM-SHCONBR3</v>
          </cell>
          <cell r="B321" t="str">
            <v>VAR_fout</v>
          </cell>
          <cell r="C321" t="str">
            <v>SCOM-SHCON</v>
          </cell>
          <cell r="D321"/>
          <cell r="E321">
            <v>1.9020724613083353</v>
          </cell>
          <cell r="F321">
            <v>1.9016791801118682</v>
          </cell>
          <cell r="G321">
            <v>1.9017710465104296</v>
          </cell>
          <cell r="H321">
            <v>1.9016245480938052</v>
          </cell>
          <cell r="I321">
            <v>1.9016651566959004</v>
          </cell>
          <cell r="J321">
            <v>1.9015605870751904</v>
          </cell>
          <cell r="K321">
            <v>1.2832756482950718</v>
          </cell>
          <cell r="L321">
            <v>0.25771046612996779</v>
          </cell>
          <cell r="M321">
            <v>0.25772037062769659</v>
          </cell>
          <cell r="N321">
            <v>0.25773549048643529</v>
          </cell>
          <cell r="O321">
            <v>0.2578387141427303</v>
          </cell>
        </row>
        <row r="322">
          <cell r="A322" t="str">
            <v>SCOM-SHCONBR3</v>
          </cell>
          <cell r="B322" t="str">
            <v>VAR_fin</v>
          </cell>
          <cell r="C322" t="str">
            <v>CON</v>
          </cell>
          <cell r="D322"/>
          <cell r="E322">
            <v>1.9020724613083353</v>
          </cell>
          <cell r="F322">
            <v>1.9016791801118682</v>
          </cell>
          <cell r="G322">
            <v>1.9017710465104296</v>
          </cell>
          <cell r="H322">
            <v>1.9016245480938052</v>
          </cell>
          <cell r="I322">
            <v>1.9016651566959004</v>
          </cell>
          <cell r="J322">
            <v>1.9015605870751904</v>
          </cell>
          <cell r="K322">
            <v>1.2832756482950718</v>
          </cell>
          <cell r="L322">
            <v>0.25771046612996779</v>
          </cell>
          <cell r="M322">
            <v>0.25772037062769659</v>
          </cell>
          <cell r="N322">
            <v>0.25773549048643529</v>
          </cell>
          <cell r="O322">
            <v>0.2578387141427303</v>
          </cell>
        </row>
        <row r="323">
          <cell r="A323" t="str">
            <v>SCOM-SHCONBR3</v>
          </cell>
          <cell r="B323" t="str">
            <v>VAR_ncap</v>
          </cell>
          <cell r="C323" t="str">
            <v>-</v>
          </cell>
          <cell r="D323"/>
          <cell r="E323">
            <v>0.14696895850387201</v>
          </cell>
          <cell r="F323">
            <v>3.2870460681473701E-7</v>
          </cell>
          <cell r="G323">
            <v>4.3299908967836302E-7</v>
          </cell>
          <cell r="H323">
            <v>1.5513970590461799E-7</v>
          </cell>
          <cell r="I323">
            <v>1.51529898477277E-7</v>
          </cell>
          <cell r="J323">
            <v>1.8936931327725001E-7</v>
          </cell>
          <cell r="K323">
            <v>3.2298656275205599E-6</v>
          </cell>
          <cell r="L323">
            <v>1.9916525024558901E-2</v>
          </cell>
          <cell r="M323">
            <v>1.89560904250341E-6</v>
          </cell>
          <cell r="N323">
            <v>2.1584683114344501E-6</v>
          </cell>
          <cell r="O323">
            <v>4.9068730374233004E-6</v>
          </cell>
        </row>
        <row r="324">
          <cell r="A324" t="str">
            <v>SCOM-SHCONBR3</v>
          </cell>
          <cell r="B324" t="str">
            <v>VAR_cap</v>
          </cell>
          <cell r="C324" t="str">
            <v>-</v>
          </cell>
          <cell r="D324"/>
          <cell r="E324">
            <v>0.14696895850387201</v>
          </cell>
          <cell r="F324">
            <v>0.14696891059577838</v>
          </cell>
          <cell r="G324">
            <v>0.14696923625825584</v>
          </cell>
          <cell r="H324">
            <v>0.14696451624054965</v>
          </cell>
          <cell r="I324">
            <v>0.14696429882363488</v>
          </cell>
          <cell r="J324">
            <v>0.14695831180647426</v>
          </cell>
          <cell r="K324">
            <v>9.9182842120500256E-2</v>
          </cell>
          <cell r="L324">
            <v>1.9919712004719845E-2</v>
          </cell>
          <cell r="M324">
            <v>1.9918491246420922E-2</v>
          </cell>
          <cell r="N324">
            <v>1.9922309912192449E-2</v>
          </cell>
          <cell r="O324">
            <v>1.9927444454252503E-2</v>
          </cell>
        </row>
        <row r="325">
          <cell r="A325" t="str">
            <v>SCOM-SHCONBR4</v>
          </cell>
          <cell r="B325" t="str">
            <v>VAR_fout</v>
          </cell>
          <cell r="C325" t="str">
            <v>SCOM-SHCON</v>
          </cell>
          <cell r="D325"/>
          <cell r="E325">
            <v>0.52293960831435538</v>
          </cell>
          <cell r="F325">
            <v>0.52274617742911345</v>
          </cell>
          <cell r="G325">
            <v>0.52276407315098949</v>
          </cell>
          <cell r="H325">
            <v>0.52266729903255749</v>
          </cell>
          <cell r="I325">
            <v>0.52267609966904249</v>
          </cell>
          <cell r="J325">
            <v>0.52261216658170462</v>
          </cell>
          <cell r="K325">
            <v>0.35279727038991882</v>
          </cell>
          <cell r="L325">
            <v>3.4435220679648083E-3</v>
          </cell>
          <cell r="M325">
            <v>3.4931504599146602E-3</v>
          </cell>
          <cell r="N325">
            <v>3.4967180879635004E-3</v>
          </cell>
          <cell r="O325">
            <v>3.6551508281747517E-3</v>
          </cell>
        </row>
        <row r="326">
          <cell r="A326" t="str">
            <v>SCOM-SHCONBR4</v>
          </cell>
          <cell r="B326" t="str">
            <v>VAR_fin</v>
          </cell>
          <cell r="C326" t="str">
            <v>CON</v>
          </cell>
          <cell r="D326"/>
          <cell r="E326">
            <v>0.52293960831435538</v>
          </cell>
          <cell r="F326">
            <v>0.52274617742911345</v>
          </cell>
          <cell r="G326">
            <v>0.52276407315098949</v>
          </cell>
          <cell r="H326">
            <v>0.52266729903255749</v>
          </cell>
          <cell r="I326">
            <v>0.52267609966904249</v>
          </cell>
          <cell r="J326">
            <v>0.52261216658170462</v>
          </cell>
          <cell r="K326">
            <v>0.35279727038991882</v>
          </cell>
          <cell r="L326">
            <v>3.4435220679648083E-3</v>
          </cell>
          <cell r="M326">
            <v>3.4931504599146602E-3</v>
          </cell>
          <cell r="N326">
            <v>3.4967180879635004E-3</v>
          </cell>
          <cell r="O326">
            <v>3.6551508281747517E-3</v>
          </cell>
        </row>
        <row r="327">
          <cell r="A327" t="str">
            <v>SCOM-SHCONBR4</v>
          </cell>
          <cell r="B327" t="str">
            <v>VAR_ncap</v>
          </cell>
          <cell r="C327" t="str">
            <v>-</v>
          </cell>
          <cell r="D327"/>
          <cell r="E327">
            <v>4.0402473085834702E-2</v>
          </cell>
          <cell r="F327">
            <v>2.4245578740684499E-7</v>
          </cell>
          <cell r="G327">
            <v>3.1809778391699101E-7</v>
          </cell>
          <cell r="H327">
            <v>1.72005008750645E-7</v>
          </cell>
          <cell r="I327">
            <v>1.4012942673178901E-7</v>
          </cell>
          <cell r="J327">
            <v>1.6407910522846099E-7</v>
          </cell>
          <cell r="K327">
            <v>4.55616821269635E-6</v>
          </cell>
          <cell r="L327">
            <v>2.6077749240762099E-4</v>
          </cell>
          <cell r="M327">
            <v>2.4496932416456199E-6</v>
          </cell>
          <cell r="N327">
            <v>2.57287772840933E-6</v>
          </cell>
          <cell r="O327">
            <v>8.0083875670701205E-6</v>
          </cell>
        </row>
        <row r="328">
          <cell r="A328" t="str">
            <v>SCOM-SHCONBR4</v>
          </cell>
          <cell r="B328" t="str">
            <v>VAR_cap</v>
          </cell>
          <cell r="C328" t="str">
            <v>-</v>
          </cell>
          <cell r="D328"/>
          <cell r="E328">
            <v>4.0402473085834702E-2</v>
          </cell>
          <cell r="F328">
            <v>4.0402361668349158E-2</v>
          </cell>
          <cell r="G328">
            <v>4.0402596386313785E-2</v>
          </cell>
          <cell r="H328">
            <v>4.0398028610107432E-2</v>
          </cell>
          <cell r="I328">
            <v>4.0397783313036659E-2</v>
          </cell>
          <cell r="J328">
            <v>4.0392558599962831E-2</v>
          </cell>
          <cell r="K328">
            <v>2.7266405245129119E-2</v>
          </cell>
          <cell r="L328">
            <v>2.6523915497446692E-4</v>
          </cell>
          <cell r="M328">
            <v>2.6583497691348175E-4</v>
          </cell>
          <cell r="N328">
            <v>2.6914886649798429E-4</v>
          </cell>
          <cell r="O328">
            <v>2.7743961620710329E-4</v>
          </cell>
        </row>
        <row r="329">
          <cell r="A329" t="str">
            <v>RHEM-SHNGABR</v>
          </cell>
          <cell r="B329" t="str">
            <v>VAR_fout</v>
          </cell>
          <cell r="C329" t="str">
            <v>CO2_R</v>
          </cell>
          <cell r="D329">
            <v>1127.9641133324899</v>
          </cell>
          <cell r="E329">
            <v>1119.85811798945</v>
          </cell>
          <cell r="F329">
            <v>1126.4855534870301</v>
          </cell>
          <cell r="G329">
            <v>1118.5304390244301</v>
          </cell>
          <cell r="H329">
            <v>1095.3361417951</v>
          </cell>
          <cell r="I329">
            <v>1059.73016450727</v>
          </cell>
          <cell r="J329">
            <v>1025.51312521919</v>
          </cell>
          <cell r="K329">
            <v>992.27486502855299</v>
          </cell>
          <cell r="L329">
            <v>946.68149729246295</v>
          </cell>
          <cell r="M329">
            <v>887.647268943163</v>
          </cell>
          <cell r="N329">
            <v>869.59361433034701</v>
          </cell>
          <cell r="O329">
            <v>691.77222996161197</v>
          </cell>
        </row>
        <row r="330">
          <cell r="A330" t="str">
            <v>RHEM-SHNGABR</v>
          </cell>
          <cell r="B330" t="str">
            <v>VAR_fout</v>
          </cell>
          <cell r="C330" t="str">
            <v>RHEM-SHNGA</v>
          </cell>
          <cell r="D330">
            <v>18.999395525990451</v>
          </cell>
          <cell r="E330">
            <v>18.862858370389667</v>
          </cell>
          <cell r="F330">
            <v>18.974490705898553</v>
          </cell>
          <cell r="G330">
            <v>18.840494983567513</v>
          </cell>
          <cell r="H330">
            <v>18.449810899030876</v>
          </cell>
          <cell r="I330">
            <v>17.850064827693409</v>
          </cell>
          <cell r="J330">
            <v>17.273713988621065</v>
          </cell>
          <cell r="K330">
            <v>16.7138496768994</v>
          </cell>
          <cell r="L330">
            <v>15.945876284181571</v>
          </cell>
          <cell r="M330">
            <v>14.951505416595817</v>
          </cell>
          <cell r="N330">
            <v>14.647410170457986</v>
          </cell>
          <cell r="O330">
            <v>11.652191816729269</v>
          </cell>
        </row>
        <row r="331">
          <cell r="A331" t="str">
            <v>RHEM-SHNGABR</v>
          </cell>
          <cell r="B331" t="str">
            <v>VAR_fin</v>
          </cell>
          <cell r="C331" t="str">
            <v>RNGA</v>
          </cell>
          <cell r="D331">
            <v>19.999363711568904</v>
          </cell>
          <cell r="E331">
            <v>19.855640389883881</v>
          </cell>
          <cell r="F331">
            <v>19.97314811147216</v>
          </cell>
          <cell r="G331">
            <v>19.83209998270263</v>
          </cell>
          <cell r="H331">
            <v>19.420853577927247</v>
          </cell>
          <cell r="I331">
            <v>18.789541923887796</v>
          </cell>
          <cell r="J331">
            <v>18.182856830127442</v>
          </cell>
          <cell r="K331">
            <v>17.593525975683566</v>
          </cell>
          <cell r="L331">
            <v>16.785132930717449</v>
          </cell>
          <cell r="M331">
            <v>15.738426754311398</v>
          </cell>
          <cell r="N331">
            <v>15.418326495218935</v>
          </cell>
          <cell r="O331">
            <v>12.265465070241339</v>
          </cell>
        </row>
        <row r="332">
          <cell r="A332" t="str">
            <v>RHEM-SHNGABR</v>
          </cell>
          <cell r="B332" t="str">
            <v>VAR_ncap</v>
          </cell>
          <cell r="C332" t="str">
            <v>-</v>
          </cell>
          <cell r="D332"/>
          <cell r="E332">
            <v>5.7609713253204296E-6</v>
          </cell>
          <cell r="F332">
            <v>9.8285121323866303E-6</v>
          </cell>
          <cell r="G332">
            <v>6.5206110693716096E-2</v>
          </cell>
          <cell r="H332">
            <v>0.94638617610799503</v>
          </cell>
          <cell r="I332">
            <v>0.27617752958883302</v>
          </cell>
          <cell r="J332">
            <v>5.7441823516559803E-5</v>
          </cell>
          <cell r="K332">
            <v>0.91570692451760005</v>
          </cell>
          <cell r="L332">
            <v>0.18624489565427199</v>
          </cell>
          <cell r="M332">
            <v>2.26650863613652E-5</v>
          </cell>
          <cell r="N332">
            <v>0.75589220713735195</v>
          </cell>
          <cell r="O332">
            <v>6.9092527741825893E-2</v>
          </cell>
        </row>
        <row r="333">
          <cell r="A333" t="str">
            <v>RHEM-SHNGABR</v>
          </cell>
          <cell r="B333" t="str">
            <v>VAR_cap</v>
          </cell>
          <cell r="C333" t="str">
            <v>-</v>
          </cell>
          <cell r="D333">
            <v>1.34683498965227</v>
          </cell>
          <cell r="E333">
            <v>1.3468398875406931</v>
          </cell>
          <cell r="F333">
            <v>1.346847877813766</v>
          </cell>
          <cell r="G333">
            <v>1.4120490574753466</v>
          </cell>
          <cell r="H333">
            <v>1.3608784960343032</v>
          </cell>
          <cell r="I333">
            <v>1.275362519544269</v>
          </cell>
          <cell r="J333">
            <v>1.2226121694452363</v>
          </cell>
          <cell r="K333">
            <v>1.1919347436181256</v>
          </cell>
          <cell r="L333">
            <v>1.1444307204671103</v>
          </cell>
          <cell r="M333">
            <v>1.1019492966182902</v>
          </cell>
          <cell r="N333">
            <v>1.0452948440146954</v>
          </cell>
          <cell r="O333">
            <v>0.82499575999882135</v>
          </cell>
        </row>
        <row r="334">
          <cell r="A334" t="str">
            <v>SCOM-SHCONBR5</v>
          </cell>
          <cell r="B334" t="str">
            <v>VAR_fout</v>
          </cell>
          <cell r="C334" t="str">
            <v>SCOM-SHCON</v>
          </cell>
          <cell r="D334"/>
          <cell r="E334">
            <v>0.65266660570858781</v>
          </cell>
          <cell r="F334">
            <v>0.65244815409898116</v>
          </cell>
          <cell r="G334">
            <v>0.65247284189295129</v>
          </cell>
          <cell r="H334">
            <v>0.65236943749962084</v>
          </cell>
          <cell r="I334">
            <v>0.65238158531191381</v>
          </cell>
          <cell r="J334">
            <v>0.65231266962956802</v>
          </cell>
          <cell r="K334">
            <v>0.44030038425714596</v>
          </cell>
          <cell r="L334">
            <v>2.7152876051902051E-3</v>
          </cell>
          <cell r="M334">
            <v>2.7695544673690961E-3</v>
          </cell>
          <cell r="N334">
            <v>2.7716182101517068E-3</v>
          </cell>
          <cell r="O334">
            <v>2.9535497364349154E-3</v>
          </cell>
        </row>
        <row r="335">
          <cell r="A335" t="str">
            <v>SCOM-SHCONBR5</v>
          </cell>
          <cell r="B335" t="str">
            <v>VAR_fin</v>
          </cell>
          <cell r="C335" t="str">
            <v>CON</v>
          </cell>
          <cell r="D335"/>
          <cell r="E335">
            <v>0.65266660570858781</v>
          </cell>
          <cell r="F335">
            <v>0.65244815409898116</v>
          </cell>
          <cell r="G335">
            <v>0.65247284189295129</v>
          </cell>
          <cell r="H335">
            <v>0.65236943749962084</v>
          </cell>
          <cell r="I335">
            <v>0.65238158531191381</v>
          </cell>
          <cell r="J335">
            <v>0.65231266962956802</v>
          </cell>
          <cell r="K335">
            <v>0.44030038425714596</v>
          </cell>
          <cell r="L335">
            <v>2.7152876051902051E-3</v>
          </cell>
          <cell r="M335">
            <v>2.7695544673690961E-3</v>
          </cell>
          <cell r="N335">
            <v>2.7716182101517068E-3</v>
          </cell>
          <cell r="O335">
            <v>2.9535497364349154E-3</v>
          </cell>
        </row>
        <row r="336">
          <cell r="A336" t="str">
            <v>SCOM-SHCONBR5</v>
          </cell>
          <cell r="B336" t="str">
            <v>VAR_ncap</v>
          </cell>
          <cell r="C336" t="str">
            <v>-</v>
          </cell>
          <cell r="D336"/>
          <cell r="E336">
            <v>5.0426638098394198E-2</v>
          </cell>
          <cell r="F336">
            <v>2.14627053339631E-7</v>
          </cell>
          <cell r="G336">
            <v>2.7883684126216099E-7</v>
          </cell>
          <cell r="H336">
            <v>1.5179789130215899E-7</v>
          </cell>
          <cell r="I336">
            <v>1.2726561514715599E-7</v>
          </cell>
          <cell r="J336">
            <v>1.54047682835549E-7</v>
          </cell>
          <cell r="K336">
            <v>3.3954750759162798E-6</v>
          </cell>
          <cell r="L336">
            <v>2.0568955497506799E-4</v>
          </cell>
          <cell r="M336">
            <v>2.55792565848506E-6</v>
          </cell>
          <cell r="N336">
            <v>2.6081847979439298E-6</v>
          </cell>
          <cell r="O336">
            <v>9.7879064651153303E-6</v>
          </cell>
        </row>
        <row r="337">
          <cell r="A337" t="str">
            <v>SCOM-SHCONBR5</v>
          </cell>
          <cell r="B337" t="str">
            <v>VAR_cap</v>
          </cell>
          <cell r="C337" t="str">
            <v>-</v>
          </cell>
          <cell r="D337"/>
          <cell r="E337">
            <v>5.0426638098394198E-2</v>
          </cell>
          <cell r="F337">
            <v>5.042649354349571E-2</v>
          </cell>
          <cell r="G337">
            <v>5.0426690911303786E-2</v>
          </cell>
          <cell r="H337">
            <v>5.0422066622339404E-2</v>
          </cell>
          <cell r="I337">
            <v>5.0421806709679121E-2</v>
          </cell>
          <cell r="J337">
            <v>5.0416499386312881E-2</v>
          </cell>
          <cell r="K337">
            <v>3.4030031581604551E-2</v>
          </cell>
          <cell r="L337">
            <v>2.0893797626776338E-4</v>
          </cell>
          <cell r="M337">
            <v>2.0987463859603069E-4</v>
          </cell>
          <cell r="N337">
            <v>2.1308955460028932E-4</v>
          </cell>
          <cell r="O337">
            <v>2.2317404283878794E-4</v>
          </cell>
        </row>
        <row r="338">
          <cell r="A338" t="str">
            <v>RHES-SHSTG-ELCHP</v>
          </cell>
          <cell r="B338" t="str">
            <v>VAR_fout</v>
          </cell>
          <cell r="C338" t="str">
            <v>RHES-SHAELCH</v>
          </cell>
          <cell r="D338">
            <v>1.3583922930250195E-6</v>
          </cell>
          <cell r="E338">
            <v>4.7285194732207998E-6</v>
          </cell>
          <cell r="F338">
            <v>1.4739567428282025</v>
          </cell>
          <cell r="G338">
            <v>1.75963245794278</v>
          </cell>
          <cell r="H338">
            <v>1.4325184206181727</v>
          </cell>
          <cell r="I338">
            <v>1.448441226669501</v>
          </cell>
          <cell r="J338">
            <v>1.5121458106701542</v>
          </cell>
          <cell r="K338">
            <v>1.6075137464096942</v>
          </cell>
          <cell r="L338">
            <v>1.7045623903091436</v>
          </cell>
          <cell r="M338">
            <v>1.5582750295561565</v>
          </cell>
          <cell r="N338">
            <v>1.6043391181932034</v>
          </cell>
          <cell r="O338">
            <v>1.5333864630200384</v>
          </cell>
        </row>
        <row r="339">
          <cell r="A339" t="str">
            <v>RHES-SHSTG-ELCHP</v>
          </cell>
          <cell r="B339" t="str">
            <v>VAR_fin</v>
          </cell>
          <cell r="C339" t="str">
            <v>RHES-SHAELCH</v>
          </cell>
          <cell r="D339">
            <v>1.2445981729864877E-5</v>
          </cell>
          <cell r="E339">
            <v>1.1711318579707535E-5</v>
          </cell>
          <cell r="F339">
            <v>1.4740164674782579</v>
          </cell>
          <cell r="G339">
            <v>1.7596888575180403</v>
          </cell>
          <cell r="H339">
            <v>1.4325788071229351</v>
          </cell>
          <cell r="I339">
            <v>1.4485098245224604</v>
          </cell>
          <cell r="J339">
            <v>1.5122512107012258</v>
          </cell>
          <cell r="K339">
            <v>1.6076162366502178</v>
          </cell>
          <cell r="L339">
            <v>1.7046482348891041</v>
          </cell>
          <cell r="M339">
            <v>1.5583788429027059</v>
          </cell>
          <cell r="N339">
            <v>1.6044202629264563</v>
          </cell>
          <cell r="O339">
            <v>1.5334883570480373</v>
          </cell>
        </row>
        <row r="340">
          <cell r="A340" t="str">
            <v>RHES-SHSTG-ELCHP</v>
          </cell>
          <cell r="B340" t="str">
            <v>VAR_ncap</v>
          </cell>
          <cell r="C340" t="str">
            <v>-</v>
          </cell>
          <cell r="D340">
            <v>1.31529375112641E-2</v>
          </cell>
          <cell r="E340">
            <v>0.13340416139978001</v>
          </cell>
          <cell r="F340">
            <v>9.4223160075577396E-5</v>
          </cell>
          <cell r="G340">
            <v>9.9955800277547993E-5</v>
          </cell>
          <cell r="H340">
            <v>7.4818490551782704E-2</v>
          </cell>
          <cell r="I340">
            <v>7.1677722166941002E-2</v>
          </cell>
          <cell r="J340">
            <v>2.4789666075997099E-4</v>
          </cell>
          <cell r="K340">
            <v>7.4917820134869195E-2</v>
          </cell>
          <cell r="L340">
            <v>6.07878538997405E-2</v>
          </cell>
          <cell r="M340">
            <v>1.1512094796629501E-2</v>
          </cell>
          <cell r="N340">
            <v>8.1023076839554703E-2</v>
          </cell>
          <cell r="O340">
            <v>5.4614883251085697E-2</v>
          </cell>
        </row>
        <row r="341">
          <cell r="A341" t="str">
            <v>RHES-SHSTG-ELCHP</v>
          </cell>
          <cell r="B341" t="str">
            <v>VAR_cap</v>
          </cell>
          <cell r="C341" t="str">
            <v>-</v>
          </cell>
          <cell r="D341">
            <v>1.31529375112641E-2</v>
          </cell>
          <cell r="E341">
            <v>0.14649860553578942</v>
          </cell>
          <cell r="F341">
            <v>0.14650948848404735</v>
          </cell>
          <cell r="G341">
            <v>0.14651347389967476</v>
          </cell>
          <cell r="H341">
            <v>0.14651508095241464</v>
          </cell>
          <cell r="I341">
            <v>0.14651059193876595</v>
          </cell>
          <cell r="J341">
            <v>0.14651147736818948</v>
          </cell>
          <cell r="K341">
            <v>0.14652084550892291</v>
          </cell>
          <cell r="L341">
            <v>0.14651911841754811</v>
          </cell>
          <cell r="M341">
            <v>0.14652284055737289</v>
          </cell>
          <cell r="N341">
            <v>0.14652577663070343</v>
          </cell>
          <cell r="O341">
            <v>0.14655016449255137</v>
          </cell>
        </row>
        <row r="342">
          <cell r="A342" t="str">
            <v>SCOM-SHCONBR6</v>
          </cell>
          <cell r="B342" t="str">
            <v>VAR_fout</v>
          </cell>
          <cell r="C342" t="str">
            <v>SCOM-SHCON</v>
          </cell>
          <cell r="D342"/>
          <cell r="E342"/>
          <cell r="F342"/>
          <cell r="G342"/>
          <cell r="H342">
            <v>5.180814020075981E-4</v>
          </cell>
          <cell r="I342">
            <v>5.1847458263124316E-4</v>
          </cell>
          <cell r="J342">
            <v>5.419434482512339E-4</v>
          </cell>
          <cell r="K342">
            <v>1.4056052145598704E-3</v>
          </cell>
          <cell r="L342">
            <v>1.7846750658912086E-3</v>
          </cell>
          <cell r="M342">
            <v>1.8529746049473724E-3</v>
          </cell>
          <cell r="N342">
            <v>1.5593608751862369E-3</v>
          </cell>
          <cell r="O342">
            <v>1.8696735370622979E-3</v>
          </cell>
        </row>
        <row r="343">
          <cell r="A343" t="str">
            <v>SCOM-SHCONBR6</v>
          </cell>
          <cell r="B343" t="str">
            <v>VAR_fin</v>
          </cell>
          <cell r="C343" t="str">
            <v>CON</v>
          </cell>
          <cell r="D343"/>
          <cell r="F343"/>
          <cell r="G343"/>
          <cell r="H343">
            <v>5.180814020075981E-4</v>
          </cell>
          <cell r="I343">
            <v>5.1847458263124316E-4</v>
          </cell>
          <cell r="J343">
            <v>5.419434482512339E-4</v>
          </cell>
          <cell r="K343">
            <v>1.4056052145598704E-3</v>
          </cell>
          <cell r="L343">
            <v>1.7846750658912086E-3</v>
          </cell>
          <cell r="M343">
            <v>1.8529746049473724E-3</v>
          </cell>
          <cell r="N343">
            <v>1.5593608751862369E-3</v>
          </cell>
          <cell r="O343">
            <v>1.8696735370622979E-3</v>
          </cell>
        </row>
        <row r="344">
          <cell r="A344" t="str">
            <v>SCOM-SHCONBR6</v>
          </cell>
          <cell r="B344" t="str">
            <v>VAR_ncap</v>
          </cell>
          <cell r="C344" t="str">
            <v>-</v>
          </cell>
          <cell r="D344"/>
          <cell r="F344"/>
          <cell r="G344"/>
          <cell r="H344">
            <v>3.8358782751409799E-5</v>
          </cell>
          <cell r="I344">
            <v>7.2992411501646104E-7</v>
          </cell>
          <cell r="J344">
            <v>3.77804595380399E-7</v>
          </cell>
          <cell r="K344">
            <v>6.5082756653385602E-5</v>
          </cell>
          <cell r="L344">
            <v>3.3223110421024101E-5</v>
          </cell>
          <cell r="M344">
            <v>3.1156183242520298E-6</v>
          </cell>
          <cell r="N344">
            <v>1.14054420709112E-5</v>
          </cell>
          <cell r="O344">
            <v>2.6899535762655301E-5</v>
          </cell>
        </row>
        <row r="345">
          <cell r="A345" t="str">
            <v>SCOM-SHCONBR6</v>
          </cell>
          <cell r="B345" t="str">
            <v>VAR_cap</v>
          </cell>
          <cell r="C345" t="str">
            <v>-</v>
          </cell>
          <cell r="D345"/>
          <cell r="F345"/>
          <cell r="G345"/>
          <cell r="H345">
            <v>3.8358782751409799E-5</v>
          </cell>
          <cell r="I345">
            <v>3.8969749986012509E-5</v>
          </cell>
          <cell r="J345">
            <v>3.9093944875968252E-5</v>
          </cell>
          <cell r="K345">
            <v>1.0370282710516413E-4</v>
          </cell>
          <cell r="L345">
            <v>1.3721229993429127E-4</v>
          </cell>
          <cell r="M345">
            <v>1.389704534401247E-4</v>
          </cell>
          <cell r="N345">
            <v>1.1936046230825867E-4</v>
          </cell>
          <cell r="O345">
            <v>1.3928499709520693E-4</v>
          </cell>
        </row>
        <row r="346">
          <cell r="A346" t="str">
            <v>RHNM-SHDEM</v>
          </cell>
          <cell r="B346" t="str">
            <v>VAR_fout</v>
          </cell>
          <cell r="C346" t="str">
            <v>RHNM-SHD</v>
          </cell>
          <cell r="D346"/>
          <cell r="E346">
            <v>1.2071502183152301</v>
          </cell>
          <cell r="F346">
            <v>2.7603383105286285</v>
          </cell>
          <cell r="G346">
            <v>5.0358672123103272</v>
          </cell>
          <cell r="H346">
            <v>7.0750130436174796</v>
          </cell>
          <cell r="I346">
            <v>8.5977884391016222</v>
          </cell>
          <cell r="J346">
            <v>9.8116222202238905</v>
          </cell>
          <cell r="K346">
            <v>10.750442556447998</v>
          </cell>
          <cell r="L346">
            <v>11.502579704975306</v>
          </cell>
          <cell r="M346">
            <v>12.171029673294798</v>
          </cell>
          <cell r="N346">
            <v>11.937868185300704</v>
          </cell>
          <cell r="O346">
            <v>11.465619695604303</v>
          </cell>
        </row>
        <row r="347">
          <cell r="A347" t="str">
            <v>RHNM-SHDEM</v>
          </cell>
          <cell r="B347" t="str">
            <v>VAR_fin</v>
          </cell>
          <cell r="C347" t="str">
            <v>RHNM-SHLFO</v>
          </cell>
          <cell r="D347"/>
          <cell r="E347">
            <v>5.370504634536132E-5</v>
          </cell>
          <cell r="F347">
            <v>6.1302872234938712E-5</v>
          </cell>
          <cell r="G347">
            <v>7.9380054248939249E-4</v>
          </cell>
          <cell r="H347">
            <v>2.9227828303815252E-4</v>
          </cell>
          <cell r="I347">
            <v>6.4507183792391991E-4</v>
          </cell>
          <cell r="J347">
            <v>2.3659358858574598E-4</v>
          </cell>
          <cell r="K347"/>
          <cell r="L347">
            <v>1.7935378064255875E-3</v>
          </cell>
          <cell r="M347">
            <v>8.66810453670702E-5</v>
          </cell>
          <cell r="N347">
            <v>6.557880482773187E-4</v>
          </cell>
          <cell r="O347">
            <v>2.5269101604882313E-2</v>
          </cell>
        </row>
        <row r="348">
          <cell r="A348" t="str">
            <v>RHNM-SHDEM</v>
          </cell>
          <cell r="B348" t="str">
            <v>VAR_fin</v>
          </cell>
          <cell r="C348" t="str">
            <v>RHNM-SHLTHD</v>
          </cell>
          <cell r="D348"/>
          <cell r="E348">
            <v>0.3462156064628707</v>
          </cell>
          <cell r="F348">
            <v>0.37641600017456761</v>
          </cell>
          <cell r="G348">
            <v>0.43716759119670723</v>
          </cell>
          <cell r="H348">
            <v>0.5069628170885635</v>
          </cell>
          <cell r="I348">
            <v>0.58726097295060198</v>
          </cell>
          <cell r="J348">
            <v>0.68120326104006712</v>
          </cell>
          <cell r="K348">
            <v>0.78815160893172698</v>
          </cell>
          <cell r="L348">
            <v>0.91311063031376816</v>
          </cell>
          <cell r="M348">
            <v>1.0655485109213594</v>
          </cell>
          <cell r="N348">
            <v>1.22294507779635</v>
          </cell>
          <cell r="O348">
            <v>1.281049348676339</v>
          </cell>
        </row>
        <row r="349">
          <cell r="A349" t="str">
            <v>RHNM-SHDEM</v>
          </cell>
          <cell r="B349" t="str">
            <v>VAR_fin</v>
          </cell>
          <cell r="C349" t="str">
            <v>RHNM-SHCON</v>
          </cell>
          <cell r="D349"/>
          <cell r="F349">
            <v>3.3952042386826818E-4</v>
          </cell>
          <cell r="G349">
            <v>2.5683824441088092E-4</v>
          </cell>
          <cell r="H349">
            <v>3.3774196052356787E-4</v>
          </cell>
          <cell r="I349">
            <v>3.3833163975581222E-4</v>
          </cell>
          <cell r="J349">
            <v>3.3483136195776124E-4</v>
          </cell>
          <cell r="K349">
            <v>1.2746805442043661E-3</v>
          </cell>
          <cell r="L349">
            <v>1.2925470855243522E-3</v>
          </cell>
          <cell r="M349">
            <v>1.3504608823069694E-3</v>
          </cell>
          <cell r="N349">
            <v>1.2817560071064769E-3</v>
          </cell>
          <cell r="O349">
            <v>1.408484972104006E-3</v>
          </cell>
        </row>
        <row r="350">
          <cell r="A350" t="str">
            <v>RHNM-SHDEM</v>
          </cell>
          <cell r="B350" t="str">
            <v>VAR_fin</v>
          </cell>
          <cell r="C350" t="str">
            <v>RHNM-SHELCB</v>
          </cell>
          <cell r="D350"/>
          <cell r="E350">
            <v>0.15411011202941474</v>
          </cell>
          <cell r="F350">
            <v>0.1669792986741197</v>
          </cell>
          <cell r="G350">
            <v>0.16200288160538637</v>
          </cell>
          <cell r="H350">
            <v>8.559805870833008E-2</v>
          </cell>
          <cell r="I350">
            <v>9.4292584845624815E-3</v>
          </cell>
          <cell r="J350">
            <v>3.111357494698673E-2</v>
          </cell>
          <cell r="K350">
            <v>2.0419940564600621E-2</v>
          </cell>
          <cell r="L350">
            <v>1.3636054490712894E-2</v>
          </cell>
          <cell r="M350">
            <v>2.5354903374999745E-2</v>
          </cell>
          <cell r="N350">
            <v>1.7680663355409576E-2</v>
          </cell>
          <cell r="O350">
            <v>7.9250596266500134E-2</v>
          </cell>
        </row>
        <row r="351">
          <cell r="A351" t="str">
            <v>RHNM-SHDEM</v>
          </cell>
          <cell r="B351" t="str">
            <v>VAR_fin</v>
          </cell>
          <cell r="C351" t="str">
            <v>RHNM-SHWOD</v>
          </cell>
          <cell r="D351"/>
          <cell r="E351">
            <v>8.0937854327232731E-2</v>
          </cell>
          <cell r="F351">
            <v>8.0558977892433548E-2</v>
          </cell>
          <cell r="G351">
            <v>8.0829771591015537E-2</v>
          </cell>
          <cell r="H351">
            <v>8.0961289737621817E-2</v>
          </cell>
          <cell r="I351">
            <v>8.0600447334218714E-2</v>
          </cell>
          <cell r="J351">
            <v>8.074251234022306E-2</v>
          </cell>
          <cell r="K351">
            <v>8.0505017771543286E-2</v>
          </cell>
          <cell r="L351">
            <v>8.0629242013387281E-2</v>
          </cell>
          <cell r="M351">
            <v>8.1492495928129599E-2</v>
          </cell>
          <cell r="N351">
            <v>6.8002268535604135E-2</v>
          </cell>
          <cell r="O351">
            <v>8.6691336981152459E-2</v>
          </cell>
        </row>
        <row r="352">
          <cell r="A352" t="str">
            <v>RHNM-SHDEM</v>
          </cell>
          <cell r="B352" t="str">
            <v>VAR_fin</v>
          </cell>
          <cell r="C352" t="str">
            <v>RHNM-SHELCH</v>
          </cell>
          <cell r="D352"/>
          <cell r="E352">
            <v>0.52820200996176225</v>
          </cell>
          <cell r="F352">
            <v>1.9813157470042995</v>
          </cell>
          <cell r="G352">
            <v>3.3601671970055103</v>
          </cell>
          <cell r="H352">
            <v>3.3608377956409248</v>
          </cell>
          <cell r="I352">
            <v>3.3603090548402661</v>
          </cell>
          <cell r="J352">
            <v>3.3608359562241934</v>
          </cell>
          <cell r="K352">
            <v>3.3521735912375688</v>
          </cell>
          <cell r="L352">
            <v>3.3502884462512044</v>
          </cell>
          <cell r="M352">
            <v>3.3570981495350578</v>
          </cell>
          <cell r="N352">
            <v>3.3418994501416148</v>
          </cell>
          <cell r="O352">
            <v>3.1531943647662009</v>
          </cell>
        </row>
        <row r="353">
          <cell r="A353" t="str">
            <v>RHNM-SHDEM</v>
          </cell>
          <cell r="B353" t="str">
            <v>VAR_fin</v>
          </cell>
          <cell r="C353" t="str">
            <v>RHNM-SHNST</v>
          </cell>
          <cell r="D353"/>
          <cell r="E353">
            <v>6.6889076412455007E-5</v>
          </cell>
          <cell r="F353">
            <v>1.6435946625291532E-3</v>
          </cell>
          <cell r="G353">
            <v>1.014607745695662E-3</v>
          </cell>
          <cell r="H353">
            <v>1.481510066380361E-3</v>
          </cell>
          <cell r="I353">
            <v>2.1015472637249044E-4</v>
          </cell>
          <cell r="J353">
            <v>1.3785827753634407E-3</v>
          </cell>
          <cell r="K353">
            <v>5.5262102654559959E-3</v>
          </cell>
          <cell r="L353">
            <v>1.7057529616384694E-3</v>
          </cell>
          <cell r="M353">
            <v>3.1958824658584414E-3</v>
          </cell>
          <cell r="N353">
            <v>5.2687246818902767E-3</v>
          </cell>
          <cell r="O353">
            <v>1.9198597322579364E-2</v>
          </cell>
        </row>
        <row r="354">
          <cell r="A354" t="str">
            <v>RHNM-SHDEM</v>
          </cell>
          <cell r="B354" t="str">
            <v>VAR_fin</v>
          </cell>
          <cell r="C354" t="str">
            <v>RHNM-SHPLT</v>
          </cell>
          <cell r="D354"/>
          <cell r="E354">
            <v>7.3338373932086046E-2</v>
          </cell>
          <cell r="F354">
            <v>7.3620521393456401E-2</v>
          </cell>
          <cell r="G354">
            <v>0.20107396324252991</v>
          </cell>
          <cell r="H354">
            <v>0.31549588803239881</v>
          </cell>
          <cell r="I354">
            <v>0.40037145008160901</v>
          </cell>
          <cell r="J354">
            <v>0.4689539294923124</v>
          </cell>
          <cell r="K354">
            <v>0.51776544752423037</v>
          </cell>
          <cell r="L354">
            <v>0.5587163501899215</v>
          </cell>
          <cell r="M354">
            <v>0.60096484521173865</v>
          </cell>
          <cell r="N354">
            <v>0.59117437982120946</v>
          </cell>
          <cell r="O354">
            <v>0.50310580043598796</v>
          </cell>
        </row>
        <row r="355">
          <cell r="A355" t="str">
            <v>RHNM-SHDEM</v>
          </cell>
          <cell r="B355" t="str">
            <v>VAR_fin</v>
          </cell>
          <cell r="C355" t="str">
            <v>RHNM-SHLTHC-NGA</v>
          </cell>
          <cell r="D355"/>
          <cell r="E355">
            <v>2.7005886631112259E-3</v>
          </cell>
          <cell r="F355">
            <v>4.1478671563141174E-2</v>
          </cell>
          <cell r="G355">
            <v>0.73957837349923539</v>
          </cell>
          <cell r="H355">
            <v>0.74242716485692462</v>
          </cell>
          <cell r="I355">
            <v>0.74353074714610745</v>
          </cell>
          <cell r="J355">
            <v>0.74285853799413626</v>
          </cell>
          <cell r="K355">
            <v>0.72092041158264231</v>
          </cell>
          <cell r="L355">
            <v>0.72508033482683587</v>
          </cell>
          <cell r="M355">
            <v>0.74620901977413323</v>
          </cell>
          <cell r="N355">
            <v>0.42066884770221569</v>
          </cell>
          <cell r="O355">
            <v>0.131300400460344</v>
          </cell>
        </row>
        <row r="356">
          <cell r="A356" t="str">
            <v>RHNM-SHDEM</v>
          </cell>
          <cell r="B356" t="str">
            <v>VAR_fin</v>
          </cell>
          <cell r="C356" t="str">
            <v>RHNM-SHSOL</v>
          </cell>
          <cell r="D356"/>
          <cell r="E356">
            <v>2.163197212292688E-2</v>
          </cell>
          <cell r="F356">
            <v>2.131213292047713E-2</v>
          </cell>
          <cell r="G356">
            <v>2.4220204541012993E-2</v>
          </cell>
          <cell r="H356">
            <v>1.3889210274283664E-2</v>
          </cell>
          <cell r="I356">
            <v>5.9162704860212826E-3</v>
          </cell>
          <cell r="J356">
            <v>5.6435556686896477E-3</v>
          </cell>
          <cell r="K356">
            <v>1.3441411254057633E-2</v>
          </cell>
          <cell r="L356">
            <v>1.4627450861453778E-2</v>
          </cell>
          <cell r="M356">
            <v>3.2067777644801718E-2</v>
          </cell>
          <cell r="N356">
            <v>2.0122129324491835E-2</v>
          </cell>
          <cell r="O356">
            <v>8.0667869013126295E-2</v>
          </cell>
        </row>
        <row r="357">
          <cell r="A357" t="str">
            <v>RHNM-SHDEM</v>
          </cell>
          <cell r="B357" t="str">
            <v>VAR_fin</v>
          </cell>
          <cell r="C357" t="str">
            <v>RHNM-SHLTHC-WOD</v>
          </cell>
          <cell r="D357"/>
          <cell r="E357">
            <v>4.3965459237782557E-5</v>
          </cell>
          <cell r="F357">
            <v>1.968354825419137E-4</v>
          </cell>
          <cell r="G357">
            <v>1.1588709304466415E-2</v>
          </cell>
          <cell r="H357">
            <v>1.2037968198733092E-2</v>
          </cell>
          <cell r="I357">
            <v>9.7726979166158981E-3</v>
          </cell>
          <cell r="J357">
            <v>1.1126896347197114E-2</v>
          </cell>
          <cell r="K357">
            <v>2.5381502684865262E-2</v>
          </cell>
          <cell r="L357">
            <v>2.6873501866375302E-2</v>
          </cell>
          <cell r="M357">
            <v>2.1061944039140707E-2</v>
          </cell>
          <cell r="N357">
            <v>2.5724029703131326E-2</v>
          </cell>
          <cell r="O357">
            <v>8.5700605820104109E-2</v>
          </cell>
        </row>
        <row r="358">
          <cell r="A358" t="str">
            <v>RHNM-SHDEM</v>
          </cell>
          <cell r="B358" t="str">
            <v>VAR_fin</v>
          </cell>
          <cell r="C358" t="str">
            <v>RHNM-SHNGAH</v>
          </cell>
          <cell r="E358">
            <v>4.2658699975725661E-5</v>
          </cell>
          <cell r="F358">
            <v>1.669953443134602E-2</v>
          </cell>
          <cell r="G358">
            <v>1.7380246454712332E-2</v>
          </cell>
          <cell r="H358">
            <v>1.9546574008948814</v>
          </cell>
          <cell r="I358">
            <v>3.3984166468111776</v>
          </cell>
          <cell r="J358">
            <v>4.4270875533804555</v>
          </cell>
          <cell r="K358">
            <v>5.2255270148218731</v>
          </cell>
          <cell r="L358">
            <v>5.8131241191773926</v>
          </cell>
          <cell r="M358">
            <v>6.2364994788262456</v>
          </cell>
          <cell r="N358">
            <v>6.2205156942925166</v>
          </cell>
          <cell r="O358">
            <v>6.0154624706051969</v>
          </cell>
        </row>
        <row r="359">
          <cell r="A359" t="str">
            <v>RHNM-SHDEM</v>
          </cell>
          <cell r="B359" t="str">
            <v>VAR_fin</v>
          </cell>
          <cell r="C359" t="str">
            <v>RHNM-SHNGA</v>
          </cell>
          <cell r="D359"/>
          <cell r="E359">
            <v>6.9714254072707389E-5</v>
          </cell>
          <cell r="F359">
            <v>2.9617916510103342E-4</v>
          </cell>
          <cell r="G359">
            <v>2.4179318372499458E-4</v>
          </cell>
          <cell r="H359">
            <v>5.9889508326483763E-4</v>
          </cell>
          <cell r="I359">
            <v>1.5014857028773307E-3</v>
          </cell>
          <cell r="J359">
            <v>7.1225445903520118E-4</v>
          </cell>
          <cell r="K359"/>
          <cell r="L359">
            <v>2.1969598350369628E-3</v>
          </cell>
          <cell r="M359">
            <v>7.2732071851545064E-4</v>
          </cell>
          <cell r="N359">
            <v>2.371582562761757E-3</v>
          </cell>
          <cell r="O359">
            <v>4.0373228842947289E-3</v>
          </cell>
        </row>
        <row r="360">
          <cell r="A360" t="str">
            <v>SCOM-STG-ELCSPEC</v>
          </cell>
          <cell r="B360" t="str">
            <v>VAR_fout</v>
          </cell>
          <cell r="C360" t="str">
            <v>SCOM-ELS</v>
          </cell>
          <cell r="D360"/>
          <cell r="E360">
            <v>2.1209224237529762E-2</v>
          </cell>
          <cell r="F360">
            <v>2.1526893648981568E-2</v>
          </cell>
          <cell r="G360">
            <v>2.2016898988932981E-2</v>
          </cell>
          <cell r="H360">
            <v>4.0437672103800393E-2</v>
          </cell>
          <cell r="I360">
            <v>5.2722226329270726E-2</v>
          </cell>
          <cell r="J360">
            <v>6.7433921241745243E-2</v>
          </cell>
          <cell r="K360">
            <v>7.2699055369684643E-2</v>
          </cell>
          <cell r="L360">
            <v>9.6092323982824759E-2</v>
          </cell>
          <cell r="M360">
            <v>9.3838575465262919E-2</v>
          </cell>
          <cell r="N360">
            <v>9.4403750364052588E-2</v>
          </cell>
          <cell r="O360">
            <v>9.2841471652775578E-2</v>
          </cell>
        </row>
        <row r="361">
          <cell r="A361" t="str">
            <v>SCOM-STG-ELCSPEC</v>
          </cell>
          <cell r="B361" t="str">
            <v>VAR_fin</v>
          </cell>
          <cell r="C361" t="str">
            <v>SCOM-ELS</v>
          </cell>
          <cell r="D361"/>
          <cell r="E361">
            <v>2.1209699864556016E-2</v>
          </cell>
          <cell r="F361">
            <v>2.1527384659146505E-2</v>
          </cell>
          <cell r="G361">
            <v>2.2017583116378463E-2</v>
          </cell>
          <cell r="H361">
            <v>4.0438248578279275E-2</v>
          </cell>
          <cell r="I361">
            <v>5.2722725436287858E-2</v>
          </cell>
          <cell r="J361">
            <v>6.7434166631384476E-2</v>
          </cell>
          <cell r="K361">
            <v>7.2701035433588884E-2</v>
          </cell>
          <cell r="L361">
            <v>9.6092798543595204E-2</v>
          </cell>
          <cell r="M361">
            <v>9.3841826479276386E-2</v>
          </cell>
          <cell r="N361">
            <v>9.4406368630372051E-2</v>
          </cell>
          <cell r="O361">
            <v>9.2845071768964976E-2</v>
          </cell>
        </row>
        <row r="362">
          <cell r="A362" t="str">
            <v>SCOM-STG-ELCSPEC</v>
          </cell>
          <cell r="B362" t="str">
            <v>VAR_ncap</v>
          </cell>
          <cell r="C362" t="str">
            <v>-</v>
          </cell>
          <cell r="D362"/>
          <cell r="E362">
            <v>8.0055563298049798E-4</v>
          </cell>
          <cell r="F362">
            <v>8.1538916972135292E-6</v>
          </cell>
          <cell r="G362">
            <v>3.8221297189233199E-6</v>
          </cell>
          <cell r="H362">
            <v>6.6204457220474895E-4</v>
          </cell>
          <cell r="I362">
            <v>7.5729207056929196E-4</v>
          </cell>
          <cell r="J362">
            <v>1.0269212289720801E-3</v>
          </cell>
          <cell r="K362">
            <v>2.4407566858711301E-4</v>
          </cell>
          <cell r="L362">
            <v>1.29154215546584E-3</v>
          </cell>
          <cell r="M362">
            <v>8.6222174601717798E-4</v>
          </cell>
          <cell r="N362">
            <v>1.03052042856609E-3</v>
          </cell>
          <cell r="O362">
            <v>2.6538443316674999E-4</v>
          </cell>
        </row>
        <row r="363">
          <cell r="A363" t="str">
            <v>SCOM-STG-ELCSPEC</v>
          </cell>
          <cell r="B363" t="str">
            <v>VAR_cap</v>
          </cell>
          <cell r="C363" t="str">
            <v>-</v>
          </cell>
          <cell r="D363"/>
          <cell r="E363">
            <v>8.0055563298049798E-4</v>
          </cell>
          <cell r="F363">
            <v>8.0763723645783545E-4</v>
          </cell>
          <cell r="G363">
            <v>8.0984858725023016E-4</v>
          </cell>
          <cell r="H363">
            <v>1.4684036921597729E-3</v>
          </cell>
          <cell r="I363">
            <v>1.9153935489732434E-3</v>
          </cell>
          <cell r="J363">
            <v>2.4458121261533585E-3</v>
          </cell>
          <cell r="K363">
            <v>2.6836179022727276E-3</v>
          </cell>
          <cell r="L363">
            <v>3.4114229894651616E-3</v>
          </cell>
          <cell r="M363">
            <v>3.4147323177663412E-3</v>
          </cell>
          <cell r="N363">
            <v>3.4189073873974983E-3</v>
          </cell>
          <cell r="O363">
            <v>3.4370821657952327E-3</v>
          </cell>
        </row>
        <row r="364">
          <cell r="A364" t="str">
            <v>SCOM-SHCONBR7</v>
          </cell>
          <cell r="B364" t="str">
            <v>VAR_fout</v>
          </cell>
          <cell r="C364" t="str">
            <v>SCOM-SHCON</v>
          </cell>
          <cell r="D364"/>
          <cell r="G364"/>
          <cell r="H364"/>
          <cell r="I364"/>
          <cell r="J364">
            <v>2.9064862977517972E-4</v>
          </cell>
          <cell r="K364">
            <v>9.5912202717991801E-4</v>
          </cell>
          <cell r="L364">
            <v>1.0007477893769301E-3</v>
          </cell>
          <cell r="M364">
            <v>1.0473307453198457E-3</v>
          </cell>
          <cell r="N364">
            <v>1.0587667693678147E-3</v>
          </cell>
          <cell r="O364">
            <v>1.4434805588746605E-3</v>
          </cell>
        </row>
        <row r="365">
          <cell r="A365" t="str">
            <v>SCOM-SHCONBR7</v>
          </cell>
          <cell r="B365" t="str">
            <v>VAR_fin</v>
          </cell>
          <cell r="C365" t="str">
            <v>CON</v>
          </cell>
          <cell r="D365"/>
          <cell r="G365"/>
          <cell r="H365"/>
          <cell r="I365"/>
          <cell r="J365">
            <v>2.9064862977517972E-4</v>
          </cell>
          <cell r="K365">
            <v>9.5912202717991801E-4</v>
          </cell>
          <cell r="L365">
            <v>1.0007477893769301E-3</v>
          </cell>
          <cell r="M365">
            <v>1.0473307453198457E-3</v>
          </cell>
          <cell r="N365">
            <v>1.0587667693678147E-3</v>
          </cell>
          <cell r="O365">
            <v>1.4434805588746605E-3</v>
          </cell>
        </row>
        <row r="366">
          <cell r="A366" t="str">
            <v>SCOM-SHCONBR7</v>
          </cell>
          <cell r="B366" t="str">
            <v>VAR_ncap</v>
          </cell>
          <cell r="C366" t="str">
            <v>-</v>
          </cell>
          <cell r="D366"/>
          <cell r="G366"/>
          <cell r="H366"/>
          <cell r="I366"/>
          <cell r="J366">
            <v>1.93756464038843E-5</v>
          </cell>
          <cell r="K366">
            <v>5.0597221173436401E-5</v>
          </cell>
          <cell r="L366">
            <v>6.8529869073416002E-6</v>
          </cell>
          <cell r="M366">
            <v>2.2083185898189302E-6</v>
          </cell>
          <cell r="N366">
            <v>2.3843589772923798E-6</v>
          </cell>
          <cell r="O366">
            <v>2.5629171781753801E-5</v>
          </cell>
        </row>
        <row r="367">
          <cell r="A367" t="str">
            <v>SCOM-SHCONBR7</v>
          </cell>
          <cell r="B367" t="str">
            <v>VAR_cap</v>
          </cell>
          <cell r="C367" t="str">
            <v>-</v>
          </cell>
          <cell r="D367"/>
          <cell r="G367"/>
          <cell r="H367"/>
          <cell r="I367"/>
          <cell r="J367">
            <v>1.93756464038843E-5</v>
          </cell>
          <cell r="K367">
            <v>6.9780481924075637E-5</v>
          </cell>
          <cell r="L367">
            <v>7.6603754433917124E-5</v>
          </cell>
          <cell r="M367">
            <v>7.831070501395321E-5</v>
          </cell>
          <cell r="N367">
            <v>8.069381676923846E-5</v>
          </cell>
          <cell r="O367">
            <v>1.0630755540817778E-4</v>
          </cell>
        </row>
        <row r="368">
          <cell r="A368" t="str">
            <v>SCOM-SHCONBR8</v>
          </cell>
          <cell r="B368" t="str">
            <v>VAR_fout</v>
          </cell>
          <cell r="C368" t="str">
            <v>SCOM-SHCON</v>
          </cell>
          <cell r="D368"/>
          <cell r="G368"/>
          <cell r="H368"/>
          <cell r="I368"/>
          <cell r="J368">
            <v>1.5842587372399855E-4</v>
          </cell>
          <cell r="K368">
            <v>3.9844624567395736E-4</v>
          </cell>
          <cell r="L368">
            <v>3.5929243660047999E-4</v>
          </cell>
          <cell r="M368">
            <v>4.1629564870511785E-4</v>
          </cell>
          <cell r="N368">
            <v>4.1598049815540466E-4</v>
          </cell>
          <cell r="O368">
            <v>7.2161270691894184E-4</v>
          </cell>
        </row>
        <row r="369">
          <cell r="A369" t="str">
            <v>SCOM-SHCONBR8</v>
          </cell>
          <cell r="B369" t="str">
            <v>VAR_fin</v>
          </cell>
          <cell r="C369" t="str">
            <v>CON</v>
          </cell>
          <cell r="G369"/>
          <cell r="H369"/>
          <cell r="I369"/>
          <cell r="J369">
            <v>1.5842587372399855E-4</v>
          </cell>
          <cell r="K369">
            <v>3.9844624567395736E-4</v>
          </cell>
          <cell r="L369">
            <v>3.5929243660047999E-4</v>
          </cell>
          <cell r="M369">
            <v>4.1629564870511785E-4</v>
          </cell>
          <cell r="N369">
            <v>4.1598049815540466E-4</v>
          </cell>
          <cell r="O369">
            <v>7.2161270691894184E-4</v>
          </cell>
        </row>
        <row r="370">
          <cell r="A370" t="str">
            <v>SCOM-SHCONBR8</v>
          </cell>
          <cell r="B370" t="str">
            <v>VAR_ncap</v>
          </cell>
          <cell r="C370" t="str">
            <v>-</v>
          </cell>
          <cell r="G370"/>
          <cell r="H370"/>
          <cell r="I370"/>
          <cell r="J370">
            <v>8.9616979059934498E-6</v>
          </cell>
          <cell r="K370">
            <v>1.71571434273033E-5</v>
          </cell>
          <cell r="L370">
            <v>8.9279003574735296E-7</v>
          </cell>
          <cell r="M370">
            <v>2.4817559542255401E-6</v>
          </cell>
          <cell r="N370">
            <v>1.71587487933457E-6</v>
          </cell>
          <cell r="O370">
            <v>1.95067314122136E-5</v>
          </cell>
        </row>
        <row r="371">
          <cell r="A371" t="str">
            <v>SCOM-SHCONBR8</v>
          </cell>
          <cell r="B371" t="str">
            <v>VAR_cap</v>
          </cell>
          <cell r="C371" t="str">
            <v>-</v>
          </cell>
          <cell r="G371"/>
          <cell r="H371"/>
          <cell r="I371"/>
          <cell r="J371">
            <v>8.9616979059934498E-6</v>
          </cell>
          <cell r="K371">
            <v>2.600568576689229E-5</v>
          </cell>
          <cell r="L371">
            <v>2.6874143182578696E-5</v>
          </cell>
          <cell r="M371">
            <v>2.9126262186913129E-5</v>
          </cell>
          <cell r="N371">
            <v>3.0798826562168698E-5</v>
          </cell>
          <cell r="O371">
            <v>5.0227698567874545E-5</v>
          </cell>
        </row>
        <row r="372">
          <cell r="A372" t="str">
            <v>ITOT-ELCSPEC</v>
          </cell>
          <cell r="B372" t="str">
            <v>VAR_fout</v>
          </cell>
          <cell r="C372" t="str">
            <v>ITOT-ELS</v>
          </cell>
          <cell r="D372">
            <v>48.063397652170998</v>
          </cell>
          <cell r="E372">
            <v>49.866371601112171</v>
          </cell>
          <cell r="F372">
            <v>51.516125024927902</v>
          </cell>
          <cell r="G372">
            <v>52.98392212797885</v>
          </cell>
          <cell r="H372">
            <v>53.948323624651692</v>
          </cell>
          <cell r="I372">
            <v>54.491019899990974</v>
          </cell>
          <cell r="J372">
            <v>55.182421357749412</v>
          </cell>
          <cell r="K372">
            <v>55.871317074184446</v>
          </cell>
          <cell r="L372">
            <v>56.567680640204337</v>
          </cell>
          <cell r="M372">
            <v>58.128448401912927</v>
          </cell>
          <cell r="N372">
            <v>56.65587934157373</v>
          </cell>
          <cell r="O372">
            <v>56.764466043591995</v>
          </cell>
        </row>
        <row r="373">
          <cell r="A373" t="str">
            <v>ITOT-ELCSPEC</v>
          </cell>
          <cell r="B373" t="str">
            <v>VAR_fin</v>
          </cell>
          <cell r="C373" t="str">
            <v>ITOT_ELC</v>
          </cell>
          <cell r="D373">
            <v>48.063397652170998</v>
          </cell>
          <cell r="E373">
            <v>49.866371601112171</v>
          </cell>
          <cell r="F373">
            <v>51.516125024927902</v>
          </cell>
          <cell r="G373">
            <v>52.98392212797885</v>
          </cell>
          <cell r="H373">
            <v>53.948323624651692</v>
          </cell>
          <cell r="I373">
            <v>54.491019899990974</v>
          </cell>
          <cell r="J373">
            <v>55.182421357749412</v>
          </cell>
          <cell r="K373">
            <v>55.871317074184446</v>
          </cell>
          <cell r="L373">
            <v>56.567680640204337</v>
          </cell>
          <cell r="M373">
            <v>58.128448401912927</v>
          </cell>
          <cell r="N373">
            <v>56.65587934157373</v>
          </cell>
          <cell r="O373">
            <v>56.764466043591995</v>
          </cell>
        </row>
        <row r="374">
          <cell r="A374" t="str">
            <v>ITOT-ELCSPEC</v>
          </cell>
          <cell r="B374" t="str">
            <v>VAR_ncap</v>
          </cell>
          <cell r="C374" t="str">
            <v>-</v>
          </cell>
          <cell r="D374">
            <v>8.3502319631985705E-2</v>
          </cell>
          <cell r="E374">
            <v>9.80491256694353E-2</v>
          </cell>
          <cell r="F374">
            <v>8.97223219090304E-2</v>
          </cell>
          <cell r="G374">
            <v>7.9833645878824605E-2</v>
          </cell>
          <cell r="H374">
            <v>5.2465376565525398E-2</v>
          </cell>
          <cell r="I374">
            <v>2.9531576938771401E-2</v>
          </cell>
          <cell r="J374">
            <v>1.7839941792148699</v>
          </cell>
          <cell r="K374">
            <v>1.0926584476022101</v>
          </cell>
          <cell r="L374">
            <v>0.117692505758583</v>
          </cell>
          <cell r="M374">
            <v>0.137362198215083</v>
          </cell>
          <cell r="N374">
            <v>0.22873085305364499</v>
          </cell>
          <cell r="O374">
            <v>1.51063043079255</v>
          </cell>
        </row>
        <row r="375">
          <cell r="A375" t="str">
            <v>ITOT-ELCSPEC</v>
          </cell>
          <cell r="B375" t="str">
            <v>VAR_cap</v>
          </cell>
          <cell r="C375" t="str">
            <v>-</v>
          </cell>
          <cell r="D375">
            <v>2.6138295516646957</v>
          </cell>
          <cell r="E375">
            <v>2.7118774953182796</v>
          </cell>
          <cell r="F375">
            <v>2.8015967776421831</v>
          </cell>
          <cell r="G375">
            <v>2.8814178809714162</v>
          </cell>
          <cell r="H375">
            <v>2.9338662363268706</v>
          </cell>
          <cell r="I375">
            <v>2.9633820901719612</v>
          </cell>
          <cell r="J375">
            <v>3.0009786541924184</v>
          </cell>
          <cell r="K375">
            <v>3.0384483429974636</v>
          </cell>
          <cell r="L375">
            <v>3.0763149282572706</v>
          </cell>
          <cell r="M375">
            <v>3.1612012109216492</v>
          </cell>
          <cell r="N375">
            <v>3.0811151522887696</v>
          </cell>
          <cell r="O375">
            <v>3.0870337905244973</v>
          </cell>
        </row>
        <row r="376">
          <cell r="A376" t="str">
            <v>RHNM-SHLTHDH</v>
          </cell>
          <cell r="B376" t="str">
            <v>VAR_fout</v>
          </cell>
          <cell r="C376" t="str">
            <v>RHNM-SHLTHD</v>
          </cell>
          <cell r="E376">
            <v>0.34658549823454388</v>
          </cell>
          <cell r="F376">
            <v>0.3787254470442652</v>
          </cell>
          <cell r="G376">
            <v>0.43904521623050913</v>
          </cell>
          <cell r="H376">
            <v>0.50897645595395835</v>
          </cell>
          <cell r="I376">
            <v>0.59004922622481948</v>
          </cell>
          <cell r="J376">
            <v>0.684041746502287</v>
          </cell>
          <cell r="K376">
            <v>0.79663490270702852</v>
          </cell>
          <cell r="L376">
            <v>0.92354447890441793</v>
          </cell>
          <cell r="M376">
            <v>1.0706945836379957</v>
          </cell>
          <cell r="N376">
            <v>1.2412587206670713</v>
          </cell>
          <cell r="O376">
            <v>1.4390324468269089</v>
          </cell>
        </row>
        <row r="377">
          <cell r="A377" t="str">
            <v>RHNM-SHLTHDH</v>
          </cell>
          <cell r="B377" t="str">
            <v>VAR_fin</v>
          </cell>
          <cell r="C377" t="str">
            <v>RHNMLTHDHC</v>
          </cell>
          <cell r="D377"/>
          <cell r="E377">
            <v>0.34658549823454388</v>
          </cell>
          <cell r="F377">
            <v>0.3787254470442652</v>
          </cell>
          <cell r="G377">
            <v>0.43904521623050913</v>
          </cell>
          <cell r="H377">
            <v>0.50897645595395835</v>
          </cell>
          <cell r="I377">
            <v>0.59004922622481948</v>
          </cell>
          <cell r="J377">
            <v>0.684041746502287</v>
          </cell>
          <cell r="K377">
            <v>0.79663490270702852</v>
          </cell>
          <cell r="L377">
            <v>0.92354447890441793</v>
          </cell>
          <cell r="M377">
            <v>1.0706945836379957</v>
          </cell>
          <cell r="N377">
            <v>1.2412587206670713</v>
          </cell>
          <cell r="O377">
            <v>1.4390324468269089</v>
          </cell>
        </row>
        <row r="378">
          <cell r="A378" t="str">
            <v>RHNM-SHLTHDH</v>
          </cell>
          <cell r="B378" t="str">
            <v>VAR_fin</v>
          </cell>
          <cell r="C378" t="str">
            <v>RHNM_LTH_DH</v>
          </cell>
          <cell r="E378">
            <v>0.35008636185307451</v>
          </cell>
          <cell r="F378">
            <v>0.38255095661036931</v>
          </cell>
          <cell r="G378">
            <v>0.44348001639445389</v>
          </cell>
          <cell r="H378">
            <v>0.51411763227672636</v>
          </cell>
          <cell r="I378">
            <v>0.59600931941901014</v>
          </cell>
          <cell r="J378">
            <v>0.69095125909321908</v>
          </cell>
          <cell r="K378">
            <v>0.80468171990609028</v>
          </cell>
          <cell r="L378">
            <v>0.93287321101456444</v>
          </cell>
          <cell r="M378">
            <v>1.0815096804424216</v>
          </cell>
          <cell r="N378">
            <v>1.2537966875424962</v>
          </cell>
          <cell r="O378">
            <v>1.45356812810799</v>
          </cell>
        </row>
        <row r="379">
          <cell r="A379" t="str">
            <v>RHNM-SHLTHDH</v>
          </cell>
          <cell r="B379" t="str">
            <v>VAR_ncap</v>
          </cell>
          <cell r="C379" t="str">
            <v>-</v>
          </cell>
          <cell r="D379"/>
          <cell r="E379">
            <v>2.8247585640021399E-2</v>
          </cell>
          <cell r="F379">
            <v>2.29582497822289E-3</v>
          </cell>
          <cell r="G379">
            <v>3.6136627078765201E-3</v>
          </cell>
          <cell r="H379">
            <v>6.4631110805268097E-3</v>
          </cell>
          <cell r="I379">
            <v>6.743449140284E-3</v>
          </cell>
          <cell r="J379">
            <v>7.5224974270301304E-3</v>
          </cell>
          <cell r="K379">
            <v>8.2283443655585507E-3</v>
          </cell>
          <cell r="L379">
            <v>9.6080772565456697E-3</v>
          </cell>
          <cell r="M379">
            <v>1.32009514442307E-2</v>
          </cell>
          <cell r="N379">
            <v>1.06631380506872E-2</v>
          </cell>
          <cell r="O379">
            <v>1.5433966098094399E-2</v>
          </cell>
        </row>
        <row r="380">
          <cell r="A380" t="str">
            <v>RHNM-SHLTHDH</v>
          </cell>
          <cell r="B380" t="str">
            <v>VAR_cap</v>
          </cell>
          <cell r="C380" t="str">
            <v>-</v>
          </cell>
          <cell r="E380">
            <v>2.8247585640021399E-2</v>
          </cell>
          <cell r="F380">
            <v>3.05434106182443E-2</v>
          </cell>
          <cell r="G380">
            <v>3.4157073326120897E-2</v>
          </cell>
          <cell r="H380">
            <v>4.0620184406647698E-2</v>
          </cell>
          <cell r="I380">
            <v>4.7363633546931697E-2</v>
          </cell>
          <cell r="J380">
            <v>5.4886130973961798E-2</v>
          </cell>
          <cell r="K380">
            <v>6.3114475339520304E-2</v>
          </cell>
          <cell r="L380">
            <v>7.2722552596065998E-2</v>
          </cell>
          <cell r="M380">
            <v>8.5923504040296694E-2</v>
          </cell>
          <cell r="N380">
            <v>9.6586642090983901E-2</v>
          </cell>
          <cell r="O380">
            <v>0.112020608189078</v>
          </cell>
        </row>
        <row r="381">
          <cell r="A381" t="str">
            <v>SCOM-SHCONBR9</v>
          </cell>
          <cell r="B381" t="str">
            <v>VAR_fout</v>
          </cell>
          <cell r="C381" t="str">
            <v>SCOM-SHCON</v>
          </cell>
          <cell r="G381"/>
          <cell r="H381"/>
          <cell r="I381"/>
          <cell r="J381">
            <v>7.6964733703074726E-5</v>
          </cell>
          <cell r="K381">
            <v>1.6848147131796464E-4</v>
          </cell>
          <cell r="L381">
            <v>1.2437508984238828E-4</v>
          </cell>
          <cell r="M381">
            <v>1.7354799875321411E-4</v>
          </cell>
          <cell r="N381">
            <v>1.6122359756326241E-4</v>
          </cell>
          <cell r="O381">
            <v>3.1473613995269763E-4</v>
          </cell>
        </row>
        <row r="382">
          <cell r="A382" t="str">
            <v>SCOM-SHCONBR9</v>
          </cell>
          <cell r="B382" t="str">
            <v>VAR_fin</v>
          </cell>
          <cell r="C382" t="str">
            <v>CON</v>
          </cell>
          <cell r="D382"/>
          <cell r="G382"/>
          <cell r="H382"/>
          <cell r="I382"/>
          <cell r="J382">
            <v>7.6964733703074726E-5</v>
          </cell>
          <cell r="K382">
            <v>1.6848147131796464E-4</v>
          </cell>
          <cell r="L382">
            <v>1.2437508984238828E-4</v>
          </cell>
          <cell r="M382">
            <v>1.7354799875321411E-4</v>
          </cell>
          <cell r="N382">
            <v>1.6122359756326241E-4</v>
          </cell>
          <cell r="O382">
            <v>3.1473613995269763E-4</v>
          </cell>
        </row>
        <row r="383">
          <cell r="A383" t="str">
            <v>SCOM-SHCONBR9</v>
          </cell>
          <cell r="B383" t="str">
            <v>VAR_ncap</v>
          </cell>
          <cell r="C383" t="str">
            <v>-</v>
          </cell>
          <cell r="H383"/>
          <cell r="I383"/>
          <cell r="J383">
            <v>3.04363717358647E-6</v>
          </cell>
          <cell r="K383">
            <v>5.0530317974028004E-6</v>
          </cell>
          <cell r="L383">
            <v>3.6052554714212202E-7</v>
          </cell>
          <cell r="M383">
            <v>1.7002885118388099E-6</v>
          </cell>
          <cell r="N383">
            <v>7.4060913154730805E-7</v>
          </cell>
          <cell r="O383">
            <v>7.5157260059846098E-6</v>
          </cell>
        </row>
        <row r="384">
          <cell r="A384" t="str">
            <v>SCOM-SHCONBR9</v>
          </cell>
          <cell r="B384" t="str">
            <v>VAR_cap</v>
          </cell>
          <cell r="C384" t="str">
            <v>-</v>
          </cell>
          <cell r="H384"/>
          <cell r="I384"/>
          <cell r="J384">
            <v>3.04363717358647E-6</v>
          </cell>
          <cell r="K384">
            <v>8.0326481827614407E-6</v>
          </cell>
          <cell r="L384">
            <v>8.3822444244733273E-6</v>
          </cell>
          <cell r="M384">
            <v>9.9711777931691607E-6</v>
          </cell>
          <cell r="N384">
            <v>1.0684767157645513E-5</v>
          </cell>
          <cell r="O384">
            <v>1.8154183836201954E-5</v>
          </cell>
        </row>
        <row r="385">
          <cell r="A385" t="str">
            <v>ITOT-SWHCOABR</v>
          </cell>
          <cell r="B385" t="str">
            <v>VAR_fout</v>
          </cell>
          <cell r="C385" t="str">
            <v>ITOT-SWH</v>
          </cell>
          <cell r="D385">
            <v>2.3674031032596359</v>
          </cell>
          <cell r="E385">
            <v>2.3075014766794775</v>
          </cell>
          <cell r="F385">
            <v>2.1585414127855018</v>
          </cell>
          <cell r="G385">
            <v>2.4124878896336264E-3</v>
          </cell>
          <cell r="H385">
            <v>2.6253308600335725E-3</v>
          </cell>
          <cell r="I385">
            <v>2.4641775716042402E-3</v>
          </cell>
          <cell r="J385">
            <v>3.7989218764152379E-3</v>
          </cell>
          <cell r="K385">
            <v>8.2079035829508134E-3</v>
          </cell>
          <cell r="L385">
            <v>5.134741633231351E-3</v>
          </cell>
          <cell r="M385">
            <v>7.7502358740706564E-3</v>
          </cell>
          <cell r="N385">
            <v>4.4051543280844057E-3</v>
          </cell>
          <cell r="O385">
            <v>8.1763983658265371E-3</v>
          </cell>
        </row>
        <row r="386">
          <cell r="A386" t="str">
            <v>ITOT-SWHCOABR</v>
          </cell>
          <cell r="B386" t="str">
            <v>VAR_fout</v>
          </cell>
          <cell r="C386" t="str">
            <v>CO2_I</v>
          </cell>
          <cell r="D386">
            <v>330.01243258972602</v>
          </cell>
          <cell r="E386">
            <v>321.17925959187301</v>
          </cell>
          <cell r="F386">
            <v>299.77047035987403</v>
          </cell>
          <cell r="G386">
            <v>0.333787503535876</v>
          </cell>
          <cell r="H386">
            <v>0.36188575572507398</v>
          </cell>
          <cell r="I386">
            <v>0.33841371983364898</v>
          </cell>
          <cell r="J386">
            <v>0.51979344345932499</v>
          </cell>
          <cell r="K386">
            <v>1.11893038549932</v>
          </cell>
          <cell r="L386">
            <v>0.69998610205962797</v>
          </cell>
          <cell r="M386">
            <v>1.0565395081269799</v>
          </cell>
          <cell r="N386">
            <v>0.60052618560797699</v>
          </cell>
          <cell r="O386">
            <v>1.1146354831060601</v>
          </cell>
        </row>
        <row r="387">
          <cell r="A387" t="str">
            <v>ITOT-SWHCOABR</v>
          </cell>
          <cell r="B387" t="str">
            <v>VAR_fin</v>
          </cell>
          <cell r="C387" t="str">
            <v>ICOA</v>
          </cell>
          <cell r="D387">
            <v>3.5600046665558427</v>
          </cell>
          <cell r="E387">
            <v>3.4647169319511666</v>
          </cell>
          <cell r="F387">
            <v>3.2337699067947607</v>
          </cell>
          <cell r="G387">
            <v>3.6007281934830235E-3</v>
          </cell>
          <cell r="H387">
            <v>3.9038377100870949E-3</v>
          </cell>
          <cell r="I387">
            <v>3.6506334394136881E-3</v>
          </cell>
          <cell r="J387">
            <v>5.6072647622365124E-3</v>
          </cell>
          <cell r="K387">
            <v>1.2070446445515892E-2</v>
          </cell>
          <cell r="L387">
            <v>7.5510906371049312E-3</v>
          </cell>
          <cell r="M387">
            <v>1.1397405697162728E-2</v>
          </cell>
          <cell r="N387">
            <v>6.4781681295358901E-3</v>
          </cell>
          <cell r="O387">
            <v>1.2024115243862548E-2</v>
          </cell>
        </row>
        <row r="388">
          <cell r="A388" t="str">
            <v>ITOT-SWHCOABR</v>
          </cell>
          <cell r="B388" t="str">
            <v>VAR_ncap</v>
          </cell>
          <cell r="C388" t="str">
            <v>-</v>
          </cell>
          <cell r="E388">
            <v>2.1345398295976099E-5</v>
          </cell>
          <cell r="F388">
            <v>2.86624039875153E-5</v>
          </cell>
          <cell r="G388">
            <v>3.0104568087740801E-5</v>
          </cell>
          <cell r="H388">
            <v>1.65946506294364E-4</v>
          </cell>
          <cell r="I388">
            <v>9.5752389176251596E-5</v>
          </cell>
          <cell r="J388">
            <v>1.77884134693166E-4</v>
          </cell>
          <cell r="K388">
            <v>5.2132473594159801E-4</v>
          </cell>
          <cell r="L388">
            <v>3.8922662303568899E-5</v>
          </cell>
          <cell r="M388">
            <v>2.9478475233302598E-4</v>
          </cell>
          <cell r="N388">
            <v>9.9634505913204899E-5</v>
          </cell>
          <cell r="O388">
            <v>4.6303868216642999E-4</v>
          </cell>
        </row>
        <row r="389">
          <cell r="A389" t="str">
            <v>ITOT-SWHCOABR</v>
          </cell>
          <cell r="B389" t="str">
            <v>VAR_cap</v>
          </cell>
          <cell r="C389" t="str">
            <v>-</v>
          </cell>
          <cell r="D389">
            <v>0.26172155007150499</v>
          </cell>
          <cell r="E389">
            <v>0.19677961264229304</v>
          </cell>
          <cell r="F389">
            <v>0.17766330381450568</v>
          </cell>
          <cell r="G389">
            <v>2.2912023860022224E-4</v>
          </cell>
          <cell r="H389">
            <v>2.4688169502797008E-4</v>
          </cell>
          <cell r="I389">
            <v>2.337682437764686E-4</v>
          </cell>
          <cell r="J389">
            <v>3.59334417308177E-4</v>
          </cell>
          <cell r="K389">
            <v>7.6389771154395129E-4</v>
          </cell>
          <cell r="L389">
            <v>4.8925512040936809E-4</v>
          </cell>
          <cell r="M389">
            <v>7.2946822771613993E-4</v>
          </cell>
          <cell r="N389">
            <v>4.1712659560838518E-4</v>
          </cell>
          <cell r="O389">
            <v>7.7374690110633187E-4</v>
          </cell>
        </row>
        <row r="390">
          <cell r="A390" t="str">
            <v>RHSA-WHDEM</v>
          </cell>
          <cell r="B390" t="str">
            <v>VAR_fout</v>
          </cell>
          <cell r="C390" t="str">
            <v>RHSA-WHD</v>
          </cell>
          <cell r="D390">
            <v>26.438654975424289</v>
          </cell>
          <cell r="E390">
            <v>25.92879146371218</v>
          </cell>
          <cell r="F390">
            <v>25.418927951999976</v>
          </cell>
          <cell r="G390">
            <v>25.509072923999994</v>
          </cell>
          <cell r="H390">
            <v>25.499829726000012</v>
          </cell>
          <cell r="I390">
            <v>25.33969431720001</v>
          </cell>
          <cell r="J390">
            <v>25.129286488799984</v>
          </cell>
          <cell r="K390">
            <v>24.930159425999989</v>
          </cell>
          <cell r="L390">
            <v>25.250286988188904</v>
          </cell>
          <cell r="M390">
            <v>24.785394604187807</v>
          </cell>
          <cell r="N390">
            <v>24.326761510807483</v>
          </cell>
          <cell r="O390">
            <v>23.897883426756486</v>
          </cell>
        </row>
        <row r="391">
          <cell r="A391" t="str">
            <v>RHSA-WHDEM</v>
          </cell>
          <cell r="B391" t="str">
            <v>VAR_fin</v>
          </cell>
          <cell r="C391" t="str">
            <v>RHSA-WHNGA</v>
          </cell>
          <cell r="D391">
            <v>6.1980641738557729</v>
          </cell>
          <cell r="E391">
            <v>5.1625830290904169</v>
          </cell>
          <cell r="F391">
            <v>8.8679225692102683</v>
          </cell>
          <cell r="G391">
            <v>9.1270124583793919</v>
          </cell>
          <cell r="H391">
            <v>9.6666507044395367</v>
          </cell>
          <cell r="I391">
            <v>9.479341299071594</v>
          </cell>
          <cell r="J391">
            <v>9.195441334612811</v>
          </cell>
          <cell r="K391">
            <v>8.9377704647906135</v>
          </cell>
          <cell r="L391">
            <v>8.4096675727738184</v>
          </cell>
          <cell r="M391">
            <v>7.8407793558843686</v>
          </cell>
          <cell r="N391">
            <v>7.6740878767728624</v>
          </cell>
          <cell r="O391">
            <v>6.2449352390479076</v>
          </cell>
        </row>
        <row r="392">
          <cell r="A392" t="str">
            <v>RHSA-WHDEM</v>
          </cell>
          <cell r="B392" t="str">
            <v>VAR_fin</v>
          </cell>
          <cell r="C392" t="str">
            <v>RHSA-WHLFO</v>
          </cell>
          <cell r="D392">
            <v>6.80876969659725</v>
          </cell>
          <cell r="E392">
            <v>5.9209148258703808</v>
          </cell>
          <cell r="F392">
            <v>1.1469109164431581</v>
          </cell>
          <cell r="G392">
            <v>1.9395006029039381</v>
          </cell>
          <cell r="H392">
            <v>0.5642050275825875</v>
          </cell>
          <cell r="I392">
            <v>8.0347800635732422E-2</v>
          </cell>
          <cell r="J392">
            <v>8.0636052656659643E-2</v>
          </cell>
          <cell r="K392">
            <v>6.2306886941313623E-2</v>
          </cell>
          <cell r="L392">
            <v>6.6351163828081441E-2</v>
          </cell>
          <cell r="M392">
            <v>7.0962290582421803E-2</v>
          </cell>
          <cell r="N392">
            <v>6.8097653456361235E-2</v>
          </cell>
          <cell r="O392">
            <v>9.3337115084455261E-2</v>
          </cell>
        </row>
        <row r="393">
          <cell r="A393" t="str">
            <v>RHSA-WHDEM</v>
          </cell>
          <cell r="B393" t="str">
            <v>VAR_fin</v>
          </cell>
          <cell r="C393" t="str">
            <v>RHSA-WHWOD</v>
          </cell>
          <cell r="D393">
            <v>0.55838984625180343</v>
          </cell>
          <cell r="E393">
            <v>0.5970064732322381</v>
          </cell>
          <cell r="F393">
            <v>0.3372799190274608</v>
          </cell>
          <cell r="G393">
            <v>0.26640051556933242</v>
          </cell>
          <cell r="H393">
            <v>0.26685649147260526</v>
          </cell>
          <cell r="I393">
            <v>0.24489576787658288</v>
          </cell>
          <cell r="J393">
            <v>0.22433912565689107</v>
          </cell>
          <cell r="K393">
            <v>0.18170913963949473</v>
          </cell>
          <cell r="L393">
            <v>0.17718248743955339</v>
          </cell>
          <cell r="M393">
            <v>0.15224727312465655</v>
          </cell>
          <cell r="N393">
            <v>0.14686681235710489</v>
          </cell>
          <cell r="O393">
            <v>0.10461395423202917</v>
          </cell>
        </row>
        <row r="394">
          <cell r="A394" t="str">
            <v>RHSA-WHDEM</v>
          </cell>
          <cell r="B394" t="str">
            <v>VAR_fin</v>
          </cell>
          <cell r="C394" t="str">
            <v>RHSA-WHNGAH</v>
          </cell>
          <cell r="E394">
            <v>1.8534776955919768E-4</v>
          </cell>
          <cell r="F394">
            <v>0.14370173554293503</v>
          </cell>
          <cell r="G394">
            <v>4.2435744932129149E-2</v>
          </cell>
          <cell r="H394">
            <v>0.50793670284270676</v>
          </cell>
          <cell r="I394">
            <v>1.2764477416865745</v>
          </cell>
          <cell r="J394">
            <v>1.7319863508375046</v>
          </cell>
          <cell r="K394">
            <v>2.9613660532939612</v>
          </cell>
          <cell r="L394">
            <v>3.1544524005122043</v>
          </cell>
          <cell r="M394">
            <v>3.2982911207678125</v>
          </cell>
          <cell r="N394">
            <v>4.3629730249075696</v>
          </cell>
          <cell r="O394">
            <v>4.3824853421549026</v>
          </cell>
        </row>
        <row r="395">
          <cell r="A395" t="str">
            <v>RHSA-WHDEM</v>
          </cell>
          <cell r="B395" t="str">
            <v>VAR_fin</v>
          </cell>
          <cell r="C395" t="str">
            <v>RHSA-WHNST</v>
          </cell>
          <cell r="D395">
            <v>9.5453177585444193E-2</v>
          </cell>
          <cell r="E395">
            <v>1.8083300208332864E-4</v>
          </cell>
          <cell r="F395">
            <v>8.4008240788385632E-2</v>
          </cell>
          <cell r="G395">
            <v>1.9794796509418868E-2</v>
          </cell>
          <cell r="H395">
            <v>3.8851615116887478E-2</v>
          </cell>
          <cell r="I395">
            <v>4.271954074537896E-2</v>
          </cell>
          <cell r="J395">
            <v>4.2309865008813674E-2</v>
          </cell>
          <cell r="K395">
            <v>3.4092313048082169E-2</v>
          </cell>
          <cell r="L395">
            <v>3.3754350322496726E-2</v>
          </cell>
          <cell r="M395">
            <v>3.3214719833967288E-2</v>
          </cell>
          <cell r="N395">
            <v>3.3404017213839128E-2</v>
          </cell>
          <cell r="O395">
            <v>3.3370464777948507E-2</v>
          </cell>
        </row>
        <row r="396">
          <cell r="A396" t="str">
            <v>RHSA-WHDEM</v>
          </cell>
          <cell r="B396" t="str">
            <v>VAR_fin</v>
          </cell>
          <cell r="C396" t="str">
            <v>RHSA-WHPLT</v>
          </cell>
          <cell r="D396">
            <v>0.27361877511505001</v>
          </cell>
          <cell r="E396">
            <v>0.19460564242221676</v>
          </cell>
          <cell r="F396">
            <v>0.21514144421235962</v>
          </cell>
          <cell r="G396">
            <v>0.14774830159664465</v>
          </cell>
          <cell r="H396">
            <v>0.17445227259325979</v>
          </cell>
          <cell r="I396">
            <v>0.1818743120080589</v>
          </cell>
          <cell r="J396">
            <v>0.18388374780296135</v>
          </cell>
          <cell r="K396">
            <v>0.17312617854436849</v>
          </cell>
          <cell r="L396">
            <v>0.17763080209388063</v>
          </cell>
          <cell r="M396">
            <v>0.17379757664279943</v>
          </cell>
          <cell r="N396">
            <v>0.17563788789344892</v>
          </cell>
          <cell r="O396">
            <v>0.16945086263669623</v>
          </cell>
        </row>
        <row r="397">
          <cell r="A397" t="str">
            <v>RHSA-WHDEM</v>
          </cell>
          <cell r="B397" t="str">
            <v>VAR_fin</v>
          </cell>
          <cell r="C397" t="str">
            <v>RHSA-WHLTHRD</v>
          </cell>
          <cell r="D397">
            <v>1.2782889729085645</v>
          </cell>
          <cell r="E397">
            <v>1.4631132609051112</v>
          </cell>
          <cell r="F397">
            <v>1.3857757710439982</v>
          </cell>
          <cell r="G397">
            <v>1.4206083534949276</v>
          </cell>
          <cell r="H397">
            <v>1.4595867249810579</v>
          </cell>
          <cell r="I397">
            <v>1.5655441215114478</v>
          </cell>
          <cell r="J397">
            <v>1.5634397559284503</v>
          </cell>
          <cell r="K397">
            <v>1.5794821306691376</v>
          </cell>
          <cell r="L397">
            <v>1.552894572819755</v>
          </cell>
          <cell r="M397">
            <v>1.4984921347896647</v>
          </cell>
          <cell r="N397">
            <v>1.5366970305515772</v>
          </cell>
          <cell r="O397">
            <v>1.3965183481840129</v>
          </cell>
        </row>
        <row r="398">
          <cell r="A398" t="str">
            <v>RHSA-WHDEM</v>
          </cell>
          <cell r="B398" t="str">
            <v>VAR_fin</v>
          </cell>
          <cell r="C398" t="str">
            <v>RHSA-WHELCB</v>
          </cell>
          <cell r="D398">
            <v>6.4526792106127226</v>
          </cell>
          <cell r="E398">
            <v>6.9684544070236836</v>
          </cell>
          <cell r="F398">
            <v>6.7113211983728718</v>
          </cell>
          <cell r="G398">
            <v>5.105911149050967</v>
          </cell>
          <cell r="H398">
            <v>4.0332330561741951</v>
          </cell>
          <cell r="I398">
            <v>3.5078698786513725</v>
          </cell>
          <cell r="J398">
            <v>2.9267676833196736</v>
          </cell>
          <cell r="K398">
            <v>1.8562788325847577</v>
          </cell>
          <cell r="L398">
            <v>0.50486107608126074</v>
          </cell>
          <cell r="M398">
            <v>0.44551700285370283</v>
          </cell>
          <cell r="N398">
            <v>0.42716703749527085</v>
          </cell>
          <cell r="O398">
            <v>0.34607815627061567</v>
          </cell>
        </row>
        <row r="399">
          <cell r="A399" t="str">
            <v>RHSA-WHDEM</v>
          </cell>
          <cell r="B399" t="str">
            <v>VAR_fin</v>
          </cell>
          <cell r="C399" t="str">
            <v>RHSA-WHSOL</v>
          </cell>
          <cell r="D399">
            <v>1.661803690058425</v>
          </cell>
          <cell r="E399">
            <v>1.986901762243676</v>
          </cell>
          <cell r="F399">
            <v>1.7778853983500276</v>
          </cell>
          <cell r="G399">
            <v>1.4872041371501694</v>
          </cell>
          <cell r="H399">
            <v>1.0980604281873265</v>
          </cell>
          <cell r="I399">
            <v>1.0540228756941579</v>
          </cell>
          <cell r="J399">
            <v>1.048617191411793</v>
          </cell>
          <cell r="K399">
            <v>0.97979469223949378</v>
          </cell>
          <cell r="L399">
            <v>0.97583828174831677</v>
          </cell>
          <cell r="M399">
            <v>0.92096956697551124</v>
          </cell>
          <cell r="N399">
            <v>0.93744766349950981</v>
          </cell>
          <cell r="O399">
            <v>0.78638061652818503</v>
          </cell>
        </row>
        <row r="400">
          <cell r="A400" t="str">
            <v>RHSA-WHDEM</v>
          </cell>
          <cell r="B400" t="str">
            <v>VAR_fin</v>
          </cell>
          <cell r="C400" t="str">
            <v>RHSA-WHELCH</v>
          </cell>
          <cell r="D400">
            <v>3.1118657494917215</v>
          </cell>
          <cell r="E400">
            <v>3.6352040669139445</v>
          </cell>
          <cell r="F400">
            <v>4.7493988252232651</v>
          </cell>
          <cell r="G400">
            <v>5.9528116385841177</v>
          </cell>
          <cell r="H400">
            <v>7.6903851669119474</v>
          </cell>
          <cell r="I400">
            <v>7.9069623961020881</v>
          </cell>
          <cell r="J400">
            <v>8.132279139506263</v>
          </cell>
          <cell r="K400">
            <v>8.1646569161396307</v>
          </cell>
          <cell r="L400">
            <v>10.197966077488703</v>
          </cell>
          <cell r="M400">
            <v>10.351551176111407</v>
          </cell>
          <cell r="N400">
            <v>8.9646103469314014</v>
          </cell>
          <cell r="O400">
            <v>10.34106858531643</v>
          </cell>
        </row>
        <row r="401">
          <cell r="A401" t="str">
            <v>RHSA-WHNGAHP</v>
          </cell>
          <cell r="B401" t="str">
            <v>VAR_fout</v>
          </cell>
          <cell r="C401" t="str">
            <v>RHSA-WHANGAH</v>
          </cell>
          <cell r="F401">
            <v>7.5525895458755047E-3</v>
          </cell>
          <cell r="G401">
            <v>8.6868558961556396E-3</v>
          </cell>
          <cell r="H401">
            <v>0.5104312540124899</v>
          </cell>
          <cell r="I401">
            <v>1.315606472107105</v>
          </cell>
          <cell r="J401">
            <v>1.7828129894421374</v>
          </cell>
          <cell r="K401">
            <v>3.0161415652881338</v>
          </cell>
          <cell r="L401">
            <v>3.2193497213540048</v>
          </cell>
          <cell r="M401">
            <v>3.3625736598227598</v>
          </cell>
          <cell r="N401">
            <v>4.436256455709195</v>
          </cell>
          <cell r="O401">
            <v>4.4503042478085382</v>
          </cell>
        </row>
        <row r="402">
          <cell r="A402" t="str">
            <v>RHSA-WHNGAHP</v>
          </cell>
          <cell r="B402" t="str">
            <v>VAR_fout</v>
          </cell>
          <cell r="C402" t="str">
            <v>CO2_R</v>
          </cell>
          <cell r="F402">
            <v>0.250420958487583</v>
          </cell>
          <cell r="G402">
            <v>0.28651384359250198</v>
          </cell>
          <cell r="H402">
            <v>16.375610196987701</v>
          </cell>
          <cell r="I402">
            <v>41.085384843211997</v>
          </cell>
          <cell r="J402">
            <v>54.676809464130798</v>
          </cell>
          <cell r="K402">
            <v>90.870931774706605</v>
          </cell>
          <cell r="L402">
            <v>96.993228784383604</v>
          </cell>
          <cell r="M402">
            <v>101.30830898184</v>
          </cell>
          <cell r="N402">
            <v>133.65644449893099</v>
          </cell>
          <cell r="O402">
            <v>134.07967926089799</v>
          </cell>
        </row>
        <row r="403">
          <cell r="A403" t="str">
            <v>RHSA-WHNGAHP</v>
          </cell>
          <cell r="B403" t="str">
            <v>VAR_fin</v>
          </cell>
          <cell r="C403" t="str">
            <v>RNGA</v>
          </cell>
          <cell r="F403">
            <v>4.4400879164465043E-3</v>
          </cell>
          <cell r="G403">
            <v>5.0800326878103182E-3</v>
          </cell>
          <cell r="H403">
            <v>0.29034769852815134</v>
          </cell>
          <cell r="I403">
            <v>0.72846427026971539</v>
          </cell>
          <cell r="J403">
            <v>0.96944697631437582</v>
          </cell>
          <cell r="K403">
            <v>1.6111867335940879</v>
          </cell>
          <cell r="L403">
            <v>1.7197380990138926</v>
          </cell>
          <cell r="M403">
            <v>1.7962466131531825</v>
          </cell>
          <cell r="N403">
            <v>2.3697951152292713</v>
          </cell>
          <cell r="O403">
            <v>2.3772992776755015</v>
          </cell>
        </row>
        <row r="404">
          <cell r="A404" t="str">
            <v>RHSA-WHNGAHP</v>
          </cell>
          <cell r="B404" t="str">
            <v>VAR_ncap</v>
          </cell>
          <cell r="C404" t="str">
            <v>-</v>
          </cell>
          <cell r="E404">
            <v>1.42850032412883E-6</v>
          </cell>
          <cell r="F404">
            <v>6.2525143756108595E-4</v>
          </cell>
          <cell r="G404">
            <v>1.0309651669809601E-5</v>
          </cell>
          <cell r="H404">
            <v>3.4011606167091403E-2</v>
          </cell>
          <cell r="I404">
            <v>5.5524673628064299E-2</v>
          </cell>
          <cell r="J404">
            <v>3.2319441407412997E-2</v>
          </cell>
          <cell r="K404">
            <v>0.11694176408653199</v>
          </cell>
          <cell r="L404">
            <v>6.4577755064375894E-2</v>
          </cell>
          <cell r="M404">
            <v>4.6442092703099999E-2</v>
          </cell>
          <cell r="N404">
            <v>0.189325771111266</v>
          </cell>
          <cell r="O404">
            <v>6.5941860476691205E-2</v>
          </cell>
        </row>
        <row r="405">
          <cell r="A405" t="str">
            <v>RHSA-WHNGAHP</v>
          </cell>
          <cell r="B405" t="str">
            <v>VAR_cap</v>
          </cell>
          <cell r="C405" t="str">
            <v>-</v>
          </cell>
          <cell r="D405">
            <v>4.7729432218241499E-11</v>
          </cell>
          <cell r="E405">
            <v>8.3603512115061225E-7</v>
          </cell>
          <cell r="F405">
            <v>6.2605968945581806E-4</v>
          </cell>
          <cell r="G405">
            <v>6.3634033498771638E-4</v>
          </cell>
          <cell r="H405">
            <v>3.4646626732089368E-2</v>
          </cell>
          <cell r="I405">
            <v>8.9674684706534863E-2</v>
          </cell>
          <cell r="J405">
            <v>0.12185495525197215</v>
          </cell>
          <cell r="K405">
            <v>0.20478433899151768</v>
          </cell>
          <cell r="L405">
            <v>0.21808697753517822</v>
          </cell>
          <cell r="M405">
            <v>0.2279598444963781</v>
          </cell>
          <cell r="N405">
            <v>0.30058431904866278</v>
          </cell>
          <cell r="O405">
            <v>0.30170810856583996</v>
          </cell>
        </row>
        <row r="406">
          <cell r="A406" t="str">
            <v>SCOM-SHSTG-ELCHP</v>
          </cell>
          <cell r="B406" t="str">
            <v>VAR_fout</v>
          </cell>
          <cell r="C406" t="str">
            <v>SCOM-SHAELCH</v>
          </cell>
          <cell r="D406">
            <v>6.6666704701047179E-5</v>
          </cell>
          <cell r="E406">
            <v>5.5684533018064179E-5</v>
          </cell>
          <cell r="F406">
            <v>1.3251054856744734E-2</v>
          </cell>
          <cell r="G406">
            <v>3.066467174508794E-2</v>
          </cell>
          <cell r="H406">
            <v>4.9420160369327969E-2</v>
          </cell>
          <cell r="I406">
            <v>0.21290280348898741</v>
          </cell>
          <cell r="J406">
            <v>0.18424650385426511</v>
          </cell>
          <cell r="K406">
            <v>0.23649724174957842</v>
          </cell>
          <cell r="L406">
            <v>0.21914871811409481</v>
          </cell>
          <cell r="M406">
            <v>0.49683918759958368</v>
          </cell>
          <cell r="N406">
            <v>0.39056348125662299</v>
          </cell>
          <cell r="O406">
            <v>0.42129149595701609</v>
          </cell>
        </row>
        <row r="407">
          <cell r="A407" t="str">
            <v>SCOM-SHSTG-ELCHP</v>
          </cell>
          <cell r="B407" t="str">
            <v>VAR_fin</v>
          </cell>
          <cell r="C407" t="str">
            <v>SCOM-SHAELCH</v>
          </cell>
          <cell r="D407">
            <v>5.523368903151345E-5</v>
          </cell>
          <cell r="E407">
            <v>5.5188764896105575E-5</v>
          </cell>
          <cell r="F407">
            <v>1.7135155350526246E-2</v>
          </cell>
          <cell r="G407">
            <v>3.837073481534712E-2</v>
          </cell>
          <cell r="H407">
            <v>5.9943269958984503E-2</v>
          </cell>
          <cell r="I407">
            <v>0.25051300662143328</v>
          </cell>
          <cell r="J407">
            <v>0.2106126759912843</v>
          </cell>
          <cell r="K407">
            <v>0.26281641658218152</v>
          </cell>
          <cell r="L407">
            <v>0.24355409230629071</v>
          </cell>
          <cell r="M407">
            <v>0.55209560459354701</v>
          </cell>
          <cell r="N407">
            <v>0.43402213731535416</v>
          </cell>
          <cell r="O407">
            <v>0.46817242124630165</v>
          </cell>
        </row>
        <row r="408">
          <cell r="A408" t="str">
            <v>SCOM-SHSTG-ELCHP</v>
          </cell>
          <cell r="B408" t="str">
            <v>VAR_ncap</v>
          </cell>
          <cell r="C408" t="str">
            <v>-</v>
          </cell>
          <cell r="D408">
            <v>2.55114530565448E-2</v>
          </cell>
          <cell r="E408">
            <v>7.5942427341626095E-2</v>
          </cell>
          <cell r="F408">
            <v>1.47702144422278E-4</v>
          </cell>
          <cell r="G408">
            <v>1.4154937581384099E-4</v>
          </cell>
          <cell r="H408">
            <v>5.6124606962673899E-2</v>
          </cell>
          <cell r="I408">
            <v>5.3403481538917601E-2</v>
          </cell>
          <cell r="J408">
            <v>7.7941013555634401E-3</v>
          </cell>
          <cell r="K408">
            <v>6.5592218019474804E-2</v>
          </cell>
          <cell r="L408">
            <v>5.6578382477480302E-2</v>
          </cell>
          <cell r="M408">
            <v>2.3901767078502101E-2</v>
          </cell>
          <cell r="N408">
            <v>8.3664596271789501E-2</v>
          </cell>
          <cell r="O408">
            <v>6.0969029372331097E-2</v>
          </cell>
        </row>
        <row r="409">
          <cell r="A409" t="str">
            <v>SCOM-SHSTG-ELCHP</v>
          </cell>
          <cell r="B409" t="str">
            <v>VAR_cap</v>
          </cell>
          <cell r="C409" t="str">
            <v>-</v>
          </cell>
          <cell r="D409">
            <v>2.55114530565448E-2</v>
          </cell>
          <cell r="E409">
            <v>0.10132381904693873</v>
          </cell>
          <cell r="F409">
            <v>0.10131776778074086</v>
          </cell>
          <cell r="G409">
            <v>0.10132363039813495</v>
          </cell>
          <cell r="H409">
            <v>0.10145192157082596</v>
          </cell>
          <cell r="I409">
            <v>0.1095331105819311</v>
          </cell>
          <cell r="J409">
            <v>0.11706496439271981</v>
          </cell>
          <cell r="K409">
            <v>0.12628765161183048</v>
          </cell>
          <cell r="L409">
            <v>0.13642231048905634</v>
          </cell>
          <cell r="M409">
            <v>0.14501790659733993</v>
          </cell>
          <cell r="N409">
            <v>0.15662903536253114</v>
          </cell>
          <cell r="O409">
            <v>0.16764037054103287</v>
          </cell>
        </row>
        <row r="410">
          <cell r="A410" t="str">
            <v>RHEM-SHLFOBR</v>
          </cell>
          <cell r="B410" t="str">
            <v>VAR_fout</v>
          </cell>
          <cell r="C410" t="str">
            <v>CO2_R</v>
          </cell>
          <cell r="D410">
            <v>1928.7110727240499</v>
          </cell>
          <cell r="E410">
            <v>1530.6224424368199</v>
          </cell>
          <cell r="F410">
            <v>1497.46882419024</v>
          </cell>
          <cell r="G410">
            <v>1582.07475068903</v>
          </cell>
          <cell r="H410">
            <v>1325.84616696277</v>
          </cell>
          <cell r="I410">
            <v>1189.42325919427</v>
          </cell>
          <cell r="J410">
            <v>1142.42733386788</v>
          </cell>
          <cell r="K410">
            <v>1083.61413440407</v>
          </cell>
          <cell r="L410">
            <v>1047.0612963429901</v>
          </cell>
          <cell r="M410">
            <v>905.61751744455501</v>
          </cell>
          <cell r="N410">
            <v>838.43554435696603</v>
          </cell>
          <cell r="O410">
            <v>365.270663047075</v>
          </cell>
        </row>
        <row r="411">
          <cell r="A411" t="str">
            <v>RHEM-SHLFOBR</v>
          </cell>
          <cell r="B411" t="str">
            <v>VAR_fout</v>
          </cell>
          <cell r="C411" t="str">
            <v>RHEM-SHLFO</v>
          </cell>
          <cell r="D411">
            <v>23.443740424902202</v>
          </cell>
          <cell r="E411">
            <v>18.604920009267101</v>
          </cell>
          <cell r="F411">
            <v>18.201933355998531</v>
          </cell>
          <cell r="G411">
            <v>19.230329681034668</v>
          </cell>
          <cell r="H411">
            <v>16.115837058853167</v>
          </cell>
          <cell r="I411">
            <v>14.457598412865687</v>
          </cell>
          <cell r="J411">
            <v>13.886356670148929</v>
          </cell>
          <cell r="K411">
            <v>13.171474383586299</v>
          </cell>
          <cell r="L411">
            <v>12.727169759935654</v>
          </cell>
          <cell r="M411">
            <v>11.007901755460177</v>
          </cell>
          <cell r="N411">
            <v>10.191295908907039</v>
          </cell>
          <cell r="O411">
            <v>4.439913645133486</v>
          </cell>
        </row>
        <row r="412">
          <cell r="A412" t="str">
            <v>RHEM-SHLFOBR</v>
          </cell>
          <cell r="B412" t="str">
            <v>VAR_fin</v>
          </cell>
          <cell r="C412" t="str">
            <v>RLFO</v>
          </cell>
          <cell r="D412">
            <v>26.169756753379197</v>
          </cell>
          <cell r="E412">
            <v>20.768282801042346</v>
          </cell>
          <cell r="F412">
            <v>20.318437234602996</v>
          </cell>
          <cell r="G412">
            <v>21.466414527666576</v>
          </cell>
          <cell r="H412">
            <v>17.989771600580262</v>
          </cell>
          <cell r="I412">
            <v>16.13871450738494</v>
          </cell>
          <cell r="J412">
            <v>15.501049306212732</v>
          </cell>
          <cell r="K412">
            <v>14.703041172375377</v>
          </cell>
          <cell r="L412">
            <v>14.207073220393285</v>
          </cell>
          <cell r="M412">
            <v>12.287890331676463</v>
          </cell>
          <cell r="N412">
            <v>11.376330316919468</v>
          </cell>
          <cell r="O412">
            <v>4.9561826736373806</v>
          </cell>
        </row>
        <row r="413">
          <cell r="A413" t="str">
            <v>RHEM-SHLFOBR</v>
          </cell>
          <cell r="B413" t="str">
            <v>VAR_ncap</v>
          </cell>
          <cell r="C413" t="str">
            <v>-</v>
          </cell>
          <cell r="E413">
            <v>6.3743736570875402E-7</v>
          </cell>
          <cell r="F413">
            <v>5.9761382712833796E-7</v>
          </cell>
          <cell r="G413">
            <v>1.4351899899370201E-6</v>
          </cell>
          <cell r="H413">
            <v>0.71088019684053405</v>
          </cell>
          <cell r="I413">
            <v>0.31171389859742799</v>
          </cell>
          <cell r="J413">
            <v>5.5684123932164401E-6</v>
          </cell>
          <cell r="K413">
            <v>0.61900847257414304</v>
          </cell>
          <cell r="L413">
            <v>0.233547734397548</v>
          </cell>
          <cell r="M413">
            <v>1.3640592622511101E-5</v>
          </cell>
          <cell r="N413">
            <v>0.45194978283331699</v>
          </cell>
          <cell r="O413">
            <v>1.0946481778616E-5</v>
          </cell>
        </row>
        <row r="414">
          <cell r="A414" t="str">
            <v>RHEM-SHLFOBR</v>
          </cell>
          <cell r="B414" t="str">
            <v>VAR_cap</v>
          </cell>
          <cell r="C414" t="str">
            <v>-</v>
          </cell>
          <cell r="D414">
            <v>1.65587464377338</v>
          </cell>
          <cell r="E414">
            <v>1.6558687448128824</v>
          </cell>
          <cell r="F414">
            <v>1.6558629427338669</v>
          </cell>
          <cell r="G414">
            <v>1.6558524211508532</v>
          </cell>
          <cell r="H414">
            <v>1.1402997908461201</v>
          </cell>
          <cell r="I414">
            <v>1.0225937450429541</v>
          </cell>
          <cell r="J414">
            <v>1.0225329361610038</v>
          </cell>
          <cell r="K414">
            <v>0.93072274936642974</v>
          </cell>
          <cell r="L414">
            <v>0.90045338295198507</v>
          </cell>
          <cell r="M414">
            <v>0.85255526215358335</v>
          </cell>
          <cell r="N414">
            <v>0.72110615249366206</v>
          </cell>
          <cell r="O414">
            <v>0.4519655199938441</v>
          </cell>
        </row>
        <row r="415">
          <cell r="A415" t="str">
            <v>RHES-SHNGAHP</v>
          </cell>
          <cell r="B415" t="str">
            <v>VAR_fout</v>
          </cell>
          <cell r="C415" t="str">
            <v>RHES-SHANGAH</v>
          </cell>
          <cell r="F415">
            <v>5.310304138417256E-3</v>
          </cell>
          <cell r="G415">
            <v>5.4781966070235289E-3</v>
          </cell>
          <cell r="H415">
            <v>5.7441507025003807E-2</v>
          </cell>
          <cell r="I415">
            <v>5.7758757148700164E-2</v>
          </cell>
          <cell r="J415">
            <v>5.7788485938835982E-2</v>
          </cell>
          <cell r="K415">
            <v>1.9420308137304478</v>
          </cell>
          <cell r="L415">
            <v>1.9421215174757727</v>
          </cell>
          <cell r="M415">
            <v>1.9421378849660513</v>
          </cell>
          <cell r="N415">
            <v>5.0801936638457716</v>
          </cell>
          <cell r="O415">
            <v>5.0803938400411193</v>
          </cell>
        </row>
        <row r="416">
          <cell r="A416" t="str">
            <v>RHES-SHNGAHP</v>
          </cell>
          <cell r="B416" t="str">
            <v>VAR_fout</v>
          </cell>
          <cell r="C416" t="str">
            <v>CO2_R</v>
          </cell>
          <cell r="F416">
            <v>0.149750576703367</v>
          </cell>
          <cell r="G416">
            <v>0.14854340799813801</v>
          </cell>
          <cell r="H416">
            <v>1.5068376726559101</v>
          </cell>
          <cell r="I416">
            <v>1.4673846410750899</v>
          </cell>
          <cell r="J416">
            <v>1.42950465217121</v>
          </cell>
          <cell r="K416">
            <v>46.807922177092898</v>
          </cell>
          <cell r="L416">
            <v>46.810108369928898</v>
          </cell>
          <cell r="M416">
            <v>46.810502868412499</v>
          </cell>
          <cell r="N416">
            <v>122.44569343628299</v>
          </cell>
          <cell r="O416">
            <v>122.450518195863</v>
          </cell>
        </row>
        <row r="417">
          <cell r="A417" t="str">
            <v>RHES-SHNGAHP</v>
          </cell>
          <cell r="B417" t="str">
            <v>VAR_fin</v>
          </cell>
          <cell r="C417" t="str">
            <v>RHESELCHPC</v>
          </cell>
          <cell r="F417">
            <v>5.310304138417256E-3</v>
          </cell>
          <cell r="G417">
            <v>5.4781966070235289E-3</v>
          </cell>
          <cell r="H417">
            <v>5.7441507025003807E-2</v>
          </cell>
          <cell r="I417">
            <v>5.7758757148700164E-2</v>
          </cell>
          <cell r="J417">
            <v>5.7788485938835982E-2</v>
          </cell>
          <cell r="K417">
            <v>1.9420308137304478</v>
          </cell>
          <cell r="L417">
            <v>1.9421215174757727</v>
          </cell>
          <cell r="M417">
            <v>1.9421378849660513</v>
          </cell>
          <cell r="N417">
            <v>5.0801936638457716</v>
          </cell>
          <cell r="O417">
            <v>5.0803938400411193</v>
          </cell>
        </row>
        <row r="418">
          <cell r="A418" t="str">
            <v>RHES-SHNGAHP</v>
          </cell>
          <cell r="B418" t="str">
            <v>VAR_fin</v>
          </cell>
          <cell r="C418" t="str">
            <v>RNGA</v>
          </cell>
          <cell r="F418">
            <v>2.6551520692086284E-3</v>
          </cell>
          <cell r="G418">
            <v>2.633748368761314E-3</v>
          </cell>
          <cell r="H418">
            <v>2.6716980011629709E-2</v>
          </cell>
          <cell r="I418">
            <v>2.6017458175090161E-2</v>
          </cell>
          <cell r="J418">
            <v>2.5345827166156132E-2</v>
          </cell>
          <cell r="K418">
            <v>0.82992769817540435</v>
          </cell>
          <cell r="L418">
            <v>0.82996646045973321</v>
          </cell>
          <cell r="M418">
            <v>0.82997345511369669</v>
          </cell>
          <cell r="N418">
            <v>2.1710229332674253</v>
          </cell>
          <cell r="O418">
            <v>2.1711084786500527</v>
          </cell>
        </row>
        <row r="419">
          <cell r="A419" t="str">
            <v>RHES-SHNGAHP</v>
          </cell>
          <cell r="B419" t="str">
            <v>VAR_ncap</v>
          </cell>
          <cell r="C419" t="str">
            <v>-</v>
          </cell>
          <cell r="E419">
            <v>6.8565927608359901E-7</v>
          </cell>
          <cell r="F419">
            <v>4.7915867469443003E-4</v>
          </cell>
          <cell r="G419">
            <v>1.11073658312663E-6</v>
          </cell>
          <cell r="H419">
            <v>4.2226807948245997E-3</v>
          </cell>
          <cell r="I419">
            <v>3.9841191645485899E-4</v>
          </cell>
          <cell r="J419">
            <v>1.0040366416253499E-4</v>
          </cell>
          <cell r="K419">
            <v>0.15653096323138599</v>
          </cell>
          <cell r="L419">
            <v>3.2259220020516599E-4</v>
          </cell>
          <cell r="M419">
            <v>1.78475002945584E-4</v>
          </cell>
          <cell r="N419">
            <v>0.38302857316655098</v>
          </cell>
          <cell r="O419">
            <v>2.7478167277057999E-2</v>
          </cell>
        </row>
        <row r="420">
          <cell r="A420" t="str">
            <v>RHES-SHNGAHP</v>
          </cell>
          <cell r="B420" t="str">
            <v>VAR_cap</v>
          </cell>
          <cell r="C420" t="str">
            <v>-</v>
          </cell>
          <cell r="E420">
            <v>6.8565927608359901E-7</v>
          </cell>
          <cell r="F420">
            <v>4.7965339016544848E-4</v>
          </cell>
          <cell r="G420">
            <v>4.8064010365331012E-4</v>
          </cell>
          <cell r="H420">
            <v>4.702549381807101E-3</v>
          </cell>
          <cell r="I420">
            <v>4.7214021683207692E-3</v>
          </cell>
          <cell r="J420">
            <v>4.7209268987078072E-3</v>
          </cell>
          <cell r="K420">
            <v>0.1570287113222846</v>
          </cell>
          <cell r="L420">
            <v>0.1570008679821813</v>
          </cell>
          <cell r="M420">
            <v>0.15703090721779048</v>
          </cell>
          <cell r="N420">
            <v>0.41115113958292776</v>
          </cell>
          <cell r="O420">
            <v>0.41068418697059123</v>
          </cell>
        </row>
        <row r="421">
          <cell r="A421" t="str">
            <v>D-RHES_LTH_CHPWOD</v>
          </cell>
          <cell r="B421" t="str">
            <v>VAR_fout</v>
          </cell>
          <cell r="C421" t="str">
            <v>RHES_LTH_CHPWOD_ON</v>
          </cell>
          <cell r="D421">
            <v>2.7777304440417864E-5</v>
          </cell>
          <cell r="E421">
            <v>7.0248281241993353E-5</v>
          </cell>
          <cell r="F421">
            <v>1.8400932351534007E-5</v>
          </cell>
          <cell r="G421">
            <v>2.8622274732385631E-3</v>
          </cell>
          <cell r="H421">
            <v>6.0659647632381403E-3</v>
          </cell>
          <cell r="I421">
            <v>6.0625420639569593E-3</v>
          </cell>
          <cell r="J421">
            <v>6.5442561333841015E-3</v>
          </cell>
          <cell r="K421">
            <v>1.0574946799789734E-2</v>
          </cell>
          <cell r="L421">
            <v>9.5140537765901825E-3</v>
          </cell>
          <cell r="M421">
            <v>1.14436063082638E-2</v>
          </cell>
          <cell r="N421">
            <v>1.3457342045344033E-2</v>
          </cell>
          <cell r="O421">
            <v>2.1971999965874168E-2</v>
          </cell>
        </row>
        <row r="422">
          <cell r="A422" t="str">
            <v>D-RHES_LTH_CHPWOD</v>
          </cell>
          <cell r="B422" t="str">
            <v>VAR_fout</v>
          </cell>
          <cell r="C422" t="str">
            <v>RHSA_LTH</v>
          </cell>
          <cell r="D422">
            <v>4.1184767948135819E-5</v>
          </cell>
          <cell r="E422">
            <v>6.1662972475610517E-5</v>
          </cell>
          <cell r="F422">
            <v>5.1039024787643987E-5</v>
          </cell>
          <cell r="G422">
            <v>6.684357470295774E-4</v>
          </cell>
          <cell r="H422">
            <v>4.9668565452412031E-4</v>
          </cell>
          <cell r="I422">
            <v>6.6689931919055234E-4</v>
          </cell>
          <cell r="J422">
            <v>4.2758469737372171E-4</v>
          </cell>
          <cell r="K422">
            <v>1.7815235192809338E-4</v>
          </cell>
          <cell r="L422">
            <v>6.4480657572522535E-4</v>
          </cell>
          <cell r="M422">
            <v>1.8537323352311999E-4</v>
          </cell>
          <cell r="N422">
            <v>2.6387632175575563E-4</v>
          </cell>
          <cell r="O422">
            <v>3.237389575480587E-3</v>
          </cell>
        </row>
        <row r="423">
          <cell r="A423" t="str">
            <v>D-RHES_LTH_CHPWOD</v>
          </cell>
          <cell r="B423" t="str">
            <v>VAR_fout</v>
          </cell>
          <cell r="C423" t="str">
            <v>LTH</v>
          </cell>
          <cell r="E423">
            <v>2.313530793592534E-6</v>
          </cell>
          <cell r="F423">
            <v>4.5268088411005451E-6</v>
          </cell>
          <cell r="G423">
            <v>1.1758612190803505E-6</v>
          </cell>
          <cell r="H423">
            <v>6.122817816366154E-6</v>
          </cell>
          <cell r="I423">
            <v>8.81396571178865E-6</v>
          </cell>
          <cell r="J423">
            <v>1.1634330981084156E-5</v>
          </cell>
          <cell r="K423">
            <v>2.1013709998957315E-5</v>
          </cell>
          <cell r="L423">
            <v>2.2310796835385383E-5</v>
          </cell>
          <cell r="M423">
            <v>2.9821262109412701E-5</v>
          </cell>
          <cell r="N423">
            <v>3.8031245682142859E-5</v>
          </cell>
          <cell r="O423">
            <v>7.7800205798069931E-5</v>
          </cell>
        </row>
        <row r="424">
          <cell r="A424" t="str">
            <v>D-RHES_LTH_CHPWOD</v>
          </cell>
          <cell r="B424" t="str">
            <v>VAR_fin</v>
          </cell>
          <cell r="C424" t="str">
            <v>RHES_LTH_CHPWOD</v>
          </cell>
          <cell r="D424">
            <v>6.8962072388553683E-5</v>
          </cell>
          <cell r="E424">
            <v>1.3422478451119636E-4</v>
          </cell>
          <cell r="F424">
            <v>7.3966765980278571E-5</v>
          </cell>
          <cell r="G424">
            <v>3.533126565035476E-3</v>
          </cell>
          <cell r="H424">
            <v>6.5693450300738894E-3</v>
          </cell>
          <cell r="I424">
            <v>6.7385561665722583E-3</v>
          </cell>
          <cell r="J424">
            <v>6.9834751617389099E-3</v>
          </cell>
          <cell r="K424">
            <v>1.0774112861716782E-2</v>
          </cell>
          <cell r="L424">
            <v>1.0181171149150792E-2</v>
          </cell>
          <cell r="M424">
            <v>1.165880080389633E-2</v>
          </cell>
          <cell r="N424">
            <v>1.3759249612781934E-2</v>
          </cell>
          <cell r="O424">
            <v>2.5287189747152831E-2</v>
          </cell>
        </row>
        <row r="425">
          <cell r="A425" t="str">
            <v>ITOT-SWHCONBR</v>
          </cell>
          <cell r="B425" t="str">
            <v>VAR_ncap</v>
          </cell>
          <cell r="C425" t="str">
            <v>-</v>
          </cell>
          <cell r="E425">
            <v>1.0592009749880101E-8</v>
          </cell>
          <cell r="F425">
            <v>1.5754439298431198E-8</v>
          </cell>
          <cell r="G425">
            <v>1.71371533110158E-8</v>
          </cell>
          <cell r="H425">
            <v>2.6446821596055101E-8</v>
          </cell>
          <cell r="I425">
            <v>3.2611716728859599E-8</v>
          </cell>
          <cell r="J425">
            <v>3.6349372866210398E-8</v>
          </cell>
          <cell r="K425">
            <v>4.1519996390648799E-8</v>
          </cell>
          <cell r="L425">
            <v>3.7330128495216402E-8</v>
          </cell>
          <cell r="M425">
            <v>5.1694023504772798E-8</v>
          </cell>
          <cell r="N425">
            <v>2.5434985032250201E-8</v>
          </cell>
          <cell r="O425">
            <v>7.40438613232272E-8</v>
          </cell>
        </row>
        <row r="426">
          <cell r="A426" t="str">
            <v>ITOT-SWHCONBR</v>
          </cell>
          <cell r="B426" t="str">
            <v>VAR_cap</v>
          </cell>
          <cell r="C426" t="str">
            <v>-</v>
          </cell>
          <cell r="E426">
            <v>1.0592009749880101E-8</v>
          </cell>
          <cell r="F426">
            <v>1.1363635595598501E-8</v>
          </cell>
          <cell r="G426">
            <v>9.9616890830215011E-9</v>
          </cell>
          <cell r="H426">
            <v>-3.8944405481090939E-9</v>
          </cell>
          <cell r="I426">
            <v>1.2749947850362301E-8</v>
          </cell>
          <cell r="J426">
            <v>1.3735215869607986E-8</v>
          </cell>
          <cell r="K426">
            <v>-1.206871425076402E-8</v>
          </cell>
          <cell r="L426">
            <v>1.5132890535134987E-8</v>
          </cell>
          <cell r="M426">
            <v>-1.995590953565597E-8</v>
          </cell>
          <cell r="N426">
            <v>3.0847859001644995E-8</v>
          </cell>
          <cell r="O426">
            <v>2.0135218130703002E-7</v>
          </cell>
        </row>
        <row r="427">
          <cell r="A427" t="str">
            <v>ITOT-SWHSOLBR</v>
          </cell>
          <cell r="B427" t="str">
            <v>VAR_fout</v>
          </cell>
          <cell r="C427" t="str">
            <v>ITOT-SWHASOL</v>
          </cell>
          <cell r="D427">
            <v>6.768514679096807E-2</v>
          </cell>
          <cell r="E427">
            <v>8.5501988905615459E-2</v>
          </cell>
          <cell r="F427">
            <v>8.5514814167454281E-2</v>
          </cell>
          <cell r="G427">
            <v>8.5513018404928559E-2</v>
          </cell>
          <cell r="H427">
            <v>8.5515781993019874E-2</v>
          </cell>
          <cell r="I427">
            <v>8.5517851935914227E-2</v>
          </cell>
          <cell r="J427">
            <v>8.5521506078016632E-2</v>
          </cell>
          <cell r="K427">
            <v>8.5524694309731544E-2</v>
          </cell>
          <cell r="L427">
            <v>8.552622439100839E-2</v>
          </cell>
          <cell r="M427">
            <v>8.5558189151522704E-2</v>
          </cell>
          <cell r="N427">
            <v>8.5576263525398377E-2</v>
          </cell>
          <cell r="O427">
            <v>8.570370853114255E-2</v>
          </cell>
        </row>
        <row r="428">
          <cell r="A428" t="str">
            <v>ITOT-SWHSOLBR</v>
          </cell>
          <cell r="B428" t="str">
            <v>VAR_fin</v>
          </cell>
          <cell r="C428" t="str">
            <v>SOL</v>
          </cell>
          <cell r="D428">
            <v>6.768514679096807E-2</v>
          </cell>
          <cell r="E428">
            <v>8.5501988905615459E-2</v>
          </cell>
          <cell r="F428">
            <v>8.5514814167454281E-2</v>
          </cell>
          <cell r="G428">
            <v>8.5513018404928559E-2</v>
          </cell>
          <cell r="H428">
            <v>8.5515781993019874E-2</v>
          </cell>
          <cell r="I428">
            <v>8.5517851935914227E-2</v>
          </cell>
          <cell r="J428">
            <v>8.5521506078016632E-2</v>
          </cell>
          <cell r="K428">
            <v>8.5524694309731544E-2</v>
          </cell>
          <cell r="L428">
            <v>8.552622439100839E-2</v>
          </cell>
          <cell r="M428">
            <v>8.5558189151522704E-2</v>
          </cell>
          <cell r="N428">
            <v>8.5576263525398377E-2</v>
          </cell>
          <cell r="O428">
            <v>8.570370853114255E-2</v>
          </cell>
        </row>
        <row r="429">
          <cell r="A429" t="str">
            <v>ITOT-SWHSOLBR</v>
          </cell>
          <cell r="B429" t="str">
            <v>VAR_ncap</v>
          </cell>
          <cell r="C429" t="str">
            <v>-</v>
          </cell>
          <cell r="E429">
            <v>2.94271845063748E-3</v>
          </cell>
          <cell r="F429">
            <v>1.4260694645423599E-7</v>
          </cell>
          <cell r="G429">
            <v>2.68600896962748E-7</v>
          </cell>
          <cell r="H429">
            <v>8.7070442905163598E-3</v>
          </cell>
          <cell r="I429">
            <v>4.0521358677235303E-3</v>
          </cell>
          <cell r="J429">
            <v>1.16601151399584E-6</v>
          </cell>
          <cell r="K429">
            <v>8.7018332103566895E-3</v>
          </cell>
          <cell r="L429">
            <v>3.4285996023508901E-3</v>
          </cell>
          <cell r="M429">
            <v>1.81267339038895E-3</v>
          </cell>
          <cell r="N429">
            <v>8.2452470171827004E-3</v>
          </cell>
          <cell r="O429">
            <v>1.00485210904563E-2</v>
          </cell>
        </row>
        <row r="430">
          <cell r="A430" t="str">
            <v>ITOT-SWHSOLBR</v>
          </cell>
          <cell r="B430" t="str">
            <v>VAR_cap</v>
          </cell>
          <cell r="C430" t="str">
            <v>-</v>
          </cell>
          <cell r="D430">
            <v>9.8214799778629808E-3</v>
          </cell>
          <cell r="E430">
            <v>1.2764198428500462E-2</v>
          </cell>
          <cell r="F430">
            <v>1.2764341035446911E-2</v>
          </cell>
          <cell r="G430">
            <v>1.2764609636343871E-2</v>
          </cell>
          <cell r="H430">
            <v>1.2762187799467381E-2</v>
          </cell>
          <cell r="I430">
            <v>1.2759427605681901E-2</v>
          </cell>
          <cell r="J430">
            <v>1.2760346169753901E-2</v>
          </cell>
          <cell r="K430">
            <v>1.2755135089594199E-2</v>
          </cell>
          <cell r="L430">
            <v>1.2754071533317901E-2</v>
          </cell>
          <cell r="M430">
            <v>1.39431062030965E-2</v>
          </cell>
          <cell r="N430">
            <v>1.3940892431383901E-2</v>
          </cell>
          <cell r="O430">
            <v>2.0106441498027899E-2</v>
          </cell>
        </row>
        <row r="431">
          <cell r="A431" t="str">
            <v>SCOM-SHNGAHP</v>
          </cell>
          <cell r="B431" t="str">
            <v>VAR_fout</v>
          </cell>
          <cell r="C431" t="str">
            <v>SCOM-SHANGAH</v>
          </cell>
          <cell r="F431">
            <v>5.4832890867895934E-3</v>
          </cell>
          <cell r="G431">
            <v>5.6476229983300503E-3</v>
          </cell>
          <cell r="H431">
            <v>2.4215167444298857E-2</v>
          </cell>
          <cell r="I431">
            <v>3.4852262064855311E-2</v>
          </cell>
          <cell r="J431">
            <v>6.53581570085221E-2</v>
          </cell>
          <cell r="K431">
            <v>6.0509019459118893E-2</v>
          </cell>
          <cell r="L431">
            <v>4.4763508379084008E-2</v>
          </cell>
          <cell r="M431">
            <v>0.15522323280655906</v>
          </cell>
          <cell r="N431">
            <v>0.14519172753693901</v>
          </cell>
          <cell r="O431">
            <v>0.21870629537401279</v>
          </cell>
        </row>
        <row r="432">
          <cell r="A432" t="str">
            <v>SCOM-SHNGAHP</v>
          </cell>
          <cell r="B432" t="str">
            <v>VAR_fout</v>
          </cell>
          <cell r="C432" t="str">
            <v>CO2_S</v>
          </cell>
          <cell r="F432">
            <v>0.156190658835825</v>
          </cell>
          <cell r="G432">
            <v>0.15614016524794799</v>
          </cell>
          <cell r="H432">
            <v>0.65035021136116899</v>
          </cell>
          <cell r="I432">
            <v>0.91003128724899995</v>
          </cell>
          <cell r="J432">
            <v>1.66045047535164</v>
          </cell>
          <cell r="K432">
            <v>1.49680206030452</v>
          </cell>
          <cell r="L432">
            <v>1.10730783885103</v>
          </cell>
          <cell r="M432">
            <v>3.8397326010043602</v>
          </cell>
          <cell r="N432">
            <v>3.59158483907165</v>
          </cell>
          <cell r="O432">
            <v>5.4101030960939998</v>
          </cell>
        </row>
        <row r="433">
          <cell r="A433" t="str">
            <v>SCOM-SHNGAHP</v>
          </cell>
          <cell r="B433" t="str">
            <v>VAR_fin</v>
          </cell>
          <cell r="C433" t="str">
            <v>SCOMELCHPC</v>
          </cell>
          <cell r="F433">
            <v>5.4832890867895934E-3</v>
          </cell>
          <cell r="G433">
            <v>5.6476229983300503E-3</v>
          </cell>
          <cell r="H433">
            <v>2.4215167444298857E-2</v>
          </cell>
          <cell r="I433">
            <v>3.4852262064855311E-2</v>
          </cell>
          <cell r="J433">
            <v>6.53581570085221E-2</v>
          </cell>
          <cell r="K433">
            <v>6.0509019459118893E-2</v>
          </cell>
          <cell r="L433">
            <v>4.4763508379084008E-2</v>
          </cell>
          <cell r="M433">
            <v>0.15522323280655906</v>
          </cell>
          <cell r="N433">
            <v>0.14519172753693901</v>
          </cell>
          <cell r="O433">
            <v>0.21870629537401279</v>
          </cell>
        </row>
        <row r="434">
          <cell r="A434" t="str">
            <v>SCOM-SHNGAHP</v>
          </cell>
          <cell r="B434" t="str">
            <v>VAR_fin</v>
          </cell>
          <cell r="C434" t="str">
            <v>SNGA</v>
          </cell>
          <cell r="F434">
            <v>2.7693379226210084E-3</v>
          </cell>
          <cell r="G434">
            <v>2.7684426462402183E-3</v>
          </cell>
          <cell r="H434">
            <v>1.1531032116332787E-2</v>
          </cell>
          <cell r="I434">
            <v>1.6135306511507075E-2</v>
          </cell>
          <cell r="J434">
            <v>2.9440611265100051E-2</v>
          </cell>
          <cell r="K434">
            <v>2.6539043622420579E-2</v>
          </cell>
          <cell r="L434">
            <v>1.9633117710124555E-2</v>
          </cell>
          <cell r="M434">
            <v>6.8080365266034629E-2</v>
          </cell>
          <cell r="N434">
            <v>6.3680582253043433E-2</v>
          </cell>
          <cell r="O434">
            <v>9.5923813760532023E-2</v>
          </cell>
        </row>
        <row r="435">
          <cell r="A435" t="str">
            <v>SCOM-SHNGAHP</v>
          </cell>
          <cell r="B435" t="str">
            <v>VAR_ncap</v>
          </cell>
          <cell r="C435" t="str">
            <v>-</v>
          </cell>
          <cell r="D435">
            <v>1.28468545237621E-6</v>
          </cell>
          <cell r="E435">
            <v>9.5945803456817601E-5</v>
          </cell>
          <cell r="F435">
            <v>3.4746433941825502E-4</v>
          </cell>
          <cell r="G435">
            <v>1.0080043684394799E-5</v>
          </cell>
          <cell r="H435">
            <v>1.47111669841349E-3</v>
          </cell>
          <cell r="I435">
            <v>1.1475772315483099E-3</v>
          </cell>
          <cell r="J435">
            <v>2.4307169037467401E-3</v>
          </cell>
          <cell r="K435">
            <v>1.10703816137893E-3</v>
          </cell>
          <cell r="L435">
            <v>7.1727986273804407E-5</v>
          </cell>
          <cell r="M435">
            <v>1.08174128285495E-2</v>
          </cell>
          <cell r="N435">
            <v>1.6552764214007801E-4</v>
          </cell>
          <cell r="O435">
            <v>5.93034076465262E-3</v>
          </cell>
        </row>
        <row r="436">
          <cell r="A436" t="str">
            <v>SCOM-SHNGAHP</v>
          </cell>
          <cell r="B436" t="str">
            <v>VAR_cap</v>
          </cell>
          <cell r="C436" t="str">
            <v>-</v>
          </cell>
          <cell r="D436">
            <v>1.28468545237621E-6</v>
          </cell>
          <cell r="E436">
            <v>9.682311456853259E-5</v>
          </cell>
          <cell r="F436">
            <v>4.4252378185128153E-4</v>
          </cell>
          <cell r="G436">
            <v>4.5351260502071451E-4</v>
          </cell>
          <cell r="H436">
            <v>1.8754174674344194E-3</v>
          </cell>
          <cell r="I436">
            <v>2.6966855682521778E-3</v>
          </cell>
          <cell r="J436">
            <v>5.0481628680368448E-3</v>
          </cell>
          <cell r="K436">
            <v>4.6823399452406433E-3</v>
          </cell>
          <cell r="L436">
            <v>3.4603807259211464E-3</v>
          </cell>
          <cell r="M436">
            <v>1.1992653205144848E-2</v>
          </cell>
          <cell r="N436">
            <v>1.1222792529310886E-2</v>
          </cell>
          <cell r="O436">
            <v>1.6909741033500552E-2</v>
          </cell>
        </row>
        <row r="437">
          <cell r="A437" t="str">
            <v>D-RHNM_LTH_CHPNGA</v>
          </cell>
          <cell r="B437" t="str">
            <v>VAR_fout</v>
          </cell>
          <cell r="C437" t="str">
            <v>RHSA_LTH</v>
          </cell>
          <cell r="D437">
            <v>4.1748104734936809E-5</v>
          </cell>
          <cell r="E437">
            <v>2.3702797683127446E-4</v>
          </cell>
          <cell r="F437">
            <v>5.0852072530022724E-3</v>
          </cell>
          <cell r="G437">
            <v>5.9343471442681198E-4</v>
          </cell>
          <cell r="H437">
            <v>3.5032135910731878E-2</v>
          </cell>
          <cell r="I437">
            <v>4.9384224514752997E-4</v>
          </cell>
          <cell r="J437">
            <v>8.9586956376485838E-2</v>
          </cell>
          <cell r="K437">
            <v>7.1520919308486609E-4</v>
          </cell>
          <cell r="L437">
            <v>6.4557616773639415E-2</v>
          </cell>
          <cell r="M437">
            <v>1.3940614111394354E-2</v>
          </cell>
          <cell r="N437">
            <v>4.2955398017677801E-4</v>
          </cell>
          <cell r="O437">
            <v>3.8177989060968545E-2</v>
          </cell>
        </row>
        <row r="438">
          <cell r="A438" t="str">
            <v>D-RHNM_LTH_CHPNGA</v>
          </cell>
          <cell r="B438" t="str">
            <v>VAR_fout</v>
          </cell>
          <cell r="C438" t="str">
            <v>LTH</v>
          </cell>
          <cell r="F438">
            <v>1.7024308976860622E-5</v>
          </cell>
          <cell r="G438">
            <v>5.2802134255362397E-4</v>
          </cell>
          <cell r="H438">
            <v>8.1838540565933678E-4</v>
          </cell>
          <cell r="I438">
            <v>1.6314446216636961E-3</v>
          </cell>
          <cell r="J438">
            <v>1.962465846870954E-3</v>
          </cell>
          <cell r="K438">
            <v>1.4313664993868094E-3</v>
          </cell>
          <cell r="L438">
            <v>1.420559151456184E-3</v>
          </cell>
          <cell r="M438">
            <v>3.1733213733360259E-3</v>
          </cell>
          <cell r="N438">
            <v>1.6243070988440015E-3</v>
          </cell>
          <cell r="O438">
            <v>5.5029408638259455E-4</v>
          </cell>
        </row>
        <row r="439">
          <cell r="A439" t="str">
            <v>D-RHNM_LTH_CHPNGA</v>
          </cell>
          <cell r="B439" t="str">
            <v>VAR_fout</v>
          </cell>
          <cell r="C439" t="str">
            <v>RHNM_LTH_CHPNGA_ON</v>
          </cell>
          <cell r="D439">
            <v>3.2690812844986578E-5</v>
          </cell>
          <cell r="E439">
            <v>2.781169063938767E-3</v>
          </cell>
          <cell r="F439">
            <v>4.8471374800863783E-2</v>
          </cell>
          <cell r="G439">
            <v>0.75633305743674728</v>
          </cell>
          <cell r="H439">
            <v>0.7534022929331522</v>
          </cell>
          <cell r="I439">
            <v>0.81663832043319795</v>
          </cell>
          <cell r="J439">
            <v>0.78490015022602255</v>
          </cell>
          <cell r="K439">
            <v>0.84194470626504547</v>
          </cell>
          <cell r="L439">
            <v>0.77155451145084075</v>
          </cell>
          <cell r="M439">
            <v>0.8076524704997512</v>
          </cell>
          <cell r="N439">
            <v>0.52363568664775728</v>
          </cell>
          <cell r="O439">
            <v>0.12688295613399941</v>
          </cell>
        </row>
        <row r="440">
          <cell r="A440" t="str">
            <v>D-RHNM_LTH_CHPNGA</v>
          </cell>
          <cell r="B440" t="str">
            <v>VAR_fin</v>
          </cell>
          <cell r="C440" t="str">
            <v>RHNM_LTH_CHPNGA</v>
          </cell>
          <cell r="D440">
            <v>7.4438917579923401E-5</v>
          </cell>
          <cell r="E440">
            <v>3.0188804238629199E-3</v>
          </cell>
          <cell r="F440">
            <v>5.3573737761174571E-2</v>
          </cell>
          <cell r="G440">
            <v>0.75745451349372839</v>
          </cell>
          <cell r="H440">
            <v>0.78925281424954352</v>
          </cell>
          <cell r="I440">
            <v>0.8187636073000093</v>
          </cell>
          <cell r="J440">
            <v>0.87644957244938027</v>
          </cell>
          <cell r="K440">
            <v>0.84409128195751715</v>
          </cell>
          <cell r="L440">
            <v>0.837532687375936</v>
          </cell>
          <cell r="M440">
            <v>0.8247664059844817</v>
          </cell>
          <cell r="N440">
            <v>0.52568954772677734</v>
          </cell>
          <cell r="O440">
            <v>0.1656112392813506</v>
          </cell>
        </row>
        <row r="441">
          <cell r="A441" t="str">
            <v>RHNM-SHELCHP</v>
          </cell>
          <cell r="B441" t="str">
            <v>VAR_fout</v>
          </cell>
          <cell r="C441" t="str">
            <v>RHNM-SHAELCH</v>
          </cell>
          <cell r="E441">
            <v>0.52869613564069551</v>
          </cell>
          <cell r="F441">
            <v>1.9862408126201636</v>
          </cell>
          <cell r="G441">
            <v>3.3656334226212206</v>
          </cell>
          <cell r="H441">
            <v>3.365667127066212</v>
          </cell>
          <cell r="I441">
            <v>3.3656974407373421</v>
          </cell>
          <cell r="J441">
            <v>3.3657579099525945</v>
          </cell>
          <cell r="K441">
            <v>3.3661622143639529</v>
          </cell>
          <cell r="L441">
            <v>3.3661933161414512</v>
          </cell>
          <cell r="M441">
            <v>3.3662881655900749</v>
          </cell>
          <cell r="N441">
            <v>3.3664721708534633</v>
          </cell>
          <cell r="O441">
            <v>3.3667174119237493</v>
          </cell>
        </row>
        <row r="442">
          <cell r="A442" t="str">
            <v>RHNM-SHELCHP</v>
          </cell>
          <cell r="B442" t="str">
            <v>VAR_fin</v>
          </cell>
          <cell r="C442" t="str">
            <v>RHNM_ELC</v>
          </cell>
          <cell r="E442">
            <v>0.16250905808627925</v>
          </cell>
          <cell r="F442">
            <v>0.59587224378604864</v>
          </cell>
          <cell r="G442">
            <v>0.97085579498688901</v>
          </cell>
          <cell r="H442">
            <v>0.93925594243708155</v>
          </cell>
          <cell r="I442">
            <v>0.90964795695603795</v>
          </cell>
          <cell r="J442">
            <v>0.88572576577699813</v>
          </cell>
          <cell r="K442">
            <v>0.86311851650357796</v>
          </cell>
          <cell r="L442">
            <v>0.86312649131832164</v>
          </cell>
          <cell r="M442">
            <v>0.86315081168976404</v>
          </cell>
          <cell r="N442">
            <v>0.86319799252652873</v>
          </cell>
          <cell r="O442">
            <v>0.86326087485224379</v>
          </cell>
        </row>
        <row r="443">
          <cell r="A443" t="str">
            <v>RHNM-SHELCHP</v>
          </cell>
          <cell r="B443" t="str">
            <v>VAR_fin</v>
          </cell>
          <cell r="C443" t="str">
            <v>RHNMELCHPC</v>
          </cell>
          <cell r="E443">
            <v>0.52869613564069551</v>
          </cell>
          <cell r="F443">
            <v>1.9862408126201636</v>
          </cell>
          <cell r="G443">
            <v>3.3656334226212206</v>
          </cell>
          <cell r="H443">
            <v>3.365667127066212</v>
          </cell>
          <cell r="I443">
            <v>3.3656974407373421</v>
          </cell>
          <cell r="J443">
            <v>3.3657579099525945</v>
          </cell>
          <cell r="K443">
            <v>3.3661622143639529</v>
          </cell>
          <cell r="L443">
            <v>3.3661933161414512</v>
          </cell>
          <cell r="M443">
            <v>3.3662881655900749</v>
          </cell>
          <cell r="N443">
            <v>3.3664721708534633</v>
          </cell>
          <cell r="O443">
            <v>3.3667174119237493</v>
          </cell>
        </row>
        <row r="444">
          <cell r="A444" t="str">
            <v>RHNM-SHELCHP</v>
          </cell>
          <cell r="B444" t="str">
            <v>VAR_ncap</v>
          </cell>
          <cell r="C444" t="str">
            <v>-</v>
          </cell>
          <cell r="E444">
            <v>4.1202030757553597E-2</v>
          </cell>
          <cell r="F444">
            <v>0.113234085021539</v>
          </cell>
          <cell r="G444">
            <v>0.109325082050408</v>
          </cell>
          <cell r="H444">
            <v>1.89298339035892E-2</v>
          </cell>
          <cell r="I444">
            <v>0.13013467190917999</v>
          </cell>
          <cell r="J444">
            <v>0.112311763382015</v>
          </cell>
          <cell r="K444">
            <v>1.9200191219428699E-2</v>
          </cell>
          <cell r="L444">
            <v>0.124849250315358</v>
          </cell>
          <cell r="M444">
            <v>0.117689645742628</v>
          </cell>
          <cell r="N444">
            <v>5.5173124404036801E-2</v>
          </cell>
          <cell r="O444">
            <v>8.8908849064078893E-2</v>
          </cell>
        </row>
        <row r="445">
          <cell r="A445" t="str">
            <v>RHNM-SHELCHP</v>
          </cell>
          <cell r="B445" t="str">
            <v>VAR_cap</v>
          </cell>
          <cell r="C445" t="str">
            <v>-</v>
          </cell>
          <cell r="E445">
            <v>4.1202030757553597E-2</v>
          </cell>
          <cell r="F445">
            <v>0.15443567210844275</v>
          </cell>
          <cell r="G445">
            <v>0.26375953994522022</v>
          </cell>
          <cell r="H445">
            <v>0.26259585001135927</v>
          </cell>
          <cell r="I445">
            <v>0.26136707350176658</v>
          </cell>
          <cell r="J445">
            <v>0.26137495422165058</v>
          </cell>
          <cell r="K445">
            <v>0.26164326206349614</v>
          </cell>
          <cell r="L445">
            <v>0.26147346678421785</v>
          </cell>
          <cell r="M445">
            <v>0.26173730075852353</v>
          </cell>
          <cell r="N445">
            <v>0.26153105288792083</v>
          </cell>
          <cell r="O445">
            <v>0.26176975377297729</v>
          </cell>
        </row>
        <row r="446">
          <cell r="A446" t="str">
            <v>D-IH2R</v>
          </cell>
          <cell r="B446" t="str">
            <v>VAR_fout</v>
          </cell>
          <cell r="C446" t="str">
            <v>IH2</v>
          </cell>
          <cell r="G446">
            <v>2.4380459561570756E-3</v>
          </cell>
          <cell r="H446">
            <v>1.0828496610715633E-2</v>
          </cell>
          <cell r="I446">
            <v>1.5020540662714271E-2</v>
          </cell>
          <cell r="J446">
            <v>1.516755344760588E-2</v>
          </cell>
          <cell r="K446">
            <v>1.953161784784458E-2</v>
          </cell>
          <cell r="L446">
            <v>1.3548987677444885E-2</v>
          </cell>
          <cell r="M446">
            <v>2.6305748806672649E-2</v>
          </cell>
          <cell r="N446">
            <v>2.4620254843318201E-2</v>
          </cell>
          <cell r="O446">
            <v>0.10356011252353256</v>
          </cell>
        </row>
        <row r="447">
          <cell r="A447" t="str">
            <v>D-IH2R</v>
          </cell>
          <cell r="B447" t="str">
            <v>VAR_fin</v>
          </cell>
          <cell r="C447" t="str">
            <v>H2</v>
          </cell>
          <cell r="G447">
            <v>2.4380459561570756E-3</v>
          </cell>
          <cell r="H447">
            <v>1.0828496610715633E-2</v>
          </cell>
          <cell r="I447">
            <v>1.5020540662714271E-2</v>
          </cell>
          <cell r="J447">
            <v>1.516755344760588E-2</v>
          </cell>
          <cell r="K447">
            <v>1.953161784784458E-2</v>
          </cell>
          <cell r="L447">
            <v>1.3548987677444885E-2</v>
          </cell>
          <cell r="M447">
            <v>2.6305748806672649E-2</v>
          </cell>
          <cell r="N447">
            <v>2.4620254843318201E-2</v>
          </cell>
          <cell r="O447">
            <v>0.10356011252353256</v>
          </cell>
        </row>
        <row r="448">
          <cell r="A448" t="str">
            <v>D-IH2R</v>
          </cell>
          <cell r="B448" t="str">
            <v>VAR_ncap</v>
          </cell>
          <cell r="C448" t="str">
            <v>-</v>
          </cell>
          <cell r="G448">
            <v>4.2434350555057697E-4</v>
          </cell>
          <cell r="H448">
            <v>7.4085441494591605E-4</v>
          </cell>
          <cell r="I448">
            <v>1.03086680061386E-3</v>
          </cell>
          <cell r="J448">
            <v>1.1870432678953199E-3</v>
          </cell>
          <cell r="K448">
            <v>1.6489272415360601E-4</v>
          </cell>
          <cell r="L448">
            <v>5.2932212133194995E-4</v>
          </cell>
          <cell r="M448">
            <v>1.16852014645497E-3</v>
          </cell>
          <cell r="N448">
            <v>1.2903840082761401E-3</v>
          </cell>
          <cell r="O448">
            <v>5.4682712621010997E-3</v>
          </cell>
        </row>
        <row r="449">
          <cell r="A449" t="str">
            <v>D-IH2R</v>
          </cell>
          <cell r="B449" t="str">
            <v>VAR_cap</v>
          </cell>
          <cell r="C449" t="str">
            <v>-</v>
          </cell>
          <cell r="G449">
            <v>4.2434350555057697E-4</v>
          </cell>
          <cell r="H449">
            <v>1.06300841883299E-3</v>
          </cell>
          <cell r="I449">
            <v>1.18644395915703E-3</v>
          </cell>
          <cell r="J449">
            <v>1.1870432678953199E-3</v>
          </cell>
          <cell r="K449">
            <v>1.3519359920489201E-3</v>
          </cell>
          <cell r="L449">
            <v>7.6177107711776905E-4</v>
          </cell>
          <cell r="M449">
            <v>1.5703720388548299E-3</v>
          </cell>
          <cell r="N449">
            <v>1.49735454398555E-3</v>
          </cell>
          <cell r="O449">
            <v>6.7586552703772403E-3</v>
          </cell>
        </row>
        <row r="450">
          <cell r="A450" t="str">
            <v>RHEM-SHSTG-ELC</v>
          </cell>
          <cell r="B450" t="str">
            <v>VAR_fout</v>
          </cell>
          <cell r="C450" t="str">
            <v>RHEM-SHAELCB</v>
          </cell>
          <cell r="D450">
            <v>2.2241553321532786E-6</v>
          </cell>
          <cell r="E450">
            <v>0.84255234917174338</v>
          </cell>
          <cell r="F450">
            <v>0.74954064765600481</v>
          </cell>
          <cell r="G450">
            <v>0.78183116431755906</v>
          </cell>
          <cell r="H450">
            <v>0.34499674731981239</v>
          </cell>
          <cell r="I450">
            <v>0.37960128375174312</v>
          </cell>
          <cell r="J450">
            <v>0.36763213627290836</v>
          </cell>
          <cell r="K450">
            <v>0.24841276765105794</v>
          </cell>
          <cell r="L450">
            <v>7.0085826304089216E-2</v>
          </cell>
          <cell r="M450">
            <v>5.0457887204512962E-2</v>
          </cell>
          <cell r="N450">
            <v>5.0768162182935013E-2</v>
          </cell>
          <cell r="O450">
            <v>3.9245646705958058E-2</v>
          </cell>
        </row>
        <row r="451">
          <cell r="A451" t="str">
            <v>RHEM-SHSTG-ELC</v>
          </cell>
          <cell r="B451" t="str">
            <v>VAR_fin</v>
          </cell>
          <cell r="C451" t="str">
            <v>RHEM-SHAELCB</v>
          </cell>
          <cell r="D451">
            <v>4.7557221519238237E-6</v>
          </cell>
          <cell r="E451">
            <v>0.84257889259333896</v>
          </cell>
          <cell r="F451">
            <v>0.74956658385928665</v>
          </cell>
          <cell r="G451">
            <v>0.78185570873732857</v>
          </cell>
          <cell r="H451">
            <v>0.34500949467787312</v>
          </cell>
          <cell r="I451">
            <v>0.37962201422356701</v>
          </cell>
          <cell r="J451">
            <v>0.36765286446991013</v>
          </cell>
          <cell r="K451">
            <v>0.24842848358543423</v>
          </cell>
          <cell r="L451">
            <v>7.0092851330821326E-2</v>
          </cell>
          <cell r="M451">
            <v>5.0468130653975957E-2</v>
          </cell>
          <cell r="N451">
            <v>5.0775284400963426E-2</v>
          </cell>
          <cell r="O451">
            <v>3.9256367450231866E-2</v>
          </cell>
        </row>
        <row r="452">
          <cell r="A452" t="str">
            <v>RHEM-SHSTG-ELC</v>
          </cell>
          <cell r="B452" t="str">
            <v>VAR_ncap</v>
          </cell>
          <cell r="C452" t="str">
            <v>-</v>
          </cell>
          <cell r="D452">
            <v>1.8495455960023499E-2</v>
          </cell>
          <cell r="E452">
            <v>5.8521371836396698E-2</v>
          </cell>
          <cell r="F452">
            <v>1.4375813147778001E-4</v>
          </cell>
          <cell r="G452">
            <v>1.50373150130409E-4</v>
          </cell>
          <cell r="H452">
            <v>1.40197071786425E-3</v>
          </cell>
          <cell r="I452">
            <v>3.5524953080846501E-2</v>
          </cell>
          <cell r="J452">
            <v>3.1599412369298202E-4</v>
          </cell>
          <cell r="K452">
            <v>7.6156344602216705E-4</v>
          </cell>
          <cell r="L452">
            <v>3.0856093479704502E-3</v>
          </cell>
          <cell r="M452">
            <v>3.1867093968286401E-3</v>
          </cell>
          <cell r="N452">
            <v>1.4805064026690499E-3</v>
          </cell>
          <cell r="O452">
            <v>1.6827809864970501E-3</v>
          </cell>
        </row>
        <row r="453">
          <cell r="A453" t="str">
            <v>RHEM-SHSTG-ELC</v>
          </cell>
          <cell r="B453" t="str">
            <v>VAR_cap</v>
          </cell>
          <cell r="C453" t="str">
            <v>-</v>
          </cell>
          <cell r="D453">
            <v>1.8495455960023499E-2</v>
          </cell>
          <cell r="E453">
            <v>7.6896037251237698E-2</v>
          </cell>
          <cell r="F453">
            <v>7.6898183392865582E-2</v>
          </cell>
          <cell r="G453">
            <v>7.690106927663598E-2</v>
          </cell>
          <cell r="H453">
            <v>3.5947045514564492E-2</v>
          </cell>
          <cell r="I453">
            <v>3.6950071545963824E-2</v>
          </cell>
          <cell r="J453">
            <v>3.6948377473026012E-2</v>
          </cell>
          <cell r="K453">
            <v>2.4790560452376001E-2</v>
          </cell>
          <cell r="L453">
            <v>7.0950779963621403E-3</v>
          </cell>
          <cell r="M453">
            <v>6.4392317357002751E-3</v>
          </cell>
          <cell r="N453">
            <v>6.2710781783906931E-3</v>
          </cell>
          <cell r="O453">
            <v>5.6017157524979469E-3</v>
          </cell>
        </row>
        <row r="454">
          <cell r="A454" t="str">
            <v>RHNM-SHLTHCHPWOD</v>
          </cell>
          <cell r="B454" t="str">
            <v>VAR_fout</v>
          </cell>
          <cell r="C454" t="str">
            <v>RHNM-SHLTHC-WOD</v>
          </cell>
          <cell r="G454">
            <v>1.1272875346317683E-2</v>
          </cell>
          <cell r="H454">
            <v>1.1503124672620966E-2</v>
          </cell>
          <cell r="I454">
            <v>9.2842477364738722E-3</v>
          </cell>
          <cell r="J454">
            <v>1.0829216798837304E-2</v>
          </cell>
          <cell r="K454">
            <v>2.4704125475279035E-2</v>
          </cell>
          <cell r="L454">
            <v>2.5221797623967857E-2</v>
          </cell>
          <cell r="M454">
            <v>2.0748506730217678E-2</v>
          </cell>
          <cell r="N454">
            <v>2.0908901568281138E-2</v>
          </cell>
          <cell r="O454">
            <v>3.3194515748697209E-2</v>
          </cell>
        </row>
        <row r="455">
          <cell r="A455" t="str">
            <v>RHNM-SHLTHCHPWOD</v>
          </cell>
          <cell r="B455" t="str">
            <v>VAR_fin</v>
          </cell>
          <cell r="C455" t="str">
            <v>RHNM_LTH_CHPWOD_ON</v>
          </cell>
          <cell r="G455">
            <v>1.1386742774058267E-2</v>
          </cell>
          <cell r="H455">
            <v>1.161931785113229E-2</v>
          </cell>
          <cell r="I455">
            <v>9.3780280166402656E-3</v>
          </cell>
          <cell r="J455">
            <v>1.0938602827108389E-2</v>
          </cell>
          <cell r="K455">
            <v>2.4953662096241454E-2</v>
          </cell>
          <cell r="L455">
            <v>2.5476563256533243E-2</v>
          </cell>
          <cell r="M455">
            <v>2.0958087606280477E-2</v>
          </cell>
          <cell r="N455">
            <v>2.1120102594223363E-2</v>
          </cell>
          <cell r="O455">
            <v>3.3529813887572903E-2</v>
          </cell>
        </row>
        <row r="456">
          <cell r="A456" t="str">
            <v>RHNM-SHLTHCHPWOD</v>
          </cell>
          <cell r="B456" t="str">
            <v>VAR_fin</v>
          </cell>
          <cell r="C456" t="str">
            <v>RHNMLTHCHPC</v>
          </cell>
          <cell r="G456">
            <v>1.1272875346317683E-2</v>
          </cell>
          <cell r="H456">
            <v>1.1503124672620966E-2</v>
          </cell>
          <cell r="I456">
            <v>9.2842477364738722E-3</v>
          </cell>
          <cell r="J456">
            <v>1.0829216798837304E-2</v>
          </cell>
          <cell r="K456">
            <v>2.4704125475279035E-2</v>
          </cell>
          <cell r="L456">
            <v>2.5221797623967857E-2</v>
          </cell>
          <cell r="M456">
            <v>2.0748506730217678E-2</v>
          </cell>
          <cell r="N456">
            <v>2.0908901568281138E-2</v>
          </cell>
          <cell r="O456">
            <v>3.3194515748697209E-2</v>
          </cell>
        </row>
        <row r="457">
          <cell r="A457" t="str">
            <v>RHNM-SHLTHCHPWOD</v>
          </cell>
          <cell r="B457" t="str">
            <v>VAR_ncap</v>
          </cell>
          <cell r="C457" t="str">
            <v>-</v>
          </cell>
          <cell r="G457">
            <v>1.0631648226555001E-3</v>
          </cell>
          <cell r="H457">
            <v>9.2493624972872295E-4</v>
          </cell>
          <cell r="I457">
            <v>8.2191669263616599E-4</v>
          </cell>
          <cell r="J457">
            <v>9.2092828869884196E-4</v>
          </cell>
          <cell r="K457">
            <v>2.3592521934517898E-3</v>
          </cell>
          <cell r="L457">
            <v>1.8564654574914699E-3</v>
          </cell>
          <cell r="M457">
            <v>1.6255243836490599E-3</v>
          </cell>
          <cell r="N457">
            <v>1.71405768728882E-3</v>
          </cell>
          <cell r="O457">
            <v>3.03624025595371E-3</v>
          </cell>
        </row>
        <row r="458">
          <cell r="A458" t="str">
            <v>RHNM-SHLTHCHPWOD</v>
          </cell>
          <cell r="B458" t="str">
            <v>VAR_cap</v>
          </cell>
          <cell r="C458" t="str">
            <v>-</v>
          </cell>
          <cell r="G458">
            <v>1.0631648226555001E-3</v>
          </cell>
          <cell r="H458">
            <v>1.2198599855921342E-3</v>
          </cell>
          <cell r="I458">
            <v>1.1024154456692201E-3</v>
          </cell>
          <cell r="J458">
            <v>1.34146947342929E-3</v>
          </cell>
          <cell r="K458">
            <v>2.9435484014656401E-3</v>
          </cell>
          <cell r="L458">
            <v>2.7577244509698899E-3</v>
          </cell>
          <cell r="M458">
            <v>2.5140045136309401E-3</v>
          </cell>
          <cell r="N458">
            <v>2.5582886528495502E-3</v>
          </cell>
          <cell r="O458">
            <v>4.0795875693289E-3</v>
          </cell>
        </row>
        <row r="459">
          <cell r="A459" t="str">
            <v>ITOT-SWHDEM</v>
          </cell>
          <cell r="B459" t="str">
            <v>VAR_fout</v>
          </cell>
          <cell r="C459" t="str">
            <v>ITOT-SWHD</v>
          </cell>
          <cell r="D459">
            <v>72.708169056255471</v>
          </cell>
          <cell r="E459">
            <v>74.35269248141455</v>
          </cell>
          <cell r="F459">
            <v>76.093376262787288</v>
          </cell>
          <cell r="G459">
            <v>76.973110072846765</v>
          </cell>
          <cell r="H459">
            <v>77.462434178702125</v>
          </cell>
          <cell r="I459">
            <v>77.661538578792488</v>
          </cell>
          <cell r="J459">
            <v>77.719365815060243</v>
          </cell>
          <cell r="K459">
            <v>77.777193051328268</v>
          </cell>
          <cell r="L459">
            <v>77.125504130101447</v>
          </cell>
          <cell r="M459">
            <v>79.045893170031718</v>
          </cell>
          <cell r="N459">
            <v>76.308739666594519</v>
          </cell>
          <cell r="O459">
            <v>75.676382507118007</v>
          </cell>
        </row>
        <row r="460">
          <cell r="A460" t="str">
            <v>ITOT-SWHDEM</v>
          </cell>
          <cell r="B460" t="str">
            <v>VAR_fin</v>
          </cell>
          <cell r="C460" t="str">
            <v>ITOT-SWHNGAH</v>
          </cell>
          <cell r="F460">
            <v>7.7791642885013598E-2</v>
          </cell>
          <cell r="G460">
            <v>0.17176982071236407</v>
          </cell>
          <cell r="H460">
            <v>0.21145511905819536</v>
          </cell>
          <cell r="I460">
            <v>0.23850980211202633</v>
          </cell>
          <cell r="J460">
            <v>0.24349444584140112</v>
          </cell>
          <cell r="K460">
            <v>0.24281526847593365</v>
          </cell>
          <cell r="L460">
            <v>0.2432132168682164</v>
          </cell>
          <cell r="M460">
            <v>3.2632104026698325</v>
          </cell>
          <cell r="N460">
            <v>3.2621377419498323</v>
          </cell>
          <cell r="O460">
            <v>3.2575504823542776</v>
          </cell>
        </row>
        <row r="461">
          <cell r="A461" t="str">
            <v>ITOT-SWHDEM</v>
          </cell>
          <cell r="B461" t="str">
            <v>VAR_fin</v>
          </cell>
          <cell r="C461" t="str">
            <v>ITOT-SWH</v>
          </cell>
          <cell r="D461">
            <v>61.718314748692563</v>
          </cell>
          <cell r="E461">
            <v>58.487775592815233</v>
          </cell>
          <cell r="F461">
            <v>58.098566989640389</v>
          </cell>
          <cell r="G461">
            <v>56.357214792892258</v>
          </cell>
          <cell r="H461">
            <v>54.217839454477051</v>
          </cell>
          <cell r="I461">
            <v>53.436687666968709</v>
          </cell>
          <cell r="J461">
            <v>53.265088780515896</v>
          </cell>
          <cell r="K461">
            <v>53.153512607850303</v>
          </cell>
          <cell r="L461">
            <v>52.502201360625016</v>
          </cell>
          <cell r="M461">
            <v>50.09839497616553</v>
          </cell>
          <cell r="N461">
            <v>47.380427933090402</v>
          </cell>
          <cell r="O461">
            <v>46.763527411491765</v>
          </cell>
        </row>
        <row r="462">
          <cell r="A462" t="str">
            <v>ITOT-SWHDEM</v>
          </cell>
          <cell r="B462" t="str">
            <v>VAR_fin</v>
          </cell>
          <cell r="C462" t="str">
            <v>ITOT-SWHELCH</v>
          </cell>
          <cell r="D462">
            <v>1.1081275654045448</v>
          </cell>
          <cell r="E462">
            <v>1.4007973039911752</v>
          </cell>
          <cell r="F462">
            <v>3.520363667612084</v>
          </cell>
          <cell r="G462">
            <v>5.8039392675489587</v>
          </cell>
          <cell r="H462">
            <v>8.1557949784494195</v>
          </cell>
          <cell r="I462">
            <v>8.8387058938466456</v>
          </cell>
          <cell r="J462">
            <v>8.837831557754118</v>
          </cell>
          <cell r="K462">
            <v>8.8288319992035973</v>
          </cell>
          <cell r="L462">
            <v>8.8224646765040315</v>
          </cell>
          <cell r="M462">
            <v>9.9416072101832871</v>
          </cell>
          <cell r="N462">
            <v>9.933789181598522</v>
          </cell>
          <cell r="O462">
            <v>9.9287490892635155</v>
          </cell>
        </row>
        <row r="463">
          <cell r="A463" t="str">
            <v>ITOT-SWHDEM</v>
          </cell>
          <cell r="B463" t="str">
            <v>VAR_fin</v>
          </cell>
          <cell r="C463" t="str">
            <v>ITOT-SWHC</v>
          </cell>
          <cell r="E463">
            <v>4.043621800078145</v>
          </cell>
          <cell r="F463">
            <v>4.0436300492755892</v>
          </cell>
          <cell r="G463">
            <v>4.0438902692249936</v>
          </cell>
          <cell r="H463">
            <v>4.0439829445434059</v>
          </cell>
          <cell r="I463">
            <v>4.044123203357965</v>
          </cell>
          <cell r="J463">
            <v>4.0441832125794592</v>
          </cell>
          <cell r="K463">
            <v>4.0444217746579767</v>
          </cell>
          <cell r="L463">
            <v>4.0442389267121071</v>
          </cell>
          <cell r="M463">
            <v>4.0444053326944909</v>
          </cell>
          <cell r="N463">
            <v>4.0441802978148846</v>
          </cell>
          <cell r="O463">
            <v>4.0446635323198636</v>
          </cell>
        </row>
        <row r="464">
          <cell r="A464" t="str">
            <v>ITOT-SWHDEM</v>
          </cell>
          <cell r="B464" t="str">
            <v>VAR_fin</v>
          </cell>
          <cell r="C464" t="str">
            <v>ITOT-SWHELC</v>
          </cell>
          <cell r="D464">
            <v>9.8139864372236048</v>
          </cell>
          <cell r="E464">
            <v>10.335088134162392</v>
          </cell>
          <cell r="F464">
            <v>10.267692982415802</v>
          </cell>
          <cell r="G464">
            <v>10.511049909395352</v>
          </cell>
          <cell r="H464">
            <v>10.748404726114359</v>
          </cell>
          <cell r="I464">
            <v>11.018621171855095</v>
          </cell>
          <cell r="J464">
            <v>11.243900020804265</v>
          </cell>
          <cell r="K464">
            <v>11.422921341911046</v>
          </cell>
          <cell r="L464">
            <v>11.428544246339097</v>
          </cell>
          <cell r="M464">
            <v>11.613669325545729</v>
          </cell>
          <cell r="N464">
            <v>11.603456871149424</v>
          </cell>
          <cell r="O464">
            <v>11.597464386239379</v>
          </cell>
        </row>
        <row r="465">
          <cell r="A465" t="str">
            <v>ITOT-SWHDEM</v>
          </cell>
          <cell r="B465" t="str">
            <v>VAR_fin</v>
          </cell>
          <cell r="C465" t="str">
            <v>ITOT-SWHSOL</v>
          </cell>
          <cell r="D465">
            <v>6.7740304934782017E-2</v>
          </cell>
          <cell r="E465">
            <v>8.5619592701149383E-2</v>
          </cell>
          <cell r="F465">
            <v>8.562313098121295E-2</v>
          </cell>
          <cell r="G465">
            <v>8.5508686457682545E-2</v>
          </cell>
          <cell r="H465">
            <v>8.5305687814948267E-2</v>
          </cell>
          <cell r="I465">
            <v>8.5319707906829786E-2</v>
          </cell>
          <cell r="J465">
            <v>8.5396741487191827E-2</v>
          </cell>
          <cell r="K465">
            <v>8.5515640319103775E-2</v>
          </cell>
          <cell r="L465">
            <v>8.5338770317513774E-2</v>
          </cell>
          <cell r="M465">
            <v>8.5384029722817001E-2</v>
          </cell>
          <cell r="N465">
            <v>8.5174159293096852E-2</v>
          </cell>
          <cell r="O465">
            <v>8.5459790418664555E-2</v>
          </cell>
        </row>
        <row r="466">
          <cell r="A466" t="str">
            <v>D-RHNS_NKEV_GAS_ELC_CHP</v>
          </cell>
          <cell r="B466" t="str">
            <v>VAR_fout</v>
          </cell>
          <cell r="C466" t="str">
            <v>RHNS_ELC</v>
          </cell>
          <cell r="E466">
            <v>3.2286601326013875E-4</v>
          </cell>
          <cell r="F466">
            <v>2.1092503979678965E-3</v>
          </cell>
          <cell r="G466">
            <v>2.2977200087635459E-3</v>
          </cell>
          <cell r="H466">
            <v>6.2233242516533905E-3</v>
          </cell>
          <cell r="I466">
            <v>6.1964102904776934E-3</v>
          </cell>
          <cell r="J466">
            <v>9.225948607412101E-3</v>
          </cell>
          <cell r="K466">
            <v>1.4914490643694793E-2</v>
          </cell>
          <cell r="L466">
            <v>1.2373967518749503E-2</v>
          </cell>
          <cell r="M466">
            <v>1.4980766498131987E-2</v>
          </cell>
          <cell r="N466">
            <v>1.0330539622636513E-2</v>
          </cell>
          <cell r="O466">
            <v>1.2393458300852792E-2</v>
          </cell>
        </row>
        <row r="467">
          <cell r="A467" t="str">
            <v>D-RHNS_NKEV_GAS_ELC_CHP</v>
          </cell>
          <cell r="B467" t="str">
            <v>VAR_fout</v>
          </cell>
          <cell r="C467" t="str">
            <v>ELC5</v>
          </cell>
          <cell r="E467">
            <v>3.2254583325440361E-4</v>
          </cell>
          <cell r="F467">
            <v>2.1136265321822062E-3</v>
          </cell>
          <cell r="G467">
            <v>2.2994024389162079E-3</v>
          </cell>
          <cell r="H467">
            <v>6.2793490476917135E-3</v>
          </cell>
          <cell r="I467">
            <v>6.2255529918501902E-3</v>
          </cell>
          <cell r="J467">
            <v>9.2848145120628563E-3</v>
          </cell>
          <cell r="K467">
            <v>1.5081064219263449E-2</v>
          </cell>
          <cell r="L467">
            <v>1.2477237453545786E-2</v>
          </cell>
          <cell r="M467">
            <v>1.5118506358801187E-2</v>
          </cell>
          <cell r="N467">
            <v>1.0355670614780295E-2</v>
          </cell>
          <cell r="O467">
            <v>1.2436384233498635E-2</v>
          </cell>
        </row>
        <row r="468">
          <cell r="A468" t="str">
            <v>D-RHNS_NKEV_GAS_ELC_CHP</v>
          </cell>
          <cell r="B468" t="str">
            <v>VAR_fin</v>
          </cell>
          <cell r="C468" t="str">
            <v>RHNS_NKEV_GAS_ELC_CHP</v>
          </cell>
          <cell r="E468">
            <v>6.4541184651454209E-4</v>
          </cell>
          <cell r="F468">
            <v>4.2157433301538635E-3</v>
          </cell>
          <cell r="G468">
            <v>4.5971224476797547E-3</v>
          </cell>
          <cell r="H468">
            <v>1.2502673299345105E-2</v>
          </cell>
          <cell r="I468">
            <v>1.2421963282327874E-2</v>
          </cell>
          <cell r="J468">
            <v>1.8510763119474971E-2</v>
          </cell>
          <cell r="K468">
            <v>2.9995554862958271E-2</v>
          </cell>
          <cell r="L468">
            <v>2.4851204972295298E-2</v>
          </cell>
          <cell r="M468">
            <v>3.0099272856933149E-2</v>
          </cell>
          <cell r="N468">
            <v>2.0686210237416802E-2</v>
          </cell>
          <cell r="O468">
            <v>2.4829842534351436E-2</v>
          </cell>
        </row>
        <row r="469">
          <cell r="A469" t="str">
            <v>RHNM-SHSTG-NGAHP</v>
          </cell>
          <cell r="B469" t="str">
            <v>VAR_fout</v>
          </cell>
          <cell r="C469" t="str">
            <v>RHNM-SHANGAH</v>
          </cell>
          <cell r="F469">
            <v>1.2023746898940399E-3</v>
          </cell>
          <cell r="G469">
            <v>1.293601055119144E-3</v>
          </cell>
          <cell r="H469">
            <v>0.25044100974311856</v>
          </cell>
          <cell r="I469">
            <v>0.41572301495683006</v>
          </cell>
          <cell r="J469">
            <v>0.51022237061842846</v>
          </cell>
          <cell r="K469">
            <v>0.61855761599717896</v>
          </cell>
          <cell r="L469">
            <v>0.68104854927580216</v>
          </cell>
          <cell r="M469">
            <v>0.75014194582597882</v>
          </cell>
          <cell r="N469">
            <v>0.81098183898888532</v>
          </cell>
          <cell r="O469">
            <v>0.59958243051287063</v>
          </cell>
        </row>
        <row r="470">
          <cell r="A470" t="str">
            <v>RHNM-SHSTG-NGAHP</v>
          </cell>
          <cell r="B470" t="str">
            <v>VAR_fin</v>
          </cell>
          <cell r="C470" t="str">
            <v>RHNM-SHANGAH</v>
          </cell>
          <cell r="F470">
            <v>1.2139911886161015E-3</v>
          </cell>
          <cell r="G470">
            <v>1.2884067817764183E-3</v>
          </cell>
          <cell r="H470">
            <v>0.25046038191412218</v>
          </cell>
          <cell r="I470">
            <v>0.41577022988167489</v>
          </cell>
          <cell r="J470">
            <v>0.5102982005269816</v>
          </cell>
          <cell r="K470">
            <v>0.61863997844862206</v>
          </cell>
          <cell r="L470">
            <v>0.68111703192660766</v>
          </cell>
          <cell r="M470">
            <v>0.75023248661629216</v>
          </cell>
          <cell r="N470">
            <v>0.81105252184993026</v>
          </cell>
          <cell r="O470">
            <v>0.59967595679756158</v>
          </cell>
        </row>
        <row r="471">
          <cell r="A471" t="str">
            <v>RHNM-SHSTG-NGAHP</v>
          </cell>
          <cell r="B471" t="str">
            <v>VAR_ncap</v>
          </cell>
          <cell r="C471" t="str">
            <v>-</v>
          </cell>
          <cell r="D471">
            <v>4.1677148656268997E-5</v>
          </cell>
          <cell r="E471">
            <v>1.8393429343865902E-5</v>
          </cell>
          <cell r="F471">
            <v>3.5169954647998401E-4</v>
          </cell>
          <cell r="G471">
            <v>7.5904476050799906E-5</v>
          </cell>
          <cell r="H471">
            <v>3.5523664390910502E-2</v>
          </cell>
          <cell r="I471">
            <v>2.6670849215588901E-2</v>
          </cell>
          <cell r="J471">
            <v>1.90001434044119E-2</v>
          </cell>
          <cell r="K471">
            <v>5.0628862098955403E-2</v>
          </cell>
          <cell r="L471">
            <v>3.6056851077688801E-2</v>
          </cell>
          <cell r="M471">
            <v>2.8562611602456999E-2</v>
          </cell>
          <cell r="N471">
            <v>5.3123670224573302E-2</v>
          </cell>
          <cell r="O471">
            <v>3.3400652213173398E-2</v>
          </cell>
        </row>
        <row r="472">
          <cell r="A472" t="str">
            <v>RHNM-SHSTG-NGAHP</v>
          </cell>
          <cell r="B472" t="str">
            <v>VAR_cap</v>
          </cell>
          <cell r="C472" t="str">
            <v>-</v>
          </cell>
          <cell r="D472">
            <v>4.1677148656268997E-5</v>
          </cell>
          <cell r="E472">
            <v>3.8086592062610311E-7</v>
          </cell>
          <cell r="F472">
            <v>3.4296030015042796E-4</v>
          </cell>
          <cell r="G472">
            <v>3.4801015986051702E-4</v>
          </cell>
          <cell r="H472">
            <v>3.5798837723156521E-2</v>
          </cell>
          <cell r="I472">
            <v>6.2189660891968312E-2</v>
          </cell>
          <cell r="J472">
            <v>8.09767932404898E-2</v>
          </cell>
          <cell r="K472">
            <v>9.5756103033159373E-2</v>
          </cell>
          <cell r="L472">
            <v>0.10648920506881422</v>
          </cell>
          <cell r="M472">
            <v>0.11432905287143875</v>
          </cell>
          <cell r="N472">
            <v>0.11411465377739016</v>
          </cell>
          <cell r="O472">
            <v>0.11414590206823005</v>
          </cell>
        </row>
        <row r="473">
          <cell r="A473" t="str">
            <v>D-IBIO</v>
          </cell>
          <cell r="B473" t="str">
            <v>VAR_fout</v>
          </cell>
          <cell r="C473" t="str">
            <v>IBIO</v>
          </cell>
          <cell r="D473">
            <v>0.43673250724134999</v>
          </cell>
          <cell r="E473">
            <v>0.55206681675810632</v>
          </cell>
          <cell r="F473">
            <v>0.94316394259104497</v>
          </cell>
          <cell r="G473">
            <v>2.213304513261495</v>
          </cell>
          <cell r="H473">
            <v>3.6998932688499142</v>
          </cell>
          <cell r="I473">
            <v>5.7402395984733579</v>
          </cell>
          <cell r="J473">
            <v>5.7784905950642838</v>
          </cell>
          <cell r="K473">
            <v>5.7790548681008715</v>
          </cell>
          <cell r="L473">
            <v>5.8435577045222322</v>
          </cell>
          <cell r="M473">
            <v>6.1410178062606571</v>
          </cell>
          <cell r="N473">
            <v>6.141182430819244</v>
          </cell>
          <cell r="O473">
            <v>6.1533309885965624</v>
          </cell>
        </row>
        <row r="474">
          <cell r="A474" t="str">
            <v>D-IBIO</v>
          </cell>
          <cell r="B474" t="str">
            <v>VAR_fin</v>
          </cell>
          <cell r="C474" t="str">
            <v>BIO</v>
          </cell>
          <cell r="D474">
            <v>0.43673250724134999</v>
          </cell>
          <cell r="E474">
            <v>0.55206681675810632</v>
          </cell>
          <cell r="F474">
            <v>0.94316394259104497</v>
          </cell>
          <cell r="G474">
            <v>2.213304513261495</v>
          </cell>
          <cell r="H474">
            <v>3.6998932688499142</v>
          </cell>
          <cell r="I474">
            <v>5.7402395984733579</v>
          </cell>
          <cell r="J474">
            <v>5.7784905950642838</v>
          </cell>
          <cell r="K474">
            <v>5.7790548681008715</v>
          </cell>
          <cell r="L474">
            <v>5.8435577045222322</v>
          </cell>
          <cell r="M474">
            <v>6.1410178062606571</v>
          </cell>
          <cell r="N474">
            <v>6.141182430819244</v>
          </cell>
          <cell r="O474">
            <v>6.1533309885965624</v>
          </cell>
        </row>
        <row r="475">
          <cell r="A475" t="str">
            <v>D-RHES_KEV_WOD_ELC_CHP</v>
          </cell>
          <cell r="B475" t="str">
            <v>VAR_fout</v>
          </cell>
          <cell r="C475" t="str">
            <v>RHES_ELC</v>
          </cell>
          <cell r="G475">
            <v>4.9576581473951501E-4</v>
          </cell>
          <cell r="H475">
            <v>1.3979364366235685E-3</v>
          </cell>
          <cell r="I475">
            <v>1.4529253619301147E-3</v>
          </cell>
          <cell r="J475">
            <v>1.5481654463098038E-3</v>
          </cell>
          <cell r="K475">
            <v>2.4791554642660759E-3</v>
          </cell>
          <cell r="L475">
            <v>2.2281211556580767E-3</v>
          </cell>
          <cell r="M475">
            <v>2.7143836878439679E-3</v>
          </cell>
          <cell r="N475">
            <v>3.0304731687937022E-3</v>
          </cell>
          <cell r="O475">
            <v>5.6988694171339858E-3</v>
          </cell>
        </row>
        <row r="476">
          <cell r="A476" t="str">
            <v>D-RHES_KEV_WOD_ELC_CHP</v>
          </cell>
          <cell r="B476" t="str">
            <v>VAR_fout</v>
          </cell>
          <cell r="C476" t="str">
            <v>ELC5</v>
          </cell>
          <cell r="G476">
            <v>1.0349652416081988E-3</v>
          </cell>
          <cell r="H476">
            <v>1.4027464993594608E-3</v>
          </cell>
          <cell r="I476">
            <v>1.455634760242171E-3</v>
          </cell>
          <cell r="J476">
            <v>1.5528676572844377E-3</v>
          </cell>
          <cell r="K476">
            <v>2.4866070283948737E-3</v>
          </cell>
          <cell r="L476">
            <v>2.2344072650783025E-3</v>
          </cell>
          <cell r="M476">
            <v>2.7202135473777512E-3</v>
          </cell>
          <cell r="N476">
            <v>3.031449250768229E-3</v>
          </cell>
          <cell r="O476">
            <v>5.7010759146638454E-3</v>
          </cell>
        </row>
        <row r="477">
          <cell r="A477" t="str">
            <v>D-RHES_KEV_WOD_ELC_CHP</v>
          </cell>
          <cell r="B477" t="str">
            <v>VAR_fin</v>
          </cell>
          <cell r="C477" t="str">
            <v>RHES_KEV_WOD_ELC_CHP</v>
          </cell>
          <cell r="G477">
            <v>1.5266807176140631E-3</v>
          </cell>
          <cell r="H477">
            <v>2.794425299201448E-3</v>
          </cell>
          <cell r="I477">
            <v>2.8963851837862141E-3</v>
          </cell>
          <cell r="J477">
            <v>3.0888581652081673E-3</v>
          </cell>
          <cell r="K477">
            <v>4.9492237770755662E-3</v>
          </cell>
          <cell r="L477">
            <v>4.4503534823503044E-3</v>
          </cell>
          <cell r="M477">
            <v>5.4186694484442402E-3</v>
          </cell>
          <cell r="N477">
            <v>6.049660205631871E-3</v>
          </cell>
          <cell r="O477">
            <v>1.1375944557201631E-2</v>
          </cell>
        </row>
        <row r="478">
          <cell r="A478" t="str">
            <v>D-SNGA</v>
          </cell>
          <cell r="B478" t="str">
            <v>VAR_fout</v>
          </cell>
          <cell r="C478" t="str">
            <v>CO2</v>
          </cell>
          <cell r="D478">
            <v>1524.15919213196</v>
          </cell>
          <cell r="E478">
            <v>1432.7620448882701</v>
          </cell>
          <cell r="F478">
            <v>1524.54496100598</v>
          </cell>
          <cell r="G478">
            <v>1849.4435701331399</v>
          </cell>
          <cell r="H478">
            <v>2147.46611237762</v>
          </cell>
          <cell r="I478">
            <v>2130.6666376345502</v>
          </cell>
          <cell r="J478">
            <v>2018.0712924880199</v>
          </cell>
          <cell r="K478">
            <v>1751.4615225247401</v>
          </cell>
          <cell r="L478">
            <v>1720.05876336798</v>
          </cell>
          <cell r="M478">
            <v>1697.88831491825</v>
          </cell>
          <cell r="N478">
            <v>1706.7495052457</v>
          </cell>
          <cell r="O478">
            <v>1680.6940304197799</v>
          </cell>
        </row>
        <row r="479">
          <cell r="A479" t="str">
            <v>D-SNGA</v>
          </cell>
          <cell r="B479" t="str">
            <v>VAR_fout</v>
          </cell>
          <cell r="C479" t="str">
            <v>SNGA</v>
          </cell>
          <cell r="D479">
            <v>27.239797721375464</v>
          </cell>
          <cell r="E479">
            <v>28.488503902189063</v>
          </cell>
          <cell r="F479">
            <v>27.007352148490895</v>
          </cell>
          <cell r="G479">
            <v>32.689011644219519</v>
          </cell>
          <cell r="H479">
            <v>37.956265342708761</v>
          </cell>
          <cell r="I479">
            <v>37.659358450478237</v>
          </cell>
          <cell r="J479">
            <v>35.669369272847298</v>
          </cell>
          <cell r="K479">
            <v>30.957260583202551</v>
          </cell>
          <cell r="L479">
            <v>30.402270094950214</v>
          </cell>
          <cell r="M479">
            <v>30.010376597130993</v>
          </cell>
          <cell r="N479">
            <v>30.166980733432077</v>
          </cell>
          <cell r="O479">
            <v>29.707776923959532</v>
          </cell>
        </row>
        <row r="480">
          <cell r="A480" t="str">
            <v>D-SNGA</v>
          </cell>
          <cell r="B480" t="str">
            <v>VAR_fout</v>
          </cell>
          <cell r="C480" t="str">
            <v>RSH2</v>
          </cell>
          <cell r="G480">
            <v>3.6451807185851862E-3</v>
          </cell>
          <cell r="H480">
            <v>8.2801105154599146E-3</v>
          </cell>
          <cell r="I480">
            <v>9.1215656519528423E-3</v>
          </cell>
          <cell r="J480">
            <v>9.0468416656881157E-3</v>
          </cell>
          <cell r="K480">
            <v>2.5961657586819537E-2</v>
          </cell>
          <cell r="L480">
            <v>2.3337044052933777E-2</v>
          </cell>
          <cell r="M480">
            <v>6.3641862947029421E-2</v>
          </cell>
          <cell r="N480">
            <v>7.2639436057445328E-2</v>
          </cell>
          <cell r="O480">
            <v>8.7024840694329919E-2</v>
          </cell>
        </row>
        <row r="481">
          <cell r="A481" t="str">
            <v>D-SNGA</v>
          </cell>
          <cell r="B481" t="str">
            <v>VAR_fin</v>
          </cell>
          <cell r="C481" t="str">
            <v>NGA</v>
          </cell>
          <cell r="D481">
            <v>27.02409915127587</v>
          </cell>
          <cell r="E481">
            <v>25.403582356174955</v>
          </cell>
          <cell r="F481">
            <v>27.030939024928649</v>
          </cell>
          <cell r="G481">
            <v>32.791552661935043</v>
          </cell>
          <cell r="H481">
            <v>38.075640290383241</v>
          </cell>
          <cell r="I481">
            <v>37.777777263023914</v>
          </cell>
          <cell r="J481">
            <v>35.781405895177734</v>
          </cell>
          <cell r="K481">
            <v>31.054282314268477</v>
          </cell>
          <cell r="L481">
            <v>30.497495804396888</v>
          </cell>
          <cell r="M481">
            <v>30.104402746777588</v>
          </cell>
          <cell r="N481">
            <v>30.261516050455725</v>
          </cell>
          <cell r="O481">
            <v>29.799539546449918</v>
          </cell>
        </row>
        <row r="482">
          <cell r="A482" t="str">
            <v>D-SNGA</v>
          </cell>
          <cell r="B482" t="str">
            <v>VAR_fin</v>
          </cell>
          <cell r="C482" t="str">
            <v>BNGA</v>
          </cell>
          <cell r="D482">
            <v>0.30271936147516754</v>
          </cell>
          <cell r="E482">
            <v>3.1759314786146451</v>
          </cell>
          <cell r="F482">
            <v>6.2691339757528358E-2</v>
          </cell>
          <cell r="G482">
            <v>1.9247272588335104E-3</v>
          </cell>
          <cell r="H482">
            <v>1.931454118199007E-3</v>
          </cell>
          <cell r="I482">
            <v>1.9434390779299946E-3</v>
          </cell>
          <cell r="J482">
            <v>1.9557848005509063E-3</v>
          </cell>
          <cell r="K482">
            <v>1.9848517369181595E-3</v>
          </cell>
          <cell r="L482">
            <v>1.9908995693442293E-3</v>
          </cell>
          <cell r="M482">
            <v>2.0721815649323004E-3</v>
          </cell>
          <cell r="N482">
            <v>2.1019161777058931E-3</v>
          </cell>
          <cell r="O482">
            <v>3.4472845627768456E-3</v>
          </cell>
        </row>
        <row r="483">
          <cell r="A483" t="str">
            <v>D-SNGA</v>
          </cell>
          <cell r="B483" t="str">
            <v>VAR_fin</v>
          </cell>
          <cell r="C483" t="str">
            <v>H2</v>
          </cell>
          <cell r="G483">
            <v>3.6425610885852497E-3</v>
          </cell>
          <cell r="H483">
            <v>8.2767844990257744E-3</v>
          </cell>
          <cell r="I483">
            <v>9.1142345062576353E-3</v>
          </cell>
          <cell r="J483">
            <v>9.0395105199929313E-3</v>
          </cell>
          <cell r="K483">
            <v>2.5950137215013203E-2</v>
          </cell>
          <cell r="L483">
            <v>2.3329712907238752E-2</v>
          </cell>
          <cell r="M483">
            <v>6.3637673720918261E-2</v>
          </cell>
          <cell r="N483">
            <v>7.2635246831333419E-2</v>
          </cell>
          <cell r="O483">
            <v>8.7001799950717218E-2</v>
          </cell>
        </row>
        <row r="484">
          <cell r="A484" t="str">
            <v>D-SNGA</v>
          </cell>
          <cell r="B484" t="str">
            <v>VAR_ncap</v>
          </cell>
          <cell r="C484" t="str">
            <v>-</v>
          </cell>
          <cell r="D484">
            <v>6.9048118777049605E-7</v>
          </cell>
          <cell r="E484">
            <v>6.3919311859975097E-7</v>
          </cell>
          <cell r="F484">
            <v>8.4249781315238905E-7</v>
          </cell>
          <cell r="G484">
            <v>9.7946615750462798E-7</v>
          </cell>
          <cell r="H484">
            <v>1.3692380806549699E-6</v>
          </cell>
          <cell r="I484">
            <v>3.1678796688097801E-6</v>
          </cell>
          <cell r="J484">
            <v>4.9525938258944996E-6</v>
          </cell>
          <cell r="K484">
            <v>1.2201954148681</v>
          </cell>
          <cell r="L484">
            <v>0.44584295341476099</v>
          </cell>
          <cell r="M484">
            <v>4.2497087451886102E-5</v>
          </cell>
          <cell r="N484">
            <v>1.14460273480178E-5</v>
          </cell>
          <cell r="O484">
            <v>1.3952264000169099E-4</v>
          </cell>
        </row>
        <row r="485">
          <cell r="A485" t="str">
            <v>D-SNGA</v>
          </cell>
          <cell r="B485" t="str">
            <v>VAR_cap</v>
          </cell>
          <cell r="C485" t="str">
            <v>-</v>
          </cell>
          <cell r="D485">
            <v>2.235052892106328</v>
          </cell>
          <cell r="E485">
            <v>2.2350535312994464</v>
          </cell>
          <cell r="F485">
            <v>2.2350543737972597</v>
          </cell>
          <cell r="G485">
            <v>2.2350553532634172</v>
          </cell>
          <cell r="H485">
            <v>2.2350567225014979</v>
          </cell>
          <cell r="I485">
            <v>2.2350598903811667</v>
          </cell>
          <cell r="J485">
            <v>2.2350648429749924</v>
          </cell>
          <cell r="K485">
            <v>1.9836957138073661</v>
          </cell>
          <cell r="L485">
            <v>1.6660510096327199</v>
          </cell>
          <cell r="M485">
            <v>1.6660926835981</v>
          </cell>
          <cell r="N485">
            <v>1.66610261929605</v>
          </cell>
          <cell r="O485">
            <v>1.6662413237492399</v>
          </cell>
        </row>
        <row r="486">
          <cell r="A486" t="str">
            <v>D-IPLT</v>
          </cell>
          <cell r="B486" t="str">
            <v>VAR_fout</v>
          </cell>
          <cell r="C486" t="str">
            <v>IPLT</v>
          </cell>
          <cell r="D486">
            <v>0.62579209085372056</v>
          </cell>
          <cell r="E486">
            <v>0.73757457342511135</v>
          </cell>
          <cell r="F486">
            <v>0.73633690485592784</v>
          </cell>
          <cell r="G486">
            <v>0.73429242770664949</v>
          </cell>
          <cell r="H486">
            <v>0.73479989224596232</v>
          </cell>
          <cell r="I486">
            <v>0.73278407171022075</v>
          </cell>
          <cell r="J486">
            <v>0.73078997830004389</v>
          </cell>
          <cell r="K486">
            <v>0.7288268925957414</v>
          </cell>
          <cell r="L486">
            <v>0.72888580187402752</v>
          </cell>
          <cell r="M486">
            <v>0.72902255660785265</v>
          </cell>
          <cell r="N486">
            <v>0.72922609345179878</v>
          </cell>
          <cell r="O486">
            <v>0.72996121510081835</v>
          </cell>
        </row>
        <row r="487">
          <cell r="A487" t="str">
            <v>D-IPLT</v>
          </cell>
          <cell r="B487" t="str">
            <v>VAR_fin</v>
          </cell>
          <cell r="C487" t="str">
            <v>PLT</v>
          </cell>
          <cell r="D487">
            <v>0.62579209085372056</v>
          </cell>
          <cell r="E487">
            <v>0.73757457342511135</v>
          </cell>
          <cell r="F487">
            <v>0.73633690485592784</v>
          </cell>
          <cell r="G487">
            <v>0.73429242770664949</v>
          </cell>
          <cell r="H487">
            <v>0.73479989224596232</v>
          </cell>
          <cell r="I487">
            <v>0.73278407171022075</v>
          </cell>
          <cell r="J487">
            <v>0.73078997830004389</v>
          </cell>
          <cell r="K487">
            <v>0.7288268925957414</v>
          </cell>
          <cell r="L487">
            <v>0.72888580187402752</v>
          </cell>
          <cell r="M487">
            <v>0.72902255660785265</v>
          </cell>
          <cell r="N487">
            <v>0.72922609345179878</v>
          </cell>
          <cell r="O487">
            <v>0.72996121510081835</v>
          </cell>
        </row>
        <row r="488">
          <cell r="A488" t="str">
            <v>ITOT-SWHWODBR</v>
          </cell>
          <cell r="B488" t="str">
            <v>VAR_fout</v>
          </cell>
          <cell r="C488" t="str">
            <v>ITOT-SWH</v>
          </cell>
          <cell r="D488">
            <v>5.3111240086370923</v>
          </cell>
          <cell r="E488">
            <v>6.2669389923398109</v>
          </cell>
          <cell r="F488">
            <v>5.8303031468164441</v>
          </cell>
          <cell r="G488">
            <v>6.8560645463190113</v>
          </cell>
          <cell r="H488">
            <v>7.4160957933426319</v>
          </cell>
          <cell r="I488">
            <v>8.0970910992560778</v>
          </cell>
          <cell r="J488">
            <v>8.6819466978794608</v>
          </cell>
          <cell r="K488">
            <v>9.2747700619342108</v>
          </cell>
          <cell r="L488">
            <v>9.2064981516345856</v>
          </cell>
          <cell r="M488">
            <v>9.4625047088546985</v>
          </cell>
          <cell r="N488">
            <v>8.1882611243490633</v>
          </cell>
          <cell r="O488">
            <v>8.8236941347220768</v>
          </cell>
        </row>
        <row r="489">
          <cell r="A489" t="str">
            <v>ITOT-SWHWODBR</v>
          </cell>
          <cell r="B489" t="str">
            <v>VAR_fin</v>
          </cell>
          <cell r="C489" t="str">
            <v>IWOD</v>
          </cell>
          <cell r="D489">
            <v>9.0019050993849046</v>
          </cell>
          <cell r="E489">
            <v>10.609941860620445</v>
          </cell>
          <cell r="F489">
            <v>9.8540334875770927</v>
          </cell>
          <cell r="G489">
            <v>11.555164965706197</v>
          </cell>
          <cell r="H489">
            <v>12.464026543433</v>
          </cell>
          <cell r="I489">
            <v>13.570543741769953</v>
          </cell>
          <cell r="J489">
            <v>14.510217322361219</v>
          </cell>
          <cell r="K489">
            <v>15.457950103223688</v>
          </cell>
          <cell r="L489">
            <v>15.344163586057643</v>
          </cell>
          <cell r="M489">
            <v>15.770841181424487</v>
          </cell>
          <cell r="N489">
            <v>13.647101873915112</v>
          </cell>
          <cell r="O489">
            <v>14.706156891203447</v>
          </cell>
        </row>
        <row r="490">
          <cell r="A490" t="str">
            <v>ITOT-SWHWODBR</v>
          </cell>
          <cell r="B490" t="str">
            <v>VAR_fin</v>
          </cell>
          <cell r="C490" t="str">
            <v>ITOTWODBRC</v>
          </cell>
          <cell r="D490">
            <v>5.3111240086370923</v>
          </cell>
          <cell r="E490">
            <v>6.2669389923398109</v>
          </cell>
          <cell r="F490">
            <v>5.8303031468164441</v>
          </cell>
          <cell r="G490">
            <v>6.8560645463190113</v>
          </cell>
          <cell r="H490">
            <v>7.4160957933426319</v>
          </cell>
          <cell r="I490">
            <v>8.0970910992560778</v>
          </cell>
          <cell r="J490">
            <v>8.6819466978794608</v>
          </cell>
          <cell r="K490">
            <v>9.2747700619342108</v>
          </cell>
          <cell r="L490">
            <v>9.2064981516345856</v>
          </cell>
          <cell r="M490">
            <v>9.4625047088546985</v>
          </cell>
          <cell r="N490">
            <v>8.1882611243490633</v>
          </cell>
          <cell r="O490">
            <v>8.8236941347220768</v>
          </cell>
        </row>
        <row r="491">
          <cell r="A491" t="str">
            <v>ITOT-SWHWODBR</v>
          </cell>
          <cell r="B491" t="str">
            <v>VAR_ncap</v>
          </cell>
          <cell r="C491" t="str">
            <v>-</v>
          </cell>
          <cell r="E491">
            <v>5.3798861633967299E-2</v>
          </cell>
          <cell r="F491">
            <v>8.7494392534712105E-5</v>
          </cell>
          <cell r="G491">
            <v>3.725358605305E-2</v>
          </cell>
          <cell r="H491">
            <v>0.27378568363789302</v>
          </cell>
          <cell r="I491">
            <v>0.149575415011134</v>
          </cell>
          <cell r="J491">
            <v>7.4430053035277596E-2</v>
          </cell>
          <cell r="K491">
            <v>0.32596480078410101</v>
          </cell>
          <cell r="L491">
            <v>0.170784637398294</v>
          </cell>
          <cell r="M491">
            <v>9.8540212742952202E-2</v>
          </cell>
          <cell r="N491">
            <v>0.246597909656285</v>
          </cell>
          <cell r="O491">
            <v>0.19055209292495301</v>
          </cell>
        </row>
        <row r="492">
          <cell r="A492" t="str">
            <v>ITOT-SWHWODBR</v>
          </cell>
          <cell r="B492" t="str">
            <v>VAR_cap</v>
          </cell>
          <cell r="C492" t="str">
            <v>-</v>
          </cell>
          <cell r="D492">
            <v>0.28883369534761499</v>
          </cell>
          <cell r="E492">
            <v>0.34262826749174979</v>
          </cell>
          <cell r="F492">
            <v>0.34269562984487978</v>
          </cell>
          <cell r="G492">
            <v>0.37990410426172383</v>
          </cell>
          <cell r="H492">
            <v>0.41351073359007345</v>
          </cell>
          <cell r="I492">
            <v>0.45349874983895844</v>
          </cell>
          <cell r="J492">
            <v>0.49771666548480659</v>
          </cell>
          <cell r="K492">
            <v>0.54990400042698562</v>
          </cell>
          <cell r="L492">
            <v>0.58422583065296818</v>
          </cell>
          <cell r="M492">
            <v>0.59518310039571831</v>
          </cell>
          <cell r="N492">
            <v>0.51939339872237589</v>
          </cell>
          <cell r="O492">
            <v>0.53556110392208078</v>
          </cell>
        </row>
        <row r="493">
          <cell r="A493" t="str">
            <v>D-ITOT_KEV_WOD_ELC_CHP</v>
          </cell>
          <cell r="B493" t="str">
            <v>VAR_fout</v>
          </cell>
          <cell r="C493" t="str">
            <v>ITOT_ELC</v>
          </cell>
          <cell r="D493">
            <v>1.05759343459813E-3</v>
          </cell>
          <cell r="E493">
            <v>4.2341705710494018E-4</v>
          </cell>
          <cell r="F493">
            <v>7.3592592361259083E-4</v>
          </cell>
          <cell r="G493">
            <v>4.255881548477774E-3</v>
          </cell>
          <cell r="H493">
            <v>2.5788540732709317</v>
          </cell>
          <cell r="I493">
            <v>3.2163456640821071</v>
          </cell>
          <cell r="J493">
            <v>4.3857774839640813</v>
          </cell>
          <cell r="K493">
            <v>5.320878460127183</v>
          </cell>
          <cell r="L493">
            <v>5.5111161267443691</v>
          </cell>
          <cell r="M493">
            <v>5.4340029399813661</v>
          </cell>
          <cell r="N493">
            <v>5.416891661507627</v>
          </cell>
          <cell r="O493">
            <v>5.3382030015331319</v>
          </cell>
        </row>
        <row r="494">
          <cell r="A494" t="str">
            <v>D-ITOT_KEV_WOD_ELC_CHP</v>
          </cell>
          <cell r="B494" t="str">
            <v>VAR_fout</v>
          </cell>
          <cell r="C494" t="str">
            <v>ELC5</v>
          </cell>
          <cell r="D494">
            <v>0.17163439706271374</v>
          </cell>
          <cell r="E494">
            <v>0.52079694913343788</v>
          </cell>
          <cell r="F494">
            <v>1.157660724603806</v>
          </cell>
          <cell r="G494">
            <v>1.9685856005060898</v>
          </cell>
          <cell r="H494">
            <v>1.2883895069336035E-2</v>
          </cell>
          <cell r="I494">
            <v>1.212664184013903E-2</v>
          </cell>
          <cell r="J494">
            <v>1.9363334387784099E-2</v>
          </cell>
          <cell r="K494">
            <v>3.2111043647487778E-2</v>
          </cell>
          <cell r="L494">
            <v>3.4246641673331038E-2</v>
          </cell>
          <cell r="M494">
            <v>4.2494106324997616E-2</v>
          </cell>
          <cell r="N494">
            <v>5.9656603189012183E-2</v>
          </cell>
          <cell r="O494">
            <v>0.1291326187300903</v>
          </cell>
        </row>
        <row r="495">
          <cell r="A495" t="str">
            <v>D-ITOT_KEV_WOD_ELC_CHP</v>
          </cell>
          <cell r="B495" t="str">
            <v>VAR_fin</v>
          </cell>
          <cell r="C495" t="str">
            <v>ITOT_KEV_WOD_ELC_CHP</v>
          </cell>
          <cell r="D495">
            <v>0.17269199049731196</v>
          </cell>
          <cell r="E495">
            <v>0.52122036619054346</v>
          </cell>
          <cell r="F495">
            <v>1.1583934462716263</v>
          </cell>
          <cell r="G495">
            <v>1.9728371813481045</v>
          </cell>
          <cell r="H495">
            <v>2.5917204110152712</v>
          </cell>
          <cell r="I495">
            <v>3.228447781494411</v>
          </cell>
          <cell r="J495">
            <v>4.405116817577249</v>
          </cell>
          <cell r="K495">
            <v>5.3529517571019252</v>
          </cell>
          <cell r="L495">
            <v>5.5453384185409194</v>
          </cell>
          <cell r="M495">
            <v>5.4764587815022798</v>
          </cell>
          <cell r="N495">
            <v>5.4765239148198708</v>
          </cell>
          <cell r="O495">
            <v>5.4672797639150588</v>
          </cell>
        </row>
        <row r="496">
          <cell r="A496" t="str">
            <v>RHEM-SHSTG-SOL</v>
          </cell>
          <cell r="B496" t="str">
            <v>VAR_fout</v>
          </cell>
          <cell r="C496" t="str">
            <v>RHEM-SHASOL</v>
          </cell>
          <cell r="D496">
            <v>2.2643416631911008E-5</v>
          </cell>
          <cell r="E496">
            <v>2.0099577916976747E-5</v>
          </cell>
          <cell r="F496">
            <v>8.0300613355662825E-2</v>
          </cell>
          <cell r="G496">
            <v>8.0029355689614737E-2</v>
          </cell>
          <cell r="H496">
            <v>0.10083554416325838</v>
          </cell>
          <cell r="I496">
            <v>0.10363169927724329</v>
          </cell>
          <cell r="J496">
            <v>9.6889297508882935E-2</v>
          </cell>
          <cell r="K496">
            <v>0.10019467782808672</v>
          </cell>
          <cell r="L496">
            <v>0.10300328578778657</v>
          </cell>
          <cell r="M496">
            <v>7.6983794043892176E-2</v>
          </cell>
          <cell r="N496">
            <v>9.976828764570074E-2</v>
          </cell>
          <cell r="O496">
            <v>7.1300515938191464E-2</v>
          </cell>
        </row>
        <row r="497">
          <cell r="A497" t="str">
            <v>RHEM-SHSTG-SOL</v>
          </cell>
          <cell r="B497" t="str">
            <v>VAR_fin</v>
          </cell>
          <cell r="C497" t="str">
            <v>RHEM-SHASOL</v>
          </cell>
          <cell r="D497">
            <v>5.2857889346634319E-6</v>
          </cell>
          <cell r="E497">
            <v>6.730070161654348E-6</v>
          </cell>
          <cell r="F497">
            <v>8.0293584890109515E-2</v>
          </cell>
          <cell r="G497">
            <v>8.0019703457915162E-2</v>
          </cell>
          <cell r="H497">
            <v>0.10083924889587606</v>
          </cell>
          <cell r="I497">
            <v>0.10363696485394905</v>
          </cell>
          <cell r="J497">
            <v>9.6890271907342188E-2</v>
          </cell>
          <cell r="K497">
            <v>0.10019632767724759</v>
          </cell>
          <cell r="L497">
            <v>0.10301002180195092</v>
          </cell>
          <cell r="M497">
            <v>7.699298684383693E-2</v>
          </cell>
          <cell r="N497">
            <v>9.9776155749038517E-2</v>
          </cell>
          <cell r="O497">
            <v>7.1300036092520114E-2</v>
          </cell>
        </row>
        <row r="498">
          <cell r="A498" t="str">
            <v>RHEM-SHSTG-SOL</v>
          </cell>
          <cell r="B498" t="str">
            <v>VAR_ncap</v>
          </cell>
          <cell r="C498" t="str">
            <v>-</v>
          </cell>
          <cell r="D498">
            <v>2.9625990954292298E-3</v>
          </cell>
          <cell r="E498">
            <v>1.3042788168258299E-2</v>
          </cell>
          <cell r="F498">
            <v>7.9463714806554694E-6</v>
          </cell>
          <cell r="G498">
            <v>4.7177709851918403E-6</v>
          </cell>
          <cell r="H498">
            <v>8.6399188630697597E-3</v>
          </cell>
          <cell r="I498">
            <v>7.4239616597280601E-3</v>
          </cell>
          <cell r="J498">
            <v>2.6057082145087901E-6</v>
          </cell>
          <cell r="K498">
            <v>8.6500879979262407E-3</v>
          </cell>
          <cell r="L498">
            <v>6.3504145032922598E-3</v>
          </cell>
          <cell r="M498">
            <v>2.2267118753368699E-6</v>
          </cell>
          <cell r="N498">
            <v>1.02336913916291E-2</v>
          </cell>
          <cell r="O498">
            <v>4.0009969054174196E-3</v>
          </cell>
        </row>
        <row r="499">
          <cell r="A499" t="str">
            <v>RHEM-SHSTG-SOL</v>
          </cell>
          <cell r="B499" t="str">
            <v>VAR_cap</v>
          </cell>
          <cell r="C499" t="str">
            <v>-</v>
          </cell>
          <cell r="D499">
            <v>2.9625990954292298E-3</v>
          </cell>
          <cell r="E499">
            <v>1.6005387263687498E-2</v>
          </cell>
          <cell r="F499">
            <v>1.60133336351682E-2</v>
          </cell>
          <cell r="G499">
            <v>1.6018051406153401E-2</v>
          </cell>
          <cell r="H499">
            <v>1.6103278844067599E-2</v>
          </cell>
          <cell r="I499">
            <v>1.6069369466347901E-2</v>
          </cell>
          <cell r="J499">
            <v>1.6066486231012301E-2</v>
          </cell>
          <cell r="K499">
            <v>1.6076655365868799E-2</v>
          </cell>
          <cell r="L499">
            <v>1.6143484948217001E-2</v>
          </cell>
          <cell r="M499">
            <v>1.5002729213093801E-2</v>
          </cell>
          <cell r="N499">
            <v>1.61052844924627E-2</v>
          </cell>
          <cell r="O499">
            <v>1.42369150089218E-2</v>
          </cell>
        </row>
        <row r="500">
          <cell r="A500" t="str">
            <v>ITOT-SWHCONBR10</v>
          </cell>
          <cell r="B500" t="str">
            <v>VAR_fout</v>
          </cell>
          <cell r="C500" t="str">
            <v>ITOT-ELS</v>
          </cell>
          <cell r="J500">
            <v>4.6947841550439607E-5</v>
          </cell>
          <cell r="K500">
            <v>9.3683352046727684E-5</v>
          </cell>
          <cell r="L500">
            <v>8.4420173355710031E-5</v>
          </cell>
          <cell r="M500">
            <v>1.2499152653728995E-4</v>
          </cell>
          <cell r="N500">
            <v>1.0436656452500885E-4</v>
          </cell>
          <cell r="O500">
            <v>2.1602050263344957E-4</v>
          </cell>
        </row>
        <row r="501">
          <cell r="A501" t="str">
            <v>ITOT-SWHCONBR10</v>
          </cell>
          <cell r="B501" t="str">
            <v>VAR_fout</v>
          </cell>
          <cell r="C501" t="str">
            <v>ITOT-SWHC</v>
          </cell>
          <cell r="J501">
            <v>2.891096997279762E-4</v>
          </cell>
          <cell r="K501">
            <v>5.7691184270187491E-4</v>
          </cell>
          <cell r="L501">
            <v>5.1986822319895275E-4</v>
          </cell>
          <cell r="M501">
            <v>7.6971084318995498E-4</v>
          </cell>
          <cell r="N501">
            <v>6.4270017821901795E-4</v>
          </cell>
          <cell r="O501">
            <v>1.3302767622307928E-3</v>
          </cell>
        </row>
        <row r="502">
          <cell r="A502" t="str">
            <v>ITOT-SWHCONBR10</v>
          </cell>
          <cell r="B502" t="str">
            <v>VAR_fin</v>
          </cell>
          <cell r="C502" t="str">
            <v>CON</v>
          </cell>
          <cell r="J502">
            <v>3.3605754127841587E-4</v>
          </cell>
          <cell r="K502">
            <v>6.7059519474860229E-4</v>
          </cell>
          <cell r="L502">
            <v>6.0428839655466316E-4</v>
          </cell>
          <cell r="M502">
            <v>8.947023697272456E-4</v>
          </cell>
          <cell r="N502">
            <v>7.4706674274402655E-4</v>
          </cell>
          <cell r="O502">
            <v>1.5462972648642426E-3</v>
          </cell>
        </row>
        <row r="503">
          <cell r="A503" t="str">
            <v>ITOT-SWHCONBR10</v>
          </cell>
          <cell r="B503" t="str">
            <v>VAR_ncap</v>
          </cell>
          <cell r="C503" t="str">
            <v>-</v>
          </cell>
          <cell r="J503">
            <v>1.5705924735228E-5</v>
          </cell>
          <cell r="K503">
            <v>1.5925710299382101E-5</v>
          </cell>
          <cell r="L503">
            <v>5.1522063729958302E-7</v>
          </cell>
          <cell r="M503">
            <v>2.7616720557083101E-5</v>
          </cell>
          <cell r="N503">
            <v>8.4688732308253896E-6</v>
          </cell>
          <cell r="O503">
            <v>4.3792274579784802E-5</v>
          </cell>
        </row>
        <row r="504">
          <cell r="A504" t="str">
            <v>ITOT-SWHCONBR10</v>
          </cell>
          <cell r="B504" t="str">
            <v>VAR_cap</v>
          </cell>
          <cell r="C504" t="str">
            <v>-</v>
          </cell>
          <cell r="J504">
            <v>1.5705924735228E-5</v>
          </cell>
          <cell r="K504">
            <v>3.1631635034610098E-5</v>
          </cell>
          <cell r="L504">
            <v>3.0065892443987499E-5</v>
          </cell>
          <cell r="M504">
            <v>4.4057651493764801E-5</v>
          </cell>
          <cell r="N504">
            <v>3.9258274867161403E-5</v>
          </cell>
          <cell r="O504">
            <v>7.9877868367693298E-5</v>
          </cell>
        </row>
        <row r="505">
          <cell r="A505" t="str">
            <v>SCOM-SHSTG</v>
          </cell>
          <cell r="B505" t="str">
            <v>VAR_fout</v>
          </cell>
          <cell r="C505" t="str">
            <v>AUX_SCOM-SHSTG_OUT</v>
          </cell>
          <cell r="D505">
            <v>3.0825112996544119E-5</v>
          </cell>
          <cell r="E505">
            <v>4.029916885721392E-4</v>
          </cell>
          <cell r="F505">
            <v>2.5467180215003264E-2</v>
          </cell>
          <cell r="G505">
            <v>1.5306004043891938E-2</v>
          </cell>
          <cell r="H505">
            <v>0.97024538763865942</v>
          </cell>
          <cell r="I505">
            <v>1.0483658582555806</v>
          </cell>
          <cell r="J505">
            <v>0.79569795522544795</v>
          </cell>
          <cell r="K505">
            <v>1.5681096124120419</v>
          </cell>
          <cell r="L505">
            <v>1.3435196686887343</v>
          </cell>
          <cell r="M505">
            <v>1.5804001808658754</v>
          </cell>
          <cell r="N505">
            <v>1.5083340391352171</v>
          </cell>
          <cell r="O505">
            <v>1.9459539516272499</v>
          </cell>
        </row>
        <row r="506">
          <cell r="A506" t="str">
            <v>SCOM-SHSTG</v>
          </cell>
          <cell r="B506" t="str">
            <v>VAR_fout</v>
          </cell>
          <cell r="C506" t="str">
            <v>SCOM-SHD</v>
          </cell>
          <cell r="D506">
            <v>3.0825112996544166E-5</v>
          </cell>
          <cell r="E506">
            <v>4.0332108152320772E-4</v>
          </cell>
          <cell r="F506">
            <v>2.5499705349377479E-2</v>
          </cell>
          <cell r="G506">
            <v>1.5306004043891909E-2</v>
          </cell>
          <cell r="H506">
            <v>0.97132463723558782</v>
          </cell>
          <cell r="I506">
            <v>1.048365858255579</v>
          </cell>
          <cell r="J506">
            <v>0.79647576358832672</v>
          </cell>
          <cell r="K506">
            <v>1.5681096124120419</v>
          </cell>
          <cell r="L506">
            <v>1.3435196686887343</v>
          </cell>
          <cell r="M506">
            <v>1.5804001808658745</v>
          </cell>
          <cell r="N506">
            <v>1.5083340391352169</v>
          </cell>
          <cell r="O506">
            <v>1.9459539516272499</v>
          </cell>
        </row>
        <row r="507">
          <cell r="A507" t="str">
            <v>SCOM-SHSTG</v>
          </cell>
          <cell r="B507" t="str">
            <v>VAR_fin</v>
          </cell>
          <cell r="C507" t="str">
            <v>AUX_SCOM-SHSTG_IN</v>
          </cell>
          <cell r="D507">
            <v>3.643303054329168E-5</v>
          </cell>
          <cell r="E507">
            <v>4.9380895197133194E-4</v>
          </cell>
          <cell r="F507">
            <v>3.0357374960717443E-2</v>
          </cell>
          <cell r="G507">
            <v>1.75962994343292E-2</v>
          </cell>
          <cell r="H507">
            <v>1.0796555553835334</v>
          </cell>
          <cell r="I507">
            <v>1.1276742687892884</v>
          </cell>
          <cell r="J507">
            <v>0.83003597579919497</v>
          </cell>
          <cell r="K507">
            <v>1.5846993605058466</v>
          </cell>
          <cell r="L507">
            <v>1.3580952989480231</v>
          </cell>
          <cell r="M507">
            <v>1.5974085879398328</v>
          </cell>
          <cell r="N507">
            <v>1.5246455308904996</v>
          </cell>
          <cell r="O507">
            <v>1.9667574844844387</v>
          </cell>
        </row>
        <row r="508">
          <cell r="A508" t="str">
            <v>SCOM-SHSTG</v>
          </cell>
          <cell r="B508" t="str">
            <v>VAR_fin</v>
          </cell>
          <cell r="C508" t="str">
            <v>SCOM-SHD</v>
          </cell>
          <cell r="D508">
            <v>3.643303054329168E-5</v>
          </cell>
          <cell r="E508">
            <v>4.9380895197133194E-4</v>
          </cell>
          <cell r="F508">
            <v>3.0357374960717443E-2</v>
          </cell>
          <cell r="G508">
            <v>1.75962994343292E-2</v>
          </cell>
          <cell r="H508">
            <v>1.0796555553835334</v>
          </cell>
          <cell r="I508">
            <v>1.1276742687892884</v>
          </cell>
          <cell r="J508">
            <v>0.83003597579919497</v>
          </cell>
          <cell r="K508">
            <v>1.5846993605058466</v>
          </cell>
          <cell r="L508">
            <v>1.3580952989480231</v>
          </cell>
          <cell r="M508">
            <v>1.5974085879398328</v>
          </cell>
          <cell r="N508">
            <v>1.5246455308904996</v>
          </cell>
          <cell r="O508">
            <v>1.9667574844844387</v>
          </cell>
        </row>
        <row r="509">
          <cell r="A509" t="str">
            <v>SCOM-SHSTG</v>
          </cell>
          <cell r="B509" t="str">
            <v>VAR_ncap</v>
          </cell>
          <cell r="C509" t="str">
            <v>-</v>
          </cell>
          <cell r="D509">
            <v>1.9174824955019399E-3</v>
          </cell>
          <cell r="E509">
            <v>1.98446768898364E-5</v>
          </cell>
          <cell r="F509">
            <v>2.2431483319008201E-4</v>
          </cell>
          <cell r="G509">
            <v>1.09408066918957E-5</v>
          </cell>
          <cell r="H509">
            <v>0.27474015930369799</v>
          </cell>
          <cell r="I509">
            <v>1.6219396022643901E-4</v>
          </cell>
          <cell r="J509">
            <v>3.5108466738463901E-5</v>
          </cell>
          <cell r="K509">
            <v>0.33692652789878602</v>
          </cell>
          <cell r="L509">
            <v>0.336130425991644</v>
          </cell>
          <cell r="M509">
            <v>8.09737711685935E-2</v>
          </cell>
          <cell r="N509">
            <v>3.7395124787828402E-2</v>
          </cell>
          <cell r="O509">
            <v>0.34403611734869799</v>
          </cell>
        </row>
        <row r="510">
          <cell r="A510" t="str">
            <v>SCOM-SHSTG</v>
          </cell>
          <cell r="B510" t="str">
            <v>VAR_cap</v>
          </cell>
          <cell r="C510" t="str">
            <v>-</v>
          </cell>
          <cell r="D510">
            <v>1.9174824955019399E-3</v>
          </cell>
          <cell r="E510">
            <v>1.9333714302604554E-3</v>
          </cell>
          <cell r="F510">
            <v>2.1540978891219668E-3</v>
          </cell>
          <cell r="G510">
            <v>2.1590444525895311E-3</v>
          </cell>
          <cell r="H510">
            <v>0.2768885112494513</v>
          </cell>
          <cell r="I510">
            <v>0.27591573267958641</v>
          </cell>
          <cell r="J510">
            <v>0.27484369281611348</v>
          </cell>
          <cell r="K510">
            <v>0.61176547281443783</v>
          </cell>
          <cell r="L510">
            <v>0.75650368077977337</v>
          </cell>
          <cell r="M510">
            <v>0.75388226418150583</v>
          </cell>
          <cell r="N510">
            <v>0.79126066750495472</v>
          </cell>
          <cell r="O510">
            <v>0.79835163614833216</v>
          </cell>
        </row>
        <row r="511">
          <cell r="A511" t="str">
            <v>D-ITOT_KEV_HFC_ELC_CHP</v>
          </cell>
          <cell r="B511" t="str">
            <v>VAR_fout</v>
          </cell>
          <cell r="C511" t="str">
            <v>ITOT_ELC</v>
          </cell>
          <cell r="G511">
            <v>3.4326493166242488E-3</v>
          </cell>
          <cell r="H511">
            <v>1.0399224516590132E-2</v>
          </cell>
          <cell r="I511">
            <v>2.0357987413242882E-2</v>
          </cell>
          <cell r="J511">
            <v>1.892225064223688E-2</v>
          </cell>
          <cell r="K511">
            <v>5.3709388966104318E-2</v>
          </cell>
          <cell r="L511">
            <v>4.957607637468249E-2</v>
          </cell>
          <cell r="M511">
            <v>0.13441360119967363</v>
          </cell>
          <cell r="N511">
            <v>0.12847555249721543</v>
          </cell>
          <cell r="O511">
            <v>0.1567381865103801</v>
          </cell>
        </row>
        <row r="512">
          <cell r="A512" t="str">
            <v>D-ITOT_KEV_HFC_ELC_CHP</v>
          </cell>
          <cell r="B512" t="str">
            <v>VAR_fout</v>
          </cell>
          <cell r="C512" t="str">
            <v>ELC5</v>
          </cell>
          <cell r="G512">
            <v>1.429882248817655E-3</v>
          </cell>
          <cell r="H512">
            <v>4.2463424354126748E-3</v>
          </cell>
          <cell r="I512">
            <v>3.9047951746737026E-3</v>
          </cell>
          <cell r="J512">
            <v>4.8904462093126008E-3</v>
          </cell>
          <cell r="K512">
            <v>8.8522971678272663E-3</v>
          </cell>
          <cell r="L512">
            <v>6.646901794344723E-3</v>
          </cell>
          <cell r="M512">
            <v>1.373890613785405E-2</v>
          </cell>
          <cell r="N512">
            <v>1.4126025068650556E-2</v>
          </cell>
          <cell r="O512">
            <v>2.6353525073029696E-2</v>
          </cell>
        </row>
        <row r="513">
          <cell r="A513" t="str">
            <v>D-ITOT_KEV_HFC_ELC_CHP</v>
          </cell>
          <cell r="B513" t="str">
            <v>VAR_fin</v>
          </cell>
          <cell r="C513" t="str">
            <v>ITOT_KEV_HFC_ELC_CHP</v>
          </cell>
          <cell r="G513">
            <v>4.8566400825238165E-3</v>
          </cell>
          <cell r="H513">
            <v>1.4629301184321451E-2</v>
          </cell>
          <cell r="I513">
            <v>2.4231563976985074E-2</v>
          </cell>
          <cell r="J513">
            <v>2.3782016425570061E-2</v>
          </cell>
          <cell r="K513">
            <v>6.2528366509615088E-2</v>
          </cell>
          <cell r="L513">
            <v>5.6189356427558623E-2</v>
          </cell>
          <cell r="M513">
            <v>0.14811573889567822</v>
          </cell>
          <cell r="N513">
            <v>0.14256289448621584</v>
          </cell>
          <cell r="O513">
            <v>0.18302244024823439</v>
          </cell>
        </row>
        <row r="514">
          <cell r="A514" t="str">
            <v>D-RNGA</v>
          </cell>
          <cell r="B514" t="str">
            <v>VAR_fout</v>
          </cell>
          <cell r="C514" t="str">
            <v>CO2</v>
          </cell>
          <cell r="D514">
            <v>2655.0635603993201</v>
          </cell>
          <cell r="E514">
            <v>2731.66438525696</v>
          </cell>
          <cell r="F514">
            <v>2924.34639522928</v>
          </cell>
          <cell r="G514">
            <v>3103.7638984180098</v>
          </cell>
          <cell r="H514">
            <v>3239.6494288143299</v>
          </cell>
          <cell r="I514">
            <v>3197.3259253267302</v>
          </cell>
          <cell r="J514">
            <v>3140.8170712577198</v>
          </cell>
          <cell r="K514">
            <v>3160.6090997005999</v>
          </cell>
          <cell r="L514">
            <v>3020.0156225065198</v>
          </cell>
          <cell r="M514">
            <v>2863.4965914775098</v>
          </cell>
          <cell r="N514">
            <v>2929.0560391988702</v>
          </cell>
          <cell r="O514">
            <v>2495.4146971642699</v>
          </cell>
        </row>
        <row r="515">
          <cell r="A515" t="str">
            <v>D-RNGA</v>
          </cell>
          <cell r="B515" t="str">
            <v>VAR_fout</v>
          </cell>
          <cell r="C515" t="str">
            <v>RNGA</v>
          </cell>
          <cell r="D515">
            <v>47.234037177022444</v>
          </cell>
          <cell r="E515">
            <v>48.282972645133455</v>
          </cell>
          <cell r="F515">
            <v>51.68844223202305</v>
          </cell>
          <cell r="G515">
            <v>54.85944384303685</v>
          </cell>
          <cell r="H515">
            <v>57.26107447107735</v>
          </cell>
          <cell r="I515">
            <v>56.513043105434555</v>
          </cell>
          <cell r="J515">
            <v>55.514312852667928</v>
          </cell>
          <cell r="K515">
            <v>55.864058204233054</v>
          </cell>
          <cell r="L515">
            <v>53.379226698291106</v>
          </cell>
          <cell r="M515">
            <v>50.612674249374265</v>
          </cell>
          <cell r="N515">
            <v>51.771329467519394</v>
          </cell>
          <cell r="O515">
            <v>44.107466801539644</v>
          </cell>
        </row>
        <row r="516">
          <cell r="A516" t="str">
            <v>D-RNGA</v>
          </cell>
          <cell r="B516" t="str">
            <v>VAR_fout</v>
          </cell>
          <cell r="C516" t="str">
            <v>RSH2</v>
          </cell>
          <cell r="G516">
            <v>3.1915512453828819E-3</v>
          </cell>
          <cell r="H516">
            <v>7.7817702414476773E-3</v>
          </cell>
          <cell r="I516">
            <v>9.2298826618722237E-3</v>
          </cell>
          <cell r="J516">
            <v>1.0884019495137004E-2</v>
          </cell>
          <cell r="K516">
            <v>2.9998444206411481E-2</v>
          </cell>
          <cell r="L516">
            <v>2.7655780154239459E-2</v>
          </cell>
          <cell r="M516">
            <v>0.10386566608612439</v>
          </cell>
          <cell r="N516">
            <v>0.12289241542016009</v>
          </cell>
          <cell r="O516">
            <v>0.1319703444519148</v>
          </cell>
        </row>
        <row r="517">
          <cell r="A517" t="str">
            <v>D-RNGA</v>
          </cell>
          <cell r="B517" t="str">
            <v>VAR_fin</v>
          </cell>
          <cell r="C517" t="str">
            <v>NGA</v>
          </cell>
          <cell r="D517">
            <v>47.07559504254116</v>
          </cell>
          <cell r="E517">
            <v>48.43376569604532</v>
          </cell>
          <cell r="F517">
            <v>51.850113390590131</v>
          </cell>
          <cell r="G517">
            <v>55.031274794645654</v>
          </cell>
          <cell r="H517">
            <v>57.440592709473989</v>
          </cell>
          <cell r="I517">
            <v>56.690175980970487</v>
          </cell>
          <cell r="J517">
            <v>55.688245944285818</v>
          </cell>
          <cell r="K517">
            <v>56.039168434407877</v>
          </cell>
          <cell r="L517">
            <v>53.546376285576549</v>
          </cell>
          <cell r="M517">
            <v>50.771216160948732</v>
          </cell>
          <cell r="N517">
            <v>51.933617716292112</v>
          </cell>
          <cell r="O517">
            <v>44.244941439082808</v>
          </cell>
        </row>
        <row r="518">
          <cell r="A518" t="str">
            <v>D-RNGA</v>
          </cell>
          <cell r="B518" t="str">
            <v>VAR_fin</v>
          </cell>
          <cell r="C518" t="str">
            <v>BNGA</v>
          </cell>
          <cell r="D518">
            <v>0.30933691487034354</v>
          </cell>
          <cell r="E518">
            <v>3.4526792701548088E-3</v>
          </cell>
          <cell r="F518">
            <v>3.4537514637976428E-3</v>
          </cell>
          <cell r="G518">
            <v>3.4577426236367657E-3</v>
          </cell>
          <cell r="H518">
            <v>3.4605000995950601E-3</v>
          </cell>
          <cell r="I518">
            <v>3.4677451911584974E-3</v>
          </cell>
          <cell r="J518">
            <v>3.4742208687164877E-3</v>
          </cell>
          <cell r="K518">
            <v>3.4918567818726931E-3</v>
          </cell>
          <cell r="L518">
            <v>3.4905165494399201E-3</v>
          </cell>
          <cell r="M518">
            <v>3.5220870033230906E-3</v>
          </cell>
          <cell r="N518">
            <v>3.5384454486796124E-3</v>
          </cell>
          <cell r="O518">
            <v>3.9036985778925755E-3</v>
          </cell>
        </row>
        <row r="519">
          <cell r="A519" t="str">
            <v>D-RNGA</v>
          </cell>
          <cell r="B519" t="str">
            <v>VAR_fin</v>
          </cell>
          <cell r="C519" t="str">
            <v>H2</v>
          </cell>
          <cell r="G519">
            <v>3.188931615382991E-3</v>
          </cell>
          <cell r="H519">
            <v>7.7784442250135189E-3</v>
          </cell>
          <cell r="I519">
            <v>9.2246461292328254E-3</v>
          </cell>
          <cell r="J519">
            <v>1.0878782962497099E-2</v>
          </cell>
          <cell r="K519">
            <v>2.9993207673771557E-2</v>
          </cell>
          <cell r="L519">
            <v>2.7650543621600462E-2</v>
          </cell>
          <cell r="M519">
            <v>0.10386252416654032</v>
          </cell>
          <cell r="N519">
            <v>0.12289136811363319</v>
          </cell>
          <cell r="O519">
            <v>0.13195987138663776</v>
          </cell>
        </row>
        <row r="520">
          <cell r="A520" t="str">
            <v>D-RNGA</v>
          </cell>
          <cell r="B520" t="str">
            <v>VAR_ncap</v>
          </cell>
          <cell r="C520" t="str">
            <v>-</v>
          </cell>
          <cell r="D520">
            <v>3.4861778795352699E-6</v>
          </cell>
          <cell r="E520">
            <v>9.7811511494671791E-7</v>
          </cell>
          <cell r="F520">
            <v>6.2966534542735901E-6</v>
          </cell>
          <cell r="G520">
            <v>0.112060667080081</v>
          </cell>
          <cell r="H520">
            <v>0.14207655086082699</v>
          </cell>
          <cell r="I520">
            <v>1.49361410901854E-5</v>
          </cell>
          <cell r="J520">
            <v>6.0468900962628099E-6</v>
          </cell>
          <cell r="K520">
            <v>1.98357221741315</v>
          </cell>
          <cell r="L520">
            <v>0.87672966461725099</v>
          </cell>
          <cell r="M520">
            <v>7.1639237796555401E-6</v>
          </cell>
          <cell r="N520">
            <v>1.0259007755726901E-5</v>
          </cell>
          <cell r="O520">
            <v>2.1116921044693001E-5</v>
          </cell>
        </row>
        <row r="521">
          <cell r="A521" t="str">
            <v>D-RNGA</v>
          </cell>
          <cell r="B521" t="str">
            <v>VAR_cap</v>
          </cell>
          <cell r="C521" t="str">
            <v>-</v>
          </cell>
          <cell r="D521">
            <v>3.0972434935737998</v>
          </cell>
          <cell r="E521">
            <v>3.0972444716889145</v>
          </cell>
          <cell r="F521">
            <v>3.0972507683423687</v>
          </cell>
          <cell r="G521">
            <v>3.2093114354224501</v>
          </cell>
          <cell r="H521">
            <v>3.3513879862832772</v>
          </cell>
          <cell r="I521">
            <v>3.3514029224243673</v>
          </cell>
          <cell r="J521">
            <v>3.351408969314464</v>
          </cell>
          <cell r="K521">
            <v>3.2957498095191697</v>
          </cell>
          <cell r="L521">
            <v>3.1144708439489501</v>
          </cell>
          <cell r="M521">
            <v>3.1144749487971999</v>
          </cell>
          <cell r="N521">
            <v>3.0789538555959099</v>
          </cell>
          <cell r="O521">
            <v>3.0024379557750001</v>
          </cell>
        </row>
        <row r="522">
          <cell r="A522" t="str">
            <v>RHNS-SHLTHCHPNGA</v>
          </cell>
          <cell r="B522" t="str">
            <v>VAR_fout</v>
          </cell>
          <cell r="C522" t="str">
            <v>RHNS-SHLTHC-NGA</v>
          </cell>
          <cell r="E522">
            <v>8.7894377093667244E-4</v>
          </cell>
          <cell r="F522">
            <v>7.413980479793819E-3</v>
          </cell>
          <cell r="G522">
            <v>7.5945956700910816E-3</v>
          </cell>
          <cell r="H522">
            <v>2.2595364927210867E-2</v>
          </cell>
          <cell r="I522">
            <v>2.2807141678810885E-2</v>
          </cell>
          <cell r="J522">
            <v>3.5116174789921753E-2</v>
          </cell>
          <cell r="K522">
            <v>5.3662033090457313E-2</v>
          </cell>
          <cell r="L522">
            <v>4.709935799057078E-2</v>
          </cell>
          <cell r="M522">
            <v>5.4015685904972306E-2</v>
          </cell>
          <cell r="N522">
            <v>3.1899582730100469E-2</v>
          </cell>
          <cell r="O522">
            <v>3.0453867974692763E-2</v>
          </cell>
        </row>
        <row r="523">
          <cell r="A523" t="str">
            <v>RHNS-SHLTHCHPNGA</v>
          </cell>
          <cell r="B523" t="str">
            <v>VAR_fin</v>
          </cell>
          <cell r="C523" t="str">
            <v>RHNSLTHCHPC</v>
          </cell>
          <cell r="E523">
            <v>8.7894377093667244E-4</v>
          </cell>
          <cell r="F523">
            <v>7.413980479793819E-3</v>
          </cell>
          <cell r="G523">
            <v>7.5945956700910816E-3</v>
          </cell>
          <cell r="H523">
            <v>2.2595364927210867E-2</v>
          </cell>
          <cell r="I523">
            <v>2.2807141678810885E-2</v>
          </cell>
          <cell r="J523">
            <v>3.5116174789921753E-2</v>
          </cell>
          <cell r="K523">
            <v>5.3662033090457313E-2</v>
          </cell>
          <cell r="L523">
            <v>4.709935799057078E-2</v>
          </cell>
          <cell r="M523">
            <v>5.4015685904972306E-2</v>
          </cell>
          <cell r="N523">
            <v>3.1899582730100469E-2</v>
          </cell>
          <cell r="O523">
            <v>3.0453867974692763E-2</v>
          </cell>
        </row>
        <row r="524">
          <cell r="A524" t="str">
            <v>RHNS-SHLTHCHPNGA</v>
          </cell>
          <cell r="B524" t="str">
            <v>VAR_fin</v>
          </cell>
          <cell r="C524" t="str">
            <v>RHNS_LTH_CHPNGA_ON</v>
          </cell>
          <cell r="E524">
            <v>8.8782199084512352E-4</v>
          </cell>
          <cell r="F524">
            <v>7.4888691715089073E-3</v>
          </cell>
          <cell r="G524">
            <v>7.6713087576677661E-3</v>
          </cell>
          <cell r="H524">
            <v>2.2823600936576659E-2</v>
          </cell>
          <cell r="I524">
            <v>2.303751684728372E-2</v>
          </cell>
          <cell r="J524">
            <v>3.5470883626183607E-2</v>
          </cell>
          <cell r="K524">
            <v>5.4204073828744745E-2</v>
          </cell>
          <cell r="L524">
            <v>4.7575109081384598E-2</v>
          </cell>
          <cell r="M524">
            <v>5.4561298893911432E-2</v>
          </cell>
          <cell r="N524">
            <v>3.2221800737475263E-2</v>
          </cell>
          <cell r="O524">
            <v>3.0761482802719987E-2</v>
          </cell>
        </row>
        <row r="525">
          <cell r="A525" t="str">
            <v>RHNS-SHLTHCHPNGA</v>
          </cell>
          <cell r="B525" t="str">
            <v>VAR_ncap</v>
          </cell>
          <cell r="C525" t="str">
            <v>-</v>
          </cell>
          <cell r="E525">
            <v>1.0535513803555E-4</v>
          </cell>
          <cell r="F525">
            <v>8.1436450659413799E-4</v>
          </cell>
          <cell r="G525">
            <v>5.9592571870119098E-4</v>
          </cell>
          <cell r="H525">
            <v>1.9199700623001299E-3</v>
          </cell>
          <cell r="I525">
            <v>1.77733385849517E-3</v>
          </cell>
          <cell r="J525">
            <v>2.5067577450467301E-3</v>
          </cell>
          <cell r="K525">
            <v>4.1356681674174396E-3</v>
          </cell>
          <cell r="L525">
            <v>2.8996526715973098E-3</v>
          </cell>
          <cell r="M525">
            <v>3.6202768570238199E-3</v>
          </cell>
          <cell r="N525">
            <v>2.1633428151246301E-3</v>
          </cell>
          <cell r="O525">
            <v>2.4492628082383601E-3</v>
          </cell>
        </row>
        <row r="526">
          <cell r="A526" t="str">
            <v>RHNS-SHLTHCHPNGA</v>
          </cell>
          <cell r="B526" t="str">
            <v>VAR_cap</v>
          </cell>
          <cell r="C526" t="str">
            <v>-</v>
          </cell>
          <cell r="E526">
            <v>1.0535513803555E-4</v>
          </cell>
          <cell r="F526">
            <v>8.7031824334153434E-4</v>
          </cell>
          <cell r="G526">
            <v>8.8895011927451507E-4</v>
          </cell>
          <cell r="H526">
            <v>2.3749454490796999E-3</v>
          </cell>
          <cell r="I526">
            <v>2.3325380639304797E-3</v>
          </cell>
          <cell r="J526">
            <v>3.4762963513333901E-3</v>
          </cell>
          <cell r="K526">
            <v>5.4283270896517402E-3</v>
          </cell>
          <cell r="L526">
            <v>4.5095966324641404E-3</v>
          </cell>
          <cell r="M526">
            <v>5.3535012311545695E-3</v>
          </cell>
          <cell r="N526">
            <v>3.5543959998339996E-3</v>
          </cell>
          <cell r="O526">
            <v>3.7640809723030605E-3</v>
          </cell>
        </row>
        <row r="527">
          <cell r="A527" t="str">
            <v>D-SCOM_LTH_CHPWOD</v>
          </cell>
          <cell r="B527" t="str">
            <v>VAR_fout</v>
          </cell>
          <cell r="C527" t="str">
            <v>SCOM_LTH_CHPWOD_ON</v>
          </cell>
          <cell r="G527">
            <v>1.29182535624077E-2</v>
          </cell>
          <cell r="H527">
            <v>9.764192583974339E-3</v>
          </cell>
          <cell r="I527">
            <v>7.7759422042639696E-3</v>
          </cell>
          <cell r="J527">
            <v>1.2560715029025681E-2</v>
          </cell>
          <cell r="K527">
            <v>2.08252499252208E-2</v>
          </cell>
          <cell r="L527">
            <v>1.9172879442495801E-2</v>
          </cell>
          <cell r="M527">
            <v>2.3965301103469543E-2</v>
          </cell>
          <cell r="N527">
            <v>2.5132479952887806E-2</v>
          </cell>
          <cell r="O527">
            <v>4.9656292905648984E-2</v>
          </cell>
        </row>
        <row r="528">
          <cell r="A528" t="str">
            <v>D-SCOM_LTH_CHPWOD</v>
          </cell>
          <cell r="B528" t="str">
            <v>VAR_fout</v>
          </cell>
          <cell r="C528" t="str">
            <v>LTH</v>
          </cell>
          <cell r="G528">
            <v>8.0674683294825225E-6</v>
          </cell>
          <cell r="H528">
            <v>9.4663633925590154E-6</v>
          </cell>
          <cell r="I528">
            <v>1.0258750164774821E-5</v>
          </cell>
          <cell r="J528">
            <v>2.0840243586825613E-5</v>
          </cell>
          <cell r="K528">
            <v>4.1028244882963612E-5</v>
          </cell>
          <cell r="L528">
            <v>4.3976780449100359E-5</v>
          </cell>
          <cell r="M528">
            <v>6.2799888917536441E-5</v>
          </cell>
          <cell r="N528">
            <v>7.4201186585872055E-5</v>
          </cell>
          <cell r="O528">
            <v>1.6289572856694276E-4</v>
          </cell>
        </row>
        <row r="529">
          <cell r="A529" t="str">
            <v>D-SCOM_LTH_CHPWOD</v>
          </cell>
          <cell r="B529" t="str">
            <v>VAR_fin</v>
          </cell>
          <cell r="C529" t="str">
            <v>SCOM_LTH_CHPWOD</v>
          </cell>
          <cell r="G529">
            <v>1.2926789822934151E-2</v>
          </cell>
          <cell r="H529">
            <v>9.7739745952368697E-3</v>
          </cell>
          <cell r="I529">
            <v>7.786505820170579E-3</v>
          </cell>
          <cell r="J529">
            <v>1.2581593825263439E-2</v>
          </cell>
          <cell r="K529">
            <v>2.0866278170103739E-2</v>
          </cell>
          <cell r="L529">
            <v>1.9216856222944893E-2</v>
          </cell>
          <cell r="M529">
            <v>2.4028100992387069E-2</v>
          </cell>
          <cell r="N529">
            <v>2.5206681139473688E-2</v>
          </cell>
          <cell r="O529">
            <v>4.9819188634215937E-2</v>
          </cell>
        </row>
        <row r="530">
          <cell r="A530" t="str">
            <v>D-SCOM_KEV_BIO_ELC_CHP</v>
          </cell>
          <cell r="B530" t="str">
            <v>VAR_fout</v>
          </cell>
          <cell r="C530" t="str">
            <v>ELC5</v>
          </cell>
          <cell r="D530">
            <v>0.95877637738877119</v>
          </cell>
          <cell r="E530">
            <v>1.1058877840428518</v>
          </cell>
          <cell r="F530">
            <v>1.1057476354342881</v>
          </cell>
          <cell r="G530">
            <v>1.1051678170318127</v>
          </cell>
          <cell r="H530">
            <v>0.55808971991852729</v>
          </cell>
          <cell r="I530">
            <v>0.56941527074092591</v>
          </cell>
          <cell r="J530">
            <v>0.56856720139540651</v>
          </cell>
          <cell r="K530">
            <v>0.55439593258634789</v>
          </cell>
          <cell r="L530">
            <v>0.55454792495784877</v>
          </cell>
          <cell r="M530">
            <v>0.55535902597776809</v>
          </cell>
          <cell r="N530">
            <v>0.5543318087545257</v>
          </cell>
          <cell r="O530">
            <v>0.57271591996896654</v>
          </cell>
        </row>
        <row r="531">
          <cell r="A531" t="str">
            <v>D-SCOM_KEV_BIO_ELC_CHP</v>
          </cell>
          <cell r="B531" t="str">
            <v>VAR_fout</v>
          </cell>
          <cell r="C531" t="str">
            <v>SCOM_ELC</v>
          </cell>
          <cell r="D531">
            <v>5.9504323966354353E-4</v>
          </cell>
          <cell r="E531">
            <v>2.3198680644510207E-4</v>
          </cell>
          <cell r="F531">
            <v>3.7357627858163988E-4</v>
          </cell>
          <cell r="G531">
            <v>9.5288646821912592E-4</v>
          </cell>
          <cell r="H531">
            <v>0.54804123394769877</v>
          </cell>
          <cell r="I531">
            <v>0.53672901462176681</v>
          </cell>
          <cell r="J531">
            <v>0.53758259650979001</v>
          </cell>
          <cell r="K531">
            <v>0.55177784095667282</v>
          </cell>
          <cell r="L531">
            <v>0.55163345827344379</v>
          </cell>
          <cell r="M531">
            <v>0.55085960033873926</v>
          </cell>
          <cell r="N531">
            <v>0.55191491598153541</v>
          </cell>
          <cell r="O531">
            <v>0.5698804375054104</v>
          </cell>
        </row>
        <row r="532">
          <cell r="A532" t="str">
            <v>D-SCOM_KEV_BIO_ELC_CHP</v>
          </cell>
          <cell r="B532" t="str">
            <v>VAR_fin</v>
          </cell>
          <cell r="C532" t="str">
            <v>SCOM_KEV_BIO_ELC_CHP</v>
          </cell>
          <cell r="D532">
            <v>0.95937142062843517</v>
          </cell>
          <cell r="E532">
            <v>1.1061197708492967</v>
          </cell>
          <cell r="F532">
            <v>1.1061202942024164</v>
          </cell>
          <cell r="G532">
            <v>1.1061184455650488</v>
          </cell>
          <cell r="H532">
            <v>1.1061191710409983</v>
          </cell>
          <cell r="I532">
            <v>1.1061209391546785</v>
          </cell>
          <cell r="J532">
            <v>1.1061269760134509</v>
          </cell>
          <cell r="K532">
            <v>1.1061420325186193</v>
          </cell>
          <cell r="L532">
            <v>1.1061518890338238</v>
          </cell>
          <cell r="M532">
            <v>1.1061800074934498</v>
          </cell>
          <cell r="N532">
            <v>1.1062134962771784</v>
          </cell>
          <cell r="O532">
            <v>1.1425432066680894</v>
          </cell>
        </row>
        <row r="533">
          <cell r="A533" t="str">
            <v>RHES-SHLTHCHPWOD</v>
          </cell>
          <cell r="B533" t="str">
            <v>VAR_fout</v>
          </cell>
          <cell r="C533" t="str">
            <v>RHES-SHLTHC-WOD</v>
          </cell>
          <cell r="G533">
            <v>2.8336051985061775E-3</v>
          </cell>
          <cell r="H533">
            <v>5.5589242209867105E-3</v>
          </cell>
          <cell r="I533">
            <v>5.6741744794453156E-3</v>
          </cell>
          <cell r="J533">
            <v>5.8811562890411532E-3</v>
          </cell>
          <cell r="K533">
            <v>8.6572478634771161E-3</v>
          </cell>
          <cell r="L533">
            <v>8.9189844098575312E-3</v>
          </cell>
          <cell r="M533">
            <v>9.4313746042318115E-3</v>
          </cell>
          <cell r="N533">
            <v>1.1707540940388256E-2</v>
          </cell>
          <cell r="O533">
            <v>2.1656263215066019E-2</v>
          </cell>
        </row>
        <row r="534">
          <cell r="A534" t="str">
            <v>RHES-SHLTHCHPWOD</v>
          </cell>
          <cell r="B534" t="str">
            <v>VAR_fin</v>
          </cell>
          <cell r="C534" t="str">
            <v>RHESLTHCHPC</v>
          </cell>
          <cell r="G534">
            <v>2.8336051985061775E-3</v>
          </cell>
          <cell r="H534">
            <v>5.5589242209867105E-3</v>
          </cell>
          <cell r="I534">
            <v>5.6741744794453156E-3</v>
          </cell>
          <cell r="J534">
            <v>5.8811562890411532E-3</v>
          </cell>
          <cell r="K534">
            <v>8.6572478634771161E-3</v>
          </cell>
          <cell r="L534">
            <v>8.9189844098575312E-3</v>
          </cell>
          <cell r="M534">
            <v>9.4313746042318115E-3</v>
          </cell>
          <cell r="N534">
            <v>1.1707540940388256E-2</v>
          </cell>
          <cell r="O534">
            <v>2.1656263215066019E-2</v>
          </cell>
        </row>
        <row r="535">
          <cell r="A535" t="str">
            <v>RHES-SHLTHCHPWOD</v>
          </cell>
          <cell r="B535" t="str">
            <v>VAR_fin</v>
          </cell>
          <cell r="C535" t="str">
            <v>RHES_LTH_CHPWOD_ON</v>
          </cell>
          <cell r="G535">
            <v>2.8622274732385631E-3</v>
          </cell>
          <cell r="H535">
            <v>5.6150749706936507E-3</v>
          </cell>
          <cell r="I535">
            <v>5.7314893731770858E-3</v>
          </cell>
          <cell r="J535">
            <v>5.9405619081223772E-3</v>
          </cell>
          <cell r="K535">
            <v>8.7446948115930383E-3</v>
          </cell>
          <cell r="L535">
            <v>9.0090751614722471E-3</v>
          </cell>
          <cell r="M535">
            <v>9.5266410143755621E-3</v>
          </cell>
          <cell r="N535">
            <v>1.182579892968511E-2</v>
          </cell>
          <cell r="O535">
            <v>2.187501334855152E-2</v>
          </cell>
        </row>
        <row r="536">
          <cell r="A536" t="str">
            <v>RHES-SHLTHCHPWOD</v>
          </cell>
          <cell r="B536" t="str">
            <v>VAR_ncap</v>
          </cell>
          <cell r="C536" t="str">
            <v>-</v>
          </cell>
          <cell r="G536">
            <v>3.64911204975728E-4</v>
          </cell>
          <cell r="H536">
            <v>5.1869569329008301E-4</v>
          </cell>
          <cell r="I536">
            <v>5.0308708659349696E-4</v>
          </cell>
          <cell r="J536">
            <v>4.6519433281901198E-4</v>
          </cell>
          <cell r="K536">
            <v>8.2355537952616203E-4</v>
          </cell>
          <cell r="L536">
            <v>6.4732945059021399E-4</v>
          </cell>
          <cell r="M536">
            <v>8.1826145678117899E-4</v>
          </cell>
          <cell r="N536">
            <v>9.1494532182127396E-4</v>
          </cell>
          <cell r="O536">
            <v>1.9479778850066401E-3</v>
          </cell>
        </row>
        <row r="537">
          <cell r="A537" t="str">
            <v>RHES-SHLTHCHPWOD</v>
          </cell>
          <cell r="B537" t="str">
            <v>VAR_cap</v>
          </cell>
          <cell r="C537" t="str">
            <v>-</v>
          </cell>
          <cell r="G537">
            <v>3.64911204975728E-4</v>
          </cell>
          <cell r="H537">
            <v>6.5573819932192203E-4</v>
          </cell>
          <cell r="I537">
            <v>6.6571911937010695E-4</v>
          </cell>
          <cell r="J537">
            <v>6.9549027471133712E-4</v>
          </cell>
          <cell r="K537">
            <v>1.0901946054694888E-3</v>
          </cell>
          <cell r="L537">
            <v>9.8209699045631507E-4</v>
          </cell>
          <cell r="M537">
            <v>1.1939742418837801E-3</v>
          </cell>
          <cell r="N537">
            <v>1.334396472463044E-3</v>
          </cell>
          <cell r="O537">
            <v>2.5077412297513902E-3</v>
          </cell>
        </row>
        <row r="538">
          <cell r="A538" t="str">
            <v>RHES-SHSTG-NGAHP</v>
          </cell>
          <cell r="B538" t="str">
            <v>VAR_fout</v>
          </cell>
          <cell r="C538" t="str">
            <v>RHES-SHANGAH</v>
          </cell>
          <cell r="F538">
            <v>2.9344827858361633E-4</v>
          </cell>
          <cell r="G538">
            <v>3.5472720945590823E-4</v>
          </cell>
          <cell r="H538">
            <v>4.1144544239726591E-3</v>
          </cell>
          <cell r="I538">
            <v>4.2303898976762061E-3</v>
          </cell>
          <cell r="J538">
            <v>3.6819699382356743E-3</v>
          </cell>
          <cell r="K538">
            <v>0.19451482640994106</v>
          </cell>
          <cell r="L538">
            <v>0.19583126469363246</v>
          </cell>
          <cell r="M538">
            <v>0.17536020091953516</v>
          </cell>
          <cell r="N538">
            <v>0.55565268083450303</v>
          </cell>
          <cell r="O538">
            <v>0.39466551493329938</v>
          </cell>
        </row>
        <row r="539">
          <cell r="A539" t="str">
            <v>RHES-SHSTG-NGAHP</v>
          </cell>
          <cell r="B539" t="str">
            <v>VAR_fin</v>
          </cell>
          <cell r="C539" t="str">
            <v>RHES-SHANGAH</v>
          </cell>
          <cell r="F539">
            <v>3.0866027999503745E-4</v>
          </cell>
          <cell r="G539">
            <v>3.5193926097894278E-4</v>
          </cell>
          <cell r="H539">
            <v>4.1206051855054802E-3</v>
          </cell>
          <cell r="I539">
            <v>4.2440099140495652E-3</v>
          </cell>
          <cell r="J539">
            <v>3.7255889303900577E-3</v>
          </cell>
          <cell r="K539">
            <v>0.19456990961767776</v>
          </cell>
          <cell r="L539">
            <v>0.19585751626750786</v>
          </cell>
          <cell r="M539">
            <v>0.17541758169067936</v>
          </cell>
          <cell r="N539">
            <v>0.55570586117159193</v>
          </cell>
          <cell r="O539">
            <v>0.39474204919070899</v>
          </cell>
        </row>
        <row r="540">
          <cell r="A540" t="str">
            <v>RHES-SHSTG-NGAHP</v>
          </cell>
          <cell r="B540" t="str">
            <v>VAR_ncap</v>
          </cell>
          <cell r="C540" t="str">
            <v>-</v>
          </cell>
          <cell r="D540">
            <v>2.1928455838082E-5</v>
          </cell>
          <cell r="E540">
            <v>1.91016846321082E-5</v>
          </cell>
          <cell r="F540">
            <v>9.3086749772802895E-5</v>
          </cell>
          <cell r="G540">
            <v>4.6297228861656E-5</v>
          </cell>
          <cell r="H540">
            <v>7.51007060256931E-4</v>
          </cell>
          <cell r="I540">
            <v>1.4135926158599199E-4</v>
          </cell>
          <cell r="J540">
            <v>2.284134462427E-4</v>
          </cell>
          <cell r="K540">
            <v>2.7487748054766E-2</v>
          </cell>
          <cell r="L540">
            <v>3.8556343501277001E-4</v>
          </cell>
          <cell r="M540">
            <v>7.9430640390136596E-4</v>
          </cell>
          <cell r="N540">
            <v>6.7270509103718998E-2</v>
          </cell>
          <cell r="O540">
            <v>4.9183627679611E-3</v>
          </cell>
        </row>
        <row r="541">
          <cell r="A541" t="str">
            <v>RHES-SHSTG-NGAHP</v>
          </cell>
          <cell r="B541" t="str">
            <v>VAR_cap</v>
          </cell>
          <cell r="C541" t="str">
            <v>-</v>
          </cell>
          <cell r="D541">
            <v>2.1928455838082E-5</v>
          </cell>
          <cell r="E541">
            <v>1.1329791248660125E-7</v>
          </cell>
          <cell r="F541">
            <v>8.1162628912595701E-5</v>
          </cell>
          <cell r="G541">
            <v>8.5475170830057691E-5</v>
          </cell>
          <cell r="H541">
            <v>8.2754390266636226E-4</v>
          </cell>
          <cell r="I541">
            <v>8.3074426281934302E-4</v>
          </cell>
          <cell r="J541">
            <v>8.34498696505169E-4</v>
          </cell>
          <cell r="K541">
            <v>2.770828404972921E-2</v>
          </cell>
          <cell r="L541">
            <v>2.7707516854896221E-2</v>
          </cell>
          <cell r="M541">
            <v>2.7708670106377394E-2</v>
          </cell>
          <cell r="N541">
            <v>7.2555389924590902E-2</v>
          </cell>
          <cell r="O541">
            <v>7.2473657679616041E-2</v>
          </cell>
        </row>
        <row r="542">
          <cell r="A542" t="str">
            <v>D-RHNS_SOLELC</v>
          </cell>
          <cell r="B542" t="str">
            <v>VAR_fout</v>
          </cell>
          <cell r="C542" t="str">
            <v>RHNS_ELC</v>
          </cell>
          <cell r="E542">
            <v>4.2190456545566713E-5</v>
          </cell>
          <cell r="F542">
            <v>2.8575697420888022E-3</v>
          </cell>
          <cell r="G542">
            <v>3.5641504358677519E-3</v>
          </cell>
          <cell r="H542">
            <v>3.64384087027184E-3</v>
          </cell>
          <cell r="I542">
            <v>3.8846763114017257E-3</v>
          </cell>
          <cell r="J542">
            <v>4.0637630039199769E-3</v>
          </cell>
          <cell r="K542">
            <v>3.9549082162770354E-3</v>
          </cell>
          <cell r="L542">
            <v>4.4435848791951997E-3</v>
          </cell>
          <cell r="M542">
            <v>4.3346431023030992E-3</v>
          </cell>
          <cell r="N542">
            <v>4.6096008921628255E-3</v>
          </cell>
          <cell r="O542">
            <v>4.584229203800051E-3</v>
          </cell>
        </row>
        <row r="543">
          <cell r="A543" t="str">
            <v>D-RHNS_SOLELC</v>
          </cell>
          <cell r="B543" t="str">
            <v>VAR_fout</v>
          </cell>
          <cell r="C543" t="str">
            <v>ELC5</v>
          </cell>
          <cell r="E543">
            <v>4.2143009563965864E-5</v>
          </cell>
          <cell r="F543">
            <v>2.9357776087584725E-3</v>
          </cell>
          <cell r="G543">
            <v>3.7445653368875309E-3</v>
          </cell>
          <cell r="H543">
            <v>3.8084287740993896E-3</v>
          </cell>
          <cell r="I543">
            <v>3.9655772251424538E-3</v>
          </cell>
          <cell r="J543">
            <v>4.1668501686529238E-3</v>
          </cell>
          <cell r="K543">
            <v>3.8968610397476281E-3</v>
          </cell>
          <cell r="L543">
            <v>4.42758912496489E-3</v>
          </cell>
          <cell r="M543">
            <v>4.2708236032382007E-3</v>
          </cell>
          <cell r="N543">
            <v>4.5588890558315338E-3</v>
          </cell>
          <cell r="O543">
            <v>4.4652196240915687E-3</v>
          </cell>
        </row>
        <row r="544">
          <cell r="A544" t="str">
            <v>D-RHNS_SOLELC</v>
          </cell>
          <cell r="B544" t="str">
            <v>VAR_fin</v>
          </cell>
          <cell r="C544" t="str">
            <v>RHNS_SOL_ELC</v>
          </cell>
          <cell r="E544">
            <v>8.3544323137559772E-5</v>
          </cell>
          <cell r="F544">
            <v>5.7933473508472713E-3</v>
          </cell>
          <cell r="G544">
            <v>7.3087157727552829E-3</v>
          </cell>
          <cell r="H544">
            <v>7.4522696443712301E-3</v>
          </cell>
          <cell r="I544">
            <v>7.8502535365441769E-3</v>
          </cell>
          <cell r="J544">
            <v>8.2306131725729034E-3</v>
          </cell>
          <cell r="K544">
            <v>7.8517692560246596E-3</v>
          </cell>
          <cell r="L544">
            <v>8.8711740041600897E-3</v>
          </cell>
          <cell r="M544">
            <v>8.6054667055413016E-3</v>
          </cell>
          <cell r="N544">
            <v>9.168489947994362E-3</v>
          </cell>
          <cell r="O544">
            <v>9.0494488278916249E-3</v>
          </cell>
        </row>
        <row r="545">
          <cell r="A545" t="str">
            <v>D-IHFO</v>
          </cell>
          <cell r="B545" t="str">
            <v>VAR_fout</v>
          </cell>
          <cell r="C545" t="str">
            <v>CO2</v>
          </cell>
          <cell r="D545">
            <v>213.78070443707099</v>
          </cell>
          <cell r="E545">
            <v>175.881617246052</v>
          </cell>
          <cell r="F545">
            <v>0.677350909262182</v>
          </cell>
          <cell r="G545">
            <v>0.198943828986028</v>
          </cell>
          <cell r="H545">
            <v>0.294765891488112</v>
          </cell>
          <cell r="I545">
            <v>0.27638339370577403</v>
          </cell>
          <cell r="J545">
            <v>0.34438710103901399</v>
          </cell>
        </row>
        <row r="546">
          <cell r="A546" t="str">
            <v>D-IHFO</v>
          </cell>
          <cell r="B546" t="str">
            <v>VAR_fout</v>
          </cell>
          <cell r="C546" t="str">
            <v>IHFO</v>
          </cell>
          <cell r="D546">
            <v>2.7300041238171344</v>
          </cell>
          <cell r="E546">
            <v>2.246028432031336</v>
          </cell>
          <cell r="F546">
            <v>8.6498488272189859E-3</v>
          </cell>
          <cell r="G546">
            <v>2.5405355219965745E-3</v>
          </cell>
          <cell r="H546">
            <v>3.7641942543044549E-3</v>
          </cell>
          <cell r="I546">
            <v>3.5294476485058265E-3</v>
          </cell>
          <cell r="J546">
            <v>4.3978627935651283E-3</v>
          </cell>
        </row>
        <row r="547">
          <cell r="A547" t="str">
            <v>D-IHFO</v>
          </cell>
          <cell r="B547" t="str">
            <v>VAR_fin</v>
          </cell>
          <cell r="C547" t="str">
            <v>HFO</v>
          </cell>
          <cell r="D547">
            <v>2.7763727848970223</v>
          </cell>
          <cell r="E547">
            <v>2.284176847351322</v>
          </cell>
          <cell r="F547">
            <v>8.7967650553530084E-3</v>
          </cell>
          <cell r="G547">
            <v>2.5836860907276415E-3</v>
          </cell>
          <cell r="H547">
            <v>3.8281284608845684E-3</v>
          </cell>
          <cell r="I547">
            <v>3.5893947234516134E-3</v>
          </cell>
          <cell r="J547">
            <v>4.4725597537534313E-3</v>
          </cell>
        </row>
        <row r="548">
          <cell r="A548" t="str">
            <v>RHEM-SHCONBR</v>
          </cell>
          <cell r="B548" t="str">
            <v>VAR_fout</v>
          </cell>
          <cell r="C548" t="str">
            <v>RHEM-SHCON</v>
          </cell>
          <cell r="F548">
            <v>4.604866190724615E-4</v>
          </cell>
          <cell r="G548">
            <v>4.0587113667304607E-4</v>
          </cell>
          <cell r="H548">
            <v>4.7145953699068507E-4</v>
          </cell>
          <cell r="I548">
            <v>4.7157002612395173E-4</v>
          </cell>
          <cell r="J548">
            <v>4.49705164591466E-4</v>
          </cell>
          <cell r="K548">
            <v>1.5764814247814425E-3</v>
          </cell>
          <cell r="L548">
            <v>1.6170701504200082E-3</v>
          </cell>
          <cell r="M548">
            <v>1.5742084744888678E-3</v>
          </cell>
          <cell r="N548">
            <v>1.5836443547783258E-3</v>
          </cell>
          <cell r="O548">
            <v>1.88871913320127E-3</v>
          </cell>
        </row>
        <row r="549">
          <cell r="A549" t="str">
            <v>RHEM-SHCONBR</v>
          </cell>
          <cell r="B549" t="str">
            <v>VAR_fin</v>
          </cell>
          <cell r="C549" t="str">
            <v>CON</v>
          </cell>
          <cell r="F549">
            <v>4.604866190724615E-4</v>
          </cell>
          <cell r="G549">
            <v>4.0587113667304607E-4</v>
          </cell>
          <cell r="H549">
            <v>4.7145953699068507E-4</v>
          </cell>
          <cell r="I549">
            <v>4.7157002612395173E-4</v>
          </cell>
          <cell r="J549">
            <v>4.49705164591466E-4</v>
          </cell>
          <cell r="K549">
            <v>1.5764814247814425E-3</v>
          </cell>
          <cell r="L549">
            <v>1.6170701504200082E-3</v>
          </cell>
          <cell r="M549">
            <v>1.5742084744888678E-3</v>
          </cell>
          <cell r="N549">
            <v>1.5836443547783258E-3</v>
          </cell>
          <cell r="O549">
            <v>1.88871913320127E-3</v>
          </cell>
        </row>
        <row r="550">
          <cell r="A550" t="str">
            <v>RHEM-SHCONBR</v>
          </cell>
          <cell r="B550" t="str">
            <v>VAR_ncap</v>
          </cell>
          <cell r="C550" t="str">
            <v>-</v>
          </cell>
          <cell r="D550">
            <v>5.7563970348391099E-8</v>
          </cell>
          <cell r="E550">
            <v>9.5317584288604103E-8</v>
          </cell>
          <cell r="F550">
            <v>2.8412558112760199E-5</v>
          </cell>
          <cell r="G550">
            <v>3.5410547295005102E-7</v>
          </cell>
          <cell r="H550">
            <v>2.5495118425901502E-6</v>
          </cell>
          <cell r="I550">
            <v>4.8727177842125605E-7</v>
          </cell>
          <cell r="J550">
            <v>2.6350313367476998E-7</v>
          </cell>
          <cell r="K550">
            <v>8.8763433513486397E-5</v>
          </cell>
          <cell r="L550">
            <v>2.8328690467269001E-6</v>
          </cell>
          <cell r="M550">
            <v>6.6152242793600198E-7</v>
          </cell>
          <cell r="N550">
            <v>5.2351297045857896E-7</v>
          </cell>
          <cell r="O550">
            <v>2.5165455923414301E-5</v>
          </cell>
        </row>
        <row r="551">
          <cell r="A551" t="str">
            <v>RHEM-SHCONBR</v>
          </cell>
          <cell r="B551" t="str">
            <v>VAR_cap</v>
          </cell>
          <cell r="C551" t="str">
            <v>-</v>
          </cell>
          <cell r="D551">
            <v>5.7563970348391099E-8</v>
          </cell>
          <cell r="E551">
            <v>-1.6394072769789249E-6</v>
          </cell>
          <cell r="F551">
            <v>2.8420290068816235E-5</v>
          </cell>
          <cell r="G551">
            <v>2.8766391847280977E-5</v>
          </cell>
          <cell r="H551">
            <v>3.1118976252688379E-5</v>
          </cell>
          <cell r="I551">
            <v>3.1290446364219174E-5</v>
          </cell>
          <cell r="J551">
            <v>3.1118707705500833E-5</v>
          </cell>
          <cell r="K551">
            <v>1.1945228059058231E-4</v>
          </cell>
          <cell r="L551">
            <v>1.2313944595312694E-4</v>
          </cell>
          <cell r="M551">
            <v>1.2256171504135591E-4</v>
          </cell>
          <cell r="N551">
            <v>1.2339496916604573E-4</v>
          </cell>
          <cell r="O551">
            <v>1.4965962624638218E-4</v>
          </cell>
        </row>
        <row r="552">
          <cell r="A552" t="str">
            <v>RHEM-SHSOLBR</v>
          </cell>
          <cell r="B552" t="str">
            <v>VAR_fout</v>
          </cell>
          <cell r="C552" t="str">
            <v>RHEM-SHASOL</v>
          </cell>
          <cell r="D552">
            <v>0.40802170877711502</v>
          </cell>
          <cell r="E552">
            <v>0.4708837587499663</v>
          </cell>
          <cell r="F552">
            <v>0.47025763608438337</v>
          </cell>
          <cell r="G552">
            <v>0.47047900097258127</v>
          </cell>
          <cell r="H552">
            <v>0.45319386140932044</v>
          </cell>
          <cell r="I552">
            <v>0.47028302999891308</v>
          </cell>
          <cell r="J552">
            <v>0.46677622198926194</v>
          </cell>
          <cell r="K552">
            <v>0.42226946911664148</v>
          </cell>
          <cell r="L552">
            <v>0.46428181236805083</v>
          </cell>
          <cell r="M552">
            <v>0.40907462279056367</v>
          </cell>
          <cell r="N552">
            <v>0.44092832592629838</v>
          </cell>
          <cell r="O552">
            <v>0.37264266061868973</v>
          </cell>
        </row>
        <row r="553">
          <cell r="A553" t="str">
            <v>RHEM-SHSOLBR</v>
          </cell>
          <cell r="B553" t="str">
            <v>VAR_fin</v>
          </cell>
          <cell r="C553" t="str">
            <v>SOL</v>
          </cell>
          <cell r="D553">
            <v>0.40802170877711502</v>
          </cell>
          <cell r="E553">
            <v>0.4708837587499663</v>
          </cell>
          <cell r="F553">
            <v>0.47025763608438337</v>
          </cell>
          <cell r="G553">
            <v>0.47047900097258127</v>
          </cell>
          <cell r="H553">
            <v>0.45319386140932044</v>
          </cell>
          <cell r="I553">
            <v>0.47028302999891308</v>
          </cell>
          <cell r="J553">
            <v>0.46677622198926194</v>
          </cell>
          <cell r="K553">
            <v>0.42226946911664148</v>
          </cell>
          <cell r="L553">
            <v>0.46428181236805083</v>
          </cell>
          <cell r="M553">
            <v>0.40907462279056367</v>
          </cell>
          <cell r="N553">
            <v>0.44092832592629838</v>
          </cell>
          <cell r="O553">
            <v>0.37264266061868973</v>
          </cell>
        </row>
        <row r="554">
          <cell r="A554" t="str">
            <v>RHEM-SHSOLBR</v>
          </cell>
          <cell r="B554" t="str">
            <v>VAR_ncap</v>
          </cell>
          <cell r="C554" t="str">
            <v>-</v>
          </cell>
          <cell r="D554">
            <v>1.5178210357316601E-4</v>
          </cell>
          <cell r="E554">
            <v>9.0194054014477408E-3</v>
          </cell>
          <cell r="F554">
            <v>8.3350293189132799E-7</v>
          </cell>
          <cell r="G554">
            <v>1.35550000834328E-6</v>
          </cell>
          <cell r="H554">
            <v>4.83984712254645E-2</v>
          </cell>
          <cell r="I554">
            <v>2.0028499493311001E-2</v>
          </cell>
          <cell r="J554">
            <v>3.7983757676741402E-6</v>
          </cell>
          <cell r="K554">
            <v>4.8397867026198901E-2</v>
          </cell>
          <cell r="L554">
            <v>1.6952971782755E-2</v>
          </cell>
          <cell r="M554">
            <v>3.08405413795652E-3</v>
          </cell>
          <cell r="N554">
            <v>4.5203236877374202E-2</v>
          </cell>
          <cell r="O554">
            <v>2.01660375087022E-2</v>
          </cell>
        </row>
        <row r="555">
          <cell r="A555" t="str">
            <v>RHEM-SHSOLBR</v>
          </cell>
          <cell r="B555" t="str">
            <v>VAR_cap</v>
          </cell>
          <cell r="C555" t="str">
            <v>-</v>
          </cell>
          <cell r="D555">
            <v>5.9406703520611469E-2</v>
          </cell>
          <cell r="E555">
            <v>6.8426108922059206E-2</v>
          </cell>
          <cell r="F555">
            <v>6.8426942424991102E-2</v>
          </cell>
          <cell r="G555">
            <v>6.8428297924999437E-2</v>
          </cell>
          <cell r="H555">
            <v>6.8427905327837796E-2</v>
          </cell>
          <cell r="I555">
            <v>6.8428243372227804E-2</v>
          </cell>
          <cell r="J555">
            <v>6.8430769094543195E-2</v>
          </cell>
          <cell r="K555">
            <v>6.8430164895277604E-2</v>
          </cell>
          <cell r="L555">
            <v>6.8431594538715806E-2</v>
          </cell>
          <cell r="M555">
            <v>6.8434892946910394E-2</v>
          </cell>
          <cell r="N555">
            <v>6.8438261940346801E-2</v>
          </cell>
          <cell r="O555">
            <v>6.8453328524032894E-2</v>
          </cell>
        </row>
        <row r="556">
          <cell r="A556" t="str">
            <v>SCOM-SHH2BR</v>
          </cell>
          <cell r="B556" t="str">
            <v>VAR_fout</v>
          </cell>
          <cell r="C556" t="str">
            <v>SCOM-SHH2B</v>
          </cell>
          <cell r="G556">
            <v>1.6016038398277337E-3</v>
          </cell>
          <cell r="H556">
            <v>3.7383381499291744E-3</v>
          </cell>
          <cell r="I556">
            <v>5.6775714773390808E-3</v>
          </cell>
          <cell r="J556">
            <v>4.4780600923191574E-3</v>
          </cell>
          <cell r="K556">
            <v>1.8558081430192046E-2</v>
          </cell>
          <cell r="L556">
            <v>1.5799521597460005E-2</v>
          </cell>
          <cell r="M556">
            <v>7.9697019624806395E-2</v>
          </cell>
          <cell r="N556">
            <v>0.12820039972940181</v>
          </cell>
          <cell r="O556">
            <v>0.11133474260651793</v>
          </cell>
        </row>
        <row r="557">
          <cell r="A557" t="str">
            <v>SCOM-SHH2BR</v>
          </cell>
          <cell r="B557" t="str">
            <v>VAR_fin</v>
          </cell>
          <cell r="C557" t="str">
            <v>RSH2</v>
          </cell>
          <cell r="G557">
            <v>1.6915815836382787E-3</v>
          </cell>
          <cell r="H557">
            <v>3.9483571471162007E-3</v>
          </cell>
          <cell r="I557">
            <v>5.9965361670772151E-3</v>
          </cell>
          <cell r="J557">
            <v>4.7296365020000073E-3</v>
          </cell>
          <cell r="K557">
            <v>1.9600670274584849E-2</v>
          </cell>
          <cell r="L557">
            <v>1.6687135170351024E-2</v>
          </cell>
          <cell r="M557">
            <v>8.4174380277885485E-2</v>
          </cell>
          <cell r="N557">
            <v>0.13540266937712098</v>
          </cell>
          <cell r="O557">
            <v>0.11758950342710878</v>
          </cell>
        </row>
        <row r="558">
          <cell r="A558" t="str">
            <v>SCOM-SHH2BR</v>
          </cell>
          <cell r="B558" t="str">
            <v>VAR_ncap</v>
          </cell>
          <cell r="C558" t="str">
            <v>-</v>
          </cell>
          <cell r="G558">
            <v>2.08043170996898E-4</v>
          </cell>
          <cell r="H558">
            <v>2.7517121430538198E-4</v>
          </cell>
          <cell r="I558">
            <v>2.8082826190010902E-4</v>
          </cell>
          <cell r="J558">
            <v>3.0231455281257301E-5</v>
          </cell>
          <cell r="K558">
            <v>1.75491333538799E-3</v>
          </cell>
          <cell r="L558">
            <v>5.7089757824212402E-5</v>
          </cell>
          <cell r="M558">
            <v>5.4357577577778199E-3</v>
          </cell>
          <cell r="N558">
            <v>6.4479539554633397E-3</v>
          </cell>
          <cell r="O558">
            <v>3.6234902598033202E-4</v>
          </cell>
        </row>
        <row r="559">
          <cell r="A559" t="str">
            <v>SCOM-SHH2BR</v>
          </cell>
          <cell r="B559" t="str">
            <v>VAR_cap</v>
          </cell>
          <cell r="C559" t="str">
            <v>-</v>
          </cell>
          <cell r="G559">
            <v>2.08043170996898E-4</v>
          </cell>
          <cell r="H559">
            <v>4.8180221514002735E-4</v>
          </cell>
          <cell r="I559">
            <v>7.1943594412255394E-4</v>
          </cell>
          <cell r="J559">
            <v>5.7824232334987885E-4</v>
          </cell>
          <cell r="K559">
            <v>2.0582721234962773E-3</v>
          </cell>
          <cell r="L559">
            <v>1.8689386948217205E-3</v>
          </cell>
          <cell r="M559">
            <v>7.2372078357195654E-3</v>
          </cell>
          <cell r="N559">
            <v>1.2219296421923596E-2</v>
          </cell>
          <cell r="O559">
            <v>1.2234443472442583E-2</v>
          </cell>
        </row>
        <row r="560">
          <cell r="A560" t="str">
            <v>ITOT-SWHCONBR1</v>
          </cell>
          <cell r="B560" t="str">
            <v>VAR_fout</v>
          </cell>
          <cell r="C560" t="str">
            <v>ITOT-ELS</v>
          </cell>
          <cell r="E560">
            <v>0.85059925575872231</v>
          </cell>
          <cell r="F560">
            <v>0.85060099102516229</v>
          </cell>
          <cell r="G560">
            <v>0.85034647507056416</v>
          </cell>
          <cell r="H560">
            <v>0.8478071614272169</v>
          </cell>
          <cell r="I560">
            <v>0.84709981264468981</v>
          </cell>
          <cell r="J560">
            <v>0.84707734107159893</v>
          </cell>
          <cell r="K560">
            <v>0.84563903257182749</v>
          </cell>
          <cell r="L560">
            <v>0.8460451916078946</v>
          </cell>
          <cell r="M560">
            <v>0.84411217237013092</v>
          </cell>
          <cell r="N560">
            <v>0.84498257303645474</v>
          </cell>
          <cell r="O560">
            <v>0.83963650702012749</v>
          </cell>
        </row>
        <row r="561">
          <cell r="A561" t="str">
            <v>ITOT-SWHCONBR1</v>
          </cell>
          <cell r="B561" t="str">
            <v>VAR_fout</v>
          </cell>
          <cell r="C561" t="str">
            <v>ITOT-SWHC</v>
          </cell>
          <cell r="E561">
            <v>4.043621800078145</v>
          </cell>
          <cell r="F561">
            <v>4.0436300492755892</v>
          </cell>
          <cell r="G561">
            <v>4.0424201184468114</v>
          </cell>
          <cell r="H561">
            <v>4.0303486007068638</v>
          </cell>
          <cell r="I561">
            <v>4.026985970257897</v>
          </cell>
          <cell r="J561">
            <v>4.0268791437562053</v>
          </cell>
          <cell r="K561">
            <v>4.0200416400015992</v>
          </cell>
          <cell r="L561">
            <v>4.0219724593873725</v>
          </cell>
          <cell r="M561">
            <v>4.0127831746838218</v>
          </cell>
          <cell r="N561">
            <v>4.0169209294318078</v>
          </cell>
          <cell r="O561">
            <v>3.9915065301810229</v>
          </cell>
        </row>
        <row r="562">
          <cell r="A562" t="str">
            <v>ITOT-SWHCONBR1</v>
          </cell>
          <cell r="B562" t="str">
            <v>VAR_fin</v>
          </cell>
          <cell r="C562" t="str">
            <v>CON</v>
          </cell>
          <cell r="E562">
            <v>4.8942210558368719</v>
          </cell>
          <cell r="F562">
            <v>4.8942310403007507</v>
          </cell>
          <cell r="G562">
            <v>4.8927665935173739</v>
          </cell>
          <cell r="H562">
            <v>4.8781557621340808</v>
          </cell>
          <cell r="I562">
            <v>4.8740857829025872</v>
          </cell>
          <cell r="J562">
            <v>4.873956484827807</v>
          </cell>
          <cell r="K562">
            <v>4.8656806725734274</v>
          </cell>
          <cell r="L562">
            <v>4.8680176509952631</v>
          </cell>
          <cell r="M562">
            <v>4.8568953470539578</v>
          </cell>
          <cell r="N562">
            <v>4.8619035024682606</v>
          </cell>
          <cell r="O562">
            <v>4.8311430372011488</v>
          </cell>
        </row>
        <row r="563">
          <cell r="A563" t="str">
            <v>ITOT-SWHCONBR1</v>
          </cell>
          <cell r="B563" t="str">
            <v>VAR_ncap</v>
          </cell>
          <cell r="C563" t="str">
            <v>-</v>
          </cell>
          <cell r="E563">
            <v>0.26617034807781598</v>
          </cell>
          <cell r="F563">
            <v>5.1170910713969395E-7</v>
          </cell>
          <cell r="G563">
            <v>2.6643805512606098E-7</v>
          </cell>
          <cell r="H563">
            <v>0.128936264274845</v>
          </cell>
          <cell r="I563">
            <v>0.136145049638836</v>
          </cell>
          <cell r="J563">
            <v>1.2867339238453601E-6</v>
          </cell>
          <cell r="K563">
            <v>0.12848965646517399</v>
          </cell>
          <cell r="L563">
            <v>0.11534504722752199</v>
          </cell>
          <cell r="M563">
            <v>2.0324882069619101E-2</v>
          </cell>
          <cell r="N563">
            <v>0.14256671255244999</v>
          </cell>
          <cell r="O563">
            <v>9.98767210132043E-2</v>
          </cell>
        </row>
        <row r="564">
          <cell r="A564" t="str">
            <v>ITOT-SWHCONBR1</v>
          </cell>
          <cell r="B564" t="str">
            <v>VAR_cap</v>
          </cell>
          <cell r="C564" t="str">
            <v>-</v>
          </cell>
          <cell r="E564">
            <v>0.26617034807781598</v>
          </cell>
          <cell r="F564">
            <v>0.26617085978692301</v>
          </cell>
          <cell r="G564">
            <v>0.26617112622497802</v>
          </cell>
          <cell r="H564">
            <v>0.26530776969511299</v>
          </cell>
          <cell r="I564">
            <v>0.26508163712007898</v>
          </cell>
          <cell r="J564">
            <v>0.26508260064760503</v>
          </cell>
          <cell r="K564">
            <v>0.26463599283793399</v>
          </cell>
          <cell r="L564">
            <v>0.264755062003529</v>
          </cell>
          <cell r="M564">
            <v>0.26415958576231602</v>
          </cell>
          <cell r="N564">
            <v>0.26442901783733103</v>
          </cell>
          <cell r="O564">
            <v>0.26276831563527397</v>
          </cell>
        </row>
        <row r="565">
          <cell r="A565" t="str">
            <v>SCOM-SHLTHCHPWOD</v>
          </cell>
          <cell r="B565" t="str">
            <v>VAR_fout</v>
          </cell>
          <cell r="C565" t="str">
            <v>SCOM-SHLTHC-WOD</v>
          </cell>
          <cell r="G565">
            <v>1.2789071026783611E-2</v>
          </cell>
          <cell r="H565">
            <v>9.6665506581345879E-3</v>
          </cell>
          <cell r="I565">
            <v>7.6981827822213316E-3</v>
          </cell>
          <cell r="J565">
            <v>1.2435107878735434E-2</v>
          </cell>
          <cell r="K565">
            <v>2.0616997425968592E-2</v>
          </cell>
          <cell r="L565">
            <v>1.8981150648070835E-2</v>
          </cell>
          <cell r="M565">
            <v>2.3725648092434853E-2</v>
          </cell>
          <cell r="N565">
            <v>2.4881155153358918E-2</v>
          </cell>
          <cell r="O565">
            <v>4.9159729976592549E-2</v>
          </cell>
        </row>
        <row r="566">
          <cell r="A566" t="str">
            <v>SCOM-SHLTHCHPWOD</v>
          </cell>
          <cell r="B566" t="str">
            <v>VAR_fin</v>
          </cell>
          <cell r="C566" t="str">
            <v>SCOM_LTH_CHPWOD_ON</v>
          </cell>
          <cell r="G566">
            <v>1.29182535624077E-2</v>
          </cell>
          <cell r="H566">
            <v>9.764192583974339E-3</v>
          </cell>
          <cell r="I566">
            <v>7.7759422042639696E-3</v>
          </cell>
          <cell r="J566">
            <v>1.2560715029025681E-2</v>
          </cell>
          <cell r="K566">
            <v>2.08252499252208E-2</v>
          </cell>
          <cell r="L566">
            <v>1.9172879442495801E-2</v>
          </cell>
          <cell r="M566">
            <v>2.3965301103469543E-2</v>
          </cell>
          <cell r="N566">
            <v>2.5132479952887806E-2</v>
          </cell>
          <cell r="O566">
            <v>4.9656292905648984E-2</v>
          </cell>
        </row>
        <row r="567">
          <cell r="A567" t="str">
            <v>SCOM-SHLTHCHPWOD</v>
          </cell>
          <cell r="B567" t="str">
            <v>VAR_fin</v>
          </cell>
          <cell r="C567" t="str">
            <v>SCOMLTHCHPC</v>
          </cell>
          <cell r="G567">
            <v>1.2789071026783611E-2</v>
          </cell>
          <cell r="H567">
            <v>9.6665506581345879E-3</v>
          </cell>
          <cell r="I567">
            <v>7.6981827822213316E-3</v>
          </cell>
          <cell r="J567">
            <v>1.2435107878735434E-2</v>
          </cell>
          <cell r="K567">
            <v>2.0616997425968592E-2</v>
          </cell>
          <cell r="L567">
            <v>1.8981150648070835E-2</v>
          </cell>
          <cell r="M567">
            <v>2.3725648092434853E-2</v>
          </cell>
          <cell r="N567">
            <v>2.4881155153358918E-2</v>
          </cell>
          <cell r="O567">
            <v>4.9159729976592549E-2</v>
          </cell>
        </row>
        <row r="568">
          <cell r="A568" t="str">
            <v>SCOM-SHLTHCHPWOD</v>
          </cell>
          <cell r="B568" t="str">
            <v>VAR_ncap</v>
          </cell>
          <cell r="C568" t="str">
            <v>-</v>
          </cell>
          <cell r="G568">
            <v>1.03437809676207E-3</v>
          </cell>
          <cell r="H568">
            <v>7.66433352894063E-4</v>
          </cell>
          <cell r="I568">
            <v>6.3843342739440404E-4</v>
          </cell>
          <cell r="J568">
            <v>7.4615105884490098E-4</v>
          </cell>
          <cell r="K568">
            <v>1.3388084868702901E-3</v>
          </cell>
          <cell r="L568">
            <v>1.0420273377647199E-3</v>
          </cell>
          <cell r="M568">
            <v>1.4787233881122901E-3</v>
          </cell>
          <cell r="N568">
            <v>1.35446060156581E-3</v>
          </cell>
          <cell r="O568">
            <v>3.26858517976973E-3</v>
          </cell>
        </row>
        <row r="569">
          <cell r="A569" t="str">
            <v>SCOM-SHLTHCHPWOD</v>
          </cell>
          <cell r="B569" t="str">
            <v>VAR_cap</v>
          </cell>
          <cell r="C569" t="str">
            <v>-</v>
          </cell>
          <cell r="G569">
            <v>1.03437809676207E-3</v>
          </cell>
          <cell r="H569">
            <v>1.0242282712797171E-3</v>
          </cell>
          <cell r="I569">
            <v>8.6669321826603023E-4</v>
          </cell>
          <cell r="J569">
            <v>1.0818256673849798E-3</v>
          </cell>
          <cell r="K569">
            <v>1.7582220841243692E-3</v>
          </cell>
          <cell r="L569">
            <v>1.5901586061399403E-3</v>
          </cell>
          <cell r="M569">
            <v>2.1258016501187402E-3</v>
          </cell>
          <cell r="N569">
            <v>2.0567229091737003E-3</v>
          </cell>
          <cell r="O569">
            <v>4.13465266839394E-3</v>
          </cell>
        </row>
        <row r="570">
          <cell r="A570" t="str">
            <v>SCOM-SHSTG-NGAHP</v>
          </cell>
          <cell r="B570" t="str">
            <v>VAR_fout</v>
          </cell>
          <cell r="C570" t="str">
            <v>SCOM-SHANGAH</v>
          </cell>
          <cell r="D570">
            <v>3.0100137560091632E-4</v>
          </cell>
          <cell r="E570">
            <v>7.1317388435368164E-4</v>
          </cell>
          <cell r="F570">
            <v>5.4333422731653973E-3</v>
          </cell>
          <cell r="G570">
            <v>5.3297721091838486E-3</v>
          </cell>
          <cell r="H570">
            <v>1.3657116337954193E-2</v>
          </cell>
          <cell r="I570">
            <v>1.434783115390895E-2</v>
          </cell>
          <cell r="J570">
            <v>2.6092145347334925E-2</v>
          </cell>
          <cell r="K570">
            <v>5.3625266874261258E-2</v>
          </cell>
          <cell r="L570">
            <v>2.995220041417563E-2</v>
          </cell>
          <cell r="M570">
            <v>6.9328855590745253E-2</v>
          </cell>
          <cell r="N570">
            <v>5.2458014956282883E-2</v>
          </cell>
          <cell r="O570">
            <v>0.10290446530255354</v>
          </cell>
        </row>
        <row r="571">
          <cell r="A571" t="str">
            <v>SCOM-SHSTG-NGAHP</v>
          </cell>
          <cell r="B571" t="str">
            <v>VAR_fin</v>
          </cell>
          <cell r="C571" t="str">
            <v>SCOM-SHANGAH</v>
          </cell>
          <cell r="D571">
            <v>3.0100137560091632E-4</v>
          </cell>
          <cell r="E571">
            <v>7.1317388435368164E-4</v>
          </cell>
          <cell r="F571">
            <v>6.9966935415342576E-3</v>
          </cell>
          <cell r="G571">
            <v>6.6507440262674701E-3</v>
          </cell>
          <cell r="H571">
            <v>1.6546338327784876E-2</v>
          </cell>
          <cell r="I571">
            <v>1.6869791925455797E-2</v>
          </cell>
          <cell r="J571">
            <v>2.9812621934247045E-2</v>
          </cell>
          <cell r="K571">
            <v>5.957156003370255E-2</v>
          </cell>
          <cell r="L571">
            <v>3.3274832565413671E-2</v>
          </cell>
          <cell r="M571">
            <v>7.702094794020635E-2</v>
          </cell>
          <cell r="N571">
            <v>5.8283528735623161E-2</v>
          </cell>
          <cell r="O571">
            <v>0.1143269969123529</v>
          </cell>
        </row>
        <row r="572">
          <cell r="A572" t="str">
            <v>SCOM-SHSTG-NGAHP</v>
          </cell>
          <cell r="B572" t="str">
            <v>VAR_ncap</v>
          </cell>
          <cell r="C572" t="str">
            <v>-</v>
          </cell>
          <cell r="D572">
            <v>2.9580892568938102E-3</v>
          </cell>
          <cell r="E572">
            <v>2.50514070576507E-5</v>
          </cell>
          <cell r="F572">
            <v>1.00060034088192E-4</v>
          </cell>
          <cell r="G572">
            <v>6.4472556450075296E-5</v>
          </cell>
          <cell r="H572">
            <v>3.7362343368794798E-4</v>
          </cell>
          <cell r="I572">
            <v>3.1418822021292599E-4</v>
          </cell>
          <cell r="J572">
            <v>6.7023829492851095E-4</v>
          </cell>
          <cell r="K572">
            <v>5.2419100945540296E-4</v>
          </cell>
          <cell r="L572">
            <v>4.1646773202810302E-4</v>
          </cell>
          <cell r="M572">
            <v>2.3278405923402102E-3</v>
          </cell>
          <cell r="N572">
            <v>5.923103725685E-4</v>
          </cell>
          <cell r="O572">
            <v>2.00557789831199E-3</v>
          </cell>
        </row>
        <row r="573">
          <cell r="A573" t="str">
            <v>SCOM-SHSTG-NGAHP</v>
          </cell>
          <cell r="B573" t="str">
            <v>VAR_cap</v>
          </cell>
          <cell r="C573" t="str">
            <v>-</v>
          </cell>
          <cell r="D573">
            <v>2.9580892568938102E-3</v>
          </cell>
          <cell r="E573">
            <v>2.6149718536999916E-5</v>
          </cell>
          <cell r="F573">
            <v>1.0756569017384993E-4</v>
          </cell>
          <cell r="G573">
            <v>1.0944362923210032E-4</v>
          </cell>
          <cell r="H573">
            <v>4.405990610333861E-4</v>
          </cell>
          <cell r="I573">
            <v>6.3555141504277504E-4</v>
          </cell>
          <cell r="J573">
            <v>1.190587739485149E-3</v>
          </cell>
          <cell r="K573">
            <v>1.0976531835069311E-3</v>
          </cell>
          <cell r="L573">
            <v>8.1432546633707201E-4</v>
          </cell>
          <cell r="M573">
            <v>2.8162687655677063E-3</v>
          </cell>
          <cell r="N573">
            <v>2.6407743966481347E-3</v>
          </cell>
          <cell r="O573">
            <v>3.9790221293032786E-3</v>
          </cell>
        </row>
        <row r="574">
          <cell r="A574" t="str">
            <v>ITOT-SWHCONBR2</v>
          </cell>
          <cell r="B574" t="str">
            <v>VAR_fout</v>
          </cell>
          <cell r="C574" t="str">
            <v>ITOT-ELS</v>
          </cell>
          <cell r="G574">
            <v>4.5797429192748169E-4</v>
          </cell>
          <cell r="H574">
            <v>3.3498880016214808E-3</v>
          </cell>
          <cell r="I574">
            <v>3.4869328530503182E-3</v>
          </cell>
          <cell r="J574">
            <v>3.1418253079658876E-3</v>
          </cell>
          <cell r="K574">
            <v>3.2396950585940627E-3</v>
          </cell>
          <cell r="L574">
            <v>3.5714529048339631E-3</v>
          </cell>
          <cell r="M574">
            <v>4.2856152628892768E-3</v>
          </cell>
          <cell r="N574">
            <v>4.5370635874988526E-3</v>
          </cell>
          <cell r="O574">
            <v>7.7304120174457305E-3</v>
          </cell>
        </row>
        <row r="575">
          <cell r="A575" t="str">
            <v>ITOT-SWHCONBR2</v>
          </cell>
          <cell r="B575" t="str">
            <v>VAR_fout</v>
          </cell>
          <cell r="C575" t="str">
            <v>ITOT-SWHC</v>
          </cell>
          <cell r="G575">
            <v>7.0794061215553286E-4</v>
          </cell>
          <cell r="H575">
            <v>5.1782857778748604E-3</v>
          </cell>
          <cell r="I575">
            <v>5.3901308917238657E-3</v>
          </cell>
          <cell r="J575">
            <v>4.8566606707245372E-3</v>
          </cell>
          <cell r="K575">
            <v>5.0079485757281482E-3</v>
          </cell>
          <cell r="L575">
            <v>5.5207827170638928E-3</v>
          </cell>
          <cell r="M575">
            <v>6.6247410523937143E-3</v>
          </cell>
          <cell r="N575">
            <v>7.0134320422315724E-3</v>
          </cell>
          <cell r="O575">
            <v>1.1949737599488666E-2</v>
          </cell>
        </row>
        <row r="576">
          <cell r="A576" t="str">
            <v>ITOT-SWHCONBR2</v>
          </cell>
          <cell r="B576" t="str">
            <v>VAR_fin</v>
          </cell>
          <cell r="C576" t="str">
            <v>CON</v>
          </cell>
          <cell r="G576">
            <v>1.165914904083016E-3</v>
          </cell>
          <cell r="H576">
            <v>8.5281737794963425E-3</v>
          </cell>
          <cell r="I576">
            <v>8.8770637447741808E-3</v>
          </cell>
          <cell r="J576">
            <v>7.9984859786904217E-3</v>
          </cell>
          <cell r="K576">
            <v>8.24764363432221E-3</v>
          </cell>
          <cell r="L576">
            <v>9.0922356218978533E-3</v>
          </cell>
          <cell r="M576">
            <v>1.0910356315282995E-2</v>
          </cell>
          <cell r="N576">
            <v>1.1550495629730428E-2</v>
          </cell>
          <cell r="O576">
            <v>1.968014961693439E-2</v>
          </cell>
        </row>
        <row r="577">
          <cell r="A577" t="str">
            <v>ITOT-SWHCONBR2</v>
          </cell>
          <cell r="B577" t="str">
            <v>VAR_ncap</v>
          </cell>
          <cell r="C577" t="str">
            <v>-</v>
          </cell>
          <cell r="G577">
            <v>6.2828509639035199E-5</v>
          </cell>
          <cell r="H577">
            <v>4.0070799966624598E-4</v>
          </cell>
          <cell r="I577">
            <v>3.0984810893299597E-5</v>
          </cell>
          <cell r="J577">
            <v>3.2838369673333602E-6</v>
          </cell>
          <cell r="K577">
            <v>4.1411728671037103E-4</v>
          </cell>
          <cell r="L577">
            <v>7.2206676953789702E-5</v>
          </cell>
          <cell r="M577">
            <v>1.0691000546785699E-4</v>
          </cell>
          <cell r="N577">
            <v>3.9846546594001002E-4</v>
          </cell>
          <cell r="O577">
            <v>5.6398091019742996E-4</v>
          </cell>
        </row>
        <row r="578">
          <cell r="A578" t="str">
            <v>ITOT-SWHCONBR2</v>
          </cell>
          <cell r="B578" t="str">
            <v>VAR_cap</v>
          </cell>
          <cell r="C578" t="str">
            <v>-</v>
          </cell>
          <cell r="G578">
            <v>6.2828509639035199E-5</v>
          </cell>
          <cell r="H578">
            <v>4.6353650930528199E-4</v>
          </cell>
          <cell r="I578">
            <v>4.8256839355981202E-4</v>
          </cell>
          <cell r="J578">
            <v>4.3497664752687902E-4</v>
          </cell>
          <cell r="K578">
            <v>4.4838593457100401E-4</v>
          </cell>
          <cell r="L578">
            <v>4.9393364979215303E-4</v>
          </cell>
          <cell r="M578">
            <v>5.9323396913201799E-4</v>
          </cell>
          <cell r="N578">
            <v>6.2804089351084003E-4</v>
          </cell>
          <cell r="O578">
            <v>1.0693563816052999E-3</v>
          </cell>
        </row>
        <row r="579">
          <cell r="A579" t="str">
            <v>RHES-SHCONBR1</v>
          </cell>
          <cell r="B579" t="str">
            <v>VAR_fout</v>
          </cell>
          <cell r="C579" t="str">
            <v>RHES-SHCON</v>
          </cell>
          <cell r="D579">
            <v>0.56355081034256516</v>
          </cell>
          <cell r="E579">
            <v>1.1277519301417855</v>
          </cell>
          <cell r="F579">
            <v>1.1274984879181735</v>
          </cell>
          <cell r="G579">
            <v>1.1275408736745107</v>
          </cell>
          <cell r="H579">
            <v>1.1275935097030272</v>
          </cell>
          <cell r="I579">
            <v>1.1276339366416344</v>
          </cell>
          <cell r="J579">
            <v>1.1275111447617912</v>
          </cell>
          <cell r="K579">
            <v>2.2139979839377992</v>
          </cell>
          <cell r="L579">
            <v>3.5127521440789953</v>
          </cell>
          <cell r="M579">
            <v>3.5122715397124513</v>
          </cell>
          <cell r="N579">
            <v>3.5125965572684259</v>
          </cell>
          <cell r="O579">
            <v>3.5123790524828467</v>
          </cell>
        </row>
        <row r="580">
          <cell r="A580" t="str">
            <v>RHES-SHCONBR1</v>
          </cell>
          <cell r="B580" t="str">
            <v>VAR_fin</v>
          </cell>
          <cell r="C580" t="str">
            <v>CON</v>
          </cell>
          <cell r="D580">
            <v>0.56355081034256516</v>
          </cell>
          <cell r="E580">
            <v>1.1277519301417855</v>
          </cell>
          <cell r="F580">
            <v>1.1274984879181735</v>
          </cell>
          <cell r="G580">
            <v>1.1275408736745107</v>
          </cell>
          <cell r="H580">
            <v>1.1275935097030272</v>
          </cell>
          <cell r="I580">
            <v>1.1276339366416344</v>
          </cell>
          <cell r="J580">
            <v>1.1275111447617912</v>
          </cell>
          <cell r="K580">
            <v>2.2139979839377992</v>
          </cell>
          <cell r="L580">
            <v>3.5127521440789953</v>
          </cell>
          <cell r="M580">
            <v>3.5122715397124513</v>
          </cell>
          <cell r="N580">
            <v>3.5125965572684259</v>
          </cell>
          <cell r="O580">
            <v>3.5123790524828467</v>
          </cell>
        </row>
        <row r="581">
          <cell r="A581" t="str">
            <v>RHES-SHCONBR1</v>
          </cell>
          <cell r="B581" t="str">
            <v>VAR_ncap</v>
          </cell>
          <cell r="C581" t="str">
            <v>-</v>
          </cell>
          <cell r="D581">
            <v>4.5550175884504898E-2</v>
          </cell>
          <cell r="E581">
            <v>4.5550161740879599E-2</v>
          </cell>
          <cell r="F581">
            <v>4.8746128877830995E-7</v>
          </cell>
          <cell r="G581">
            <v>8.9958618229074204E-7</v>
          </cell>
          <cell r="H581">
            <v>3.7313586661363302E-7</v>
          </cell>
          <cell r="I581">
            <v>2.9431679963935602E-7</v>
          </cell>
          <cell r="J581">
            <v>1.05433853253838E-7</v>
          </cell>
          <cell r="K581">
            <v>0.13258371865563101</v>
          </cell>
          <cell r="L581">
            <v>0.151218389446342</v>
          </cell>
          <cell r="M581">
            <v>1.96871522844382E-7</v>
          </cell>
          <cell r="N581">
            <v>3.5536202430235901E-7</v>
          </cell>
          <cell r="O581">
            <v>1.45438550198044E-6</v>
          </cell>
        </row>
        <row r="582">
          <cell r="A582" t="str">
            <v>RHES-SHCONBR1</v>
          </cell>
          <cell r="B582" t="str">
            <v>VAR_cap</v>
          </cell>
          <cell r="C582" t="str">
            <v>-</v>
          </cell>
          <cell r="D582">
            <v>4.5550175884504898E-2</v>
          </cell>
          <cell r="E582">
            <v>9.1100337625384498E-2</v>
          </cell>
          <cell r="F582">
            <v>9.1100825086673304E-2</v>
          </cell>
          <cell r="G582">
            <v>9.11017246728556E-2</v>
          </cell>
          <cell r="H582">
            <v>9.1102097808722193E-2</v>
          </cell>
          <cell r="I582">
            <v>9.1102392125521806E-2</v>
          </cell>
          <cell r="J582">
            <v>9.1102497559375106E-2</v>
          </cell>
          <cell r="K582">
            <v>0.17888580412000299</v>
          </cell>
          <cell r="L582">
            <v>0.28380368718677401</v>
          </cell>
          <cell r="M582">
            <v>0.28380307786001502</v>
          </cell>
          <cell r="N582">
            <v>0.28380308010142902</v>
          </cell>
          <cell r="O582">
            <v>0.283804220154875</v>
          </cell>
        </row>
        <row r="583">
          <cell r="A583" t="str">
            <v>ITOT-SWHCONBR3</v>
          </cell>
          <cell r="B583" t="str">
            <v>VAR_fout</v>
          </cell>
          <cell r="C583" t="str">
            <v>ITOT-ELS</v>
          </cell>
          <cell r="G583">
            <v>3.8407073772078683E-4</v>
          </cell>
          <cell r="H583">
            <v>1.237356080993955E-3</v>
          </cell>
          <cell r="I583">
            <v>1.3357234110022618E-3</v>
          </cell>
          <cell r="J583">
            <v>1.0398506763143263E-3</v>
          </cell>
          <cell r="K583">
            <v>1.4168006392478263E-3</v>
          </cell>
          <cell r="L583">
            <v>1.3223202116485386E-3</v>
          </cell>
          <cell r="M583">
            <v>1.8325930308450921E-3</v>
          </cell>
          <cell r="N583">
            <v>1.6138929045635556E-3</v>
          </cell>
          <cell r="O583">
            <v>3.0896976349037951E-3</v>
          </cell>
        </row>
        <row r="584">
          <cell r="A584" t="str">
            <v>ITOT-SWHCONBR3</v>
          </cell>
          <cell r="B584" t="str">
            <v>VAR_fout</v>
          </cell>
          <cell r="C584" t="str">
            <v>ITOT-SWHC</v>
          </cell>
          <cell r="G584">
            <v>7.6221016603119382E-4</v>
          </cell>
          <cell r="H584">
            <v>2.455603333726887E-3</v>
          </cell>
          <cell r="I584">
            <v>2.6508188801718318E-3</v>
          </cell>
          <cell r="J584">
            <v>2.0636426543315244E-3</v>
          </cell>
          <cell r="K584">
            <v>2.8117212388600547E-3</v>
          </cell>
          <cell r="L584">
            <v>2.6242194707365354E-3</v>
          </cell>
          <cell r="M584">
            <v>3.6368848264704584E-3</v>
          </cell>
          <cell r="N584">
            <v>3.2028620197517735E-3</v>
          </cell>
          <cell r="O584">
            <v>6.1316802244857603E-3</v>
          </cell>
        </row>
        <row r="585">
          <cell r="A585" t="str">
            <v>ITOT-SWHCONBR3</v>
          </cell>
          <cell r="B585" t="str">
            <v>VAR_fin</v>
          </cell>
          <cell r="C585" t="str">
            <v>CON</v>
          </cell>
          <cell r="G585">
            <v>1.1462809037519805E-3</v>
          </cell>
          <cell r="H585">
            <v>3.6929594147208432E-3</v>
          </cell>
          <cell r="I585">
            <v>3.9865422911740927E-3</v>
          </cell>
          <cell r="J585">
            <v>3.1034933306458472E-3</v>
          </cell>
          <cell r="K585">
            <v>4.2285218781078831E-3</v>
          </cell>
          <cell r="L585">
            <v>3.9465396823850736E-3</v>
          </cell>
          <cell r="M585">
            <v>5.4694778573155522E-3</v>
          </cell>
          <cell r="N585">
            <v>4.8167549243153312E-3</v>
          </cell>
          <cell r="O585">
            <v>9.2213778593895537E-3</v>
          </cell>
        </row>
        <row r="586">
          <cell r="A586" t="str">
            <v>ITOT-SWHCONBR3</v>
          </cell>
          <cell r="B586" t="str">
            <v>VAR_ncap</v>
          </cell>
          <cell r="C586" t="str">
            <v>-</v>
          </cell>
          <cell r="G586">
            <v>6.1749528461529793E-5</v>
          </cell>
          <cell r="H586">
            <v>1.3862368530444599E-4</v>
          </cell>
          <cell r="I586">
            <v>2.7221276141329E-5</v>
          </cell>
          <cell r="J586">
            <v>2.8174853486203698E-6</v>
          </cell>
          <cell r="K586">
            <v>1.98760663393598E-4</v>
          </cell>
          <cell r="L586">
            <v>8.5750184732208999E-6</v>
          </cell>
          <cell r="M586">
            <v>8.8965195718526305E-5</v>
          </cell>
          <cell r="N586">
            <v>1.31645159638147E-4</v>
          </cell>
          <cell r="O586">
            <v>2.7970037744945599E-4</v>
          </cell>
        </row>
        <row r="587">
          <cell r="A587" t="str">
            <v>ITOT-SWHCONBR3</v>
          </cell>
          <cell r="B587" t="str">
            <v>VAR_cap</v>
          </cell>
          <cell r="C587" t="str">
            <v>-</v>
          </cell>
          <cell r="G587">
            <v>6.1749528461529793E-5</v>
          </cell>
          <cell r="H587">
            <v>2.00373213765976E-4</v>
          </cell>
          <cell r="I587">
            <v>2.1584683604889399E-4</v>
          </cell>
          <cell r="J587">
            <v>1.68662446794396E-4</v>
          </cell>
          <cell r="K587">
            <v>2.2879942488354701E-4</v>
          </cell>
          <cell r="L587">
            <v>2.1396252337168599E-4</v>
          </cell>
          <cell r="M587">
            <v>2.9630087758534499E-4</v>
          </cell>
          <cell r="N587">
            <v>2.6167184654784901E-4</v>
          </cell>
          <cell r="O587">
            <v>5.0031073280613003E-4</v>
          </cell>
        </row>
        <row r="588">
          <cell r="A588" t="str">
            <v>ITOT-ELCSPECADV</v>
          </cell>
          <cell r="B588" t="str">
            <v>VAR_fout</v>
          </cell>
          <cell r="C588" t="str">
            <v>ITOT-ELS</v>
          </cell>
          <cell r="G588">
            <v>1.7844809954316466E-3</v>
          </cell>
          <cell r="H588">
            <v>3.5599587734513258E-3</v>
          </cell>
          <cell r="I588">
            <v>4.0722853653427024E-3</v>
          </cell>
          <cell r="J588">
            <v>4.7142419974432765E-3</v>
          </cell>
          <cell r="K588">
            <v>7.8242100591019732E-3</v>
          </cell>
          <cell r="L588">
            <v>6.2099362907619676E-3</v>
          </cell>
          <cell r="M588">
            <v>9.5120302614076346E-3</v>
          </cell>
          <cell r="N588">
            <v>9.3639998959054206E-3</v>
          </cell>
          <cell r="O588">
            <v>1.8089699280764801E-2</v>
          </cell>
        </row>
        <row r="589">
          <cell r="A589" t="str">
            <v>ITOT-ELCSPECADV</v>
          </cell>
          <cell r="B589" t="str">
            <v>VAR_fin</v>
          </cell>
          <cell r="C589" t="str">
            <v>ITOT_ELC</v>
          </cell>
          <cell r="G589">
            <v>1.53649118999801E-3</v>
          </cell>
          <cell r="H589">
            <v>2.9888063660353896E-3</v>
          </cell>
          <cell r="I589">
            <v>3.3357671945289931E-3</v>
          </cell>
          <cell r="J589">
            <v>3.6504293302874699E-3</v>
          </cell>
          <cell r="K589">
            <v>5.7444440878521609E-3</v>
          </cell>
          <cell r="L589">
            <v>4.559263049169782E-3</v>
          </cell>
          <cell r="M589">
            <v>6.9836220635525002E-3</v>
          </cell>
          <cell r="N589">
            <v>6.8749398896961631E-3</v>
          </cell>
          <cell r="O589">
            <v>1.3281246962883776E-2</v>
          </cell>
        </row>
        <row r="590">
          <cell r="A590" t="str">
            <v>ITOT-ELCSPECADV</v>
          </cell>
          <cell r="B590" t="str">
            <v>VAR_ncap</v>
          </cell>
          <cell r="C590" t="str">
            <v>-</v>
          </cell>
          <cell r="G590">
            <v>1.1536456242652501E-4</v>
          </cell>
          <cell r="H590">
            <v>1.03668876893153E-4</v>
          </cell>
          <cell r="I590">
            <v>2.1487443086758899E-5</v>
          </cell>
          <cell r="J590">
            <v>2.56508711000018E-5</v>
          </cell>
          <cell r="K590">
            <v>1.8719966648491401E-4</v>
          </cell>
          <cell r="L590">
            <v>1.43256238523784E-5</v>
          </cell>
          <cell r="M590">
            <v>3.0401559071023901E-4</v>
          </cell>
          <cell r="N590">
            <v>1.0721853875450601E-5</v>
          </cell>
          <cell r="O590">
            <v>5.2987162929799404E-4</v>
          </cell>
        </row>
        <row r="591">
          <cell r="A591" t="str">
            <v>ITOT-ELCSPECADV</v>
          </cell>
          <cell r="B591" t="str">
            <v>VAR_cap</v>
          </cell>
          <cell r="C591" t="str">
            <v>-</v>
          </cell>
          <cell r="G591">
            <v>1.1536456242652501E-4</v>
          </cell>
          <cell r="H591">
            <v>2.1875305711170184E-4</v>
          </cell>
          <cell r="I591">
            <v>2.3941171597589313E-4</v>
          </cell>
          <cell r="J591">
            <v>2.6353721258800985E-4</v>
          </cell>
          <cell r="K591">
            <v>4.4749710913147782E-4</v>
          </cell>
          <cell r="L591">
            <v>3.4684694772035227E-4</v>
          </cell>
          <cell r="M591">
            <v>5.4586765140282535E-4</v>
          </cell>
          <cell r="N591">
            <v>5.3117115018162266E-4</v>
          </cell>
          <cell r="O591">
            <v>1.0388953785234465E-3</v>
          </cell>
        </row>
        <row r="592">
          <cell r="A592" t="str">
            <v>RHES-SHELCBR</v>
          </cell>
          <cell r="B592" t="str">
            <v>VAR_fout</v>
          </cell>
          <cell r="C592" t="str">
            <v>RHES-SHAELCB</v>
          </cell>
          <cell r="D592">
            <v>4.2799937330790803</v>
          </cell>
          <cell r="E592">
            <v>3.7517240652102384</v>
          </cell>
          <cell r="F592">
            <v>4.207082682410336</v>
          </cell>
          <cell r="G592">
            <v>2.7137439558591501</v>
          </cell>
          <cell r="H592">
            <v>3.2770542506835794</v>
          </cell>
          <cell r="I592">
            <v>2.5648704671486073</v>
          </cell>
          <cell r="J592">
            <v>1.4173745532920923</v>
          </cell>
          <cell r="K592">
            <v>0.64327152689622602</v>
          </cell>
          <cell r="L592">
            <v>0.25647875515756524</v>
          </cell>
          <cell r="M592">
            <v>0.23876284225593425</v>
          </cell>
          <cell r="N592">
            <v>0.23421759801292177</v>
          </cell>
          <cell r="O592">
            <v>0.19452779095761799</v>
          </cell>
        </row>
        <row r="593">
          <cell r="A593" t="str">
            <v>RHES-SHELCBR</v>
          </cell>
          <cell r="B593" t="str">
            <v>VAR_fin</v>
          </cell>
          <cell r="C593" t="str">
            <v>RHES_ELC</v>
          </cell>
          <cell r="D593">
            <v>4.5052565611358757</v>
          </cell>
          <cell r="E593">
            <v>3.9491832265370874</v>
          </cell>
          <cell r="F593">
            <v>4.4285080867477236</v>
          </cell>
          <cell r="G593">
            <v>2.8565725851148955</v>
          </cell>
          <cell r="H593">
            <v>3.4495307901932444</v>
          </cell>
          <cell r="I593">
            <v>2.6998636496301121</v>
          </cell>
          <cell r="J593">
            <v>1.4919732139916748</v>
          </cell>
          <cell r="K593">
            <v>0.67712792304865854</v>
          </cell>
          <cell r="L593">
            <v>0.26997763700796318</v>
          </cell>
          <cell r="M593">
            <v>0.25132930763782557</v>
          </cell>
          <cell r="N593">
            <v>0.24654484001360188</v>
          </cell>
          <cell r="O593">
            <v>0.20476609574486115</v>
          </cell>
        </row>
        <row r="594">
          <cell r="A594" t="str">
            <v>RHES-SHELCBR</v>
          </cell>
          <cell r="B594" t="str">
            <v>VAR_ncap</v>
          </cell>
          <cell r="C594" t="str">
            <v>-</v>
          </cell>
          <cell r="D594">
            <v>6.5363793719055896E-8</v>
          </cell>
          <cell r="E594">
            <v>3.44730412955522E-6</v>
          </cell>
          <cell r="F594">
            <v>4.80087680642466E-6</v>
          </cell>
          <cell r="G594">
            <v>2.8669232440162301E-6</v>
          </cell>
          <cell r="H594">
            <v>0.17575537859957199</v>
          </cell>
          <cell r="I594">
            <v>3.3670963259661499E-2</v>
          </cell>
          <cell r="J594">
            <v>2.55675102680567E-6</v>
          </cell>
          <cell r="K594">
            <v>1.8916503337505702E-2</v>
          </cell>
          <cell r="L594">
            <v>1.2492706678574601E-5</v>
          </cell>
          <cell r="M594">
            <v>1.5378286833564599E-3</v>
          </cell>
          <cell r="N594">
            <v>1.47975715496302E-2</v>
          </cell>
          <cell r="O594">
            <v>7.3632538106273304E-4</v>
          </cell>
        </row>
        <row r="595">
          <cell r="A595" t="str">
            <v>RHES-SHELCBR</v>
          </cell>
          <cell r="B595" t="str">
            <v>VAR_cap</v>
          </cell>
          <cell r="C595" t="str">
            <v>-</v>
          </cell>
          <cell r="D595">
            <v>0.34576936524012669</v>
          </cell>
          <cell r="E595">
            <v>0.34577137250269829</v>
          </cell>
          <cell r="F595">
            <v>0.34577483031411499</v>
          </cell>
          <cell r="G595">
            <v>0.34577371242913529</v>
          </cell>
          <cell r="H595">
            <v>0.26542987073041119</v>
          </cell>
          <cell r="I595">
            <v>0.20942780974954864</v>
          </cell>
          <cell r="J595">
            <v>0.20818443682242857</v>
          </cell>
          <cell r="K595">
            <v>5.2587266480925238E-2</v>
          </cell>
          <cell r="L595">
            <v>2.4100651551601213E-2</v>
          </cell>
          <cell r="M595">
            <v>2.0445874582550521E-2</v>
          </cell>
          <cell r="N595">
            <v>1.9686017636909126E-2</v>
          </cell>
          <cell r="O595">
            <v>1.7068226420026346E-2</v>
          </cell>
        </row>
        <row r="596">
          <cell r="A596" t="str">
            <v>RHSA-WHELCBR</v>
          </cell>
          <cell r="B596" t="str">
            <v>VAR_fout</v>
          </cell>
          <cell r="C596" t="str">
            <v>RHSA-WHAELCB</v>
          </cell>
          <cell r="D596">
            <v>6.6447096366279697</v>
          </cell>
          <cell r="E596">
            <v>6.9687111771074388</v>
          </cell>
          <cell r="F596">
            <v>6.9136038562716493</v>
          </cell>
          <cell r="G596">
            <v>5.1407878294690841</v>
          </cell>
          <cell r="H596">
            <v>4.1027141701922147</v>
          </cell>
          <cell r="I596">
            <v>3.5919937965929987</v>
          </cell>
          <cell r="J596">
            <v>3.0057864369729614</v>
          </cell>
          <cell r="K596">
            <v>1.9057194594545255</v>
          </cell>
          <cell r="L596">
            <v>0.51339955277074056</v>
          </cell>
          <cell r="M596">
            <v>0.45796501601892597</v>
          </cell>
          <cell r="N596">
            <v>0.43572000819593132</v>
          </cell>
          <cell r="O596">
            <v>0.3600807235422756</v>
          </cell>
        </row>
        <row r="597">
          <cell r="A597" t="str">
            <v>RHSA-WHELCBR</v>
          </cell>
          <cell r="B597" t="str">
            <v>VAR_fin</v>
          </cell>
          <cell r="C597" t="str">
            <v>RHSA_ELC</v>
          </cell>
          <cell r="D597">
            <v>8.4110248564910925</v>
          </cell>
          <cell r="E597">
            <v>8.7988777488730321</v>
          </cell>
          <cell r="F597">
            <v>8.6963570519140223</v>
          </cell>
          <cell r="G597">
            <v>6.4259847868363513</v>
          </cell>
          <cell r="H597">
            <v>5.0965393418536831</v>
          </cell>
          <cell r="I597">
            <v>4.4345602427074011</v>
          </cell>
          <cell r="J597">
            <v>3.6880815177582336</v>
          </cell>
          <cell r="K597">
            <v>2.3240481212860065</v>
          </cell>
          <cell r="L597">
            <v>0.62609701557407382</v>
          </cell>
          <cell r="M597">
            <v>0.55849392197430048</v>
          </cell>
          <cell r="N597">
            <v>0.53136586365357485</v>
          </cell>
          <cell r="O597">
            <v>0.43912283358814125</v>
          </cell>
        </row>
        <row r="598">
          <cell r="A598" t="str">
            <v>RHSA-WHELCBR</v>
          </cell>
          <cell r="B598" t="str">
            <v>VAR_ncap</v>
          </cell>
          <cell r="C598" t="str">
            <v>-</v>
          </cell>
          <cell r="D598">
            <v>3.1304916994510297E-5</v>
          </cell>
          <cell r="E598">
            <v>3.5355501770691501E-2</v>
          </cell>
          <cell r="F598">
            <v>8.35259185301472E-6</v>
          </cell>
          <cell r="G598">
            <v>5.6326385287019998E-6</v>
          </cell>
          <cell r="H598">
            <v>0.14934647860974001</v>
          </cell>
          <cell r="I598">
            <v>0.100240385983103</v>
          </cell>
          <cell r="J598">
            <v>2.4552641869021799E-5</v>
          </cell>
          <cell r="K598">
            <v>3.0381711253030599E-2</v>
          </cell>
          <cell r="L598">
            <v>2.8427371649532402E-5</v>
          </cell>
          <cell r="M598">
            <v>5.0915734045046098E-3</v>
          </cell>
          <cell r="N598">
            <v>2.2794715618525401E-2</v>
          </cell>
          <cell r="O598">
            <v>7.3722313539693201E-4</v>
          </cell>
        </row>
        <row r="599">
          <cell r="A599" t="str">
            <v>RHSA-WHELCBR</v>
          </cell>
          <cell r="B599" t="str">
            <v>VAR_cap</v>
          </cell>
          <cell r="C599" t="str">
            <v>-</v>
          </cell>
          <cell r="D599">
            <v>0.43759989369067148</v>
          </cell>
          <cell r="E599">
            <v>0.4729538499126863</v>
          </cell>
          <cell r="F599">
            <v>0.47295945518453114</v>
          </cell>
          <cell r="G599">
            <v>0.47295906369067003</v>
          </cell>
          <cell r="H599">
            <v>0.28095033277480463</v>
          </cell>
          <cell r="I599">
            <v>0.24958993946503455</v>
          </cell>
          <cell r="J599">
            <v>0.24960551009185411</v>
          </cell>
          <cell r="K599">
            <v>0.13064209314495936</v>
          </cell>
          <cell r="L599">
            <v>4.5824900729280221E-2</v>
          </cell>
          <cell r="M599">
            <v>3.5494623342952128E-2</v>
          </cell>
          <cell r="N599">
            <v>3.3278889177644856E-2</v>
          </cell>
          <cell r="O599">
            <v>2.8616786098211854E-2</v>
          </cell>
        </row>
        <row r="600">
          <cell r="A600" t="str">
            <v>ITOT-SWHLTHDH</v>
          </cell>
          <cell r="B600" t="str">
            <v>VAR_fout</v>
          </cell>
          <cell r="C600" t="str">
            <v>ITOT-SWH</v>
          </cell>
          <cell r="D600">
            <v>6.5822942250845431</v>
          </cell>
          <cell r="E600">
            <v>7.0678585237048832</v>
          </cell>
          <cell r="F600">
            <v>6.8712573232760272</v>
          </cell>
          <cell r="G600">
            <v>7.2980338298533338</v>
          </cell>
          <cell r="H600">
            <v>6.9320706076979057</v>
          </cell>
          <cell r="I600">
            <v>6.8700601882656809</v>
          </cell>
          <cell r="J600">
            <v>8.4119679170175097</v>
          </cell>
          <cell r="K600">
            <v>8.7652394024703337</v>
          </cell>
          <cell r="L600">
            <v>8.6877588944878088</v>
          </cell>
          <cell r="M600">
            <v>8.916049695594074</v>
          </cell>
          <cell r="N600">
            <v>8.5906500087910977</v>
          </cell>
          <cell r="O600">
            <v>8.5154753515034631</v>
          </cell>
        </row>
        <row r="601">
          <cell r="A601" t="str">
            <v>ITOT-SWHLTHDH</v>
          </cell>
          <cell r="B601" t="str">
            <v>VAR_fin</v>
          </cell>
          <cell r="C601" t="str">
            <v>ITOT_LTH_DH</v>
          </cell>
          <cell r="D601">
            <v>7.1200251353564621</v>
          </cell>
          <cell r="E601">
            <v>7.6289168031731593</v>
          </cell>
          <cell r="F601">
            <v>7.3930076227438173</v>
          </cell>
          <cell r="G601">
            <v>7.8105899621730286</v>
          </cell>
          <cell r="H601">
            <v>7.3798266406560584</v>
          </cell>
          <cell r="I601">
            <v>7.2754691167952323</v>
          </cell>
          <cell r="J601">
            <v>8.8814536349795929</v>
          </cell>
          <cell r="K601">
            <v>9.2265677920740412</v>
          </cell>
          <cell r="L601">
            <v>9.1450093626187385</v>
          </cell>
          <cell r="M601">
            <v>9.385315469046402</v>
          </cell>
          <cell r="N601">
            <v>9.0427894829380051</v>
          </cell>
          <cell r="O601">
            <v>8.9636582647404826</v>
          </cell>
        </row>
        <row r="602">
          <cell r="A602" t="str">
            <v>ITOT-SWHLTHDH</v>
          </cell>
          <cell r="B602" t="str">
            <v>VAR_fin</v>
          </cell>
          <cell r="C602" t="str">
            <v>ITOTLTHDHC</v>
          </cell>
          <cell r="D602">
            <v>6.5822942250845431</v>
          </cell>
          <cell r="E602">
            <v>7.0678585237048832</v>
          </cell>
          <cell r="F602">
            <v>6.8712573232760272</v>
          </cell>
          <cell r="G602">
            <v>7.2980338298533338</v>
          </cell>
          <cell r="H602">
            <v>6.9320706076979057</v>
          </cell>
          <cell r="I602">
            <v>6.8700601882656809</v>
          </cell>
          <cell r="J602">
            <v>8.4119679170175097</v>
          </cell>
          <cell r="K602">
            <v>8.7652394024703337</v>
          </cell>
          <cell r="L602">
            <v>8.6877588944878088</v>
          </cell>
          <cell r="M602">
            <v>8.916049695594074</v>
          </cell>
          <cell r="N602">
            <v>8.5906500087910977</v>
          </cell>
          <cell r="O602">
            <v>8.5154753515034631</v>
          </cell>
        </row>
        <row r="603">
          <cell r="A603" t="str">
            <v>ITOT-SWHLTHDH</v>
          </cell>
          <cell r="B603" t="str">
            <v>VAR_ncap</v>
          </cell>
          <cell r="C603" t="str">
            <v>-</v>
          </cell>
          <cell r="E603">
            <v>8.9383478601618896E-2</v>
          </cell>
          <cell r="F603">
            <v>0.14293940866826299</v>
          </cell>
          <cell r="G603">
            <v>0.16928558981787001</v>
          </cell>
          <cell r="H603">
            <v>0.42047449099442102</v>
          </cell>
          <cell r="I603">
            <v>0.29643507368911998</v>
          </cell>
          <cell r="J603">
            <v>0.24469678295019501</v>
          </cell>
          <cell r="K603">
            <v>0.39591398884434698</v>
          </cell>
          <cell r="L603">
            <v>0.32297923296140701</v>
          </cell>
          <cell r="M603">
            <v>0.31366220537164802</v>
          </cell>
          <cell r="N603">
            <v>0.40978414522126599</v>
          </cell>
          <cell r="O603">
            <v>0.29319430940508501</v>
          </cell>
        </row>
        <row r="604">
          <cell r="A604" t="str">
            <v>ITOT-SWHLTHDH</v>
          </cell>
          <cell r="B604" t="str">
            <v>VAR_cap</v>
          </cell>
          <cell r="C604" t="str">
            <v>-</v>
          </cell>
          <cell r="D604">
            <v>0.79547229253225304</v>
          </cell>
          <cell r="E604">
            <v>0.57100313553686699</v>
          </cell>
          <cell r="F604">
            <v>0.59029717937820791</v>
          </cell>
          <cell r="G604">
            <v>0.64466005910547097</v>
          </cell>
          <cell r="H604">
            <v>0.70864508695593598</v>
          </cell>
          <cell r="I604">
            <v>0.73942813847044409</v>
          </cell>
          <cell r="J604">
            <v>0.78190214867733299</v>
          </cell>
          <cell r="K604">
            <v>0.75206445993180204</v>
          </cell>
          <cell r="L604">
            <v>0.79532158205220904</v>
          </cell>
          <cell r="M604">
            <v>0.79442668315436304</v>
          </cell>
          <cell r="N604">
            <v>0.79467632080696105</v>
          </cell>
          <cell r="O604">
            <v>0.79497881251567104</v>
          </cell>
        </row>
        <row r="605">
          <cell r="A605" t="str">
            <v>RHES-SHCONBR2</v>
          </cell>
          <cell r="B605" t="str">
            <v>VAR_fout</v>
          </cell>
          <cell r="C605" t="str">
            <v>RHES-SHCON</v>
          </cell>
          <cell r="D605">
            <v>0.41017626948033026</v>
          </cell>
          <cell r="E605">
            <v>0.8207715432470013</v>
          </cell>
          <cell r="F605">
            <v>0.82055954895224992</v>
          </cell>
          <cell r="G605">
            <v>0.82057602662856821</v>
          </cell>
          <cell r="H605">
            <v>0.8206307317677658</v>
          </cell>
          <cell r="I605">
            <v>0.82066450662012869</v>
          </cell>
          <cell r="J605">
            <v>0.8205629184125578</v>
          </cell>
          <cell r="K605">
            <v>0.41859734740308269</v>
          </cell>
          <cell r="L605">
            <v>3.4338533645489569E-2</v>
          </cell>
          <cell r="M605">
            <v>3.4360648761148943E-2</v>
          </cell>
          <cell r="N605">
            <v>3.4329013771111673E-2</v>
          </cell>
          <cell r="O605">
            <v>3.4430628686484367E-2</v>
          </cell>
        </row>
        <row r="606">
          <cell r="A606" t="str">
            <v>RHES-SHCONBR2</v>
          </cell>
          <cell r="B606" t="str">
            <v>VAR_fin</v>
          </cell>
          <cell r="C606" t="str">
            <v>CON</v>
          </cell>
          <cell r="D606">
            <v>0.41017626948033026</v>
          </cell>
          <cell r="E606">
            <v>0.8207715432470013</v>
          </cell>
          <cell r="F606">
            <v>0.82055954895224992</v>
          </cell>
          <cell r="G606">
            <v>0.82057602662856821</v>
          </cell>
          <cell r="H606">
            <v>0.8206307317677658</v>
          </cell>
          <cell r="I606">
            <v>0.82066450662012869</v>
          </cell>
          <cell r="J606">
            <v>0.8205629184125578</v>
          </cell>
          <cell r="K606">
            <v>0.41859734740308269</v>
          </cell>
          <cell r="L606">
            <v>3.4338533645489569E-2</v>
          </cell>
          <cell r="M606">
            <v>3.4360648761148943E-2</v>
          </cell>
          <cell r="N606">
            <v>3.4329013771111673E-2</v>
          </cell>
          <cell r="O606">
            <v>3.4430628686484367E-2</v>
          </cell>
        </row>
        <row r="607">
          <cell r="A607" t="str">
            <v>RHES-SHCONBR2</v>
          </cell>
          <cell r="B607" t="str">
            <v>VAR_ncap</v>
          </cell>
          <cell r="C607" t="str">
            <v>-</v>
          </cell>
          <cell r="D607">
            <v>3.3150054080622902E-2</v>
          </cell>
          <cell r="E607">
            <v>3.3150044161858197E-2</v>
          </cell>
          <cell r="F607">
            <v>3.3521884065717198E-7</v>
          </cell>
          <cell r="G607">
            <v>8.3443110570640703E-7</v>
          </cell>
          <cell r="H607">
            <v>3.87962244773902E-7</v>
          </cell>
          <cell r="I607">
            <v>3.0472246937697598E-7</v>
          </cell>
          <cell r="J607">
            <v>1.0486771087338E-7</v>
          </cell>
          <cell r="K607">
            <v>1.2643280980294299E-4</v>
          </cell>
          <cell r="L607">
            <v>2.64495673041521E-3</v>
          </cell>
          <cell r="M607">
            <v>1.99501986771773E-7</v>
          </cell>
          <cell r="N607">
            <v>3.5869305407776202E-7</v>
          </cell>
          <cell r="O607">
            <v>1.5030659747145799E-6</v>
          </cell>
        </row>
        <row r="608">
          <cell r="A608" t="str">
            <v>RHES-SHCONBR2</v>
          </cell>
          <cell r="B608" t="str">
            <v>VAR_cap</v>
          </cell>
          <cell r="C608" t="str">
            <v>-</v>
          </cell>
          <cell r="D608">
            <v>3.3150054080622902E-2</v>
          </cell>
          <cell r="E608">
            <v>6.6300098242481106E-2</v>
          </cell>
          <cell r="F608">
            <v>6.6300433461321806E-2</v>
          </cell>
          <cell r="G608">
            <v>6.6301267892427504E-2</v>
          </cell>
          <cell r="H608">
            <v>6.6301655854672306E-2</v>
          </cell>
          <cell r="I608">
            <v>6.6301960577141605E-2</v>
          </cell>
          <cell r="J608">
            <v>6.6302065444852495E-2</v>
          </cell>
          <cell r="K608">
            <v>3.3824099687760699E-2</v>
          </cell>
          <cell r="L608">
            <v>2.7728994023735899E-3</v>
          </cell>
          <cell r="M608">
            <v>2.7723865946299498E-3</v>
          </cell>
          <cell r="N608">
            <v>2.7723783377648298E-3</v>
          </cell>
          <cell r="O608">
            <v>2.7735556689445899E-3</v>
          </cell>
        </row>
        <row r="609">
          <cell r="A609" t="str">
            <v>ITOT-SWHCONBR4</v>
          </cell>
          <cell r="B609" t="str">
            <v>VAR_fout</v>
          </cell>
          <cell r="C609" t="str">
            <v>ITOT-ELS</v>
          </cell>
          <cell r="H609">
            <v>3.8302193356198633E-4</v>
          </cell>
          <cell r="I609">
            <v>4.7372735393102307E-4</v>
          </cell>
          <cell r="J609">
            <v>4.7420886423445949E-4</v>
          </cell>
          <cell r="K609">
            <v>6.9587289500297315E-4</v>
          </cell>
          <cell r="L609">
            <v>6.2745592088047568E-4</v>
          </cell>
          <cell r="M609">
            <v>9.3832593429724618E-4</v>
          </cell>
          <cell r="N609">
            <v>7.3139374304506731E-4</v>
          </cell>
          <cell r="O609">
            <v>1.5075624773131509E-3</v>
          </cell>
        </row>
        <row r="610">
          <cell r="A610" t="str">
            <v>ITOT-SWHCONBR4</v>
          </cell>
          <cell r="B610" t="str">
            <v>VAR_fout</v>
          </cell>
          <cell r="C610" t="str">
            <v>ITOT-SWHC</v>
          </cell>
          <cell r="H610">
            <v>4.1161599301859425E-3</v>
          </cell>
          <cell r="I610">
            <v>5.0909292163768931E-3</v>
          </cell>
          <cell r="J610">
            <v>5.0961037853592692E-3</v>
          </cell>
          <cell r="K610">
            <v>7.4782248115046347E-3</v>
          </cell>
          <cell r="L610">
            <v>6.7429791695418854E-3</v>
          </cell>
          <cell r="M610">
            <v>1.0083755716782088E-2</v>
          </cell>
          <cell r="N610">
            <v>7.85995097020626E-3</v>
          </cell>
          <cell r="O610">
            <v>1.6201078104484047E-2</v>
          </cell>
        </row>
        <row r="611">
          <cell r="A611" t="str">
            <v>ITOT-SWHCONBR4</v>
          </cell>
          <cell r="B611" t="str">
            <v>VAR_fin</v>
          </cell>
          <cell r="C611" t="str">
            <v>CON</v>
          </cell>
          <cell r="H611">
            <v>4.4991818637479244E-3</v>
          </cell>
          <cell r="I611">
            <v>5.5646565703079106E-3</v>
          </cell>
          <cell r="J611">
            <v>5.5703126495937347E-3</v>
          </cell>
          <cell r="K611">
            <v>8.1740977065076076E-3</v>
          </cell>
          <cell r="L611">
            <v>7.370435090422363E-3</v>
          </cell>
          <cell r="M611">
            <v>1.1022081651079322E-2</v>
          </cell>
          <cell r="N611">
            <v>8.591344713251332E-3</v>
          </cell>
          <cell r="O611">
            <v>1.7708640581797202E-2</v>
          </cell>
        </row>
        <row r="612">
          <cell r="A612" t="str">
            <v>ITOT-SWHCONBR4</v>
          </cell>
          <cell r="B612" t="str">
            <v>VAR_ncap</v>
          </cell>
          <cell r="C612" t="str">
            <v>-</v>
          </cell>
          <cell r="H612">
            <v>2.42111883002362E-4</v>
          </cell>
          <cell r="I612">
            <v>5.7903590895171502E-5</v>
          </cell>
          <cell r="J612">
            <v>9.7697983636110501E-7</v>
          </cell>
          <cell r="K612">
            <v>3.81775165988579E-4</v>
          </cell>
          <cell r="L612">
            <v>7.8975291790815399E-6</v>
          </cell>
          <cell r="M612">
            <v>2.05940194042329E-4</v>
          </cell>
          <cell r="N612">
            <v>1.86540639426382E-4</v>
          </cell>
          <cell r="O612">
            <v>5.6464414214785696E-4</v>
          </cell>
        </row>
        <row r="613">
          <cell r="A613" t="str">
            <v>ITOT-SWHCONBR4</v>
          </cell>
          <cell r="B613" t="str">
            <v>VAR_cap</v>
          </cell>
          <cell r="C613" t="str">
            <v>-</v>
          </cell>
          <cell r="H613">
            <v>2.42111883002362E-4</v>
          </cell>
          <cell r="I613">
            <v>3.0001547389753302E-4</v>
          </cell>
          <cell r="J613">
            <v>3.0099245373389402E-4</v>
          </cell>
          <cell r="K613">
            <v>4.4065573672011197E-4</v>
          </cell>
          <cell r="L613">
            <v>3.9941735250821099E-4</v>
          </cell>
          <cell r="M613">
            <v>5.9561288920998996E-4</v>
          </cell>
          <cell r="N613">
            <v>4.6549548943134199E-4</v>
          </cell>
          <cell r="O613">
            <v>9.5712497561656795E-4</v>
          </cell>
        </row>
        <row r="614">
          <cell r="A614" t="str">
            <v>D-ITOT_NKEV_GAS_ELC_CHP</v>
          </cell>
          <cell r="B614" t="str">
            <v>VAR_fout</v>
          </cell>
          <cell r="C614" t="str">
            <v>ITOT_ELC</v>
          </cell>
          <cell r="D614">
            <v>0.66166026578313886</v>
          </cell>
          <cell r="E614">
            <v>8.6560748686240252E-2</v>
          </cell>
          <cell r="F614">
            <v>5.4774462881748497E-2</v>
          </cell>
          <cell r="G614">
            <v>0.74250909399178355</v>
          </cell>
          <cell r="H614">
            <v>0.55534036227403627</v>
          </cell>
          <cell r="I614">
            <v>0.17426615518405128</v>
          </cell>
          <cell r="J614">
            <v>0.12931137333759174</v>
          </cell>
          <cell r="K614">
            <v>8.7825873695284287E-2</v>
          </cell>
          <cell r="L614">
            <v>5.9268744001687058E-2</v>
          </cell>
          <cell r="M614">
            <v>8.6098927004139902E-2</v>
          </cell>
          <cell r="N614">
            <v>0.13041050571308327</v>
          </cell>
          <cell r="O614">
            <v>0.14504599009084851</v>
          </cell>
        </row>
        <row r="615">
          <cell r="A615" t="str">
            <v>D-ITOT_NKEV_GAS_ELC_CHP</v>
          </cell>
          <cell r="B615" t="str">
            <v>VAR_fout</v>
          </cell>
          <cell r="C615" t="str">
            <v>ELC5</v>
          </cell>
          <cell r="D615">
            <v>8.320056326003392E-3</v>
          </cell>
          <cell r="E615">
            <v>4.7060990677904859E-3</v>
          </cell>
          <cell r="F615">
            <v>4.0463106197628513E-3</v>
          </cell>
          <cell r="G615">
            <v>3.5981148435334214E-3</v>
          </cell>
          <cell r="H615">
            <v>8.6930274984884735E-3</v>
          </cell>
          <cell r="I615">
            <v>4.8119516093403049E-3</v>
          </cell>
          <cell r="J615">
            <v>6.6138114056941881E-3</v>
          </cell>
          <cell r="K615">
            <v>1.0011367216989057E-2</v>
          </cell>
          <cell r="L615">
            <v>7.0272043408427061E-3</v>
          </cell>
          <cell r="M615">
            <v>1.2734919651188826E-2</v>
          </cell>
          <cell r="N615">
            <v>1.3355111625900426E-2</v>
          </cell>
          <cell r="O615">
            <v>2.3232453416431965E-2</v>
          </cell>
        </row>
        <row r="616">
          <cell r="A616" t="str">
            <v>D-ITOT_NKEV_GAS_ELC_CHP</v>
          </cell>
          <cell r="B616" t="str">
            <v>VAR_fin</v>
          </cell>
          <cell r="C616" t="str">
            <v>ITOT_NKEV_GAS_ELC_CHP</v>
          </cell>
          <cell r="D616">
            <v>0.66998032210914271</v>
          </cell>
          <cell r="E616">
            <v>9.1266847754030683E-2</v>
          </cell>
          <cell r="F616">
            <v>5.8818191371725483E-2</v>
          </cell>
          <cell r="G616">
            <v>0.74610720883531667</v>
          </cell>
          <cell r="H616">
            <v>0.56403338977252448</v>
          </cell>
          <cell r="I616">
            <v>0.17907810679339151</v>
          </cell>
          <cell r="J616">
            <v>0.13592518474328602</v>
          </cell>
          <cell r="K616">
            <v>9.7837240912273332E-2</v>
          </cell>
          <cell r="L616">
            <v>6.6295948342529776E-2</v>
          </cell>
          <cell r="M616">
            <v>9.8833846655328766E-2</v>
          </cell>
          <cell r="N616">
            <v>0.14376561733898366</v>
          </cell>
          <cell r="O616">
            <v>0.16827844350728047</v>
          </cell>
        </row>
        <row r="617">
          <cell r="A617" t="str">
            <v>SCOM-SHELCBR</v>
          </cell>
          <cell r="B617" t="str">
            <v>VAR_fout</v>
          </cell>
          <cell r="C617" t="str">
            <v>SCOM-SHAELCB</v>
          </cell>
          <cell r="D617">
            <v>2.3940503973514038</v>
          </cell>
          <cell r="E617">
            <v>0.36588323307495885</v>
          </cell>
          <cell r="F617">
            <v>2.2496866205800319</v>
          </cell>
          <cell r="G617">
            <v>1.9618428937852903</v>
          </cell>
          <cell r="H617">
            <v>1.6500508396083089</v>
          </cell>
          <cell r="I617">
            <v>1.3549524390137884</v>
          </cell>
          <cell r="J617">
            <v>1.0711030282928771</v>
          </cell>
          <cell r="K617">
            <v>0.81032375926949174</v>
          </cell>
          <cell r="L617">
            <v>0.79080247926487357</v>
          </cell>
          <cell r="M617">
            <v>0.77236842815035256</v>
          </cell>
          <cell r="N617">
            <v>0.7556022583981159</v>
          </cell>
          <cell r="O617">
            <v>0.72235345040714372</v>
          </cell>
        </row>
        <row r="618">
          <cell r="A618" t="str">
            <v>SCOM-SHELCBR</v>
          </cell>
          <cell r="B618" t="str">
            <v>VAR_fin</v>
          </cell>
          <cell r="C618" t="str">
            <v>SCOM_ELC</v>
          </cell>
          <cell r="D618">
            <v>2.6236168738097607</v>
          </cell>
          <cell r="E618">
            <v>0.39987238587427149</v>
          </cell>
          <cell r="F618">
            <v>2.4486384985905141</v>
          </cell>
          <cell r="G618">
            <v>2.1209112365246394</v>
          </cell>
          <cell r="H618">
            <v>1.7718666734048951</v>
          </cell>
          <cell r="I618">
            <v>1.4452826016147089</v>
          </cell>
          <cell r="J618">
            <v>1.1349436061381484</v>
          </cell>
          <cell r="K618">
            <v>0.85297237817841232</v>
          </cell>
          <cell r="L618">
            <v>0.83242366238407695</v>
          </cell>
          <cell r="M618">
            <v>0.81301939805300305</v>
          </cell>
          <cell r="N618">
            <v>0.79537079831380653</v>
          </cell>
          <cell r="O618">
            <v>0.76037205306015176</v>
          </cell>
        </row>
        <row r="619">
          <cell r="A619" t="str">
            <v>SCOM-SHELCBR</v>
          </cell>
          <cell r="B619" t="str">
            <v>VAR_ncap</v>
          </cell>
          <cell r="C619" t="str">
            <v>-</v>
          </cell>
          <cell r="D619">
            <v>6.1900112897418101E-6</v>
          </cell>
          <cell r="E619">
            <v>3.5794373398227498E-6</v>
          </cell>
          <cell r="F619">
            <v>0.111473998922584</v>
          </cell>
          <cell r="G619">
            <v>2.5386492345672201E-5</v>
          </cell>
          <cell r="H619">
            <v>3.4607330899437801E-2</v>
          </cell>
          <cell r="I619">
            <v>7.7543621513164102E-2</v>
          </cell>
          <cell r="J619">
            <v>8.2822162307243005E-5</v>
          </cell>
          <cell r="K619">
            <v>6.6891143486117197E-3</v>
          </cell>
          <cell r="L619">
            <v>6.4612562982634097E-2</v>
          </cell>
          <cell r="M619">
            <v>1.55844097463196E-2</v>
          </cell>
          <cell r="N619">
            <v>2.5312549962409302E-2</v>
          </cell>
          <cell r="O619">
            <v>4.2412540028761998E-2</v>
          </cell>
        </row>
        <row r="620">
          <cell r="A620" t="str">
            <v>SCOM-SHELCBR</v>
          </cell>
          <cell r="B620" t="str">
            <v>VAR_cap</v>
          </cell>
          <cell r="C620" t="str">
            <v>-</v>
          </cell>
          <cell r="D620">
            <v>0.18499423836273174</v>
          </cell>
          <cell r="E620">
            <v>6.2483596758598575E-2</v>
          </cell>
          <cell r="F620">
            <v>0.173956874606471</v>
          </cell>
          <cell r="G620">
            <v>0.173972689946437</v>
          </cell>
          <cell r="H620">
            <v>0.16228478657191669</v>
          </cell>
          <cell r="I620">
            <v>0.13556613570028725</v>
          </cell>
          <cell r="J620">
            <v>0.11222207288708268</v>
          </cell>
          <cell r="K620">
            <v>8.4290071209395245E-2</v>
          </cell>
          <cell r="L620">
            <v>8.3270684629729586E-2</v>
          </cell>
          <cell r="M620">
            <v>8.6868930419759863E-2</v>
          </cell>
          <cell r="N620">
            <v>8.6184764345510576E-2</v>
          </cell>
          <cell r="O620">
            <v>8.3291101195378206E-2</v>
          </cell>
        </row>
        <row r="621">
          <cell r="A621" t="str">
            <v>RHES-SHCONBR3</v>
          </cell>
          <cell r="B621" t="str">
            <v>VAR_fout</v>
          </cell>
          <cell r="C621" t="str">
            <v>RHES-SHCON</v>
          </cell>
          <cell r="D621">
            <v>0.49472600570501546</v>
          </cell>
          <cell r="E621">
            <v>1.1728073966992503</v>
          </cell>
          <cell r="F621">
            <v>1.1725413614032474</v>
          </cell>
          <cell r="G621">
            <v>1.1725771696824647</v>
          </cell>
          <cell r="H621">
            <v>1.1726258746173512</v>
          </cell>
          <cell r="I621">
            <v>1.1726648968187676</v>
          </cell>
          <cell r="J621">
            <v>1.1725379854598867</v>
          </cell>
          <cell r="K621">
            <v>0.62637045649177081</v>
          </cell>
          <cell r="L621">
            <v>9.7930732405349542E-4</v>
          </cell>
          <cell r="M621">
            <v>1.0140454673307569E-3</v>
          </cell>
          <cell r="N621">
            <v>9.881215940115999E-4</v>
          </cell>
          <cell r="O621">
            <v>1.1641173573459979E-3</v>
          </cell>
        </row>
        <row r="622">
          <cell r="A622" t="str">
            <v>RHES-SHCONBR3</v>
          </cell>
          <cell r="B622" t="str">
            <v>VAR_fin</v>
          </cell>
          <cell r="C622" t="str">
            <v>CON</v>
          </cell>
          <cell r="D622">
            <v>0.49472600570501546</v>
          </cell>
          <cell r="E622">
            <v>1.1728073966992503</v>
          </cell>
          <cell r="F622">
            <v>1.1725413614032474</v>
          </cell>
          <cell r="G622">
            <v>1.1725771696824647</v>
          </cell>
          <cell r="H622">
            <v>1.1726258746173512</v>
          </cell>
          <cell r="I622">
            <v>1.1726648968187676</v>
          </cell>
          <cell r="J622">
            <v>1.1725379854598867</v>
          </cell>
          <cell r="K622">
            <v>0.62637045649177081</v>
          </cell>
          <cell r="L622">
            <v>9.7930732405349542E-4</v>
          </cell>
          <cell r="M622">
            <v>1.0140454673307569E-3</v>
          </cell>
          <cell r="N622">
            <v>9.881215940115999E-4</v>
          </cell>
          <cell r="O622">
            <v>1.1641173573459979E-3</v>
          </cell>
        </row>
        <row r="623">
          <cell r="A623" t="str">
            <v>RHES-SHCONBR3</v>
          </cell>
          <cell r="B623" t="str">
            <v>VAR_ncap</v>
          </cell>
          <cell r="C623" t="str">
            <v>-</v>
          </cell>
          <cell r="D623">
            <v>3.9985686040969103E-2</v>
          </cell>
          <cell r="E623">
            <v>5.4754579233571597E-2</v>
          </cell>
          <cell r="F623">
            <v>1.0796410666579101E-7</v>
          </cell>
          <cell r="G623">
            <v>7.4317103588146505E-8</v>
          </cell>
          <cell r="H623">
            <v>5.4029298959384498E-8</v>
          </cell>
          <cell r="I623">
            <v>8.5609763341631599E-8</v>
          </cell>
          <cell r="J623">
            <v>6.4341088140369303E-8</v>
          </cell>
          <cell r="K623">
            <v>1.39401784189976E-6</v>
          </cell>
          <cell r="L623">
            <v>7.5098165856150596E-5</v>
          </cell>
          <cell r="M623">
            <v>3.83574194397949E-7</v>
          </cell>
          <cell r="N623">
            <v>5.9637357388251799E-7</v>
          </cell>
          <cell r="O623">
            <v>6.8019387950270401E-6</v>
          </cell>
        </row>
        <row r="624">
          <cell r="A624" t="str">
            <v>RHES-SHCONBR3</v>
          </cell>
          <cell r="B624" t="str">
            <v>VAR_cap</v>
          </cell>
          <cell r="C624" t="str">
            <v>-</v>
          </cell>
          <cell r="D624">
            <v>3.9985686040969103E-2</v>
          </cell>
          <cell r="E624">
            <v>9.47402652745407E-2</v>
          </cell>
          <cell r="F624">
            <v>9.4740373238647396E-2</v>
          </cell>
          <cell r="G624">
            <v>9.4740447555751006E-2</v>
          </cell>
          <cell r="H624">
            <v>9.4740501585049999E-2</v>
          </cell>
          <cell r="I624">
            <v>9.4740587194813305E-2</v>
          </cell>
          <cell r="J624">
            <v>9.4740651535901402E-2</v>
          </cell>
          <cell r="K624">
            <v>5.06126107342681E-2</v>
          </cell>
          <cell r="L624">
            <v>7.6783315069798606E-5</v>
          </cell>
          <cell r="M624">
            <v>7.7079738042889605E-5</v>
          </cell>
          <cell r="N624">
            <v>7.7618249885294803E-5</v>
          </cell>
          <cell r="O624">
            <v>8.4338411349498197E-5</v>
          </cell>
        </row>
        <row r="625">
          <cell r="A625" t="str">
            <v>ITOT-SWHCONBR5</v>
          </cell>
          <cell r="B625" t="str">
            <v>VAR_fout</v>
          </cell>
          <cell r="C625" t="str">
            <v>ITOT-ELS</v>
          </cell>
          <cell r="H625">
            <v>3.8416763466016886E-4</v>
          </cell>
          <cell r="I625">
            <v>4.4627383120031546E-4</v>
          </cell>
          <cell r="J625">
            <v>4.4306768820803473E-4</v>
          </cell>
          <cell r="K625">
            <v>5.8954729690809647E-4</v>
          </cell>
          <cell r="L625">
            <v>5.4389101597262937E-4</v>
          </cell>
          <cell r="M625">
            <v>7.9186272017993061E-4</v>
          </cell>
          <cell r="N625">
            <v>6.427336454053902E-4</v>
          </cell>
          <cell r="O625">
            <v>1.3108291433516139E-3</v>
          </cell>
        </row>
        <row r="626">
          <cell r="A626" t="str">
            <v>ITOT-SWHCONBR5</v>
          </cell>
          <cell r="B626" t="str">
            <v>VAR_fout</v>
          </cell>
          <cell r="C626" t="str">
            <v>ITOT-SWHC</v>
          </cell>
          <cell r="H626">
            <v>1.8842947947544481E-3</v>
          </cell>
          <cell r="I626">
            <v>2.1889180172862338E-3</v>
          </cell>
          <cell r="J626">
            <v>2.1731922819391179E-3</v>
          </cell>
          <cell r="K626">
            <v>2.8916566691209091E-3</v>
          </cell>
          <cell r="L626">
            <v>2.6677182506993509E-3</v>
          </cell>
          <cell r="M626">
            <v>3.8839888298113421E-3</v>
          </cell>
          <cell r="N626">
            <v>3.1525291388022664E-3</v>
          </cell>
          <cell r="O626">
            <v>6.4294550315640367E-3</v>
          </cell>
        </row>
        <row r="627">
          <cell r="A627" t="str">
            <v>ITOT-SWHCONBR5</v>
          </cell>
          <cell r="B627" t="str">
            <v>VAR_fin</v>
          </cell>
          <cell r="C627" t="str">
            <v>CON</v>
          </cell>
          <cell r="H627">
            <v>2.2684624294146195E-3</v>
          </cell>
          <cell r="I627">
            <v>2.6351918484865526E-3</v>
          </cell>
          <cell r="J627">
            <v>2.6162599701471541E-3</v>
          </cell>
          <cell r="K627">
            <v>3.481203966029005E-3</v>
          </cell>
          <cell r="L627">
            <v>3.2116092666719808E-3</v>
          </cell>
          <cell r="M627">
            <v>4.6758515499912764E-3</v>
          </cell>
          <cell r="N627">
            <v>3.7952627842076565E-3</v>
          </cell>
          <cell r="O627">
            <v>7.7402841749156523E-3</v>
          </cell>
        </row>
        <row r="628">
          <cell r="A628" t="str">
            <v>ITOT-SWHCONBR5</v>
          </cell>
          <cell r="B628" t="str">
            <v>VAR_ncap</v>
          </cell>
          <cell r="C628" t="str">
            <v>-</v>
          </cell>
          <cell r="H628">
            <v>1.21638926038944E-4</v>
          </cell>
          <cell r="I628">
            <v>1.8629896992889498E-5</v>
          </cell>
          <cell r="J628">
            <v>1.1053302986688501E-6</v>
          </cell>
          <cell r="K628">
            <v>1.66222673179157E-4</v>
          </cell>
          <cell r="L628">
            <v>3.1203223765348199E-6</v>
          </cell>
          <cell r="M628">
            <v>8.1762875539304503E-5</v>
          </cell>
          <cell r="N628">
            <v>9.2093224381190807E-5</v>
          </cell>
          <cell r="O628">
            <v>2.43198717463955E-4</v>
          </cell>
        </row>
        <row r="629">
          <cell r="A629" t="str">
            <v>ITOT-SWHCONBR5</v>
          </cell>
          <cell r="B629" t="str">
            <v>VAR_cap</v>
          </cell>
          <cell r="C629" t="str">
            <v>-</v>
          </cell>
          <cell r="H629">
            <v>1.21638926038944E-4</v>
          </cell>
          <cell r="I629">
            <v>1.4026882303183399E-4</v>
          </cell>
          <cell r="J629">
            <v>1.4137415333050199E-4</v>
          </cell>
          <cell r="K629">
            <v>1.85957900470715E-4</v>
          </cell>
          <cell r="L629">
            <v>1.73164434286659E-4</v>
          </cell>
          <cell r="M629">
            <v>2.51105871094996E-4</v>
          </cell>
          <cell r="N629">
            <v>2.0542891694846999E-4</v>
          </cell>
          <cell r="O629">
            <v>4.1705481738444998E-4</v>
          </cell>
        </row>
        <row r="630">
          <cell r="A630" t="str">
            <v>RHES-SHSTG-ELC</v>
          </cell>
          <cell r="B630" t="str">
            <v>VAR_fout</v>
          </cell>
          <cell r="C630" t="str">
            <v>RHES-SHAELCB</v>
          </cell>
          <cell r="D630">
            <v>1.2027925057013157E-6</v>
          </cell>
          <cell r="E630">
            <v>0.72023514853455661</v>
          </cell>
          <cell r="F630">
            <v>0.6483402673184091</v>
          </cell>
          <cell r="G630">
            <v>0.66087884833002353</v>
          </cell>
          <cell r="H630">
            <v>0.49245058885404025</v>
          </cell>
          <cell r="I630">
            <v>0.41777049034001568</v>
          </cell>
          <cell r="J630">
            <v>0.36043187000209059</v>
          </cell>
          <cell r="K630">
            <v>9.4055687793205042E-2</v>
          </cell>
          <cell r="L630">
            <v>4.3889257315288401E-2</v>
          </cell>
          <cell r="M630">
            <v>3.1152385595103093E-2</v>
          </cell>
          <cell r="N630">
            <v>3.1781725092151318E-2</v>
          </cell>
          <cell r="O630">
            <v>2.2626905448626024E-2</v>
          </cell>
        </row>
        <row r="631">
          <cell r="A631" t="str">
            <v>RHES-SHSTG-ELC</v>
          </cell>
          <cell r="B631" t="str">
            <v>VAR_fin</v>
          </cell>
          <cell r="C631" t="str">
            <v>RHES-SHAELCB</v>
          </cell>
          <cell r="D631">
            <v>8.8716948386489207E-6</v>
          </cell>
          <cell r="E631">
            <v>0.72025487591818738</v>
          </cell>
          <cell r="F631">
            <v>0.64835842248560194</v>
          </cell>
          <cell r="G631">
            <v>0.66089788605116528</v>
          </cell>
          <cell r="H631">
            <v>0.49246742460033044</v>
          </cell>
          <cell r="I631">
            <v>0.41779121561333377</v>
          </cell>
          <cell r="J631">
            <v>0.36045249575197297</v>
          </cell>
          <cell r="K631">
            <v>9.4065096207530466E-2</v>
          </cell>
          <cell r="L631">
            <v>4.3895174656028463E-2</v>
          </cell>
          <cell r="M631">
            <v>3.1161667593236585E-2</v>
          </cell>
          <cell r="N631">
            <v>3.1787723829618725E-2</v>
          </cell>
          <cell r="O631">
            <v>2.2636687991645903E-2</v>
          </cell>
        </row>
        <row r="632">
          <cell r="A632" t="str">
            <v>RHES-SHSTG-ELC</v>
          </cell>
          <cell r="B632" t="str">
            <v>VAR_ncap</v>
          </cell>
          <cell r="C632" t="str">
            <v>-</v>
          </cell>
          <cell r="D632">
            <v>1.2496789176680199E-2</v>
          </cell>
          <cell r="E632">
            <v>4.8594432941451E-2</v>
          </cell>
          <cell r="F632">
            <v>9.2602762306738802E-5</v>
          </cell>
          <cell r="G632">
            <v>1.0111796143746E-4</v>
          </cell>
          <cell r="H632">
            <v>1.87861255836058E-2</v>
          </cell>
          <cell r="I632">
            <v>1.8164649068130801E-2</v>
          </cell>
          <cell r="J632">
            <v>2.3415220317152201E-4</v>
          </cell>
          <cell r="K632">
            <v>6.7316189153103902E-4</v>
          </cell>
          <cell r="L632">
            <v>2.4772602958844999E-3</v>
          </cell>
          <cell r="M632">
            <v>1.00196372935183E-3</v>
          </cell>
          <cell r="N632">
            <v>1.1134691134104301E-3</v>
          </cell>
          <cell r="O632">
            <v>1.3593883518017E-3</v>
          </cell>
        </row>
        <row r="633">
          <cell r="A633" t="str">
            <v>RHES-SHSTG-ELC</v>
          </cell>
          <cell r="B633" t="str">
            <v>VAR_cap</v>
          </cell>
          <cell r="C633" t="str">
            <v>-</v>
          </cell>
          <cell r="D633">
            <v>1.2496789176680199E-2</v>
          </cell>
          <cell r="E633">
            <v>6.1017788264057085E-2</v>
          </cell>
          <cell r="F633">
            <v>6.1018657607423296E-2</v>
          </cell>
          <cell r="G633">
            <v>6.1019231996028649E-2</v>
          </cell>
          <cell r="H633">
            <v>4.6839340027228012E-2</v>
          </cell>
          <cell r="I633">
            <v>3.6954338959224425E-2</v>
          </cell>
          <cell r="J633">
            <v>3.6739162125222997E-2</v>
          </cell>
          <cell r="K633">
            <v>9.2786505727333012E-3</v>
          </cell>
          <cell r="L633">
            <v>4.2529551626117506E-3</v>
          </cell>
          <cell r="M633">
            <v>3.6072110228467756E-3</v>
          </cell>
          <cell r="N633">
            <v>3.4727567671900702E-3</v>
          </cell>
          <cell r="O633">
            <v>3.0122838759625388E-3</v>
          </cell>
        </row>
        <row r="634">
          <cell r="A634" t="str">
            <v>RHES-SHCONBR4</v>
          </cell>
          <cell r="B634" t="str">
            <v>VAR_fout</v>
          </cell>
          <cell r="C634" t="str">
            <v>RHES-SHCON</v>
          </cell>
          <cell r="E634">
            <v>0.4267934744776079</v>
          </cell>
          <cell r="F634">
            <v>0.42665437166208176</v>
          </cell>
          <cell r="G634">
            <v>0.42661748354005508</v>
          </cell>
          <cell r="H634">
            <v>0.42667117648937142</v>
          </cell>
          <cell r="I634">
            <v>0.4266894513577465</v>
          </cell>
          <cell r="J634">
            <v>0.42662294343330615</v>
          </cell>
          <cell r="K634">
            <v>0.28793443403064733</v>
          </cell>
          <cell r="L634">
            <v>6.4231505584565359E-4</v>
          </cell>
          <cell r="M634">
            <v>6.8103534861626062E-4</v>
          </cell>
          <cell r="N634">
            <v>6.5584990422164853E-4</v>
          </cell>
          <cell r="O634">
            <v>8.7302384759645776E-4</v>
          </cell>
        </row>
        <row r="635">
          <cell r="A635" t="str">
            <v>RHES-SHCONBR4</v>
          </cell>
          <cell r="B635" t="str">
            <v>VAR_fin</v>
          </cell>
          <cell r="C635" t="str">
            <v>CON</v>
          </cell>
          <cell r="E635">
            <v>0.4267934744776079</v>
          </cell>
          <cell r="F635">
            <v>0.42665437166208176</v>
          </cell>
          <cell r="G635">
            <v>0.42661748354005508</v>
          </cell>
          <cell r="H635">
            <v>0.42667117648937142</v>
          </cell>
          <cell r="I635">
            <v>0.4266894513577465</v>
          </cell>
          <cell r="J635">
            <v>0.42662294343330615</v>
          </cell>
          <cell r="K635">
            <v>0.28793443403064733</v>
          </cell>
          <cell r="L635">
            <v>6.4231505584565359E-4</v>
          </cell>
          <cell r="M635">
            <v>6.8103534861626062E-4</v>
          </cell>
          <cell r="N635">
            <v>6.5584990422164853E-4</v>
          </cell>
          <cell r="O635">
            <v>8.7302384759645776E-4</v>
          </cell>
        </row>
        <row r="636">
          <cell r="A636" t="str">
            <v>RHES-SHCONBR4</v>
          </cell>
          <cell r="B636" t="str">
            <v>VAR_ncap</v>
          </cell>
          <cell r="C636" t="str">
            <v>-</v>
          </cell>
          <cell r="E636">
            <v>3.4471010588182603E-2</v>
          </cell>
          <cell r="F636">
            <v>9.0410038615634894E-8</v>
          </cell>
          <cell r="G636">
            <v>1.07528187892854E-7</v>
          </cell>
          <cell r="H636">
            <v>5.2186078034693702E-8</v>
          </cell>
          <cell r="I636">
            <v>8.2330385784067897E-8</v>
          </cell>
          <cell r="J636">
            <v>5.82023352764042E-8</v>
          </cell>
          <cell r="K636">
            <v>1.1551577191563401E-6</v>
          </cell>
          <cell r="L636">
            <v>4.8207224312963699E-5</v>
          </cell>
          <cell r="M636">
            <v>5.4966815046684802E-7</v>
          </cell>
          <cell r="N636">
            <v>6.7578205032181297E-7</v>
          </cell>
          <cell r="O636">
            <v>9.9855172563561505E-6</v>
          </cell>
        </row>
        <row r="637">
          <cell r="A637" t="str">
            <v>RHES-SHCONBR4</v>
          </cell>
          <cell r="B637" t="str">
            <v>VAR_cap</v>
          </cell>
          <cell r="C637" t="str">
            <v>-</v>
          </cell>
          <cell r="E637">
            <v>3.4471010588182603E-2</v>
          </cell>
          <cell r="F637">
            <v>3.4471100998221198E-2</v>
          </cell>
          <cell r="G637">
            <v>3.44712085264091E-2</v>
          </cell>
          <cell r="H637">
            <v>3.4471260712487101E-2</v>
          </cell>
          <cell r="I637">
            <v>3.4471343042872901E-2</v>
          </cell>
          <cell r="J637">
            <v>3.44714012452082E-2</v>
          </cell>
          <cell r="K637">
            <v>2.3264749743009201E-2</v>
          </cell>
          <cell r="L637">
            <v>4.9661223773575703E-5</v>
          </cell>
          <cell r="M637">
            <v>5.0104768981682103E-5</v>
          </cell>
          <cell r="N637">
            <v>5.0724719433073503E-5</v>
          </cell>
          <cell r="O637">
            <v>6.0631551824541299E-5</v>
          </cell>
        </row>
        <row r="638">
          <cell r="A638" t="str">
            <v>ITOT-SWHCONBR6</v>
          </cell>
          <cell r="B638" t="str">
            <v>VAR_fout</v>
          </cell>
          <cell r="C638" t="str">
            <v>ITOT-SWHC</v>
          </cell>
          <cell r="I638">
            <v>1.6484487996134979E-3</v>
          </cell>
          <cell r="J638">
            <v>1.6402686729772896E-3</v>
          </cell>
          <cell r="K638">
            <v>3.2127614990978279E-3</v>
          </cell>
          <cell r="L638">
            <v>1.978529027194525E-3</v>
          </cell>
          <cell r="M638">
            <v>3.4399476709421686E-3</v>
          </cell>
          <cell r="N638">
            <v>2.7199907401477216E-3</v>
          </cell>
          <cell r="O638">
            <v>5.6810698206150867E-3</v>
          </cell>
        </row>
        <row r="639">
          <cell r="A639" t="str">
            <v>ITOT-SWHCONBR6</v>
          </cell>
          <cell r="B639" t="str">
            <v>VAR_fin</v>
          </cell>
          <cell r="C639" t="str">
            <v>CON</v>
          </cell>
          <cell r="I639">
            <v>1.6484487996134979E-3</v>
          </cell>
          <cell r="J639">
            <v>1.6402686729772896E-3</v>
          </cell>
          <cell r="K639">
            <v>3.2127614990978279E-3</v>
          </cell>
          <cell r="L639">
            <v>1.978529027194525E-3</v>
          </cell>
          <cell r="M639">
            <v>3.4399476709421686E-3</v>
          </cell>
          <cell r="N639">
            <v>2.7199907401477216E-3</v>
          </cell>
          <cell r="O639">
            <v>5.6810698206150867E-3</v>
          </cell>
        </row>
        <row r="640">
          <cell r="A640" t="str">
            <v>ITOT-SWHCONBR6</v>
          </cell>
          <cell r="B640" t="str">
            <v>VAR_ncap</v>
          </cell>
          <cell r="C640" t="str">
            <v>-</v>
          </cell>
          <cell r="I640">
            <v>8.4501155203399499E-5</v>
          </cell>
          <cell r="J640">
            <v>7.2442937252374803E-7</v>
          </cell>
          <cell r="K640">
            <v>8.51980510040255E-5</v>
          </cell>
          <cell r="L640">
            <v>7.1301838423251399E-6</v>
          </cell>
          <cell r="M640">
            <v>9.07584374091975E-5</v>
          </cell>
          <cell r="N640">
            <v>3.5324298531109998E-5</v>
          </cell>
          <cell r="O640">
            <v>1.7703574813462099E-4</v>
          </cell>
        </row>
        <row r="641">
          <cell r="A641" t="str">
            <v>ITOT-SWHCONBR6</v>
          </cell>
          <cell r="B641" t="str">
            <v>VAR_cap</v>
          </cell>
          <cell r="C641" t="str">
            <v>-</v>
          </cell>
          <cell r="I641">
            <v>8.4501155203399499E-5</v>
          </cell>
          <cell r="J641">
            <v>8.5225584575923297E-5</v>
          </cell>
          <cell r="K641">
            <v>1.70423635579949E-4</v>
          </cell>
          <cell r="L641">
            <v>1.05940627723228E-4</v>
          </cell>
          <cell r="M641">
            <v>1.83086672255548E-4</v>
          </cell>
          <cell r="N641">
            <v>1.4604299654187201E-4</v>
          </cell>
          <cell r="O641">
            <v>3.0311848407492902E-4</v>
          </cell>
        </row>
        <row r="642">
          <cell r="A642" t="str">
            <v>RHNM-SHNGAHP</v>
          </cell>
          <cell r="B642" t="str">
            <v>VAR_fout</v>
          </cell>
          <cell r="C642" t="str">
            <v>CO2_R</v>
          </cell>
          <cell r="F642">
            <v>0.505606405778941</v>
          </cell>
          <cell r="G642">
            <v>0.49382871721078497</v>
          </cell>
          <cell r="H642">
            <v>51.380234823161899</v>
          </cell>
          <cell r="I642">
            <v>86.474774039320806</v>
          </cell>
          <cell r="J642">
            <v>109.633069707145</v>
          </cell>
          <cell r="K642">
            <v>126.26897318524701</v>
          </cell>
          <cell r="L642">
            <v>140.480644112574</v>
          </cell>
          <cell r="M642">
            <v>150.52256655394299</v>
          </cell>
          <cell r="N642">
            <v>150.51768277418901</v>
          </cell>
          <cell r="O642">
            <v>150.51467522425401</v>
          </cell>
        </row>
        <row r="643">
          <cell r="A643" t="str">
            <v>RHNM-SHNGAHP</v>
          </cell>
          <cell r="B643" t="str">
            <v>VAR_fout</v>
          </cell>
          <cell r="C643" t="str">
            <v>RHNM-SHANGAH</v>
          </cell>
          <cell r="F643">
            <v>1.7929305169465989E-2</v>
          </cell>
          <cell r="G643">
            <v>1.8212122904227569E-2</v>
          </cell>
          <cell r="H643">
            <v>1.9586437033652151</v>
          </cell>
          <cell r="I643">
            <v>3.4037942972924169</v>
          </cell>
          <cell r="J643">
            <v>4.4319751583739428</v>
          </cell>
          <cell r="K643">
            <v>5.2388191002389544</v>
          </cell>
          <cell r="L643">
            <v>5.8284522557344678</v>
          </cell>
          <cell r="M643">
            <v>6.245085208089125</v>
          </cell>
          <cell r="N643">
            <v>6.2448825831844283</v>
          </cell>
          <cell r="O643">
            <v>6.2447578018573653</v>
          </cell>
        </row>
        <row r="644">
          <cell r="A644" t="str">
            <v>RHNM-SHNGAHP</v>
          </cell>
          <cell r="B644" t="str">
            <v>VAR_fin</v>
          </cell>
          <cell r="C644" t="str">
            <v>RNGA</v>
          </cell>
          <cell r="F644">
            <v>8.9646525847330016E-3</v>
          </cell>
          <cell r="G644">
            <v>8.7558283193401743E-3</v>
          </cell>
          <cell r="H644">
            <v>0.91099707133265828</v>
          </cell>
          <cell r="I644">
            <v>1.533240674456043</v>
          </cell>
          <cell r="J644">
            <v>1.943848753672782</v>
          </cell>
          <cell r="K644">
            <v>2.2388115812986977</v>
          </cell>
          <cell r="L644">
            <v>2.4907915622796848</v>
          </cell>
          <cell r="M644">
            <v>2.6688398325167202</v>
          </cell>
          <cell r="N644">
            <v>2.6687532406771055</v>
          </cell>
          <cell r="O644">
            <v>2.6686999153236584</v>
          </cell>
        </row>
        <row r="645">
          <cell r="A645" t="str">
            <v>RHNM-SHNGAHP</v>
          </cell>
          <cell r="B645" t="str">
            <v>VAR_fin</v>
          </cell>
          <cell r="C645" t="str">
            <v>RHNMELCHPC</v>
          </cell>
          <cell r="F645">
            <v>1.7929305169465989E-2</v>
          </cell>
          <cell r="G645">
            <v>1.8212122904227569E-2</v>
          </cell>
          <cell r="H645">
            <v>1.9586437033652151</v>
          </cell>
          <cell r="I645">
            <v>3.4037942972924169</v>
          </cell>
          <cell r="J645">
            <v>4.4319751583739428</v>
          </cell>
          <cell r="K645">
            <v>5.2388191002389544</v>
          </cell>
          <cell r="L645">
            <v>5.8284522557344678</v>
          </cell>
          <cell r="M645">
            <v>6.245085208089125</v>
          </cell>
          <cell r="N645">
            <v>6.2448825831844283</v>
          </cell>
          <cell r="O645">
            <v>6.2447578018573653</v>
          </cell>
        </row>
        <row r="646">
          <cell r="A646" t="str">
            <v>RHNM-SHNGAHP</v>
          </cell>
          <cell r="B646" t="str">
            <v>VAR_ncap</v>
          </cell>
          <cell r="C646" t="str">
            <v>-</v>
          </cell>
          <cell r="E646">
            <v>1.6765817749482899E-6</v>
          </cell>
          <cell r="F646">
            <v>1.47089261647924E-3</v>
          </cell>
          <cell r="G646">
            <v>4.0095715119399501E-6</v>
          </cell>
          <cell r="H646">
            <v>0.15068014001250901</v>
          </cell>
          <cell r="I646">
            <v>0.11332651230634801</v>
          </cell>
          <cell r="J646">
            <v>8.0140490645930804E-2</v>
          </cell>
          <cell r="K646">
            <v>0.21351063912375501</v>
          </cell>
          <cell r="L646">
            <v>0.152129991036108</v>
          </cell>
          <cell r="M646">
            <v>0.12027127571754501</v>
          </cell>
          <cell r="N646">
            <v>0.222993107491715</v>
          </cell>
          <cell r="O646">
            <v>0.14185638712915799</v>
          </cell>
        </row>
        <row r="647">
          <cell r="A647" t="str">
            <v>RHNM-SHNGAHP</v>
          </cell>
          <cell r="B647" t="str">
            <v>VAR_cap</v>
          </cell>
          <cell r="C647" t="str">
            <v>-</v>
          </cell>
          <cell r="E647">
            <v>1.6765817749482899E-6</v>
          </cell>
          <cell r="F647">
            <v>1.472254698191503E-3</v>
          </cell>
          <cell r="G647">
            <v>1.4760443281570197E-3</v>
          </cell>
          <cell r="H647">
            <v>0.15215467801387533</v>
          </cell>
          <cell r="I647">
            <v>0.26431660813798341</v>
          </cell>
          <cell r="J647">
            <v>0.34414590244598542</v>
          </cell>
          <cell r="K647">
            <v>0.40697480072197462</v>
          </cell>
          <cell r="L647">
            <v>0.45257351803704682</v>
          </cell>
          <cell r="M647">
            <v>0.48591011498700387</v>
          </cell>
          <cell r="N647">
            <v>0.48498168415326137</v>
          </cell>
          <cell r="O647">
            <v>0.485118923142554</v>
          </cell>
        </row>
        <row r="648">
          <cell r="A648" t="str">
            <v>D-SCOM_KEV_WOD_ELC_CHP</v>
          </cell>
          <cell r="B648" t="str">
            <v>VAR_fout</v>
          </cell>
          <cell r="C648" t="str">
            <v>ELC5</v>
          </cell>
          <cell r="G648">
            <v>9.6796129881267217E-3</v>
          </cell>
          <cell r="H648">
            <v>4.0948050193691538E-3</v>
          </cell>
          <cell r="I648">
            <v>3.3064923587631978E-3</v>
          </cell>
          <cell r="J648">
            <v>5.6013568000638034E-3</v>
          </cell>
          <cell r="K648">
            <v>7.8707538900126689E-3</v>
          </cell>
          <cell r="L648">
            <v>7.1819617428937289E-3</v>
          </cell>
          <cell r="M648">
            <v>9.1816140392048124E-3</v>
          </cell>
          <cell r="N648">
            <v>9.4032549191042491E-3</v>
          </cell>
          <cell r="O648">
            <v>1.867049963152264E-2</v>
          </cell>
        </row>
        <row r="649">
          <cell r="A649" t="str">
            <v>D-SCOM_KEV_WOD_ELC_CHP</v>
          </cell>
          <cell r="B649" t="str">
            <v>VAR_fout</v>
          </cell>
          <cell r="C649" t="str">
            <v>SCOM_ELC</v>
          </cell>
          <cell r="G649">
            <v>9.516797626179462E-4</v>
          </cell>
          <cell r="H649">
            <v>4.0863961910606716E-3</v>
          </cell>
          <cell r="I649">
            <v>3.2906853374138375E-3</v>
          </cell>
          <cell r="J649">
            <v>5.5665501512936399E-3</v>
          </cell>
          <cell r="K649">
            <v>7.8606490026965278E-3</v>
          </cell>
          <cell r="L649">
            <v>7.1684162205491253E-3</v>
          </cell>
          <cell r="M649">
            <v>9.1673642942567135E-3</v>
          </cell>
          <cell r="N649">
            <v>9.381233592072517E-3</v>
          </cell>
          <cell r="O649">
            <v>1.8622352529847168E-2</v>
          </cell>
        </row>
        <row r="650">
          <cell r="A650" t="str">
            <v>D-SCOM_KEV_WOD_ELC_CHP</v>
          </cell>
          <cell r="B650" t="str">
            <v>VAR_fin</v>
          </cell>
          <cell r="C650" t="str">
            <v>SCOM_KEV_WOD_ELC_CHP</v>
          </cell>
          <cell r="G650">
            <v>1.0626669483631619E-2</v>
          </cell>
          <cell r="H650">
            <v>8.1675241732325713E-3</v>
          </cell>
          <cell r="I650">
            <v>6.5730460082648514E-3</v>
          </cell>
          <cell r="J650">
            <v>1.1144298916709183E-2</v>
          </cell>
          <cell r="K650">
            <v>1.5700070972418143E-2</v>
          </cell>
          <cell r="L650">
            <v>1.4319220594239785E-2</v>
          </cell>
          <cell r="M650">
            <v>1.8309224323175801E-2</v>
          </cell>
          <cell r="N650">
            <v>1.8756560337101182E-2</v>
          </cell>
          <cell r="O650">
            <v>3.7236995813218626E-2</v>
          </cell>
        </row>
        <row r="651">
          <cell r="A651" t="str">
            <v>RHES-SHCONBR5</v>
          </cell>
          <cell r="B651" t="str">
            <v>VAR_fout</v>
          </cell>
          <cell r="C651" t="str">
            <v>RHES-SHCON</v>
          </cell>
          <cell r="E651">
            <v>2.4912128256079176E-3</v>
          </cell>
          <cell r="F651">
            <v>2.4846286728407146E-3</v>
          </cell>
          <cell r="G651">
            <v>2.39922710028886E-3</v>
          </cell>
          <cell r="H651">
            <v>2.4515938893131394E-3</v>
          </cell>
          <cell r="I651">
            <v>2.4478498055012401E-3</v>
          </cell>
          <cell r="J651">
            <v>2.4408481507180637E-3</v>
          </cell>
          <cell r="K651">
            <v>1.6792105325988405E-3</v>
          </cell>
          <cell r="L651">
            <v>4.2317399895721442E-4</v>
          </cell>
          <cell r="M651">
            <v>4.6512120843898437E-4</v>
          </cell>
          <cell r="N651">
            <v>4.4108409054745122E-4</v>
          </cell>
          <cell r="O651">
            <v>6.6317948816022032E-4</v>
          </cell>
        </row>
        <row r="652">
          <cell r="A652" t="str">
            <v>RHES-SHCONBR5</v>
          </cell>
          <cell r="B652" t="str">
            <v>VAR_fin</v>
          </cell>
          <cell r="C652" t="str">
            <v>CON</v>
          </cell>
          <cell r="E652">
            <v>2.4912128256079176E-3</v>
          </cell>
          <cell r="F652">
            <v>2.4846286728407146E-3</v>
          </cell>
          <cell r="G652">
            <v>2.39922710028886E-3</v>
          </cell>
          <cell r="H652">
            <v>2.4515938893131394E-3</v>
          </cell>
          <cell r="I652">
            <v>2.4478498055012401E-3</v>
          </cell>
          <cell r="J652">
            <v>2.4408481507180637E-3</v>
          </cell>
          <cell r="K652">
            <v>1.6792105325988405E-3</v>
          </cell>
          <cell r="L652">
            <v>4.2317399895721442E-4</v>
          </cell>
          <cell r="M652">
            <v>4.6512120843898437E-4</v>
          </cell>
          <cell r="N652">
            <v>4.4108409054745122E-4</v>
          </cell>
          <cell r="O652">
            <v>6.6317948816022032E-4</v>
          </cell>
        </row>
        <row r="653">
          <cell r="A653" t="str">
            <v>RHES-SHCONBR5</v>
          </cell>
          <cell r="B653" t="str">
            <v>VAR_ncap</v>
          </cell>
          <cell r="C653" t="str">
            <v>-</v>
          </cell>
          <cell r="E653">
            <v>1.9260219176320601E-4</v>
          </cell>
          <cell r="F653">
            <v>7.5720737901392404E-8</v>
          </cell>
          <cell r="G653">
            <v>9.3187698663833502E-8</v>
          </cell>
          <cell r="H653">
            <v>4.7022574419751803E-8</v>
          </cell>
          <cell r="I653">
            <v>6.7307682678108406E-8</v>
          </cell>
          <cell r="J653">
            <v>5.50606873319218E-8</v>
          </cell>
          <cell r="K653">
            <v>1.03299471990508E-6</v>
          </cell>
          <cell r="L653">
            <v>3.06141783707292E-5</v>
          </cell>
          <cell r="M653">
            <v>7.7153342458904996E-7</v>
          </cell>
          <cell r="N653">
            <v>7.7785189463724203E-7</v>
          </cell>
          <cell r="O653">
            <v>1.02597285830874E-5</v>
          </cell>
        </row>
        <row r="654">
          <cell r="A654" t="str">
            <v>RHES-SHCONBR5</v>
          </cell>
          <cell r="B654" t="str">
            <v>VAR_cap</v>
          </cell>
          <cell r="C654" t="str">
            <v>-</v>
          </cell>
          <cell r="E654">
            <v>1.9260219176320601E-4</v>
          </cell>
          <cell r="F654">
            <v>1.92677912501108E-4</v>
          </cell>
          <cell r="G654">
            <v>1.9277110019977101E-4</v>
          </cell>
          <cell r="H654">
            <v>1.92818122774191E-4</v>
          </cell>
          <cell r="I654">
            <v>1.92885430456869E-4</v>
          </cell>
          <cell r="J654">
            <v>1.92940491144201E-4</v>
          </cell>
          <cell r="K654">
            <v>1.3135135524695101E-4</v>
          </cell>
          <cell r="L654">
            <v>3.19077349965758E-5</v>
          </cell>
          <cell r="M654">
            <v>3.25880974596531E-5</v>
          </cell>
          <cell r="N654">
            <v>3.3316718493000797E-5</v>
          </cell>
          <cell r="O654">
            <v>4.3511347680279902E-5</v>
          </cell>
        </row>
        <row r="655">
          <cell r="A655" t="str">
            <v>RHNS-SHCONBR</v>
          </cell>
          <cell r="B655" t="str">
            <v>VAR_fout</v>
          </cell>
          <cell r="C655" t="str">
            <v>RHNS-SHCON</v>
          </cell>
          <cell r="F655">
            <v>2.6913654806575181E-4</v>
          </cell>
          <cell r="G655">
            <v>2.1708586747281339E-4</v>
          </cell>
          <cell r="H655">
            <v>3.1272478181163579E-4</v>
          </cell>
          <cell r="I655">
            <v>3.2149707675583391E-4</v>
          </cell>
          <cell r="J655">
            <v>3.2165404552975016E-4</v>
          </cell>
          <cell r="K655">
            <v>9.7704892529417624E-4</v>
          </cell>
          <cell r="L655">
            <v>9.0713790511111792E-4</v>
          </cell>
          <cell r="M655">
            <v>9.7344789202350129E-4</v>
          </cell>
          <cell r="N655">
            <v>8.7015222078742525E-4</v>
          </cell>
          <cell r="O655">
            <v>1.140756527211394E-3</v>
          </cell>
        </row>
        <row r="656">
          <cell r="A656" t="str">
            <v>RHNS-SHCONBR</v>
          </cell>
          <cell r="B656" t="str">
            <v>VAR_fin</v>
          </cell>
          <cell r="C656" t="str">
            <v>CON</v>
          </cell>
          <cell r="F656">
            <v>2.6913654806575181E-4</v>
          </cell>
          <cell r="G656">
            <v>2.1708586747281339E-4</v>
          </cell>
          <cell r="H656">
            <v>3.1272478181163579E-4</v>
          </cell>
          <cell r="I656">
            <v>3.2149707675583391E-4</v>
          </cell>
          <cell r="J656">
            <v>3.2165404552975016E-4</v>
          </cell>
          <cell r="K656">
            <v>9.7704892529417624E-4</v>
          </cell>
          <cell r="L656">
            <v>9.0713790511111792E-4</v>
          </cell>
          <cell r="M656">
            <v>9.7344789202350129E-4</v>
          </cell>
          <cell r="N656">
            <v>8.7015222078742525E-4</v>
          </cell>
          <cell r="O656">
            <v>1.140756527211394E-3</v>
          </cell>
        </row>
        <row r="657">
          <cell r="A657" t="str">
            <v>RHNS-SHCONBR</v>
          </cell>
          <cell r="B657" t="str">
            <v>VAR_ncap</v>
          </cell>
          <cell r="C657" t="str">
            <v>-</v>
          </cell>
          <cell r="E657">
            <v>7.5660879441037101E-8</v>
          </cell>
          <cell r="F657">
            <v>1.40523091114241E-5</v>
          </cell>
          <cell r="G657">
            <v>7.5809658605368198E-7</v>
          </cell>
          <cell r="H657">
            <v>5.3875192999894602E-6</v>
          </cell>
          <cell r="I657">
            <v>7.03602929984039E-7</v>
          </cell>
          <cell r="J657">
            <v>3.3071713157032201E-7</v>
          </cell>
          <cell r="K657">
            <v>4.8032430889340603E-5</v>
          </cell>
          <cell r="L657">
            <v>1.1061631573912801E-6</v>
          </cell>
          <cell r="M657">
            <v>8.8359702386793899E-7</v>
          </cell>
          <cell r="N657">
            <v>7.4637205980622696E-7</v>
          </cell>
          <cell r="O657">
            <v>1.6648783716880801E-5</v>
          </cell>
        </row>
        <row r="658">
          <cell r="A658" t="str">
            <v>RHNS-SHCONBR</v>
          </cell>
          <cell r="B658" t="str">
            <v>VAR_cap</v>
          </cell>
          <cell r="C658" t="str">
            <v>-</v>
          </cell>
          <cell r="E658">
            <v>7.5660879441037101E-8</v>
          </cell>
          <cell r="F658">
            <v>1.4058747257600473E-5</v>
          </cell>
          <cell r="G658">
            <v>1.477916503956041E-5</v>
          </cell>
          <cell r="H658">
            <v>1.9972959979636227E-5</v>
          </cell>
          <cell r="I658">
            <v>2.0574445313952891E-5</v>
          </cell>
          <cell r="J658">
            <v>2.0882206504161841E-5</v>
          </cell>
          <cell r="K658">
            <v>6.8497800013852221E-5</v>
          </cell>
          <cell r="L658">
            <v>6.9939248131219289E-5</v>
          </cell>
          <cell r="M658">
            <v>7.0148136908951427E-5</v>
          </cell>
          <cell r="N658">
            <v>7.0876204385567001E-5</v>
          </cell>
          <cell r="O658">
            <v>8.8342932740737582E-5</v>
          </cell>
        </row>
        <row r="659">
          <cell r="A659" t="str">
            <v>D-RHEM_SOLELC</v>
          </cell>
          <cell r="B659" t="str">
            <v>VAR_fout</v>
          </cell>
          <cell r="C659" t="str">
            <v>ELC5</v>
          </cell>
          <cell r="D659">
            <v>0.25598452258398402</v>
          </cell>
          <cell r="E659">
            <v>0.67623085411690276</v>
          </cell>
          <cell r="F659">
            <v>1.6460198953385186</v>
          </cell>
          <cell r="G659">
            <v>4.1182450607316197</v>
          </cell>
          <cell r="H659">
            <v>4.246279454451436</v>
          </cell>
          <cell r="I659">
            <v>4.2562580336093756</v>
          </cell>
          <cell r="J659">
            <v>4.9435758587741674</v>
          </cell>
          <cell r="K659">
            <v>5.2091736330884233</v>
          </cell>
          <cell r="L659">
            <v>5.3462500063485772</v>
          </cell>
          <cell r="M659">
            <v>5.6762222066007428</v>
          </cell>
          <cell r="N659">
            <v>5.3016754846324385</v>
          </cell>
          <cell r="O659">
            <v>5.480295838973464</v>
          </cell>
        </row>
        <row r="660">
          <cell r="A660" t="str">
            <v>D-RHEM_SOLELC</v>
          </cell>
          <cell r="B660" t="str">
            <v>VAR_fout</v>
          </cell>
          <cell r="C660" t="str">
            <v>RHEM_ELC</v>
          </cell>
          <cell r="D660">
            <v>0.60649870320186461</v>
          </cell>
          <cell r="E660">
            <v>0.61135235797356591</v>
          </cell>
          <cell r="F660">
            <v>1.2790059938420328</v>
          </cell>
          <cell r="G660">
            <v>2.362145996908608</v>
          </cell>
          <cell r="H660">
            <v>2.564316880691516</v>
          </cell>
          <cell r="I660">
            <v>2.901782274356778</v>
          </cell>
          <cell r="J660">
            <v>2.5795738739568073</v>
          </cell>
          <cell r="K660">
            <v>2.6955983600631743</v>
          </cell>
          <cell r="L660">
            <v>2.9634969045958206</v>
          </cell>
          <cell r="M660">
            <v>3.0548562433323707</v>
          </cell>
          <cell r="N660">
            <v>3.8743563055357404</v>
          </cell>
          <cell r="O660">
            <v>4.1526445802268901</v>
          </cell>
        </row>
        <row r="661">
          <cell r="A661" t="str">
            <v>D-RHEM_SOLELC</v>
          </cell>
          <cell r="B661" t="str">
            <v>VAR_fin</v>
          </cell>
          <cell r="C661" t="str">
            <v>RHEM_SOL_ELC</v>
          </cell>
          <cell r="D661">
            <v>0.86248322578584768</v>
          </cell>
          <cell r="E661">
            <v>1.2875828783162167</v>
          </cell>
          <cell r="F661">
            <v>2.9250258891805494</v>
          </cell>
          <cell r="G661">
            <v>6.4803910576402286</v>
          </cell>
          <cell r="H661">
            <v>6.8105963351429528</v>
          </cell>
          <cell r="I661">
            <v>7.1580403079661599</v>
          </cell>
          <cell r="J661">
            <v>7.5231497327309702</v>
          </cell>
          <cell r="K661">
            <v>7.9047719931515941</v>
          </cell>
          <cell r="L661">
            <v>8.3097469109443924</v>
          </cell>
          <cell r="M661">
            <v>8.7310784499331131</v>
          </cell>
          <cell r="N661">
            <v>9.1760317901681816</v>
          </cell>
          <cell r="O661">
            <v>9.6329404192003611</v>
          </cell>
        </row>
        <row r="662">
          <cell r="A662" t="str">
            <v>ITOT-SWHCONBR7</v>
          </cell>
          <cell r="B662" t="str">
            <v>VAR_fout</v>
          </cell>
          <cell r="C662" t="str">
            <v>ITOT-ELS</v>
          </cell>
          <cell r="I662">
            <v>9.633533529556452E-4</v>
          </cell>
          <cell r="J662">
            <v>1.3776910751842997E-3</v>
          </cell>
          <cell r="K662">
            <v>1.7417709401712732E-3</v>
          </cell>
          <cell r="L662">
            <v>1.3187979638218067E-3</v>
          </cell>
          <cell r="M662">
            <v>1.920629911072824E-3</v>
          </cell>
          <cell r="N662">
            <v>1.7930084807895811E-3</v>
          </cell>
          <cell r="O662">
            <v>3.4627351011026065E-3</v>
          </cell>
        </row>
        <row r="663">
          <cell r="A663" t="str">
            <v>ITOT-SWHCONBR7</v>
          </cell>
          <cell r="B663" t="str">
            <v>VAR_fout</v>
          </cell>
          <cell r="C663" t="str">
            <v>ITOT-SWHC</v>
          </cell>
          <cell r="I663">
            <v>1.6798729489743338E-4</v>
          </cell>
          <cell r="J663">
            <v>2.402385336745721E-4</v>
          </cell>
          <cell r="K663">
            <v>3.0372592535503757E-4</v>
          </cell>
          <cell r="L663">
            <v>2.2996889124739337E-4</v>
          </cell>
          <cell r="M663">
            <v>3.3491493258453104E-4</v>
          </cell>
          <cell r="N663">
            <v>3.1266060733777966E-4</v>
          </cell>
          <cell r="O663">
            <v>6.0382361341861665E-4</v>
          </cell>
        </row>
        <row r="664">
          <cell r="A664" t="str">
            <v>ITOT-SWHCONBR7</v>
          </cell>
          <cell r="B664" t="str">
            <v>VAR_fin</v>
          </cell>
          <cell r="C664" t="str">
            <v>CON</v>
          </cell>
          <cell r="I664">
            <v>1.13134064785308E-3</v>
          </cell>
          <cell r="J664">
            <v>1.6179296088588708E-3</v>
          </cell>
          <cell r="K664">
            <v>2.0454968655263103E-3</v>
          </cell>
          <cell r="L664">
            <v>1.5487668550692006E-3</v>
          </cell>
          <cell r="M664">
            <v>2.2555448436573553E-3</v>
          </cell>
          <cell r="N664">
            <v>2.105669088127361E-3</v>
          </cell>
          <cell r="O664">
            <v>4.0665587145212222E-3</v>
          </cell>
        </row>
        <row r="665">
          <cell r="A665" t="str">
            <v>ITOT-SWHCONBR7</v>
          </cell>
          <cell r="B665" t="str">
            <v>VAR_ncap</v>
          </cell>
          <cell r="C665" t="str">
            <v>-</v>
          </cell>
          <cell r="I665">
            <v>6.1234094197644304E-5</v>
          </cell>
          <cell r="J665">
            <v>2.6874610858156098E-5</v>
          </cell>
          <cell r="K665">
            <v>2.3516884870315001E-5</v>
          </cell>
          <cell r="L665">
            <v>2.7994738568674399E-5</v>
          </cell>
          <cell r="M665">
            <v>7.1517318564752905E-5</v>
          </cell>
          <cell r="N665">
            <v>1.9937260803310499E-5</v>
          </cell>
          <cell r="O665">
            <v>1.29487328663709E-4</v>
          </cell>
        </row>
        <row r="666">
          <cell r="A666" t="str">
            <v>ITOT-SWHCONBR7</v>
          </cell>
          <cell r="B666" t="str">
            <v>VAR_cap</v>
          </cell>
          <cell r="C666" t="str">
            <v>-</v>
          </cell>
          <cell r="I666">
            <v>6.1234094197644304E-5</v>
          </cell>
          <cell r="J666">
            <v>8.81087050558003E-5</v>
          </cell>
          <cell r="K666">
            <v>1.11625589926115E-4</v>
          </cell>
          <cell r="L666">
            <v>8.4234339495630305E-5</v>
          </cell>
          <cell r="M666">
            <v>1.2302894200374201E-4</v>
          </cell>
          <cell r="N666">
            <v>1.1473995843020001E-4</v>
          </cell>
          <cell r="O666">
            <v>2.2094190803177301E-4</v>
          </cell>
        </row>
        <row r="667">
          <cell r="A667" t="str">
            <v>RHNS-SHSTG-ELCHP</v>
          </cell>
          <cell r="B667" t="str">
            <v>VAR_fout</v>
          </cell>
          <cell r="C667" t="str">
            <v>RHNS-SHAELCH</v>
          </cell>
          <cell r="E667">
            <v>2.1202001080614465E-2</v>
          </cell>
          <cell r="F667">
            <v>7.3898820278537503E-2</v>
          </cell>
          <cell r="G667">
            <v>0.20942735830536807</v>
          </cell>
          <cell r="H667">
            <v>0.17327915579640107</v>
          </cell>
          <cell r="I667">
            <v>0.17323994773202936</v>
          </cell>
          <cell r="J667">
            <v>0.16602861319183299</v>
          </cell>
          <cell r="K667">
            <v>0.22099359233252253</v>
          </cell>
          <cell r="L667">
            <v>0.25252378588136326</v>
          </cell>
          <cell r="M667">
            <v>0.21704116954090383</v>
          </cell>
          <cell r="N667">
            <v>0.22791050339538227</v>
          </cell>
          <cell r="O667">
            <v>0.20398567826516606</v>
          </cell>
        </row>
        <row r="668">
          <cell r="A668" t="str">
            <v>RHNS-SHSTG-ELCHP</v>
          </cell>
          <cell r="B668" t="str">
            <v>VAR_fin</v>
          </cell>
          <cell r="C668" t="str">
            <v>RHNS-SHAELCH</v>
          </cell>
          <cell r="E668">
            <v>2.1211309246552727E-2</v>
          </cell>
          <cell r="F668">
            <v>7.3897785837746338E-2</v>
          </cell>
          <cell r="G668">
            <v>0.20942877986479169</v>
          </cell>
          <cell r="H668">
            <v>0.17328839780214081</v>
          </cell>
          <cell r="I668">
            <v>0.17325624569822703</v>
          </cell>
          <cell r="J668">
            <v>0.16605198424257159</v>
          </cell>
          <cell r="K668">
            <v>0.22101836444140507</v>
          </cell>
          <cell r="L668">
            <v>0.25254808530317274</v>
          </cell>
          <cell r="M668">
            <v>0.21706919168868447</v>
          </cell>
          <cell r="N668">
            <v>0.22794256760968609</v>
          </cell>
          <cell r="O668">
            <v>0.20401390357580043</v>
          </cell>
        </row>
        <row r="669">
          <cell r="A669" t="str">
            <v>RHNS-SHSTG-ELCHP</v>
          </cell>
          <cell r="B669" t="str">
            <v>VAR_ncap</v>
          </cell>
          <cell r="C669" t="str">
            <v>-</v>
          </cell>
          <cell r="D669">
            <v>1.24908536913751E-4</v>
          </cell>
          <cell r="E669">
            <v>2.8999353418602998E-3</v>
          </cell>
          <cell r="F669">
            <v>5.3534527975102999E-3</v>
          </cell>
          <cell r="G669">
            <v>1.12475083978973E-2</v>
          </cell>
          <cell r="H669">
            <v>1.5000059343831199E-3</v>
          </cell>
          <cell r="I669">
            <v>7.8457188836797403E-3</v>
          </cell>
          <cell r="J669">
            <v>1.01848609719251E-2</v>
          </cell>
          <cell r="K669">
            <v>5.4324769236703402E-3</v>
          </cell>
          <cell r="L669">
            <v>8.1147977086466205E-3</v>
          </cell>
          <cell r="M669">
            <v>1.0059056815603399E-2</v>
          </cell>
          <cell r="N669">
            <v>7.1691779963678204E-3</v>
          </cell>
          <cell r="O669">
            <v>6.4891525081058497E-3</v>
          </cell>
        </row>
        <row r="670">
          <cell r="A670" t="str">
            <v>RHNS-SHSTG-ELCHP</v>
          </cell>
          <cell r="B670" t="str">
            <v>VAR_cap</v>
          </cell>
          <cell r="C670" t="str">
            <v>-</v>
          </cell>
          <cell r="D670">
            <v>1.24908536913751E-4</v>
          </cell>
          <cell r="E670">
            <v>3.0044027318001879E-3</v>
          </cell>
          <cell r="F670">
            <v>8.3355206998698087E-3</v>
          </cell>
          <cell r="G670">
            <v>1.9553962675093833E-2</v>
          </cell>
          <cell r="H670">
            <v>1.9434181376431207E-2</v>
          </cell>
          <cell r="I670">
            <v>1.9407372961148903E-2</v>
          </cell>
          <cell r="J670">
            <v>1.9409226604969364E-2</v>
          </cell>
          <cell r="K670">
            <v>2.3112973843291577E-2</v>
          </cell>
          <cell r="L670">
            <v>2.3105795033947798E-2</v>
          </cell>
          <cell r="M670">
            <v>2.3116468561727804E-2</v>
          </cell>
          <cell r="N670">
            <v>2.3116863178922045E-2</v>
          </cell>
          <cell r="O670">
            <v>2.3158632064837287E-2</v>
          </cell>
        </row>
        <row r="671">
          <cell r="A671" t="str">
            <v>RHNS-SHSOLBR</v>
          </cell>
          <cell r="B671" t="str">
            <v>VAR_fout</v>
          </cell>
          <cell r="C671" t="str">
            <v>RHNS-SHASOL</v>
          </cell>
          <cell r="E671">
            <v>1.3411258195170042E-2</v>
          </cell>
          <cell r="F671">
            <v>1.7379410100045008E-2</v>
          </cell>
          <cell r="G671">
            <v>1.6235267211226444E-2</v>
          </cell>
          <cell r="H671">
            <v>1.7460298633620978E-2</v>
          </cell>
          <cell r="I671">
            <v>1.4776139107752538E-2</v>
          </cell>
          <cell r="J671">
            <v>1.5382128611756349E-2</v>
          </cell>
          <cell r="K671">
            <v>1.9114588706024681E-2</v>
          </cell>
          <cell r="L671">
            <v>1.9505639272547372E-2</v>
          </cell>
          <cell r="M671">
            <v>1.9282351947224167E-2</v>
          </cell>
          <cell r="N671">
            <v>1.0633438660670024E-2</v>
          </cell>
          <cell r="O671">
            <v>1.0276507827891164E-2</v>
          </cell>
        </row>
        <row r="672">
          <cell r="A672" t="str">
            <v>RHNS-SHSOLBR</v>
          </cell>
          <cell r="B672" t="str">
            <v>VAR_fin</v>
          </cell>
          <cell r="C672" t="str">
            <v>SOL</v>
          </cell>
          <cell r="E672">
            <v>1.3411258195170042E-2</v>
          </cell>
          <cell r="F672">
            <v>1.7379410100045008E-2</v>
          </cell>
          <cell r="G672">
            <v>1.6235267211226444E-2</v>
          </cell>
          <cell r="H672">
            <v>1.7460298633620978E-2</v>
          </cell>
          <cell r="I672">
            <v>1.4776139107752538E-2</v>
          </cell>
          <cell r="J672">
            <v>1.5382128611756349E-2</v>
          </cell>
          <cell r="K672">
            <v>1.9114588706024681E-2</v>
          </cell>
          <cell r="L672">
            <v>1.9505639272547372E-2</v>
          </cell>
          <cell r="M672">
            <v>1.9282351947224167E-2</v>
          </cell>
          <cell r="N672">
            <v>1.0633438660670024E-2</v>
          </cell>
          <cell r="O672">
            <v>1.0276507827891164E-2</v>
          </cell>
        </row>
        <row r="673">
          <cell r="A673" t="str">
            <v>RHNS-SHSOLBR</v>
          </cell>
          <cell r="B673" t="str">
            <v>VAR_ncap</v>
          </cell>
          <cell r="C673" t="str">
            <v>-</v>
          </cell>
          <cell r="E673">
            <v>2.4776897481742499E-3</v>
          </cell>
          <cell r="F673">
            <v>2.8992031723674402E-4</v>
          </cell>
          <cell r="G673">
            <v>1.60454388581987E-6</v>
          </cell>
          <cell r="H673">
            <v>1.20808430700385E-3</v>
          </cell>
          <cell r="I673">
            <v>1.4988715232068599E-3</v>
          </cell>
          <cell r="J673">
            <v>6.1582164098664E-5</v>
          </cell>
          <cell r="K673">
            <v>1.46854043853328E-3</v>
          </cell>
          <cell r="L673">
            <v>1.27979731338554E-3</v>
          </cell>
          <cell r="M673">
            <v>2.9397254620337499E-4</v>
          </cell>
          <cell r="N673">
            <v>1.61877519110163E-3</v>
          </cell>
          <cell r="O673">
            <v>1.3607437463358299E-3</v>
          </cell>
        </row>
        <row r="674">
          <cell r="A674" t="str">
            <v>RHNS-SHSOLBR</v>
          </cell>
          <cell r="B674" t="str">
            <v>VAR_cap</v>
          </cell>
          <cell r="C674" t="str">
            <v>-</v>
          </cell>
          <cell r="E674">
            <v>2.4776897481742499E-3</v>
          </cell>
          <cell r="F674">
            <v>2.7676100654109902E-3</v>
          </cell>
          <cell r="G674">
            <v>2.7692146092968099E-3</v>
          </cell>
          <cell r="H674">
            <v>2.7690381460562098E-3</v>
          </cell>
          <cell r="I674">
            <v>2.76913749350637E-3</v>
          </cell>
          <cell r="J674">
            <v>2.7685379943093698E-3</v>
          </cell>
          <cell r="K674">
            <v>3.02899412583881E-3</v>
          </cell>
          <cell r="L674">
            <v>3.0320682825896801E-3</v>
          </cell>
          <cell r="M674">
            <v>3.04231029812219E-3</v>
          </cell>
          <cell r="N674">
            <v>3.0469424883412298E-3</v>
          </cell>
          <cell r="O674">
            <v>3.27349148364084E-3</v>
          </cell>
        </row>
        <row r="675">
          <cell r="A675" t="str">
            <v>RHES-SHPLTBR</v>
          </cell>
          <cell r="B675" t="str">
            <v>VAR_fout</v>
          </cell>
          <cell r="C675" t="str">
            <v>RHES-SHPLT</v>
          </cell>
          <cell r="D675">
            <v>1.2957616407328141</v>
          </cell>
          <cell r="E675">
            <v>1.4868847599589174</v>
          </cell>
          <cell r="F675">
            <v>1.4868932709767417</v>
          </cell>
          <cell r="G675">
            <v>1.486887295248895</v>
          </cell>
          <cell r="H675">
            <v>1.4868909834826307</v>
          </cell>
          <cell r="I675">
            <v>1.4868916953946787</v>
          </cell>
          <cell r="J675">
            <v>1.486899066210603</v>
          </cell>
          <cell r="K675">
            <v>1.4869020852302979</v>
          </cell>
          <cell r="L675">
            <v>1.4869006699895206</v>
          </cell>
          <cell r="M675">
            <v>1.4869064998264179</v>
          </cell>
          <cell r="N675">
            <v>1.48690935326915</v>
          </cell>
          <cell r="O675">
            <v>1.4869321078267557</v>
          </cell>
        </row>
        <row r="676">
          <cell r="A676" t="str">
            <v>RHES-SHPLTBR</v>
          </cell>
          <cell r="B676" t="str">
            <v>VAR_fin</v>
          </cell>
          <cell r="C676" t="str">
            <v>RPLT</v>
          </cell>
          <cell r="D676">
            <v>1.4397351563697951</v>
          </cell>
          <cell r="E676">
            <v>1.6520941777321303</v>
          </cell>
          <cell r="F676">
            <v>1.6521036344186026</v>
          </cell>
          <cell r="G676">
            <v>1.6520969947209945</v>
          </cell>
          <cell r="H676">
            <v>1.6521010927584781</v>
          </cell>
          <cell r="I676">
            <v>1.6521018837718642</v>
          </cell>
          <cell r="J676">
            <v>1.6521100735673366</v>
          </cell>
          <cell r="K676">
            <v>1.6521134280336653</v>
          </cell>
          <cell r="L676">
            <v>1.6521118555439132</v>
          </cell>
          <cell r="M676">
            <v>1.6521183331404663</v>
          </cell>
          <cell r="N676">
            <v>1.65212150363239</v>
          </cell>
          <cell r="O676">
            <v>1.652146786474175</v>
          </cell>
        </row>
        <row r="677">
          <cell r="A677" t="str">
            <v>RHES-SHPLTBR</v>
          </cell>
          <cell r="B677" t="str">
            <v>VAR_ncap</v>
          </cell>
          <cell r="C677" t="str">
            <v>-</v>
          </cell>
          <cell r="E677">
            <v>1.55129203398881E-2</v>
          </cell>
          <cell r="F677">
            <v>5.7612524115913498E-6</v>
          </cell>
          <cell r="G677">
            <v>9.3181373852201703E-6</v>
          </cell>
          <cell r="H677">
            <v>8.5097068064670003E-2</v>
          </cell>
          <cell r="I677">
            <v>3.5073561059847699E-2</v>
          </cell>
          <cell r="J677">
            <v>5.4987092852343597E-6</v>
          </cell>
          <cell r="K677">
            <v>8.5150384549316699E-2</v>
          </cell>
          <cell r="L677">
            <v>2.9645143373309101E-2</v>
          </cell>
          <cell r="M677">
            <v>5.4248789090536797E-3</v>
          </cell>
          <cell r="N677">
            <v>7.9465649905210795E-2</v>
          </cell>
          <cell r="O677">
            <v>3.5397122611719303E-2</v>
          </cell>
        </row>
        <row r="678">
          <cell r="A678" t="str">
            <v>RHES-SHPLTBR</v>
          </cell>
          <cell r="B678" t="str">
            <v>VAR_cap</v>
          </cell>
          <cell r="C678" t="str">
            <v>-</v>
          </cell>
          <cell r="D678">
            <v>0.104681131456585</v>
          </cell>
          <cell r="E678">
            <v>0.12019393553403329</v>
          </cell>
          <cell r="F678">
            <v>0.12019923904878273</v>
          </cell>
          <cell r="G678">
            <v>0.12020784206997423</v>
          </cell>
          <cell r="H678">
            <v>0.12020574783483476</v>
          </cell>
          <cell r="I678">
            <v>0.12017854212375391</v>
          </cell>
          <cell r="J678">
            <v>0.12017543510999709</v>
          </cell>
          <cell r="K678">
            <v>0.1202284281021036</v>
          </cell>
          <cell r="L678">
            <v>0.12018842896636757</v>
          </cell>
          <cell r="M678">
            <v>0.12021926600098737</v>
          </cell>
          <cell r="N678">
            <v>0.12021814293772531</v>
          </cell>
          <cell r="O678">
            <v>0.12028641083967904</v>
          </cell>
        </row>
        <row r="679">
          <cell r="A679" t="str">
            <v>RHES-SHCONBR6</v>
          </cell>
          <cell r="B679" t="str">
            <v>VAR_fout</v>
          </cell>
          <cell r="C679" t="str">
            <v>RHES-SHCON</v>
          </cell>
          <cell r="E679">
            <v>5.3528146651350445E-4</v>
          </cell>
          <cell r="F679">
            <v>5.3094643583266848E-4</v>
          </cell>
          <cell r="G679">
            <v>4.4514311609950696E-4</v>
          </cell>
          <cell r="H679">
            <v>4.9712246967917491E-4</v>
          </cell>
          <cell r="I679">
            <v>4.9265383338132512E-4</v>
          </cell>
          <cell r="J679">
            <v>4.8735113146788651E-4</v>
          </cell>
          <cell r="K679">
            <v>4.0832906450414982E-4</v>
          </cell>
          <cell r="L679">
            <v>2.6124115574192809E-4</v>
          </cell>
          <cell r="M679">
            <v>3.0219425659554992E-4</v>
          </cell>
          <cell r="N679">
            <v>2.80652125106828E-4</v>
          </cell>
          <cell r="O679">
            <v>4.7482494404188014E-4</v>
          </cell>
        </row>
        <row r="680">
          <cell r="A680" t="str">
            <v>RHES-SHCONBR6</v>
          </cell>
          <cell r="B680" t="str">
            <v>VAR_fin</v>
          </cell>
          <cell r="C680" t="str">
            <v>CON</v>
          </cell>
          <cell r="E680">
            <v>5.3528146651350445E-4</v>
          </cell>
          <cell r="F680">
            <v>5.3094643583266848E-4</v>
          </cell>
          <cell r="G680">
            <v>4.4514311609950696E-4</v>
          </cell>
          <cell r="H680">
            <v>4.9712246967917491E-4</v>
          </cell>
          <cell r="I680">
            <v>4.9265383338132512E-4</v>
          </cell>
          <cell r="J680">
            <v>4.8735113146788651E-4</v>
          </cell>
          <cell r="K680">
            <v>4.0832906450414982E-4</v>
          </cell>
          <cell r="L680">
            <v>2.6124115574192809E-4</v>
          </cell>
          <cell r="M680">
            <v>3.0219425659554992E-4</v>
          </cell>
          <cell r="N680">
            <v>2.80652125106828E-4</v>
          </cell>
          <cell r="O680">
            <v>4.7482494404188014E-4</v>
          </cell>
        </row>
        <row r="681">
          <cell r="A681" t="str">
            <v>RHES-SHCONBR6</v>
          </cell>
          <cell r="B681" t="str">
            <v>VAR_ncap</v>
          </cell>
          <cell r="C681" t="str">
            <v>-</v>
          </cell>
          <cell r="E681">
            <v>3.4585019544637503E-5</v>
          </cell>
          <cell r="F681">
            <v>8.2151359901599403E-8</v>
          </cell>
          <cell r="G681">
            <v>1.1016742688968701E-7</v>
          </cell>
          <cell r="H681">
            <v>4.3769839195971798E-8</v>
          </cell>
          <cell r="I681">
            <v>4.8085851067805299E-8</v>
          </cell>
          <cell r="J681">
            <v>5.6957489702875601E-8</v>
          </cell>
          <cell r="K681">
            <v>4.8316188403764598E-6</v>
          </cell>
          <cell r="L681">
            <v>1.3676250894793899E-5</v>
          </cell>
          <cell r="M681">
            <v>7.0011305762651905E-7</v>
          </cell>
          <cell r="N681">
            <v>9.6845905917626094E-7</v>
          </cell>
          <cell r="O681">
            <v>7.8702992847538392E-6</v>
          </cell>
        </row>
        <row r="682">
          <cell r="A682" t="str">
            <v>RHES-SHCONBR6</v>
          </cell>
          <cell r="B682" t="str">
            <v>VAR_cap</v>
          </cell>
          <cell r="C682" t="str">
            <v>-</v>
          </cell>
          <cell r="E682">
            <v>3.4585019544637503E-5</v>
          </cell>
          <cell r="F682">
            <v>3.4667170904539102E-5</v>
          </cell>
          <cell r="G682">
            <v>3.4777338331428699E-5</v>
          </cell>
          <cell r="H682">
            <v>3.4821108170624697E-5</v>
          </cell>
          <cell r="I682">
            <v>3.4869194021692499E-5</v>
          </cell>
          <cell r="J682">
            <v>3.49261515113954E-5</v>
          </cell>
          <cell r="K682">
            <v>2.8512895142958801E-5</v>
          </cell>
          <cell r="L682">
            <v>1.8762229971508099E-5</v>
          </cell>
          <cell r="M682">
            <v>1.93567959727635E-5</v>
          </cell>
          <cell r="N682">
            <v>2.0281709952312601E-5</v>
          </cell>
          <cell r="O682">
            <v>2.8103698626429899E-5</v>
          </cell>
        </row>
        <row r="683">
          <cell r="A683" t="str">
            <v>RHSA-WHPLTBR</v>
          </cell>
          <cell r="B683" t="str">
            <v>VAR_fout</v>
          </cell>
          <cell r="C683" t="str">
            <v>RHSA-WHPLT</v>
          </cell>
          <cell r="D683">
            <v>0.16979431693419603</v>
          </cell>
          <cell r="E683">
            <v>0.19483742074269028</v>
          </cell>
          <cell r="F683">
            <v>0.12885606623851775</v>
          </cell>
          <cell r="G683">
            <v>0.1342322472072725</v>
          </cell>
          <cell r="H683">
            <v>0.1389027128700378</v>
          </cell>
          <cell r="I683">
            <v>0.14239574070802638</v>
          </cell>
          <cell r="J683">
            <v>0.145181574798671</v>
          </cell>
          <cell r="K683">
            <v>0.14746696374705417</v>
          </cell>
          <cell r="L683">
            <v>0.14916333936541584</v>
          </cell>
          <cell r="M683">
            <v>0.1507247763833057</v>
          </cell>
          <cell r="N683">
            <v>0.15071486908780632</v>
          </cell>
          <cell r="O683">
            <v>0.15084301815863616</v>
          </cell>
        </row>
        <row r="684">
          <cell r="A684" t="str">
            <v>RHSA-WHPLTBR</v>
          </cell>
          <cell r="B684" t="str">
            <v>VAR_fin</v>
          </cell>
          <cell r="C684" t="str">
            <v>RPLT</v>
          </cell>
          <cell r="D684">
            <v>0.27167090709471386</v>
          </cell>
          <cell r="E684">
            <v>0.31173987318830454</v>
          </cell>
          <cell r="F684">
            <v>0.20616970598162843</v>
          </cell>
          <cell r="G684">
            <v>0.21477159553163583</v>
          </cell>
          <cell r="H684">
            <v>0.22224434059206041</v>
          </cell>
          <cell r="I684">
            <v>0.22783318513284226</v>
          </cell>
          <cell r="J684">
            <v>0.23229051967787362</v>
          </cell>
          <cell r="K684">
            <v>0.23594714199528694</v>
          </cell>
          <cell r="L684">
            <v>0.23866134298466551</v>
          </cell>
          <cell r="M684">
            <v>0.24115964221328914</v>
          </cell>
          <cell r="N684">
            <v>0.24114379054049029</v>
          </cell>
          <cell r="O684">
            <v>0.24134882905381808</v>
          </cell>
        </row>
        <row r="685">
          <cell r="A685" t="str">
            <v>RHSA-WHPLTBR</v>
          </cell>
          <cell r="B685" t="str">
            <v>VAR_ncap</v>
          </cell>
          <cell r="C685" t="str">
            <v>-</v>
          </cell>
          <cell r="E685">
            <v>1.9624538766629699E-3</v>
          </cell>
          <cell r="F685">
            <v>7.1922848630425903E-7</v>
          </cell>
          <cell r="G685">
            <v>1.20219658649673E-6</v>
          </cell>
          <cell r="H685">
            <v>5.5886295763797004E-3</v>
          </cell>
          <cell r="I685">
            <v>4.1561776458333604E-3</v>
          </cell>
          <cell r="J685">
            <v>1.67257028279294E-4</v>
          </cell>
          <cell r="K685">
            <v>5.8032094537065499E-3</v>
          </cell>
          <cell r="L685">
            <v>3.5850061125078702E-3</v>
          </cell>
          <cell r="M685">
            <v>9.3756213177013199E-4</v>
          </cell>
          <cell r="N685">
            <v>5.8875107864630304E-3</v>
          </cell>
          <cell r="O685">
            <v>3.5807466277932099E-3</v>
          </cell>
        </row>
        <row r="686">
          <cell r="A686" t="str">
            <v>RHSA-WHPLTBR</v>
          </cell>
          <cell r="B686" t="str">
            <v>VAR_cap</v>
          </cell>
          <cell r="C686" t="str">
            <v>-</v>
          </cell>
          <cell r="D686">
            <v>1.12410901121583E-2</v>
          </cell>
          <cell r="E686">
            <v>1.320339770369138E-2</v>
          </cell>
          <cell r="F686">
            <v>1.3198884665985762E-2</v>
          </cell>
          <cell r="G686">
            <v>1.31962504258776E-2</v>
          </cell>
          <cell r="H686">
            <v>9.5063124862454409E-3</v>
          </cell>
          <cell r="I686">
            <v>9.7449889382900841E-3</v>
          </cell>
          <cell r="J686">
            <v>9.9110301579880596E-3</v>
          </cell>
          <cell r="K686">
            <v>1.0125027551448992E-2</v>
          </cell>
          <cell r="L686">
            <v>1.017019095888131E-2</v>
          </cell>
          <cell r="M686">
            <v>1.0323957561818234E-2</v>
          </cell>
          <cell r="N686">
            <v>1.0298887864849622E-2</v>
          </cell>
          <cell r="O686">
            <v>1.0403871715020234E-2</v>
          </cell>
        </row>
        <row r="687">
          <cell r="A687" t="str">
            <v>ITOT-SWHCONBR8</v>
          </cell>
          <cell r="B687" t="str">
            <v>VAR_fout</v>
          </cell>
          <cell r="C687" t="str">
            <v>ITOT-ELS</v>
          </cell>
          <cell r="J687">
            <v>1.6639384382379803E-4</v>
          </cell>
          <cell r="K687">
            <v>3.9020727044383009E-4</v>
          </cell>
          <cell r="L687">
            <v>3.7574655636103395E-4</v>
          </cell>
          <cell r="M687">
            <v>5.3434550595944338E-4</v>
          </cell>
          <cell r="N687">
            <v>4.3974970950375839E-4</v>
          </cell>
          <cell r="O687">
            <v>8.9902540637772121E-4</v>
          </cell>
        </row>
        <row r="688">
          <cell r="A688" t="str">
            <v>ITOT-SWHCONBR8</v>
          </cell>
          <cell r="B688" t="str">
            <v>VAR_fout</v>
          </cell>
          <cell r="C688" t="str">
            <v>ITOT-SWHC</v>
          </cell>
          <cell r="J688">
            <v>6.4245008095016023E-4</v>
          </cell>
          <cell r="K688">
            <v>1.5065983615923065E-3</v>
          </cell>
          <cell r="L688">
            <v>1.4507652446956996E-3</v>
          </cell>
          <cell r="M688">
            <v>2.0631190774252719E-3</v>
          </cell>
          <cell r="N688">
            <v>1.6978827459967199E-3</v>
          </cell>
          <cell r="O688">
            <v>3.4711557340741722E-3</v>
          </cell>
        </row>
        <row r="689">
          <cell r="A689" t="str">
            <v>ITOT-SWHCONBR8</v>
          </cell>
          <cell r="B689" t="str">
            <v>VAR_fin</v>
          </cell>
          <cell r="C689" t="str">
            <v>CON</v>
          </cell>
          <cell r="J689">
            <v>8.0884392477395821E-4</v>
          </cell>
          <cell r="K689">
            <v>1.8968056320361345E-3</v>
          </cell>
          <cell r="L689">
            <v>1.8265118010567316E-3</v>
          </cell>
          <cell r="M689">
            <v>2.5974645833847128E-3</v>
          </cell>
          <cell r="N689">
            <v>2.1376324555004772E-3</v>
          </cell>
          <cell r="O689">
            <v>4.3701811404518974E-3</v>
          </cell>
        </row>
        <row r="690">
          <cell r="A690" t="str">
            <v>ITOT-SWHCONBR8</v>
          </cell>
          <cell r="B690" t="str">
            <v>VAR_ncap</v>
          </cell>
          <cell r="C690" t="str">
            <v>-</v>
          </cell>
          <cell r="J690">
            <v>4.2339731905535597E-5</v>
          </cell>
          <cell r="K690">
            <v>5.86165256157222E-5</v>
          </cell>
          <cell r="L690">
            <v>1.2630189345771201E-6</v>
          </cell>
          <cell r="M690">
            <v>7.9552505196390594E-5</v>
          </cell>
          <cell r="N690">
            <v>2.41553650526927E-5</v>
          </cell>
          <cell r="O690">
            <v>1.2993962516617399E-4</v>
          </cell>
        </row>
        <row r="691">
          <cell r="A691" t="str">
            <v>ITOT-SWHCONBR8</v>
          </cell>
          <cell r="B691" t="str">
            <v>VAR_cap</v>
          </cell>
          <cell r="C691" t="str">
            <v>-</v>
          </cell>
          <cell r="J691">
            <v>4.2339731905535597E-5</v>
          </cell>
          <cell r="K691">
            <v>1.0095625752125799E-4</v>
          </cell>
          <cell r="L691">
            <v>9.660945553406E-5</v>
          </cell>
          <cell r="M691">
            <v>1.3943204974668999E-4</v>
          </cell>
          <cell r="N691">
            <v>1.14952766642174E-4</v>
          </cell>
          <cell r="O691">
            <v>2.3364749541525699E-4</v>
          </cell>
        </row>
        <row r="692">
          <cell r="A692" t="str">
            <v>D-SCOM_KEV_HFC_ELC_CHP</v>
          </cell>
          <cell r="B692" t="str">
            <v>VAR_fout</v>
          </cell>
          <cell r="C692" t="str">
            <v>ELC5</v>
          </cell>
          <cell r="G692">
            <v>1.6326345594090588E-3</v>
          </cell>
          <cell r="H692">
            <v>3.9227364721062773E-3</v>
          </cell>
          <cell r="I692">
            <v>4.420313900678376E-3</v>
          </cell>
          <cell r="J692">
            <v>5.4836492519405441E-3</v>
          </cell>
          <cell r="K692">
            <v>1.3124513083752877E-2</v>
          </cell>
          <cell r="L692">
            <v>1.2196443369857941E-2</v>
          </cell>
          <cell r="M692">
            <v>2.7684137391609302E-2</v>
          </cell>
          <cell r="N692">
            <v>2.1341348006980777E-2</v>
          </cell>
          <cell r="O692">
            <v>3.8015524700423041E-2</v>
          </cell>
        </row>
        <row r="693">
          <cell r="A693" t="str">
            <v>D-SCOM_KEV_HFC_ELC_CHP</v>
          </cell>
          <cell r="B693" t="str">
            <v>VAR_fout</v>
          </cell>
          <cell r="C693" t="str">
            <v>SCOM_ELC</v>
          </cell>
          <cell r="G693">
            <v>1.624066013219321E-3</v>
          </cell>
          <cell r="H693">
            <v>3.9133061696196465E-3</v>
          </cell>
          <cell r="I693">
            <v>4.4005454776323881E-3</v>
          </cell>
          <cell r="J693">
            <v>5.4557299868247229E-3</v>
          </cell>
          <cell r="K693">
            <v>1.3103546914763651E-2</v>
          </cell>
          <cell r="L693">
            <v>1.2167281655647937E-2</v>
          </cell>
          <cell r="M693">
            <v>2.7617029824749374E-2</v>
          </cell>
          <cell r="N693">
            <v>2.1297146538174418E-2</v>
          </cell>
          <cell r="O693">
            <v>3.7870064469942649E-2</v>
          </cell>
        </row>
        <row r="694">
          <cell r="A694" t="str">
            <v>D-SCOM_KEV_HFC_ELC_CHP</v>
          </cell>
          <cell r="B694" t="str">
            <v>VAR_fin</v>
          </cell>
          <cell r="C694" t="str">
            <v>SCOM_KEV_HFC_ELC_CHP</v>
          </cell>
          <cell r="G694">
            <v>3.2495313665129792E-3</v>
          </cell>
          <cell r="H694">
            <v>7.8258616140021858E-3</v>
          </cell>
          <cell r="I694">
            <v>8.7991059489721975E-3</v>
          </cell>
          <cell r="J694">
            <v>1.0918149462690633E-2</v>
          </cell>
          <cell r="K694">
            <v>2.6196335338277532E-2</v>
          </cell>
          <cell r="L694">
            <v>2.4337695094511957E-2</v>
          </cell>
          <cell r="M694">
            <v>5.5263911468519597E-2</v>
          </cell>
          <cell r="N694">
            <v>4.2605351657326401E-2</v>
          </cell>
          <cell r="O694">
            <v>7.5838329463297174E-2</v>
          </cell>
        </row>
        <row r="695">
          <cell r="A695" t="str">
            <v>D-EH2R</v>
          </cell>
          <cell r="B695" t="str">
            <v>VAR_fout</v>
          </cell>
          <cell r="C695" t="str">
            <v>EH2</v>
          </cell>
          <cell r="I695">
            <v>2.6363639060738059E-3</v>
          </cell>
          <cell r="J695">
            <v>2.5743108458310851E-3</v>
          </cell>
          <cell r="K695">
            <v>4.8966185473853837E-3</v>
          </cell>
          <cell r="L695">
            <v>3.6003059921998694E-3</v>
          </cell>
          <cell r="M695">
            <v>8.7377667796876418E-3</v>
          </cell>
          <cell r="N695">
            <v>7.5520136721283024E-3</v>
          </cell>
          <cell r="O695">
            <v>3.1200213284834879E-2</v>
          </cell>
        </row>
        <row r="696">
          <cell r="A696" t="str">
            <v>D-EH2R</v>
          </cell>
          <cell r="B696" t="str">
            <v>VAR_fin</v>
          </cell>
          <cell r="C696" t="str">
            <v>H2</v>
          </cell>
          <cell r="I696">
            <v>2.6363639060738059E-3</v>
          </cell>
          <cell r="J696">
            <v>2.5743108458310851E-3</v>
          </cell>
          <cell r="K696">
            <v>4.8966185473853837E-3</v>
          </cell>
          <cell r="L696">
            <v>3.6003059921998694E-3</v>
          </cell>
          <cell r="M696">
            <v>8.7377667796876418E-3</v>
          </cell>
          <cell r="N696">
            <v>7.5520136721283024E-3</v>
          </cell>
          <cell r="O696">
            <v>3.1200213284834879E-2</v>
          </cell>
        </row>
        <row r="697">
          <cell r="A697" t="str">
            <v>D-EH2R</v>
          </cell>
          <cell r="B697" t="str">
            <v>VAR_ncap</v>
          </cell>
          <cell r="C697" t="str">
            <v>-</v>
          </cell>
          <cell r="H697">
            <v>2.2636324905345E-6</v>
          </cell>
          <cell r="I697">
            <v>6.9719371210292397E-4</v>
          </cell>
          <cell r="J697">
            <v>6.93226996309862E-4</v>
          </cell>
          <cell r="K697">
            <v>1.85243732355172E-4</v>
          </cell>
          <cell r="L697">
            <v>3.1480014088119799E-4</v>
          </cell>
          <cell r="M697">
            <v>6.8885504741840898E-4</v>
          </cell>
          <cell r="N697">
            <v>6.3975597582049504E-4</v>
          </cell>
          <cell r="O697">
            <v>2.7238918107832101E-3</v>
          </cell>
        </row>
        <row r="698">
          <cell r="A698" t="str">
            <v>D-EH2R</v>
          </cell>
          <cell r="B698" t="str">
            <v>VAR_cap</v>
          </cell>
          <cell r="C698" t="str">
            <v>-</v>
          </cell>
          <cell r="H698">
            <v>2.2636324905345E-6</v>
          </cell>
          <cell r="I698">
            <v>6.9766906799439E-4</v>
          </cell>
          <cell r="J698">
            <v>6.93226996309862E-4</v>
          </cell>
          <cell r="K698">
            <v>8.7847072866503403E-4</v>
          </cell>
          <cell r="L698">
            <v>4.7754997493412997E-4</v>
          </cell>
          <cell r="M698">
            <v>9.2784568703597797E-4</v>
          </cell>
          <cell r="N698">
            <v>7.6176730666733898E-4</v>
          </cell>
          <cell r="O698">
            <v>3.3636477866037101E-3</v>
          </cell>
        </row>
        <row r="699">
          <cell r="A699" t="str">
            <v>SCOM-ELCSPECADV</v>
          </cell>
          <cell r="B699" t="str">
            <v>VAR_fout</v>
          </cell>
          <cell r="C699" t="str">
            <v>SCOM-ELS</v>
          </cell>
          <cell r="G699">
            <v>8.1937461710895334E-4</v>
          </cell>
          <cell r="H699">
            <v>1.5233009824769143E-3</v>
          </cell>
          <cell r="I699">
            <v>1.6836260319020553E-3</v>
          </cell>
          <cell r="J699">
            <v>1.7721587012148486E-3</v>
          </cell>
          <cell r="K699">
            <v>2.6606911571466778E-3</v>
          </cell>
          <cell r="L699">
            <v>1.9642344955328244E-3</v>
          </cell>
          <cell r="M699">
            <v>2.9509235620500569E-3</v>
          </cell>
          <cell r="N699">
            <v>2.8582754185540521E-3</v>
          </cell>
          <cell r="O699">
            <v>5.5240462364803747E-3</v>
          </cell>
        </row>
        <row r="700">
          <cell r="A700" t="str">
            <v>SCOM-ELCSPECADV</v>
          </cell>
          <cell r="B700" t="str">
            <v>VAR_fin</v>
          </cell>
          <cell r="C700" t="str">
            <v>SCOM_ELC</v>
          </cell>
          <cell r="G700">
            <v>7.0550590548114443E-4</v>
          </cell>
          <cell r="H700">
            <v>1.2789057299674971E-3</v>
          </cell>
          <cell r="I700">
            <v>1.3791235095827515E-3</v>
          </cell>
          <cell r="J700">
            <v>1.4154508868316424E-3</v>
          </cell>
          <cell r="K700">
            <v>2.0734395506847771E-3</v>
          </cell>
          <cell r="L700">
            <v>1.5307005771480421E-3</v>
          </cell>
          <cell r="M700">
            <v>2.2996136203811508E-3</v>
          </cell>
          <cell r="N700">
            <v>2.2274142129053371E-3</v>
          </cell>
          <cell r="O700">
            <v>4.3048122724671303E-3</v>
          </cell>
        </row>
        <row r="701">
          <cell r="A701" t="str">
            <v>SCOM-ELCSPECADV</v>
          </cell>
          <cell r="B701" t="str">
            <v>VAR_ncap</v>
          </cell>
          <cell r="C701" t="str">
            <v>-</v>
          </cell>
          <cell r="G701">
            <v>8.6854726429000197E-5</v>
          </cell>
          <cell r="H701">
            <v>7.4647256587627805E-5</v>
          </cell>
          <cell r="I701">
            <v>1.74482302083884E-5</v>
          </cell>
          <cell r="J701">
            <v>1.01549909048622E-5</v>
          </cell>
          <cell r="K701">
            <v>9.6348396456594394E-5</v>
          </cell>
          <cell r="L701">
            <v>1.2308893549781801E-5</v>
          </cell>
          <cell r="M701">
            <v>1.8035087154748299E-4</v>
          </cell>
          <cell r="N701">
            <v>9.1613814386597403E-6</v>
          </cell>
          <cell r="O701">
            <v>2.9207400415753702E-4</v>
          </cell>
        </row>
        <row r="702">
          <cell r="A702" t="str">
            <v>SCOM-ELCSPECADV</v>
          </cell>
          <cell r="B702" t="str">
            <v>VAR_cap</v>
          </cell>
          <cell r="C702" t="str">
            <v>-</v>
          </cell>
          <cell r="G702">
            <v>8.6854726429000197E-5</v>
          </cell>
          <cell r="H702">
            <v>1.6133520603486362E-4</v>
          </cell>
          <cell r="I702">
            <v>1.7829082381004303E-4</v>
          </cell>
          <cell r="J702">
            <v>1.8741616543925489E-4</v>
          </cell>
          <cell r="K702">
            <v>2.8185010086137751E-4</v>
          </cell>
          <cell r="L702">
            <v>2.0772232130884609E-4</v>
          </cell>
          <cell r="M702">
            <v>3.1285332599063643E-4</v>
          </cell>
          <cell r="N702">
            <v>3.0275061852145255E-4</v>
          </cell>
          <cell r="O702">
            <v>5.8584694744224434E-4</v>
          </cell>
        </row>
        <row r="703">
          <cell r="A703" t="str">
            <v>RHSA-WHLTHRD</v>
          </cell>
          <cell r="B703" t="str">
            <v>VAR_fout</v>
          </cell>
          <cell r="C703" t="str">
            <v>RHSA-WHLTHRD</v>
          </cell>
          <cell r="D703">
            <v>1.3170881346789289</v>
          </cell>
          <cell r="E703">
            <v>1.4633807559945882</v>
          </cell>
          <cell r="F703">
            <v>1.4605616898419769</v>
          </cell>
          <cell r="G703">
            <v>1.4411817697201335</v>
          </cell>
          <cell r="H703">
            <v>1.4929480671547339</v>
          </cell>
          <cell r="I703">
            <v>1.6086891185610541</v>
          </cell>
          <cell r="J703">
            <v>1.602455070943767</v>
          </cell>
          <cell r="K703">
            <v>1.6158345880824001</v>
          </cell>
          <cell r="L703">
            <v>1.5859011959491895</v>
          </cell>
          <cell r="M703">
            <v>1.5380228438749823</v>
          </cell>
          <cell r="N703">
            <v>1.576583845074502</v>
          </cell>
          <cell r="O703">
            <v>1.4380753759981477</v>
          </cell>
        </row>
        <row r="704">
          <cell r="A704" t="str">
            <v>RHSA-WHLTHRD</v>
          </cell>
          <cell r="B704" t="str">
            <v>VAR_fin</v>
          </cell>
          <cell r="C704" t="str">
            <v>RHSA_LTH</v>
          </cell>
          <cell r="D704">
            <v>1.7105040710115962</v>
          </cell>
          <cell r="E704">
            <v>1.8955709274541299</v>
          </cell>
          <cell r="F704">
            <v>1.8845957288283572</v>
          </cell>
          <cell r="G704">
            <v>1.8476689355386333</v>
          </cell>
          <cell r="H704">
            <v>1.9018446715346928</v>
          </cell>
          <cell r="I704">
            <v>2.0363153399507001</v>
          </cell>
          <cell r="J704">
            <v>2.0284241404351473</v>
          </cell>
          <cell r="K704">
            <v>2.0453602380789868</v>
          </cell>
          <cell r="L704">
            <v>2.0074698682901144</v>
          </cell>
          <cell r="M704">
            <v>1.9468643593354213</v>
          </cell>
          <cell r="N704">
            <v>1.9956757532588623</v>
          </cell>
          <cell r="O704">
            <v>1.8203485772128452</v>
          </cell>
        </row>
        <row r="705">
          <cell r="A705" t="str">
            <v>RHSA-WHLTHRD</v>
          </cell>
          <cell r="B705" t="str">
            <v>VAR_ncap</v>
          </cell>
          <cell r="C705" t="str">
            <v>-</v>
          </cell>
          <cell r="E705">
            <v>7.5025790917474702E-2</v>
          </cell>
          <cell r="F705">
            <v>6.0900065241833598E-2</v>
          </cell>
          <cell r="G705">
            <v>4.9011092144016999E-2</v>
          </cell>
          <cell r="H705">
            <v>4.94323455031703E-2</v>
          </cell>
          <cell r="I705">
            <v>5.18090100896271E-2</v>
          </cell>
          <cell r="J705">
            <v>6.6589029071579903E-2</v>
          </cell>
          <cell r="K705">
            <v>4.8045392668404602E-2</v>
          </cell>
          <cell r="L705">
            <v>4.9919707927484902E-2</v>
          </cell>
          <cell r="M705">
            <v>4.2856364237413402E-2</v>
          </cell>
          <cell r="N705">
            <v>5.7557525610990402E-2</v>
          </cell>
          <cell r="O705">
            <v>5.1008498837338601E-2</v>
          </cell>
        </row>
        <row r="706">
          <cell r="A706" t="str">
            <v>RHSA-WHLTHRD</v>
          </cell>
          <cell r="B706" t="str">
            <v>VAR_cap</v>
          </cell>
          <cell r="C706" t="str">
            <v>-</v>
          </cell>
          <cell r="D706">
            <v>0.13737412127568699</v>
          </cell>
          <cell r="E706">
            <v>0.15009694161307188</v>
          </cell>
          <cell r="F706">
            <v>0.14119824070914702</v>
          </cell>
          <cell r="G706">
            <v>0.127550179207679</v>
          </cell>
          <cell r="H706">
            <v>0.133613474639247</v>
          </cell>
          <cell r="I706">
            <v>0.14442436866598296</v>
          </cell>
          <cell r="J706">
            <v>0.17308684493384002</v>
          </cell>
          <cell r="K706">
            <v>0.154399250480248</v>
          </cell>
          <cell r="L706">
            <v>0.15406096465047098</v>
          </cell>
          <cell r="M706">
            <v>0.13797125816460898</v>
          </cell>
          <cell r="N706">
            <v>0.14368813792587087</v>
          </cell>
          <cell r="O706">
            <v>0.13249395404139608</v>
          </cell>
        </row>
        <row r="707">
          <cell r="A707" t="str">
            <v>RHES-SHCONBR7</v>
          </cell>
          <cell r="B707" t="str">
            <v>VAR_fout</v>
          </cell>
          <cell r="C707" t="str">
            <v>RHES-SHCON</v>
          </cell>
          <cell r="E707">
            <v>5.0887594355326319E-4</v>
          </cell>
          <cell r="F707">
            <v>5.0462074513024104E-4</v>
          </cell>
          <cell r="G707">
            <v>4.188212839090801E-4</v>
          </cell>
          <cell r="H707">
            <v>4.7077861919703375E-4</v>
          </cell>
          <cell r="I707">
            <v>4.6628426139415889E-4</v>
          </cell>
          <cell r="J707">
            <v>4.6103394585436381E-4</v>
          </cell>
          <cell r="K707">
            <v>3.944776158043987E-4</v>
          </cell>
          <cell r="L707">
            <v>2.5457161730843369E-4</v>
          </cell>
          <cell r="M707">
            <v>2.9557026834946639E-4</v>
          </cell>
          <cell r="N707">
            <v>2.7414254618566165E-4</v>
          </cell>
          <cell r="O707">
            <v>4.6634321020555189E-4</v>
          </cell>
        </row>
        <row r="708">
          <cell r="A708" t="str">
            <v>RHES-SHCONBR7</v>
          </cell>
          <cell r="B708" t="str">
            <v>VAR_fin</v>
          </cell>
          <cell r="C708" t="str">
            <v>CON</v>
          </cell>
          <cell r="E708">
            <v>5.0887594355326319E-4</v>
          </cell>
          <cell r="F708">
            <v>5.0462074513024104E-4</v>
          </cell>
          <cell r="G708">
            <v>4.188212839090801E-4</v>
          </cell>
          <cell r="H708">
            <v>4.7077861919703375E-4</v>
          </cell>
          <cell r="I708">
            <v>4.6628426139415889E-4</v>
          </cell>
          <cell r="J708">
            <v>4.6103394585436381E-4</v>
          </cell>
          <cell r="K708">
            <v>3.944776158043987E-4</v>
          </cell>
          <cell r="L708">
            <v>2.5457161730843369E-4</v>
          </cell>
          <cell r="M708">
            <v>2.9557026834946639E-4</v>
          </cell>
          <cell r="N708">
            <v>2.7414254618566165E-4</v>
          </cell>
          <cell r="O708">
            <v>4.6634321020555189E-4</v>
          </cell>
        </row>
        <row r="709">
          <cell r="A709" t="str">
            <v>RHES-SHCONBR7</v>
          </cell>
          <cell r="B709" t="str">
            <v>VAR_ncap</v>
          </cell>
          <cell r="C709" t="str">
            <v>-</v>
          </cell>
          <cell r="E709">
            <v>3.2451660555853198E-5</v>
          </cell>
          <cell r="F709">
            <v>8.29782646725346E-8</v>
          </cell>
          <cell r="G709">
            <v>1.11605166240629E-7</v>
          </cell>
          <cell r="H709">
            <v>4.32004965139439E-8</v>
          </cell>
          <cell r="I709">
            <v>4.7162292486082003E-8</v>
          </cell>
          <cell r="J709">
            <v>5.68776845219061E-8</v>
          </cell>
          <cell r="K709">
            <v>5.1480569558983196E-6</v>
          </cell>
          <cell r="L709">
            <v>1.2817871250027601E-5</v>
          </cell>
          <cell r="M709">
            <v>7.0537692313322504E-7</v>
          </cell>
          <cell r="N709">
            <v>9.7629896474016399E-7</v>
          </cell>
          <cell r="O709">
            <v>7.7045323074784992E-6</v>
          </cell>
        </row>
        <row r="710">
          <cell r="A710" t="str">
            <v>RHES-SHCONBR7</v>
          </cell>
          <cell r="B710" t="str">
            <v>VAR_cap</v>
          </cell>
          <cell r="C710" t="str">
            <v>-</v>
          </cell>
          <cell r="E710">
            <v>3.2451660555853198E-5</v>
          </cell>
          <cell r="F710">
            <v>3.2534638820525697E-5</v>
          </cell>
          <cell r="G710">
            <v>3.2646243986766302E-5</v>
          </cell>
          <cell r="H710">
            <v>3.2689444483280299E-5</v>
          </cell>
          <cell r="I710">
            <v>3.2736606775766398E-5</v>
          </cell>
          <cell r="J710">
            <v>3.2793484460288302E-5</v>
          </cell>
          <cell r="K710">
            <v>2.7390300501074501E-5</v>
          </cell>
          <cell r="L710">
            <v>1.82200187406598E-5</v>
          </cell>
          <cell r="M710">
            <v>1.8818545602581101E-5</v>
          </cell>
          <cell r="N710">
            <v>1.97519125703733E-5</v>
          </cell>
          <cell r="O710">
            <v>2.7409014085799701E-5</v>
          </cell>
        </row>
        <row r="711">
          <cell r="A711" t="str">
            <v>ITOT-SWHCONBR9</v>
          </cell>
          <cell r="B711" t="str">
            <v>VAR_fout</v>
          </cell>
          <cell r="C711" t="str">
            <v>ITOT-ELS</v>
          </cell>
          <cell r="J711">
            <v>5.2102473157214489E-5</v>
          </cell>
          <cell r="K711">
            <v>1.017550549754506E-4</v>
          </cell>
          <cell r="L711">
            <v>9.1598359143488792E-5</v>
          </cell>
          <cell r="M711">
            <v>1.3526806814975797E-4</v>
          </cell>
          <cell r="N711">
            <v>1.1325992688484892E-4</v>
          </cell>
          <cell r="O711">
            <v>2.3410176502415927E-4</v>
          </cell>
        </row>
        <row r="712">
          <cell r="A712" t="str">
            <v>ITOT-SWHCONBR9</v>
          </cell>
          <cell r="B712" t="str">
            <v>VAR_fout</v>
          </cell>
          <cell r="C712" t="str">
            <v>ITOT-SWHC</v>
          </cell>
          <cell r="J712">
            <v>3.0240244356877921E-4</v>
          </cell>
          <cell r="K712">
            <v>5.9058573241241601E-4</v>
          </cell>
          <cell r="L712">
            <v>5.3163633035807644E-4</v>
          </cell>
          <cell r="M712">
            <v>7.8509506107102994E-4</v>
          </cell>
          <cell r="N712">
            <v>6.5735994038235265E-4</v>
          </cell>
          <cell r="O712">
            <v>1.3587252484821345E-3</v>
          </cell>
        </row>
        <row r="713">
          <cell r="A713" t="str">
            <v>ITOT-SWHCONBR9</v>
          </cell>
          <cell r="B713" t="str">
            <v>VAR_fin</v>
          </cell>
          <cell r="C713" t="str">
            <v>CON</v>
          </cell>
          <cell r="J713">
            <v>3.5450491672599417E-4</v>
          </cell>
          <cell r="K713">
            <v>6.9234078738786731E-4</v>
          </cell>
          <cell r="L713">
            <v>6.2323468950156518E-4</v>
          </cell>
          <cell r="M713">
            <v>9.2036312922078771E-4</v>
          </cell>
          <cell r="N713">
            <v>7.7061986726720125E-4</v>
          </cell>
          <cell r="O713">
            <v>1.5928270135062944E-3</v>
          </cell>
        </row>
        <row r="714">
          <cell r="A714" t="str">
            <v>ITOT-SWHCONBR9</v>
          </cell>
          <cell r="B714" t="str">
            <v>VAR_ncap</v>
          </cell>
          <cell r="C714" t="str">
            <v>-</v>
          </cell>
          <cell r="J714">
            <v>1.7164851358667199E-5</v>
          </cell>
          <cell r="K714">
            <v>1.5674349869334699E-5</v>
          </cell>
          <cell r="L714">
            <v>5.3331789661367998E-7</v>
          </cell>
          <cell r="M714">
            <v>2.92776570440087E-5</v>
          </cell>
          <cell r="N714">
            <v>8.1238114848549305E-6</v>
          </cell>
          <cell r="O714">
            <v>4.5014109380191102E-5</v>
          </cell>
        </row>
        <row r="715">
          <cell r="A715" t="str">
            <v>ITOT-SWHCONBR9</v>
          </cell>
          <cell r="B715" t="str">
            <v>VAR_cap</v>
          </cell>
          <cell r="C715" t="str">
            <v>-</v>
          </cell>
          <cell r="J715">
            <v>1.7164851358667199E-5</v>
          </cell>
          <cell r="K715">
            <v>3.2839201228002003E-5</v>
          </cell>
          <cell r="L715">
            <v>3.1098254788557798E-5</v>
          </cell>
          <cell r="M715">
            <v>4.5485324809957199E-5</v>
          </cell>
          <cell r="N715">
            <v>4.0541988345668697E-5</v>
          </cell>
          <cell r="O715">
            <v>8.2415577909054707E-5</v>
          </cell>
        </row>
        <row r="716">
          <cell r="A716" t="str">
            <v>SCOM-SHPLTBR</v>
          </cell>
          <cell r="B716" t="str">
            <v>VAR_fout</v>
          </cell>
          <cell r="C716" t="str">
            <v>SCOM-SHPLT</v>
          </cell>
          <cell r="D716">
            <v>1.8770751223396096</v>
          </cell>
          <cell r="E716">
            <v>2.1600842382562431</v>
          </cell>
          <cell r="F716">
            <v>2.0883994921074067</v>
          </cell>
          <cell r="G716">
            <v>2.2800523893887639</v>
          </cell>
          <cell r="H716">
            <v>2.4141379653852657</v>
          </cell>
          <cell r="I716">
            <v>2.7209112755814502</v>
          </cell>
          <cell r="J716">
            <v>2.6027130932861602</v>
          </cell>
          <cell r="K716">
            <v>2.6587079525094461</v>
          </cell>
          <cell r="L716">
            <v>2.594819859583815</v>
          </cell>
          <cell r="M716">
            <v>2.534249486185193</v>
          </cell>
          <cell r="N716">
            <v>2.4792834015496528</v>
          </cell>
          <cell r="O716">
            <v>2.3699598057045064</v>
          </cell>
        </row>
        <row r="717">
          <cell r="A717" t="str">
            <v>SCOM-SHPLTBR</v>
          </cell>
          <cell r="B717" t="str">
            <v>VAR_fin</v>
          </cell>
          <cell r="C717" t="str">
            <v>SCOMPLTBRC</v>
          </cell>
          <cell r="D717">
            <v>1.8770751223396096</v>
          </cell>
          <cell r="E717">
            <v>2.1600842382562431</v>
          </cell>
          <cell r="F717">
            <v>2.0883994921074067</v>
          </cell>
          <cell r="G717">
            <v>2.2800523893887639</v>
          </cell>
          <cell r="H717">
            <v>2.4141379653852657</v>
          </cell>
          <cell r="I717">
            <v>2.7209112755814502</v>
          </cell>
          <cell r="J717">
            <v>2.6027130932861602</v>
          </cell>
          <cell r="K717">
            <v>2.6587079525094461</v>
          </cell>
          <cell r="L717">
            <v>2.594819859583815</v>
          </cell>
          <cell r="M717">
            <v>2.534249486185193</v>
          </cell>
          <cell r="N717">
            <v>2.4792834015496528</v>
          </cell>
          <cell r="O717">
            <v>2.3699598057045064</v>
          </cell>
        </row>
        <row r="718">
          <cell r="A718" t="str">
            <v>SCOM-SHPLTBR</v>
          </cell>
          <cell r="B718" t="str">
            <v>VAR_fin</v>
          </cell>
          <cell r="C718" t="str">
            <v>SPLT</v>
          </cell>
          <cell r="D718">
            <v>2.0856390248217873</v>
          </cell>
          <cell r="E718">
            <v>2.4000935980624938</v>
          </cell>
          <cell r="F718">
            <v>2.3204438801193401</v>
          </cell>
          <cell r="G718">
            <v>2.5333915437652923</v>
          </cell>
          <cell r="H718">
            <v>2.6823755170947394</v>
          </cell>
          <cell r="I718">
            <v>3.0232347506460555</v>
          </cell>
          <cell r="J718">
            <v>2.8919034369846219</v>
          </cell>
          <cell r="K718">
            <v>2.9541199472327144</v>
          </cell>
          <cell r="L718">
            <v>2.8831331773153459</v>
          </cell>
          <cell r="M718">
            <v>2.8158327624279913</v>
          </cell>
          <cell r="N718">
            <v>2.7547593350551689</v>
          </cell>
          <cell r="O718">
            <v>2.6332886730050085</v>
          </cell>
        </row>
        <row r="719">
          <cell r="A719" t="str">
            <v>SCOM-SHPLTBR</v>
          </cell>
          <cell r="B719" t="str">
            <v>VAR_ncap</v>
          </cell>
          <cell r="C719" t="str">
            <v>-</v>
          </cell>
          <cell r="D719">
            <v>5.1252125897137797E-6</v>
          </cell>
          <cell r="E719">
            <v>2.2086300554074002E-2</v>
          </cell>
          <cell r="F719">
            <v>1.1535221242349399E-5</v>
          </cell>
          <cell r="G719">
            <v>1.5646776603667201E-2</v>
          </cell>
          <cell r="H719">
            <v>0.13540591358229101</v>
          </cell>
          <cell r="I719">
            <v>7.6773296248312806E-2</v>
          </cell>
          <cell r="J719">
            <v>1.04045530896049E-5</v>
          </cell>
          <cell r="K719">
            <v>0.14269966945082499</v>
          </cell>
          <cell r="L719">
            <v>5.8921019018811201E-2</v>
          </cell>
          <cell r="M719">
            <v>5.3308516421556396E-3</v>
          </cell>
          <cell r="N719">
            <v>0.13517593633924099</v>
          </cell>
          <cell r="O719">
            <v>5.6739818081898E-2</v>
          </cell>
        </row>
        <row r="720">
          <cell r="A720" t="str">
            <v>SCOM-SHPLTBR</v>
          </cell>
          <cell r="B720" t="str">
            <v>VAR_cap</v>
          </cell>
          <cell r="C720" t="str">
            <v>-</v>
          </cell>
          <cell r="D720">
            <v>0.15051599333678373</v>
          </cell>
          <cell r="E720">
            <v>0.17260194193157075</v>
          </cell>
          <cell r="F720">
            <v>0.17261063042880984</v>
          </cell>
          <cell r="G720">
            <v>0.1882538224114422</v>
          </cell>
          <cell r="H720">
            <v>0.20140636555739125</v>
          </cell>
          <cell r="I720">
            <v>0.22484815326472715</v>
          </cell>
          <cell r="J720">
            <v>0.2121861147811844</v>
          </cell>
          <cell r="K720">
            <v>0.21947748210104479</v>
          </cell>
          <cell r="L720">
            <v>0.21342068258087782</v>
          </cell>
          <cell r="M720">
            <v>0.20694516385227843</v>
          </cell>
          <cell r="N720">
            <v>0.20601478488031949</v>
          </cell>
          <cell r="O720">
            <v>0.19723882766340436</v>
          </cell>
        </row>
        <row r="721">
          <cell r="A721" t="str">
            <v>ITOT-SWHELCHP</v>
          </cell>
          <cell r="B721" t="str">
            <v>VAR_fout</v>
          </cell>
          <cell r="C721" t="str">
            <v>ITOT-SWHAELCH</v>
          </cell>
          <cell r="D721">
            <v>1.1082363982730716</v>
          </cell>
          <cell r="E721">
            <v>1.4008081438866475</v>
          </cell>
          <cell r="F721">
            <v>3.5233480800290642</v>
          </cell>
          <cell r="G721">
            <v>5.8077365630936733</v>
          </cell>
          <cell r="H721">
            <v>8.157308994165998</v>
          </cell>
          <cell r="I721">
            <v>8.840066292641982</v>
          </cell>
          <cell r="J721">
            <v>8.840235351279885</v>
          </cell>
          <cell r="K721">
            <v>8.8403573763578986</v>
          </cell>
          <cell r="L721">
            <v>8.8407527082647626</v>
          </cell>
          <cell r="M721">
            <v>9.9641529288921369</v>
          </cell>
          <cell r="N721">
            <v>9.9642421903199363</v>
          </cell>
          <cell r="O721">
            <v>9.9666011594704056</v>
          </cell>
        </row>
        <row r="722">
          <cell r="A722" t="str">
            <v>ITOT-SWHELCHP</v>
          </cell>
          <cell r="B722" t="str">
            <v>VAR_fin</v>
          </cell>
          <cell r="C722" t="str">
            <v>ITOT_ELC</v>
          </cell>
          <cell r="D722">
            <v>0.35970254033353199</v>
          </cell>
          <cell r="E722">
            <v>0.45106785993653731</v>
          </cell>
          <cell r="F722">
            <v>1.121237869900187</v>
          </cell>
          <cell r="G722">
            <v>1.8127838831640182</v>
          </cell>
          <cell r="H722">
            <v>2.4982877574735234</v>
          </cell>
          <cell r="I722">
            <v>2.6574252498184898</v>
          </cell>
          <cell r="J722">
            <v>2.6093197416386911</v>
          </cell>
          <cell r="K722">
            <v>2.5629130143613992</v>
          </cell>
          <cell r="L722">
            <v>2.5630276252584419</v>
          </cell>
          <cell r="M722">
            <v>2.8887132195402132</v>
          </cell>
          <cell r="N722">
            <v>2.8887390973713085</v>
          </cell>
          <cell r="O722">
            <v>2.8894229874538917</v>
          </cell>
        </row>
        <row r="723">
          <cell r="A723" t="str">
            <v>ITOT-SWHELCHP</v>
          </cell>
          <cell r="B723" t="str">
            <v>VAR_fin</v>
          </cell>
          <cell r="C723" t="str">
            <v>ITOTELCHPC</v>
          </cell>
          <cell r="D723">
            <v>1.1082363982730716</v>
          </cell>
          <cell r="E723">
            <v>1.4008081438866475</v>
          </cell>
          <cell r="F723">
            <v>3.5233480800290642</v>
          </cell>
          <cell r="G723">
            <v>5.8077365630936733</v>
          </cell>
          <cell r="H723">
            <v>8.157308994165998</v>
          </cell>
          <cell r="I723">
            <v>8.840066292641982</v>
          </cell>
          <cell r="J723">
            <v>8.840235351279885</v>
          </cell>
          <cell r="K723">
            <v>8.8403573763578986</v>
          </cell>
          <cell r="L723">
            <v>8.8407527082647626</v>
          </cell>
          <cell r="M723">
            <v>9.9641529288921369</v>
          </cell>
          <cell r="N723">
            <v>9.9642421903199363</v>
          </cell>
          <cell r="O723">
            <v>9.9666011594704056</v>
          </cell>
        </row>
        <row r="724">
          <cell r="A724" t="str">
            <v>ITOT-SWHELCHP</v>
          </cell>
          <cell r="B724" t="str">
            <v>VAR_ncap</v>
          </cell>
          <cell r="C724" t="str">
            <v>-</v>
          </cell>
          <cell r="E724">
            <v>1.6328771998364099E-2</v>
          </cell>
          <cell r="F724">
            <v>0.11530119532112799</v>
          </cell>
          <cell r="G724">
            <v>0.124009386272514</v>
          </cell>
          <cell r="H724">
            <v>0.18307165745026499</v>
          </cell>
          <cell r="I724">
            <v>0.17687487613709199</v>
          </cell>
          <cell r="J724">
            <v>0.124572305621649</v>
          </cell>
          <cell r="K724">
            <v>0.18249277828233701</v>
          </cell>
          <cell r="L724">
            <v>0.16597064442446599</v>
          </cell>
          <cell r="M724">
            <v>0.20239523750576299</v>
          </cell>
          <cell r="N724">
            <v>0.20198835817173499</v>
          </cell>
          <cell r="O724">
            <v>0.14563961027778599</v>
          </cell>
        </row>
        <row r="725">
          <cell r="A725" t="str">
            <v>ITOT-SWHELCHP</v>
          </cell>
          <cell r="B725" t="str">
            <v>VAR_cap</v>
          </cell>
          <cell r="C725" t="str">
            <v>-</v>
          </cell>
          <cell r="D725">
            <v>6.02631234918991E-2</v>
          </cell>
          <cell r="E725">
            <v>7.6591145086252838E-2</v>
          </cell>
          <cell r="F725">
            <v>0.19189091539195421</v>
          </cell>
          <cell r="G725">
            <v>0.31589806839781315</v>
          </cell>
          <cell r="H725">
            <v>0.44636423531410063</v>
          </cell>
          <cell r="I725">
            <v>0.48456491352303999</v>
          </cell>
          <cell r="J725">
            <v>0.48451069651107614</v>
          </cell>
          <cell r="K725">
            <v>0.48392701003859523</v>
          </cell>
          <cell r="L725">
            <v>0.48369593511042897</v>
          </cell>
          <cell r="M725">
            <v>0.55084144434305815</v>
          </cell>
          <cell r="N725">
            <v>0.55004279091407748</v>
          </cell>
          <cell r="O725">
            <v>0.55000604387285001</v>
          </cell>
        </row>
        <row r="726">
          <cell r="A726" t="str">
            <v>RHES-SHCONBR8</v>
          </cell>
          <cell r="B726" t="str">
            <v>VAR_fout</v>
          </cell>
          <cell r="C726" t="str">
            <v>RHES-SHCON</v>
          </cell>
          <cell r="E726">
            <v>1.5054676971053811E-4</v>
          </cell>
          <cell r="F726">
            <v>1.4915545858887216E-4</v>
          </cell>
          <cell r="G726">
            <v>7.096906607282907E-5</v>
          </cell>
          <cell r="H726">
            <v>1.2263859801780447E-4</v>
          </cell>
          <cell r="I726">
            <v>1.1777180425085719E-4</v>
          </cell>
          <cell r="J726">
            <v>1.134570639617235E-4</v>
          </cell>
          <cell r="K726">
            <v>1.4897581966501574E-4</v>
          </cell>
          <cell r="L726">
            <v>9.8643832101015042E-5</v>
          </cell>
          <cell r="M726">
            <v>1.3963544144325463E-4</v>
          </cell>
          <cell r="N726">
            <v>1.1607660766550729E-4</v>
          </cell>
          <cell r="O726">
            <v>2.4416873464899069E-4</v>
          </cell>
        </row>
        <row r="727">
          <cell r="A727" t="str">
            <v>RHES-SHCONBR8</v>
          </cell>
          <cell r="B727" t="str">
            <v>VAR_fin</v>
          </cell>
          <cell r="C727" t="str">
            <v>CON</v>
          </cell>
          <cell r="E727">
            <v>1.5054676971053811E-4</v>
          </cell>
          <cell r="F727">
            <v>1.4915545858887216E-4</v>
          </cell>
          <cell r="G727">
            <v>7.096906607282907E-5</v>
          </cell>
          <cell r="H727">
            <v>1.2263859801780447E-4</v>
          </cell>
          <cell r="I727">
            <v>1.1777180425085719E-4</v>
          </cell>
          <cell r="J727">
            <v>1.134570639617235E-4</v>
          </cell>
          <cell r="K727">
            <v>1.4897581966501574E-4</v>
          </cell>
          <cell r="L727">
            <v>9.8643832101015042E-5</v>
          </cell>
          <cell r="M727">
            <v>1.3963544144325463E-4</v>
          </cell>
          <cell r="N727">
            <v>1.1607660766550729E-4</v>
          </cell>
          <cell r="O727">
            <v>2.4416873464899069E-4</v>
          </cell>
        </row>
        <row r="728">
          <cell r="A728" t="str">
            <v>RHES-SHCONBR8</v>
          </cell>
          <cell r="B728" t="str">
            <v>VAR_ncap</v>
          </cell>
          <cell r="C728" t="str">
            <v>-</v>
          </cell>
          <cell r="E728">
            <v>3.4966742672260801E-6</v>
          </cell>
          <cell r="F728">
            <v>2.1268756382881701E-7</v>
          </cell>
          <cell r="G728">
            <v>7.4090674411474795E-7</v>
          </cell>
          <cell r="H728">
            <v>4.1589514813367902E-8</v>
          </cell>
          <cell r="I728">
            <v>3.4291151759407102E-8</v>
          </cell>
          <cell r="J728">
            <v>4.9884881603678302E-8</v>
          </cell>
          <cell r="K728">
            <v>4.0309133331125798E-6</v>
          </cell>
          <cell r="L728">
            <v>7.6500864792260005E-7</v>
          </cell>
          <cell r="M728">
            <v>1.2097945027519601E-6</v>
          </cell>
          <cell r="N728">
            <v>7.5861643094080396E-7</v>
          </cell>
          <cell r="O728">
            <v>2.35815228568562E-6</v>
          </cell>
        </row>
        <row r="729">
          <cell r="A729" t="str">
            <v>RHES-SHCONBR8</v>
          </cell>
          <cell r="B729" t="str">
            <v>VAR_cap</v>
          </cell>
          <cell r="C729" t="str">
            <v>-</v>
          </cell>
          <cell r="E729">
            <v>3.4966742672260801E-6</v>
          </cell>
          <cell r="F729">
            <v>3.70936183105489E-6</v>
          </cell>
          <cell r="G729">
            <v>4.45026857516964E-6</v>
          </cell>
          <cell r="H729">
            <v>4.4918580899830097E-6</v>
          </cell>
          <cell r="I729">
            <v>4.5261492417424099E-6</v>
          </cell>
          <cell r="J729">
            <v>4.5760341233460902E-6</v>
          </cell>
          <cell r="K729">
            <v>7.4700486980214603E-6</v>
          </cell>
          <cell r="L729">
            <v>5.5283701325603199E-6</v>
          </cell>
          <cell r="M729">
            <v>6.13148203196359E-6</v>
          </cell>
          <cell r="N729">
            <v>6.8505070841713799E-6</v>
          </cell>
          <cell r="O729">
            <v>9.17237008201725E-6</v>
          </cell>
        </row>
        <row r="730">
          <cell r="A730" t="str">
            <v>RHEM-SHWODBR</v>
          </cell>
          <cell r="B730" t="str">
            <v>VAR_fout</v>
          </cell>
          <cell r="C730" t="str">
            <v>RHEM-SHWOD</v>
          </cell>
          <cell r="D730">
            <v>4.7439226967720742</v>
          </cell>
          <cell r="E730">
            <v>4.616656433073282</v>
          </cell>
          <cell r="F730">
            <v>2.9047918951707339</v>
          </cell>
          <cell r="G730">
            <v>2.372606158986323</v>
          </cell>
          <cell r="H730">
            <v>2.1127313369243321</v>
          </cell>
          <cell r="I730">
            <v>1.8178056790331143</v>
          </cell>
          <cell r="J730">
            <v>1.5096875115404007</v>
          </cell>
          <cell r="K730">
            <v>1.2187280733159751</v>
          </cell>
          <cell r="L730">
            <v>1.0896536442806193</v>
          </cell>
          <cell r="M730">
            <v>0.92084729071724469</v>
          </cell>
          <cell r="N730">
            <v>0.86934164708006589</v>
          </cell>
          <cell r="O730">
            <v>0.36734368500077857</v>
          </cell>
        </row>
        <row r="731">
          <cell r="A731" t="str">
            <v>RHEM-SHWODBR</v>
          </cell>
          <cell r="B731" t="str">
            <v>VAR_fin</v>
          </cell>
          <cell r="C731" t="str">
            <v>RHEMWODBRC</v>
          </cell>
          <cell r="D731">
            <v>4.7439226967720742</v>
          </cell>
          <cell r="E731">
            <v>4.616656433073282</v>
          </cell>
          <cell r="F731">
            <v>2.9047918951707339</v>
          </cell>
          <cell r="G731">
            <v>2.372606158986323</v>
          </cell>
          <cell r="H731">
            <v>2.1127313369243321</v>
          </cell>
          <cell r="I731">
            <v>1.8178056790331143</v>
          </cell>
          <cell r="J731">
            <v>1.5096875115404007</v>
          </cell>
          <cell r="K731">
            <v>1.2187280733159751</v>
          </cell>
          <cell r="L731">
            <v>1.0896536442806193</v>
          </cell>
          <cell r="M731">
            <v>0.92084729071724469</v>
          </cell>
          <cell r="N731">
            <v>0.86934164708006589</v>
          </cell>
          <cell r="O731">
            <v>0.36734368500077857</v>
          </cell>
        </row>
        <row r="732">
          <cell r="A732" t="str">
            <v>RHEM-SHWODBR</v>
          </cell>
          <cell r="B732" t="str">
            <v>VAR_fin</v>
          </cell>
          <cell r="C732" t="str">
            <v>RWOD</v>
          </cell>
          <cell r="D732">
            <v>6.5887815232945579</v>
          </cell>
          <cell r="E732">
            <v>6.4120228237128938</v>
          </cell>
          <cell r="F732">
            <v>4.0344331877371324</v>
          </cell>
          <cell r="G732">
            <v>3.2952863319254475</v>
          </cell>
          <cell r="H732">
            <v>2.9343490790615725</v>
          </cell>
          <cell r="I732">
            <v>2.5247301097682118</v>
          </cell>
          <cell r="J732">
            <v>2.0967882104727806</v>
          </cell>
          <cell r="K732">
            <v>1.6926778796055193</v>
          </cell>
          <cell r="L732">
            <v>1.5134078392786401</v>
          </cell>
          <cell r="M732">
            <v>1.278954570440618</v>
          </cell>
          <cell r="N732">
            <v>1.2074189542778697</v>
          </cell>
          <cell r="O732">
            <v>0.51019956250108134</v>
          </cell>
        </row>
        <row r="733">
          <cell r="A733" t="str">
            <v>RHEM-SHWODBR</v>
          </cell>
          <cell r="B733" t="str">
            <v>VAR_ncap</v>
          </cell>
          <cell r="C733" t="str">
            <v>-</v>
          </cell>
          <cell r="D733">
            <v>1.53037126391288E-4</v>
          </cell>
          <cell r="E733">
            <v>1.1186206381753899E-6</v>
          </cell>
          <cell r="F733">
            <v>1.0808472097675001E-6</v>
          </cell>
          <cell r="G733">
            <v>7.6847840476447995E-6</v>
          </cell>
          <cell r="H733">
            <v>6.2702167838680503E-2</v>
          </cell>
          <cell r="I733">
            <v>6.5742456905037105E-2</v>
          </cell>
          <cell r="J733">
            <v>2.3839041456874001E-6</v>
          </cell>
          <cell r="K733">
            <v>2.06032062135563E-2</v>
          </cell>
          <cell r="L733">
            <v>4.6442487522032803E-2</v>
          </cell>
          <cell r="M733">
            <v>1.41850399270487E-5</v>
          </cell>
          <cell r="N733">
            <v>2.6282627434685998E-2</v>
          </cell>
          <cell r="O733">
            <v>7.7240918296452997E-5</v>
          </cell>
        </row>
        <row r="734">
          <cell r="A734" t="str">
            <v>RHEM-SHWODBR</v>
          </cell>
          <cell r="B734" t="str">
            <v>VAR_cap</v>
          </cell>
          <cell r="C734" t="str">
            <v>-</v>
          </cell>
          <cell r="D734">
            <v>0.33522481608138432</v>
          </cell>
          <cell r="E734">
            <v>0.33521908328649175</v>
          </cell>
          <cell r="F734">
            <v>0.33518615060678392</v>
          </cell>
          <cell r="G734">
            <v>0.33516922688701339</v>
          </cell>
          <cell r="H734">
            <v>0.14962818678586953</v>
          </cell>
          <cell r="I734">
            <v>0.12844968835042278</v>
          </cell>
          <cell r="J734">
            <v>0.12826790920878225</v>
          </cell>
          <cell r="K734">
            <v>8.6345813332233845E-2</v>
          </cell>
          <cell r="L734">
            <v>7.7147520415563567E-2</v>
          </cell>
          <cell r="M734">
            <v>6.7052806549711713E-2</v>
          </cell>
          <cell r="N734">
            <v>6.1661283984273035E-2</v>
          </cell>
          <cell r="O734">
            <v>2.6370371701740853E-2</v>
          </cell>
        </row>
        <row r="735">
          <cell r="A735" t="str">
            <v>RHES-SHCONBR9</v>
          </cell>
          <cell r="B735" t="str">
            <v>VAR_fout</v>
          </cell>
          <cell r="C735" t="str">
            <v>RHES-SHCON</v>
          </cell>
          <cell r="E735">
            <v>1.0747900455356852E-4</v>
          </cell>
          <cell r="F735">
            <v>1.0468142832864514E-4</v>
          </cell>
          <cell r="G735">
            <v>2.6584074593321752E-5</v>
          </cell>
          <cell r="H735">
            <v>7.7868409029680874E-5</v>
          </cell>
          <cell r="I735">
            <v>7.2710728394113349E-5</v>
          </cell>
          <cell r="J735">
            <v>6.8206183368227222E-5</v>
          </cell>
          <cell r="K735">
            <v>7.0972289189254965E-5</v>
          </cell>
          <cell r="L735">
            <v>4.2845867950261028E-5</v>
          </cell>
          <cell r="M735">
            <v>7.5247869339970446E-5</v>
          </cell>
          <cell r="N735">
            <v>4.753523856919278E-5</v>
          </cell>
          <cell r="O735">
            <v>1.5011772329857491E-4</v>
          </cell>
        </row>
        <row r="736">
          <cell r="A736" t="str">
            <v>RHES-SHCONBR9</v>
          </cell>
          <cell r="B736" t="str">
            <v>VAR_fin</v>
          </cell>
          <cell r="C736" t="str">
            <v>CON</v>
          </cell>
          <cell r="E736">
            <v>1.0747900455356852E-4</v>
          </cell>
          <cell r="F736">
            <v>1.0468142832864514E-4</v>
          </cell>
          <cell r="G736">
            <v>2.6584074593321752E-5</v>
          </cell>
          <cell r="H736">
            <v>7.7868409029680874E-5</v>
          </cell>
          <cell r="I736">
            <v>7.2710728394113349E-5</v>
          </cell>
          <cell r="J736">
            <v>6.8206183368227222E-5</v>
          </cell>
          <cell r="K736">
            <v>7.0972289189254965E-5</v>
          </cell>
          <cell r="L736">
            <v>4.2845867950261028E-5</v>
          </cell>
          <cell r="M736">
            <v>7.5247869339970446E-5</v>
          </cell>
          <cell r="N736">
            <v>4.753523856919278E-5</v>
          </cell>
          <cell r="O736">
            <v>1.5011772329857491E-4</v>
          </cell>
        </row>
        <row r="737">
          <cell r="A737" t="str">
            <v>RHES-SHCONBR9</v>
          </cell>
          <cell r="B737" t="str">
            <v>VAR_ncap</v>
          </cell>
          <cell r="C737" t="str">
            <v>-</v>
          </cell>
          <cell r="E737">
            <v>1.39834992539472E-8</v>
          </cell>
          <cell r="F737">
            <v>8.1515540942657302E-8</v>
          </cell>
          <cell r="G737">
            <v>7.4737451607554202E-7</v>
          </cell>
          <cell r="H737">
            <v>1.31144086813689E-8</v>
          </cell>
          <cell r="I737">
            <v>1.4099945079027201E-8</v>
          </cell>
          <cell r="J737">
            <v>2.1114547624609899E-8</v>
          </cell>
          <cell r="K737">
            <v>2.4202788521712902E-7</v>
          </cell>
          <cell r="L737">
            <v>1.14809836501501E-7</v>
          </cell>
          <cell r="M737">
            <v>4.7622986425897901E-7</v>
          </cell>
          <cell r="N737">
            <v>3.60653979554558E-7</v>
          </cell>
          <cell r="O737">
            <v>2.0803342393894999E-7</v>
          </cell>
        </row>
        <row r="738">
          <cell r="A738" t="str">
            <v>RHES-SHCONBR9</v>
          </cell>
          <cell r="B738" t="str">
            <v>VAR_cap</v>
          </cell>
          <cell r="C738" t="str">
            <v>-</v>
          </cell>
          <cell r="E738">
            <v>1.39834992539472E-8</v>
          </cell>
          <cell r="F738">
            <v>9.54990401966045E-8</v>
          </cell>
          <cell r="G738">
            <v>8.4287355627214704E-7</v>
          </cell>
          <cell r="H738">
            <v>8.5598796495351505E-7</v>
          </cell>
          <cell r="I738">
            <v>8.7008791003254197E-7</v>
          </cell>
          <cell r="J738">
            <v>8.9120245765715204E-7</v>
          </cell>
          <cell r="K738">
            <v>1.1286837875690201E-6</v>
          </cell>
          <cell r="L738">
            <v>9.7676302996827697E-7</v>
          </cell>
          <cell r="M738">
            <v>8.8139648736261502E-7</v>
          </cell>
          <cell r="N738">
            <v>1.22905156154817E-6</v>
          </cell>
          <cell r="O738">
            <v>1.4228695370957301E-6</v>
          </cell>
        </row>
        <row r="739">
          <cell r="A739" t="str">
            <v>D-RHNS_LTH_CHPNGA</v>
          </cell>
          <cell r="B739" t="str">
            <v>VAR_fout</v>
          </cell>
          <cell r="C739" t="str">
            <v>RHSA_LTH</v>
          </cell>
          <cell r="D739">
            <v>2.0870755106384533E-5</v>
          </cell>
          <cell r="E739">
            <v>8.22886067920072E-6</v>
          </cell>
          <cell r="F739">
            <v>1.1011265783789823E-3</v>
          </cell>
          <cell r="G739">
            <v>4.9845373271907573E-5</v>
          </cell>
          <cell r="H739">
            <v>1.2914921246062142E-3</v>
          </cell>
          <cell r="I739">
            <v>1.7466107678205383E-3</v>
          </cell>
          <cell r="J739">
            <v>1.0095392135571201E-4</v>
          </cell>
          <cell r="K739">
            <v>1.9494123057140508E-4</v>
          </cell>
          <cell r="L739">
            <v>5.971347994871022E-4</v>
          </cell>
          <cell r="M739">
            <v>2.6575885974387307E-3</v>
          </cell>
          <cell r="N739">
            <v>1.883476209457447E-4</v>
          </cell>
          <cell r="O739">
            <v>7.8447110691356441E-3</v>
          </cell>
        </row>
        <row r="740">
          <cell r="A740" t="str">
            <v>D-RHNS_LTH_CHPNGA</v>
          </cell>
          <cell r="B740" t="str">
            <v>VAR_fout</v>
          </cell>
          <cell r="C740" t="str">
            <v>LTH</v>
          </cell>
          <cell r="F740">
            <v>2.1113842017181713E-6</v>
          </cell>
          <cell r="G740">
            <v>5.3348222354344496E-6</v>
          </cell>
          <cell r="H740">
            <v>2.3827370694564323E-5</v>
          </cell>
          <cell r="I740">
            <v>3.162358789306016E-5</v>
          </cell>
          <cell r="J740">
            <v>5.7900573692585196E-5</v>
          </cell>
          <cell r="K740">
            <v>1.0519291105159955E-4</v>
          </cell>
          <cell r="L740">
            <v>9.3192574768914143E-5</v>
          </cell>
          <cell r="M740">
            <v>1.3771250244591477E-4</v>
          </cell>
          <cell r="N740">
            <v>1.0440685613013162E-4</v>
          </cell>
          <cell r="O740">
            <v>1.2189995428431542E-4</v>
          </cell>
        </row>
        <row r="741">
          <cell r="A741" t="str">
            <v>D-RHNS_LTH_CHPNGA</v>
          </cell>
          <cell r="B741" t="str">
            <v>VAR_fout</v>
          </cell>
          <cell r="C741" t="str">
            <v>RHNS_LTH_CHPNGA_ON</v>
          </cell>
          <cell r="D741">
            <v>5.357320561136597E-5</v>
          </cell>
          <cell r="E741">
            <v>1.4760187952573569E-3</v>
          </cell>
          <cell r="F741">
            <v>7.7834216778873058E-3</v>
          </cell>
          <cell r="G741">
            <v>8.814825406094776E-3</v>
          </cell>
          <cell r="H741">
            <v>2.3618269452950633E-2</v>
          </cell>
          <cell r="I741">
            <v>2.3037516847283723E-2</v>
          </cell>
          <cell r="J741">
            <v>3.7283045914823808E-2</v>
          </cell>
          <cell r="K741">
            <v>5.7766099064355897E-2</v>
          </cell>
          <cell r="L741">
            <v>4.853849863368679E-2</v>
          </cell>
          <cell r="M741">
            <v>5.4672312786097431E-2</v>
          </cell>
          <cell r="N741">
            <v>3.7198066585374986E-2</v>
          </cell>
          <cell r="O741">
            <v>3.0761482802719987E-2</v>
          </cell>
        </row>
        <row r="742">
          <cell r="A742" t="str">
            <v>D-RHNS_LTH_CHPNGA</v>
          </cell>
          <cell r="B742" t="str">
            <v>VAR_fin</v>
          </cell>
          <cell r="C742" t="str">
            <v>RHNS_LTH_CHPNGA</v>
          </cell>
          <cell r="D742">
            <v>7.4443960717750503E-5</v>
          </cell>
          <cell r="E742">
            <v>1.4847468987837463E-3</v>
          </cell>
          <cell r="F742">
            <v>8.8877393468962361E-3</v>
          </cell>
          <cell r="G742">
            <v>8.870497294779468E-3</v>
          </cell>
          <cell r="H742">
            <v>2.4933732288791539E-2</v>
          </cell>
          <cell r="I742">
            <v>2.4815800785695237E-2</v>
          </cell>
          <cell r="J742">
            <v>3.7441900409872088E-2</v>
          </cell>
          <cell r="K742">
            <v>5.8066233205978923E-2</v>
          </cell>
          <cell r="L742">
            <v>4.9228826007942803E-2</v>
          </cell>
          <cell r="M742">
            <v>5.7467613885982038E-2</v>
          </cell>
          <cell r="N742">
            <v>3.7490821062450823E-2</v>
          </cell>
          <cell r="O742">
            <v>3.8728093826139953E-2</v>
          </cell>
        </row>
        <row r="743">
          <cell r="A743" t="str">
            <v>D-SLFO</v>
          </cell>
          <cell r="B743" t="str">
            <v>VAR_fout</v>
          </cell>
          <cell r="C743" t="str">
            <v>CO2</v>
          </cell>
          <cell r="D743">
            <v>2267.78874396118</v>
          </cell>
          <cell r="E743">
            <v>2014.16795009053</v>
          </cell>
          <cell r="F743">
            <v>1905.2960348070401</v>
          </cell>
          <cell r="G743">
            <v>1614.5926267339601</v>
          </cell>
          <cell r="H743">
            <v>1272.3265587865601</v>
          </cell>
          <cell r="I743">
            <v>1073.9992601290601</v>
          </cell>
          <cell r="J743">
            <v>966.94041350769203</v>
          </cell>
          <cell r="K743">
            <v>803.77275028589702</v>
          </cell>
          <cell r="L743">
            <v>664.88667127292103</v>
          </cell>
          <cell r="M743">
            <v>553.07324500763502</v>
          </cell>
          <cell r="N743">
            <v>304.45334880915198</v>
          </cell>
          <cell r="O743">
            <v>102.728304181929</v>
          </cell>
        </row>
        <row r="744">
          <cell r="A744" t="str">
            <v>D-SLFO</v>
          </cell>
          <cell r="B744" t="str">
            <v>VAR_fout</v>
          </cell>
          <cell r="C744" t="str">
            <v>SLFO</v>
          </cell>
          <cell r="D744">
            <v>30.256635401172776</v>
          </cell>
          <cell r="E744">
            <v>26.872849362577067</v>
          </cell>
          <cell r="F744">
            <v>25.420544260016158</v>
          </cell>
          <cell r="G744">
            <v>21.542320800924575</v>
          </cell>
          <cell r="H744">
            <v>16.976441614788758</v>
          </cell>
          <cell r="I744">
            <v>14.32979737028127</v>
          </cell>
          <cell r="J744">
            <v>12.901431594580515</v>
          </cell>
          <cell r="K744">
            <v>10.725100313837938</v>
          </cell>
          <cell r="L744">
            <v>8.8714655587649904</v>
          </cell>
          <cell r="M744">
            <v>7.3802866729451795</v>
          </cell>
          <cell r="N744">
            <v>4.0629323292930852</v>
          </cell>
          <cell r="O744">
            <v>1.3726714091776095</v>
          </cell>
        </row>
        <row r="745">
          <cell r="A745" t="str">
            <v>D-SLFO</v>
          </cell>
          <cell r="B745" t="str">
            <v>VAR_fin</v>
          </cell>
          <cell r="C745" t="str">
            <v>LFO</v>
          </cell>
          <cell r="D745">
            <v>30.770539266773181</v>
          </cell>
          <cell r="E745">
            <v>27.3292801911876</v>
          </cell>
          <cell r="F745">
            <v>25.852049318955743</v>
          </cell>
          <cell r="G745">
            <v>21.907634012672386</v>
          </cell>
          <cell r="H745">
            <v>17.26358967145941</v>
          </cell>
          <cell r="I745">
            <v>14.572581548562608</v>
          </cell>
          <cell r="J745">
            <v>13.119951336603673</v>
          </cell>
          <cell r="K745">
            <v>10.906007466565775</v>
          </cell>
          <cell r="L745">
            <v>9.0215287825362562</v>
          </cell>
          <cell r="M745">
            <v>7.5043859566843203</v>
          </cell>
          <cell r="N745">
            <v>4.1309816663385694</v>
          </cell>
          <cell r="O745">
            <v>1.3938711557927901</v>
          </cell>
        </row>
        <row r="746">
          <cell r="A746" t="str">
            <v>D-SLFO</v>
          </cell>
          <cell r="B746" t="str">
            <v>VAR_fin</v>
          </cell>
          <cell r="C746" t="str">
            <v>BDS</v>
          </cell>
          <cell r="F746">
            <v>2.5845009794413253E-4</v>
          </cell>
          <cell r="G746">
            <v>5.7948540148550437E-4</v>
          </cell>
          <cell r="H746">
            <v>1.194671715489993E-3</v>
          </cell>
          <cell r="I746">
            <v>6.0502095435004425E-4</v>
          </cell>
          <cell r="J746">
            <v>6.0882979968245076E-4</v>
          </cell>
          <cell r="K746">
            <v>1.2565113925373317E-3</v>
          </cell>
          <cell r="L746">
            <v>6.1805067713719655E-4</v>
          </cell>
          <cell r="M746">
            <v>1.2532456113074364E-3</v>
          </cell>
          <cell r="N746">
            <v>9.5995734723345314E-4</v>
          </cell>
          <cell r="O746">
            <v>2.1127704848307189E-3</v>
          </cell>
        </row>
        <row r="747">
          <cell r="A747" t="str">
            <v>D-RCOA</v>
          </cell>
          <cell r="B747" t="str">
            <v>VAR_fout</v>
          </cell>
          <cell r="C747" t="str">
            <v>CO2</v>
          </cell>
          <cell r="D747">
            <v>9.2700950489061604</v>
          </cell>
          <cell r="E747">
            <v>9.2700633362314608</v>
          </cell>
          <cell r="F747">
            <v>0.52747082177212001</v>
          </cell>
          <cell r="G747">
            <v>0.44507791756814702</v>
          </cell>
          <cell r="H747">
            <v>0.18061800400389999</v>
          </cell>
        </row>
        <row r="748">
          <cell r="A748" t="str">
            <v>D-RCOA</v>
          </cell>
          <cell r="B748" t="str">
            <v>VAR_fout</v>
          </cell>
          <cell r="C748" t="str">
            <v>RCOA</v>
          </cell>
          <cell r="D748">
            <v>0.10000102533879353</v>
          </cell>
          <cell r="E748">
            <v>0.10000068323874284</v>
          </cell>
          <cell r="F748">
            <v>5.6900843772612819E-3</v>
          </cell>
          <cell r="G748">
            <v>4.8012720341763428E-3</v>
          </cell>
          <cell r="H748">
            <v>1.9484142826742188E-3</v>
          </cell>
        </row>
        <row r="749">
          <cell r="A749" t="str">
            <v>D-RCOA</v>
          </cell>
          <cell r="B749" t="str">
            <v>VAR_fin</v>
          </cell>
          <cell r="C749" t="str">
            <v>COA</v>
          </cell>
          <cell r="D749">
            <v>0.10000102533879353</v>
          </cell>
          <cell r="E749">
            <v>0.10000068323874284</v>
          </cell>
          <cell r="F749">
            <v>5.6900843772612819E-3</v>
          </cell>
          <cell r="G749">
            <v>4.8012720341763428E-3</v>
          </cell>
          <cell r="H749">
            <v>1.9484142826742188E-3</v>
          </cell>
        </row>
        <row r="750">
          <cell r="A750" t="str">
            <v>SCOM-ELCSPECDC</v>
          </cell>
          <cell r="B750" t="str">
            <v>VAR_fout</v>
          </cell>
          <cell r="C750" t="str">
            <v>SCOM-ELSDC</v>
          </cell>
          <cell r="F750">
            <v>10.487579723257756</v>
          </cell>
          <cell r="G750">
            <v>10.340289210629201</v>
          </cell>
          <cell r="H750">
            <v>10.170100600289807</v>
          </cell>
          <cell r="I750">
            <v>9.9999119899503377</v>
          </cell>
          <cell r="J750">
            <v>10.085006295120101</v>
          </cell>
          <cell r="K750">
            <v>9.4977989814225499</v>
          </cell>
          <cell r="L750">
            <v>9.4977989814225499</v>
          </cell>
          <cell r="M750">
            <v>9.4977989814225499</v>
          </cell>
          <cell r="N750">
            <v>9.4977989814225499</v>
          </cell>
          <cell r="O750">
            <v>9.4977989814225499</v>
          </cell>
        </row>
        <row r="751">
          <cell r="A751" t="str">
            <v>SCOM-ELCSPECDC</v>
          </cell>
          <cell r="B751" t="str">
            <v>VAR_fin</v>
          </cell>
          <cell r="C751" t="str">
            <v>SCOM_ELC</v>
          </cell>
          <cell r="F751">
            <v>10.487579723257756</v>
          </cell>
          <cell r="G751">
            <v>10.340289210629201</v>
          </cell>
          <cell r="H751">
            <v>10.170100600289807</v>
          </cell>
          <cell r="I751">
            <v>9.9999119899503377</v>
          </cell>
          <cell r="J751">
            <v>10.085006295120101</v>
          </cell>
          <cell r="K751">
            <v>9.4977989814225499</v>
          </cell>
          <cell r="L751">
            <v>9.4977989814225499</v>
          </cell>
          <cell r="M751">
            <v>9.4977989814225499</v>
          </cell>
          <cell r="N751">
            <v>9.4977989814225499</v>
          </cell>
          <cell r="O751">
            <v>9.4977989814225499</v>
          </cell>
        </row>
        <row r="752">
          <cell r="A752" t="str">
            <v>D-RHEM_KEV_WOD_ELC_CHP</v>
          </cell>
          <cell r="B752" t="str">
            <v>VAR_fout</v>
          </cell>
          <cell r="C752" t="str">
            <v>ELC5</v>
          </cell>
          <cell r="G752">
            <v>2.1242677635306597E-3</v>
          </cell>
          <cell r="H752">
            <v>3.0448970447026903E-3</v>
          </cell>
          <cell r="I752">
            <v>2.8490986450454181E-3</v>
          </cell>
          <cell r="J752">
            <v>3.4408898237403471E-3</v>
          </cell>
          <cell r="K752">
            <v>7.535852151680034E-3</v>
          </cell>
          <cell r="L752">
            <v>7.0904003222055289E-3</v>
          </cell>
          <cell r="M752">
            <v>6.2323783059340231E-3</v>
          </cell>
          <cell r="N752">
            <v>6.878444714514661E-3</v>
          </cell>
          <cell r="O752">
            <v>1.256517817978341E-2</v>
          </cell>
        </row>
        <row r="753">
          <cell r="A753" t="str">
            <v>D-RHEM_KEV_WOD_ELC_CHP</v>
          </cell>
          <cell r="B753" t="str">
            <v>VAR_fout</v>
          </cell>
          <cell r="C753" t="str">
            <v>RHEM_ELC</v>
          </cell>
          <cell r="G753">
            <v>2.1221509898435185E-3</v>
          </cell>
          <cell r="H753">
            <v>3.0338804046490951E-3</v>
          </cell>
          <cell r="I753">
            <v>2.8431816810806404E-3</v>
          </cell>
          <cell r="J753">
            <v>3.4258502416778967E-3</v>
          </cell>
          <cell r="K753">
            <v>7.4940738106376303E-3</v>
          </cell>
          <cell r="L753">
            <v>7.048981495668437E-3</v>
          </cell>
          <cell r="M753">
            <v>6.2084505383541806E-3</v>
          </cell>
          <cell r="N753">
            <v>6.8689882254924419E-3</v>
          </cell>
          <cell r="O753">
            <v>1.2539205229050878E-2</v>
          </cell>
        </row>
        <row r="754">
          <cell r="A754" t="str">
            <v>D-RHEM_KEV_WOD_ELC_CHP</v>
          </cell>
          <cell r="B754" t="str">
            <v>VAR_fin</v>
          </cell>
          <cell r="C754" t="str">
            <v>RHEM_KEV_WOD_ELC_CHP</v>
          </cell>
          <cell r="G754">
            <v>4.2427859818963201E-3</v>
          </cell>
          <cell r="H754">
            <v>6.07230761373438E-3</v>
          </cell>
          <cell r="I754">
            <v>5.6801053877399837E-3</v>
          </cell>
          <cell r="J754">
            <v>6.8545651270321755E-3</v>
          </cell>
          <cell r="K754">
            <v>1.5005576085545513E-2</v>
          </cell>
          <cell r="L754">
            <v>1.4127206879487902E-2</v>
          </cell>
          <cell r="M754">
            <v>1.2416478967516053E-2</v>
          </cell>
          <cell r="N754">
            <v>1.3735301639393026E-2</v>
          </cell>
          <cell r="O754">
            <v>2.508046990978207E-2</v>
          </cell>
        </row>
        <row r="755">
          <cell r="A755" t="str">
            <v>RHES-SHSTG-SOL</v>
          </cell>
          <cell r="B755" t="str">
            <v>VAR_fout</v>
          </cell>
          <cell r="C755" t="str">
            <v>RHES-SHASOL</v>
          </cell>
          <cell r="D755">
            <v>6.5951716185077883E-5</v>
          </cell>
          <cell r="E755">
            <v>5.4576625282468307E-5</v>
          </cell>
          <cell r="F755">
            <v>5.9278033653452217E-2</v>
          </cell>
          <cell r="G755">
            <v>5.6398181489795515E-2</v>
          </cell>
          <cell r="H755">
            <v>6.9227164929283005E-2</v>
          </cell>
          <cell r="I755">
            <v>6.7715587719775691E-2</v>
          </cell>
          <cell r="J755">
            <v>5.6966617832682399E-2</v>
          </cell>
          <cell r="K755">
            <v>6.3875589852025585E-2</v>
          </cell>
          <cell r="L755">
            <v>6.2544083681716378E-2</v>
          </cell>
          <cell r="M755">
            <v>4.6054196814635698E-2</v>
          </cell>
          <cell r="N755">
            <v>5.7558249864293441E-2</v>
          </cell>
          <cell r="O755">
            <v>3.4514046867560731E-2</v>
          </cell>
        </row>
        <row r="756">
          <cell r="A756" t="str">
            <v>RHES-SHSTG-SOL</v>
          </cell>
          <cell r="B756" t="str">
            <v>VAR_fin</v>
          </cell>
          <cell r="C756" t="str">
            <v>RHES-SHASOL</v>
          </cell>
          <cell r="D756">
            <v>1.6145348325065713E-6</v>
          </cell>
          <cell r="E756">
            <v>2.6021461914822997E-6</v>
          </cell>
          <cell r="F756">
            <v>5.9230923826316138E-2</v>
          </cell>
          <cell r="G756">
            <v>5.6352777124765274E-2</v>
          </cell>
          <cell r="H756">
            <v>6.9175629735765631E-2</v>
          </cell>
          <cell r="I756">
            <v>6.769339761975772E-2</v>
          </cell>
          <cell r="J756">
            <v>5.690377614712723E-2</v>
          </cell>
          <cell r="K756">
            <v>6.3813428081140502E-2</v>
          </cell>
          <cell r="L756">
            <v>6.252153786971662E-2</v>
          </cell>
          <cell r="M756">
            <v>4.5983023412929334E-2</v>
          </cell>
          <cell r="N756">
            <v>5.7522299529120365E-2</v>
          </cell>
          <cell r="O756">
            <v>3.4412503722415437E-2</v>
          </cell>
        </row>
        <row r="757">
          <cell r="A757" t="str">
            <v>RHES-SHSTG-SOL</v>
          </cell>
          <cell r="B757" t="str">
            <v>VAR_ncap</v>
          </cell>
          <cell r="C757" t="str">
            <v>-</v>
          </cell>
          <cell r="D757">
            <v>1.17083532837139E-3</v>
          </cell>
          <cell r="E757">
            <v>9.8474714054298008E-3</v>
          </cell>
          <cell r="F757">
            <v>2.7338967417620799E-5</v>
          </cell>
          <cell r="G757">
            <v>1.20825833408044E-6</v>
          </cell>
          <cell r="H757">
            <v>5.4360359653399699E-3</v>
          </cell>
          <cell r="I757">
            <v>4.9983600832105603E-3</v>
          </cell>
          <cell r="J757">
            <v>1.11376092710789E-7</v>
          </cell>
          <cell r="K757">
            <v>5.0978823821570098E-3</v>
          </cell>
          <cell r="L757">
            <v>3.9431047855922503E-3</v>
          </cell>
          <cell r="M757">
            <v>2.1279442599104801E-6</v>
          </cell>
          <cell r="N757">
            <v>5.58110695050173E-3</v>
          </cell>
          <cell r="O757">
            <v>4.3771204936792396E-6</v>
          </cell>
        </row>
        <row r="758">
          <cell r="A758" t="str">
            <v>RHES-SHSTG-SOL</v>
          </cell>
          <cell r="B758" t="str">
            <v>VAR_cap</v>
          </cell>
          <cell r="C758" t="str">
            <v>-</v>
          </cell>
          <cell r="D758">
            <v>1.17083532837139E-3</v>
          </cell>
          <cell r="E758">
            <v>1.1018306733801201E-2</v>
          </cell>
          <cell r="F758">
            <v>1.10456457012188E-2</v>
          </cell>
          <cell r="G758">
            <v>1.10468539595529E-2</v>
          </cell>
          <cell r="H758">
            <v>1.08135121125009E-2</v>
          </cell>
          <cell r="I758">
            <v>1.0441115538973301E-2</v>
          </cell>
          <cell r="J758">
            <v>1.04345074246432E-2</v>
          </cell>
          <cell r="K758">
            <v>1.00963538414603E-2</v>
          </cell>
          <cell r="L758">
            <v>9.8091021966301793E-3</v>
          </cell>
          <cell r="M758">
            <v>9.0431151120091806E-3</v>
          </cell>
          <cell r="N758">
            <v>9.1792682129456793E-3</v>
          </cell>
          <cell r="O758">
            <v>5.5876120152553201E-3</v>
          </cell>
        </row>
        <row r="759">
          <cell r="A759" t="str">
            <v>D-ITOT_LTH</v>
          </cell>
          <cell r="B759" t="str">
            <v>VAR_fout</v>
          </cell>
          <cell r="C759" t="str">
            <v>ITOT_LTH_DH</v>
          </cell>
          <cell r="D759">
            <v>7.1200251353564621</v>
          </cell>
          <cell r="E759">
            <v>7.6289168031731593</v>
          </cell>
          <cell r="F759">
            <v>7.3930076227438173</v>
          </cell>
          <cell r="G759">
            <v>7.8105899621730286</v>
          </cell>
          <cell r="H759">
            <v>7.3798266406560584</v>
          </cell>
          <cell r="I759">
            <v>7.2754691167952323</v>
          </cell>
          <cell r="J759">
            <v>8.8814536349795929</v>
          </cell>
          <cell r="K759">
            <v>9.2265677920740412</v>
          </cell>
          <cell r="L759">
            <v>9.1450093626187385</v>
          </cell>
          <cell r="M759">
            <v>9.385315469046402</v>
          </cell>
          <cell r="N759">
            <v>9.0427894829380051</v>
          </cell>
          <cell r="O759">
            <v>8.9636582647404826</v>
          </cell>
        </row>
        <row r="760">
          <cell r="A760" t="str">
            <v>D-ITOT_LTH</v>
          </cell>
          <cell r="B760" t="str">
            <v>VAR_fin</v>
          </cell>
          <cell r="C760" t="str">
            <v>LTH</v>
          </cell>
          <cell r="D760">
            <v>7.7403630158372456</v>
          </cell>
          <cell r="E760">
            <v>8.2914126206211769</v>
          </cell>
          <cell r="F760">
            <v>8.031850764644517</v>
          </cell>
          <cell r="G760">
            <v>8.4799477618401067</v>
          </cell>
          <cell r="H760">
            <v>8.0070132369058467</v>
          </cell>
          <cell r="I760">
            <v>7.8886125009476213</v>
          </cell>
          <cell r="J760">
            <v>9.6236339783570362</v>
          </cell>
          <cell r="K760">
            <v>9.9910430277758184</v>
          </cell>
          <cell r="L760">
            <v>9.9027270042740305</v>
          </cell>
          <cell r="M760">
            <v>10.162943880501667</v>
          </cell>
          <cell r="N760">
            <v>9.7920376082602978</v>
          </cell>
          <cell r="O760">
            <v>9.7063499046994153</v>
          </cell>
        </row>
        <row r="761">
          <cell r="A761" t="str">
            <v>D-ITOT_LTH</v>
          </cell>
          <cell r="B761" t="str">
            <v>VAR_ncap</v>
          </cell>
          <cell r="C761" t="str">
            <v>-</v>
          </cell>
          <cell r="D761">
            <v>0.795473528655254</v>
          </cell>
          <cell r="E761">
            <v>1.63187734427994E-7</v>
          </cell>
          <cell r="F761">
            <v>1.8423863634507801E-7</v>
          </cell>
          <cell r="G761">
            <v>2.0883583055187899E-7</v>
          </cell>
          <cell r="H761">
            <v>6.6097161256164102E-7</v>
          </cell>
          <cell r="I761">
            <v>3.4350669224313202E-7</v>
          </cell>
          <cell r="J761">
            <v>4.38971373946319E-7</v>
          </cell>
          <cell r="K761">
            <v>6.2940534355298796E-7</v>
          </cell>
          <cell r="L761">
            <v>6.1554154780135195E-7</v>
          </cell>
          <cell r="M761">
            <v>1.31268815409742E-6</v>
          </cell>
          <cell r="N761">
            <v>1.9559923514657202E-6</v>
          </cell>
          <cell r="O761">
            <v>7.0240280958621101E-6</v>
          </cell>
        </row>
        <row r="762">
          <cell r="A762" t="str">
            <v>D-ITOT_LTH</v>
          </cell>
          <cell r="B762" t="str">
            <v>VAR_cap</v>
          </cell>
          <cell r="C762" t="str">
            <v>-</v>
          </cell>
          <cell r="D762">
            <v>0.795473528655254</v>
          </cell>
          <cell r="E762">
            <v>0.79547369184298899</v>
          </cell>
          <cell r="F762">
            <v>0.79547387608162501</v>
          </cell>
          <cell r="G762">
            <v>0.79547408491745597</v>
          </cell>
          <cell r="H762">
            <v>0.79547474588906797</v>
          </cell>
          <cell r="I762">
            <v>0.79547508939575995</v>
          </cell>
          <cell r="J762">
            <v>0.79547552836713398</v>
          </cell>
          <cell r="K762">
            <v>0.79547615777247804</v>
          </cell>
          <cell r="L762">
            <v>0.795476773314026</v>
          </cell>
          <cell r="M762">
            <v>0.79547808600217995</v>
          </cell>
          <cell r="N762">
            <v>0.79548004199453104</v>
          </cell>
          <cell r="O762">
            <v>0.79548706602262698</v>
          </cell>
        </row>
        <row r="763">
          <cell r="A763" t="str">
            <v>D-IH2</v>
          </cell>
          <cell r="B763" t="str">
            <v>VAR_fout</v>
          </cell>
          <cell r="C763" t="str">
            <v>IH2</v>
          </cell>
          <cell r="G763">
            <v>1.696854427467121E-3</v>
          </cell>
          <cell r="H763">
            <v>5.570022805749664E-3</v>
          </cell>
          <cell r="I763">
            <v>7.2583724580919671E-3</v>
          </cell>
          <cell r="J763">
            <v>7.3738237141643291E-3</v>
          </cell>
          <cell r="K763">
            <v>2.2718838434224932E-2</v>
          </cell>
          <cell r="L763">
            <v>2.7239784494522232E-2</v>
          </cell>
          <cell r="M763">
            <v>0.13686023020035873</v>
          </cell>
          <cell r="N763">
            <v>0.12171784711649089</v>
          </cell>
          <cell r="O763">
            <v>0.12175636882641018</v>
          </cell>
        </row>
        <row r="764">
          <cell r="A764" t="str">
            <v>D-IH2</v>
          </cell>
          <cell r="B764" t="str">
            <v>VAR_fin</v>
          </cell>
          <cell r="C764" t="str">
            <v>H2</v>
          </cell>
          <cell r="G764">
            <v>1.7097817229062247E-3</v>
          </cell>
          <cell r="H764">
            <v>5.6124574007549418E-3</v>
          </cell>
          <cell r="I764">
            <v>7.3136695558594401E-3</v>
          </cell>
          <cell r="J764">
            <v>7.4300003643977663E-3</v>
          </cell>
          <cell r="K764">
            <v>2.289191936074312E-2</v>
          </cell>
          <cell r="L764">
            <v>2.7447307742337838E-2</v>
          </cell>
          <cell r="M764">
            <v>0.13790288453830621</v>
          </cell>
          <cell r="N764">
            <v>0.12264514090458291</v>
          </cell>
          <cell r="O764">
            <v>0.12268395608783547</v>
          </cell>
        </row>
        <row r="765">
          <cell r="A765" t="str">
            <v>D-IH2</v>
          </cell>
          <cell r="B765" t="str">
            <v>VAR_ncap</v>
          </cell>
          <cell r="C765" t="str">
            <v>-</v>
          </cell>
          <cell r="G765">
            <v>4.55554203401749E-4</v>
          </cell>
          <cell r="H765">
            <v>4.8053259761683301E-4</v>
          </cell>
          <cell r="I765">
            <v>7.4544462147166506E-5</v>
          </cell>
          <cell r="J765">
            <v>4.2011692343186601E-5</v>
          </cell>
          <cell r="K765">
            <v>1.47345328730426E-3</v>
          </cell>
          <cell r="L765">
            <v>2.5633751309173302E-5</v>
          </cell>
          <cell r="M765">
            <v>9.6691941051505401E-3</v>
          </cell>
          <cell r="N765">
            <v>6.0255074703477201E-5</v>
          </cell>
          <cell r="O765">
            <v>4.8195290723050899E-4</v>
          </cell>
        </row>
        <row r="766">
          <cell r="A766" t="str">
            <v>D-IH2</v>
          </cell>
          <cell r="B766" t="str">
            <v>VAR_cap</v>
          </cell>
          <cell r="C766" t="str">
            <v>-</v>
          </cell>
          <cell r="G766">
            <v>4.55554203401749E-4</v>
          </cell>
          <cell r="H766">
            <v>9.3608680101858201E-4</v>
          </cell>
          <cell r="I766">
            <v>1.0106312631657499E-3</v>
          </cell>
          <cell r="J766">
            <v>1.0526429555089401E-3</v>
          </cell>
          <cell r="K766">
            <v>2.5260962428131899E-3</v>
          </cell>
          <cell r="L766">
            <v>2.5517299941223599E-3</v>
          </cell>
          <cell r="M766">
            <v>1.22209240992729E-2</v>
          </cell>
          <cell r="N766">
            <v>1.2136762254804199E-2</v>
          </cell>
          <cell r="O766">
            <v>1.23075778778051E-2</v>
          </cell>
        </row>
        <row r="767">
          <cell r="A767" t="str">
            <v>D-RHNM_LTH_CHPWOD</v>
          </cell>
          <cell r="B767" t="str">
            <v>VAR_fout</v>
          </cell>
          <cell r="C767" t="str">
            <v>RHNM_LTH_CHPWOD_ON</v>
          </cell>
          <cell r="D767">
            <v>4.1266876330081412E-5</v>
          </cell>
          <cell r="E767">
            <v>4.277592713460216E-5</v>
          </cell>
          <cell r="F767">
            <v>1.8348402548250719E-5</v>
          </cell>
          <cell r="G767">
            <v>1.3065214621477946E-2</v>
          </cell>
          <cell r="H767">
            <v>1.2349152454401614E-2</v>
          </cell>
          <cell r="I767">
            <v>1.3347359623867548E-2</v>
          </cell>
          <cell r="J767">
            <v>1.1092098177455594E-2</v>
          </cell>
          <cell r="K767">
            <v>3.6087828582723983E-2</v>
          </cell>
          <cell r="L767">
            <v>2.8569094738253125E-2</v>
          </cell>
          <cell r="M767">
            <v>2.257276348296669E-2</v>
          </cell>
          <cell r="N767">
            <v>3.1205397574995491E-2</v>
          </cell>
          <cell r="O767">
            <v>3.4243116543587769E-2</v>
          </cell>
        </row>
        <row r="768">
          <cell r="A768" t="str">
            <v>D-RHNM_LTH_CHPWOD</v>
          </cell>
          <cell r="B768" t="str">
            <v>VAR_fout</v>
          </cell>
          <cell r="C768" t="str">
            <v>RHSA_LTH</v>
          </cell>
          <cell r="D768">
            <v>3.317342246197697E-5</v>
          </cell>
          <cell r="E768">
            <v>8.9119173027780348E-5</v>
          </cell>
          <cell r="F768">
            <v>5.10856049249983E-5</v>
          </cell>
          <cell r="G768">
            <v>5.1286495769773003E-5</v>
          </cell>
          <cell r="H768">
            <v>2.4717931988609576E-3</v>
          </cell>
          <cell r="I768">
            <v>1.8055306690516768E-4</v>
          </cell>
          <cell r="J768">
            <v>5.0634120402862906E-3</v>
          </cell>
          <cell r="K768">
            <v>1.2971525610346049E-4</v>
          </cell>
          <cell r="L768">
            <v>6.6460747441771037E-3</v>
          </cell>
          <cell r="M768">
            <v>7.0192016240701151E-3</v>
          </cell>
          <cell r="N768">
            <v>1.6516311872357531E-4</v>
          </cell>
          <cell r="O768">
            <v>1.136700372318971E-2</v>
          </cell>
        </row>
        <row r="769">
          <cell r="A769" t="str">
            <v>D-RHNM_LTH_CHPWOD</v>
          </cell>
          <cell r="B769" t="str">
            <v>VAR_fout</v>
          </cell>
          <cell r="C769" t="str">
            <v>LTH</v>
          </cell>
          <cell r="E769">
            <v>2.3135276789880629E-6</v>
          </cell>
          <cell r="F769">
            <v>4.526795956952407E-6</v>
          </cell>
          <cell r="G769">
            <v>8.3839887945777827E-6</v>
          </cell>
          <cell r="H769">
            <v>1.4606964072755421E-5</v>
          </cell>
          <cell r="I769">
            <v>1.7975089364291764E-5</v>
          </cell>
          <cell r="J769">
            <v>2.6295300362247743E-5</v>
          </cell>
          <cell r="K769">
            <v>6.9115456911265935E-5</v>
          </cell>
          <cell r="L769">
            <v>7.5801050396023592E-5</v>
          </cell>
          <cell r="M769">
            <v>7.5907983058081895E-5</v>
          </cell>
          <cell r="N769">
            <v>8.8946303064839363E-5</v>
          </cell>
          <cell r="O769">
            <v>1.4473286476383501E-4</v>
          </cell>
        </row>
        <row r="770">
          <cell r="A770" t="str">
            <v>D-RHNM_LTH_CHPWOD</v>
          </cell>
          <cell r="B770" t="str">
            <v>VAR_fin</v>
          </cell>
          <cell r="C770" t="str">
            <v>RHNM_LTH_CHPWOD</v>
          </cell>
          <cell r="D770">
            <v>7.444029879205845E-5</v>
          </cell>
          <cell r="E770">
            <v>1.3420862784137053E-4</v>
          </cell>
          <cell r="F770">
            <v>7.3960803430201346E-5</v>
          </cell>
          <cell r="G770">
            <v>1.3124985444656269E-2</v>
          </cell>
          <cell r="H770">
            <v>1.4835552617335331E-2</v>
          </cell>
          <cell r="I770">
            <v>1.3545887780137027E-2</v>
          </cell>
          <cell r="J770">
            <v>1.618180551810413E-2</v>
          </cell>
          <cell r="K770">
            <v>3.628665929573871E-2</v>
          </cell>
          <cell r="L770">
            <v>3.5290970532826212E-2</v>
          </cell>
          <cell r="M770">
            <v>2.9667873090094884E-2</v>
          </cell>
          <cell r="N770">
            <v>3.1459506996783883E-2</v>
          </cell>
          <cell r="O770">
            <v>4.5754853131541311E-2</v>
          </cell>
        </row>
        <row r="771">
          <cell r="A771" t="str">
            <v>RHNS-SHWODBR</v>
          </cell>
          <cell r="B771" t="str">
            <v>VAR_fout</v>
          </cell>
          <cell r="C771" t="str">
            <v>RHNS-SHWOD</v>
          </cell>
          <cell r="E771">
            <v>2.6570998006787618E-2</v>
          </cell>
          <cell r="F771">
            <v>9.2493729088166804E-2</v>
          </cell>
          <cell r="G771">
            <v>0.1027082211871192</v>
          </cell>
          <cell r="H771">
            <v>0.21211914176665872</v>
          </cell>
          <cell r="I771">
            <v>0.14388207526877947</v>
          </cell>
          <cell r="J771">
            <v>0.26596770561378152</v>
          </cell>
          <cell r="K771">
            <v>0.14434317516221859</v>
          </cell>
          <cell r="L771">
            <v>0.32302282138127014</v>
          </cell>
          <cell r="M771">
            <v>0.19777489384579605</v>
          </cell>
          <cell r="N771">
            <v>0.13289105659014669</v>
          </cell>
          <cell r="O771">
            <v>0.12295010975787284</v>
          </cell>
        </row>
        <row r="772">
          <cell r="A772" t="str">
            <v>RHNS-SHWODBR</v>
          </cell>
          <cell r="B772" t="str">
            <v>VAR_fin</v>
          </cell>
          <cell r="C772" t="str">
            <v>RHNSWODBRC</v>
          </cell>
          <cell r="E772">
            <v>2.6570998006787618E-2</v>
          </cell>
          <cell r="F772">
            <v>9.2493729088166804E-2</v>
          </cell>
          <cell r="G772">
            <v>0.1027082211871192</v>
          </cell>
          <cell r="H772">
            <v>0.21211914176665872</v>
          </cell>
          <cell r="I772">
            <v>0.14388207526877947</v>
          </cell>
          <cell r="J772">
            <v>0.26596770561378152</v>
          </cell>
          <cell r="K772">
            <v>0.14434317516221859</v>
          </cell>
          <cell r="L772">
            <v>0.32302282138127014</v>
          </cell>
          <cell r="M772">
            <v>0.19777489384579605</v>
          </cell>
          <cell r="N772">
            <v>0.13289105659014669</v>
          </cell>
          <cell r="O772">
            <v>0.12295010975787284</v>
          </cell>
        </row>
        <row r="773">
          <cell r="A773" t="str">
            <v>RHNS-SHWODBR</v>
          </cell>
          <cell r="B773" t="str">
            <v>VAR_fin</v>
          </cell>
          <cell r="C773" t="str">
            <v>RWOD</v>
          </cell>
          <cell r="E773">
            <v>3.6904163898316134E-2</v>
          </cell>
          <cell r="F773">
            <v>0.12846351262245387</v>
          </cell>
          <cell r="G773">
            <v>0.14265030720433217</v>
          </cell>
          <cell r="H773">
            <v>0.29460991912035939</v>
          </cell>
          <cell r="I773">
            <v>0.19983621565108267</v>
          </cell>
          <cell r="J773">
            <v>0.36939959113025234</v>
          </cell>
          <cell r="K773">
            <v>0.20047663216974818</v>
          </cell>
          <cell r="L773">
            <v>0.4486428074739861</v>
          </cell>
          <cell r="M773">
            <v>0.27468735256360549</v>
          </cell>
          <cell r="N773">
            <v>0.18457091193075936</v>
          </cell>
          <cell r="O773">
            <v>0.17076404133037901</v>
          </cell>
        </row>
        <row r="774">
          <cell r="A774" t="str">
            <v>RHNS-SHWODBR</v>
          </cell>
          <cell r="B774" t="str">
            <v>VAR_ncap</v>
          </cell>
          <cell r="C774" t="str">
            <v>-</v>
          </cell>
          <cell r="E774">
            <v>2.1035830991346502E-3</v>
          </cell>
          <cell r="F774">
            <v>5.4879320356863203E-3</v>
          </cell>
          <cell r="H774">
            <v>9.3672597361304892E-3</v>
          </cell>
          <cell r="J774">
            <v>1.0571483221318199E-2</v>
          </cell>
          <cell r="L774">
            <v>1.4492667122181901E-2</v>
          </cell>
          <cell r="M774">
            <v>4.2682196215538597E-5</v>
          </cell>
          <cell r="N774">
            <v>1.7355563346531302E-5</v>
          </cell>
          <cell r="O774">
            <v>9.1384324154842895E-3</v>
          </cell>
        </row>
        <row r="775">
          <cell r="A775" t="str">
            <v>RHNS-SHWODBR</v>
          </cell>
          <cell r="B775" t="str">
            <v>VAR_cap</v>
          </cell>
          <cell r="C775" t="str">
            <v>-</v>
          </cell>
          <cell r="E775">
            <v>2.1035830991346502E-3</v>
          </cell>
          <cell r="F775">
            <v>7.5909289168461184E-3</v>
          </cell>
          <cell r="G775">
            <v>7.5904659288467827E-3</v>
          </cell>
          <cell r="H775">
            <v>1.5926521413602436E-2</v>
          </cell>
          <cell r="I775">
            <v>1.0518740682019559E-2</v>
          </cell>
          <cell r="J775">
            <v>1.9932423629161915E-2</v>
          </cell>
          <cell r="K775">
            <v>1.0571274809944449E-2</v>
          </cell>
          <cell r="L775">
            <v>2.3662721206785094E-2</v>
          </cell>
          <cell r="M775">
            <v>1.4534883907458388E-2</v>
          </cell>
          <cell r="N775">
            <v>9.9560200937083339E-3</v>
          </cell>
          <cell r="O775">
            <v>9.196812674120397E-3</v>
          </cell>
        </row>
        <row r="776">
          <cell r="A776" t="str">
            <v>D-RHNM_NKEV_GAS_ELC_CHP</v>
          </cell>
          <cell r="B776" t="str">
            <v>VAR_fout</v>
          </cell>
          <cell r="C776" t="str">
            <v>ELC5</v>
          </cell>
          <cell r="E776">
            <v>7.1299362608715302E-4</v>
          </cell>
          <cell r="F776">
            <v>1.3255233918473776E-2</v>
          </cell>
          <cell r="G776">
            <v>0.19069255827974468</v>
          </cell>
          <cell r="H776">
            <v>0.20422639903990139</v>
          </cell>
          <cell r="I776">
            <v>0.21005485448615505</v>
          </cell>
          <cell r="J776">
            <v>0.22832372526858058</v>
          </cell>
          <cell r="K776">
            <v>0.22781592522514782</v>
          </cell>
          <cell r="L776">
            <v>0.22404113104129411</v>
          </cell>
          <cell r="M776">
            <v>0.22719790998553629</v>
          </cell>
          <cell r="N776">
            <v>0.14446815567654342</v>
          </cell>
          <cell r="O776">
            <v>6.165810012815829E-2</v>
          </cell>
        </row>
        <row r="777">
          <cell r="A777" t="str">
            <v>D-RHNM_NKEV_GAS_ELC_CHP</v>
          </cell>
          <cell r="B777" t="str">
            <v>VAR_fout</v>
          </cell>
          <cell r="C777" t="str">
            <v>RHNM_ELC</v>
          </cell>
          <cell r="E777">
            <v>7.1374719479349853E-4</v>
          </cell>
          <cell r="F777">
            <v>1.3198024937468994E-2</v>
          </cell>
          <cell r="G777">
            <v>0.18816748665122823</v>
          </cell>
          <cell r="H777">
            <v>0.19566509062667209</v>
          </cell>
          <cell r="I777">
            <v>0.20615634614684297</v>
          </cell>
          <cell r="J777">
            <v>0.21972899875125054</v>
          </cell>
          <cell r="K777">
            <v>0.21728374561004446</v>
          </cell>
          <cell r="L777">
            <v>0.21484079875413539</v>
          </cell>
          <cell r="M777">
            <v>0.21718965243222191</v>
          </cell>
          <cell r="N777">
            <v>0.14233620820920484</v>
          </cell>
          <cell r="O777">
            <v>6.0077881546346593E-2</v>
          </cell>
        </row>
        <row r="778">
          <cell r="A778" t="str">
            <v>D-RHNM_NKEV_GAS_ELC_CHP</v>
          </cell>
          <cell r="B778" t="str">
            <v>VAR_fin</v>
          </cell>
          <cell r="C778" t="str">
            <v>RHNM_NKEV_GAS_ELC_CHP</v>
          </cell>
          <cell r="E778">
            <v>1.426740820880652E-3</v>
          </cell>
          <cell r="F778">
            <v>2.6447449243525604E-2</v>
          </cell>
          <cell r="G778">
            <v>0.37886004493097297</v>
          </cell>
          <cell r="H778">
            <v>0.39989148966657351</v>
          </cell>
          <cell r="I778">
            <v>0.41621120063299799</v>
          </cell>
          <cell r="J778">
            <v>0.44805272401983115</v>
          </cell>
          <cell r="K778">
            <v>0.4450996708351922</v>
          </cell>
          <cell r="L778">
            <v>0.43888192979542928</v>
          </cell>
          <cell r="M778">
            <v>0.44438756241775867</v>
          </cell>
          <cell r="N778">
            <v>0.28680436388574826</v>
          </cell>
          <cell r="O778">
            <v>0.12173598167450492</v>
          </cell>
        </row>
        <row r="779">
          <cell r="A779" t="str">
            <v>D-RLFO</v>
          </cell>
          <cell r="B779" t="str">
            <v>VAR_fout</v>
          </cell>
          <cell r="C779" t="str">
            <v>CO2</v>
          </cell>
          <cell r="D779">
            <v>4514.4840784235103</v>
          </cell>
          <cell r="E779">
            <v>3846.5243655877698</v>
          </cell>
          <cell r="F779">
            <v>3365.8635163869899</v>
          </cell>
          <cell r="G779">
            <v>3434.4869039677401</v>
          </cell>
          <cell r="H779">
            <v>2740.26597509256</v>
          </cell>
          <cell r="I779">
            <v>2516.2717325983499</v>
          </cell>
          <cell r="J779">
            <v>2380.2887812859899</v>
          </cell>
          <cell r="K779">
            <v>2059.5751711889402</v>
          </cell>
          <cell r="L779">
            <v>1919.7866091452399</v>
          </cell>
          <cell r="M779">
            <v>1639.0927941739899</v>
          </cell>
          <cell r="N779">
            <v>1246.1168177479301</v>
          </cell>
          <cell r="O779">
            <v>492.031060339227</v>
          </cell>
        </row>
        <row r="780">
          <cell r="A780" t="str">
            <v>D-RLFO</v>
          </cell>
          <cell r="B780" t="str">
            <v>VAR_fout</v>
          </cell>
          <cell r="C780" t="str">
            <v>RLFO</v>
          </cell>
          <cell r="D780">
            <v>60.231844411869858</v>
          </cell>
          <cell r="E780">
            <v>51.319985426873835</v>
          </cell>
          <cell r="F780">
            <v>44.907305484420213</v>
          </cell>
          <cell r="G780">
            <v>45.823194367136971</v>
          </cell>
          <cell r="H780">
            <v>36.56155975905228</v>
          </cell>
          <cell r="I780">
            <v>33.572469807492212</v>
          </cell>
          <cell r="J780">
            <v>31.758201354691881</v>
          </cell>
          <cell r="K780">
            <v>27.479907693040879</v>
          </cell>
          <cell r="L780">
            <v>25.614234240568198</v>
          </cell>
          <cell r="M780">
            <v>21.869881443392849</v>
          </cell>
          <cell r="N780">
            <v>16.626536229137763</v>
          </cell>
          <cell r="O780">
            <v>6.5667801795003129</v>
          </cell>
        </row>
        <row r="781">
          <cell r="A781" t="str">
            <v>D-RLFO</v>
          </cell>
          <cell r="B781" t="str">
            <v>VAR_fin</v>
          </cell>
          <cell r="C781" t="str">
            <v>LFO</v>
          </cell>
          <cell r="D781">
            <v>61.254872163141258</v>
          </cell>
          <cell r="E781">
            <v>52.191646751530065</v>
          </cell>
          <cell r="F781">
            <v>45.669789910271234</v>
          </cell>
          <cell r="G781">
            <v>46.600907787893355</v>
          </cell>
          <cell r="H781">
            <v>37.181356514146046</v>
          </cell>
          <cell r="I781">
            <v>34.142085923993925</v>
          </cell>
          <cell r="J781">
            <v>32.29699838922641</v>
          </cell>
          <cell r="K781">
            <v>27.945389025630089</v>
          </cell>
          <cell r="L781">
            <v>26.048664981617897</v>
          </cell>
          <cell r="M781">
            <v>22.240065049850557</v>
          </cell>
          <cell r="N781">
            <v>16.90796224895427</v>
          </cell>
          <cell r="O781">
            <v>6.6761337902201721</v>
          </cell>
        </row>
        <row r="782">
          <cell r="A782" t="str">
            <v>D-RLFO</v>
          </cell>
          <cell r="B782" t="str">
            <v>VAR_fin</v>
          </cell>
          <cell r="C782" t="str">
            <v>BDS</v>
          </cell>
          <cell r="F782">
            <v>2.5866606909970329E-4</v>
          </cell>
          <cell r="G782">
            <v>5.8583186036264786E-4</v>
          </cell>
          <cell r="H782">
            <v>1.1952032708317372E-3</v>
          </cell>
          <cell r="I782">
            <v>6.066390381731521E-4</v>
          </cell>
          <cell r="J782">
            <v>6.107023949368718E-4</v>
          </cell>
          <cell r="K782">
            <v>1.2602511161521365E-3</v>
          </cell>
          <cell r="L782">
            <v>6.2275711436016309E-4</v>
          </cell>
          <cell r="M782">
            <v>1.2726245444069193E-3</v>
          </cell>
          <cell r="N782">
            <v>9.7291137729692214E-4</v>
          </cell>
          <cell r="O782">
            <v>2.1820142225964395E-3</v>
          </cell>
        </row>
        <row r="783">
          <cell r="A783" t="str">
            <v>D-SCOM_LTH_CHPBIO</v>
          </cell>
          <cell r="B783" t="str">
            <v>VAR_fout</v>
          </cell>
          <cell r="C783" t="str">
            <v>SCOM_LTH_CHPBIO_ON</v>
          </cell>
          <cell r="D783">
            <v>1.4243197305400206</v>
          </cell>
          <cell r="E783">
            <v>1.5428048032674524</v>
          </cell>
          <cell r="F783">
            <v>1.394151407204874</v>
          </cell>
          <cell r="G783">
            <v>1.1566957317074429</v>
          </cell>
          <cell r="H783">
            <v>0.93954649602992601</v>
          </cell>
          <cell r="I783">
            <v>0.75097353763596597</v>
          </cell>
          <cell r="J783">
            <v>0.69067623949288637</v>
          </cell>
          <cell r="K783">
            <v>0.63663504041878183</v>
          </cell>
          <cell r="L783">
            <v>0.58304004603932913</v>
          </cell>
          <cell r="M783">
            <v>0.51191648832252479</v>
          </cell>
          <cell r="N783">
            <v>0.46032277735710098</v>
          </cell>
          <cell r="O783">
            <v>0.4133232930921501</v>
          </cell>
        </row>
        <row r="784">
          <cell r="A784" t="str">
            <v>D-SCOM_LTH_CHPBIO</v>
          </cell>
          <cell r="B784" t="str">
            <v>VAR_fout</v>
          </cell>
          <cell r="C784" t="str">
            <v>LTH</v>
          </cell>
          <cell r="E784">
            <v>3.5702792458522516E-2</v>
          </cell>
          <cell r="F784">
            <v>8.4666552029595943E-2</v>
          </cell>
          <cell r="G784">
            <v>0.16389693506492528</v>
          </cell>
          <cell r="H784">
            <v>0.21592672827956397</v>
          </cell>
          <cell r="I784">
            <v>0.24893435314402657</v>
          </cell>
          <cell r="J784">
            <v>0.3107362598741259</v>
          </cell>
          <cell r="K784">
            <v>0.3671819634631554</v>
          </cell>
          <cell r="L784">
            <v>0.42135487465458865</v>
          </cell>
          <cell r="M784">
            <v>0.49176797253702814</v>
          </cell>
          <cell r="N784">
            <v>0.54369482475703634</v>
          </cell>
          <cell r="O784">
            <v>0.62202036770240621</v>
          </cell>
        </row>
        <row r="785">
          <cell r="A785" t="str">
            <v>D-SCOM_LTH_CHPBIO</v>
          </cell>
          <cell r="B785" t="str">
            <v>VAR_fin</v>
          </cell>
          <cell r="C785" t="str">
            <v>SCOM_LTH_CHPBIO</v>
          </cell>
          <cell r="D785">
            <v>1.4243197305400206</v>
          </cell>
          <cell r="E785">
            <v>1.5785075957259753</v>
          </cell>
          <cell r="F785">
            <v>1.4788179592344688</v>
          </cell>
          <cell r="G785">
            <v>1.3205926667723678</v>
          </cell>
          <cell r="H785">
            <v>1.1554732243094896</v>
          </cell>
          <cell r="I785">
            <v>0.99990789077999254</v>
          </cell>
          <cell r="J785">
            <v>1.0014124993670124</v>
          </cell>
          <cell r="K785">
            <v>1.0038170038819376</v>
          </cell>
          <cell r="L785">
            <v>1.0043949206939169</v>
          </cell>
          <cell r="M785">
            <v>1.0036844608595532</v>
          </cell>
          <cell r="N785">
            <v>1.0040176021141387</v>
          </cell>
          <cell r="O785">
            <v>1.0353436607945565</v>
          </cell>
        </row>
        <row r="786">
          <cell r="A786" t="str">
            <v>D-SCOM_LTH_CHPHFC</v>
          </cell>
          <cell r="B786" t="str">
            <v>VAR_fout</v>
          </cell>
          <cell r="C786" t="str">
            <v>SCOM_LTH_CHPHFC_ON</v>
          </cell>
          <cell r="G786">
            <v>1.742717408274592E-3</v>
          </cell>
          <cell r="H786">
            <v>3.8475634553148696E-3</v>
          </cell>
          <cell r="I786">
            <v>3.9178960325409757E-3</v>
          </cell>
          <cell r="J786">
            <v>4.4369963011600972E-3</v>
          </cell>
          <cell r="K786">
            <v>1.2455127976415259E-2</v>
          </cell>
          <cell r="L786">
            <v>1.1733151341084788E-2</v>
          </cell>
          <cell r="M786">
            <v>2.7658258044111733E-2</v>
          </cell>
          <cell r="N786">
            <v>2.1318319827524451E-2</v>
          </cell>
          <cell r="O786">
            <v>3.7508191585684823E-2</v>
          </cell>
        </row>
        <row r="787">
          <cell r="A787" t="str">
            <v>D-SCOM_LTH_CHPHFC</v>
          </cell>
          <cell r="B787" t="str">
            <v>VAR_fout</v>
          </cell>
          <cell r="C787" t="str">
            <v>LTH</v>
          </cell>
          <cell r="G787">
            <v>5.1736021878320236E-7</v>
          </cell>
          <cell r="H787">
            <v>3.2176738188844805E-6</v>
          </cell>
          <cell r="I787">
            <v>4.9342942058723486E-6</v>
          </cell>
          <cell r="J787">
            <v>7.5299805732170018E-6</v>
          </cell>
          <cell r="K787">
            <v>2.4995771530385963E-5</v>
          </cell>
          <cell r="L787">
            <v>2.689978340557739E-5</v>
          </cell>
          <cell r="M787">
            <v>7.6855288808188663E-5</v>
          </cell>
          <cell r="N787">
            <v>6.4691517517739689E-5</v>
          </cell>
          <cell r="O787">
            <v>1.2569578962845168E-4</v>
          </cell>
        </row>
        <row r="788">
          <cell r="A788" t="str">
            <v>D-SCOM_LTH_CHPHFC</v>
          </cell>
          <cell r="B788" t="str">
            <v>VAR_fin</v>
          </cell>
          <cell r="C788" t="str">
            <v>SCOM_LTH_CHPHFC</v>
          </cell>
          <cell r="G788">
            <v>1.7440775828837787E-3</v>
          </cell>
          <cell r="H788">
            <v>3.8517113100240302E-3</v>
          </cell>
          <cell r="I788">
            <v>3.9235739900332599E-3</v>
          </cell>
          <cell r="J788">
            <v>4.4449137847807629E-3</v>
          </cell>
          <cell r="K788">
            <v>1.248012374794564E-2</v>
          </cell>
          <cell r="L788">
            <v>1.176005112449036E-2</v>
          </cell>
          <cell r="M788">
            <v>2.773511333291992E-2</v>
          </cell>
          <cell r="N788">
            <v>2.1383011345042172E-2</v>
          </cell>
          <cell r="O788">
            <v>3.7633887375313271E-2</v>
          </cell>
        </row>
        <row r="789">
          <cell r="A789" t="str">
            <v>D-SCOM_NKEV_GAS_ELC_CHP</v>
          </cell>
          <cell r="B789" t="str">
            <v>VAR_fout</v>
          </cell>
          <cell r="C789" t="str">
            <v>ELC5</v>
          </cell>
          <cell r="D789">
            <v>0.27544665234460608</v>
          </cell>
          <cell r="E789">
            <v>0.31233063982965203</v>
          </cell>
          <cell r="F789">
            <v>0.26528256872653538</v>
          </cell>
          <cell r="G789">
            <v>1.1675519827459326</v>
          </cell>
          <cell r="H789">
            <v>2.0526950043196051</v>
          </cell>
          <cell r="I789">
            <v>2.0698298897834024</v>
          </cell>
          <cell r="J789">
            <v>2.0051676763887207</v>
          </cell>
          <cell r="K789">
            <v>1.3376723047489598</v>
          </cell>
          <cell r="L789">
            <v>1.3404798319134408</v>
          </cell>
          <cell r="M789">
            <v>1.3839376198496278</v>
          </cell>
          <cell r="N789">
            <v>1.4932859727394323</v>
          </cell>
          <cell r="O789">
            <v>1.606272639912399</v>
          </cell>
        </row>
        <row r="790">
          <cell r="A790" t="str">
            <v>D-SCOM_NKEV_GAS_ELC_CHP</v>
          </cell>
          <cell r="B790" t="str">
            <v>VAR_fout</v>
          </cell>
          <cell r="C790" t="str">
            <v>SCOM_ELC</v>
          </cell>
          <cell r="D790">
            <v>0.31898065294571509</v>
          </cell>
          <cell r="E790">
            <v>0.31358209706222134</v>
          </cell>
          <cell r="F790">
            <v>0.26362089623507118</v>
          </cell>
          <cell r="G790">
            <v>1.0745682886571275</v>
          </cell>
          <cell r="H790">
            <v>1.9672431998868674</v>
          </cell>
          <cell r="I790">
            <v>1.7676055002957616</v>
          </cell>
          <cell r="J790">
            <v>1.7440572189434995</v>
          </cell>
          <cell r="K790">
            <v>1.3281525583893607</v>
          </cell>
          <cell r="L790">
            <v>1.3257142440562315</v>
          </cell>
          <cell r="M790">
            <v>1.3646391709541039</v>
          </cell>
          <cell r="N790">
            <v>1.4844940483154121</v>
          </cell>
          <cell r="O790">
            <v>1.5828722360932415</v>
          </cell>
        </row>
        <row r="791">
          <cell r="A791" t="str">
            <v>D-SCOM_NKEV_GAS_ELC_CHP</v>
          </cell>
          <cell r="B791" t="str">
            <v>VAR_fin</v>
          </cell>
          <cell r="C791" t="str">
            <v>SCOM_NKEV_GAS_ELC_CHP</v>
          </cell>
          <cell r="D791">
            <v>0.59442730529032106</v>
          </cell>
          <cell r="E791">
            <v>0.6259127368918731</v>
          </cell>
          <cell r="F791">
            <v>0.52889980646974999</v>
          </cell>
          <cell r="G791">
            <v>2.2421202714030599</v>
          </cell>
          <cell r="H791">
            <v>4.0199382042064729</v>
          </cell>
          <cell r="I791">
            <v>3.8374353900791629</v>
          </cell>
          <cell r="J791">
            <v>3.749224895332222</v>
          </cell>
          <cell r="K791">
            <v>2.6658248631383219</v>
          </cell>
          <cell r="L791">
            <v>2.6661940759696714</v>
          </cell>
          <cell r="M791">
            <v>2.7485767908037317</v>
          </cell>
          <cell r="N791">
            <v>2.9777800210548446</v>
          </cell>
          <cell r="O791">
            <v>3.189144876005642</v>
          </cell>
        </row>
        <row r="792">
          <cell r="A792" t="str">
            <v>RHEM-SHLTHDH</v>
          </cell>
          <cell r="B792" t="str">
            <v>VAR_fout</v>
          </cell>
          <cell r="C792" t="str">
            <v>RHEM-SHLTHD</v>
          </cell>
          <cell r="D792">
            <v>2.0440415716503715</v>
          </cell>
          <cell r="E792">
            <v>3.7887266117439005</v>
          </cell>
          <cell r="F792">
            <v>4.1712684817106931</v>
          </cell>
          <cell r="G792">
            <v>3.6952018092160888</v>
          </cell>
          <cell r="H792">
            <v>3.2462537715892479</v>
          </cell>
          <cell r="I792">
            <v>3.8985330113525873</v>
          </cell>
          <cell r="J792">
            <v>3.797077871968471</v>
          </cell>
          <cell r="K792">
            <v>3.6659176615357572</v>
          </cell>
          <cell r="L792">
            <v>3.4976046054341996</v>
          </cell>
          <cell r="M792">
            <v>3.2114293938944245</v>
          </cell>
          <cell r="N792">
            <v>3.2123631267632593</v>
          </cell>
          <cell r="O792">
            <v>2.5616645158773692</v>
          </cell>
        </row>
        <row r="793">
          <cell r="A793" t="str">
            <v>RHEM-SHLTHDH</v>
          </cell>
          <cell r="B793" t="str">
            <v>VAR_fin</v>
          </cell>
          <cell r="C793" t="str">
            <v>RHEMLTHDHC</v>
          </cell>
          <cell r="D793">
            <v>2.0440415716503715</v>
          </cell>
          <cell r="E793">
            <v>3.7887266117439005</v>
          </cell>
          <cell r="F793">
            <v>4.1712684817106931</v>
          </cell>
          <cell r="G793">
            <v>3.6952018092160888</v>
          </cell>
          <cell r="H793">
            <v>3.2462537715892479</v>
          </cell>
          <cell r="I793">
            <v>3.8985330113525873</v>
          </cell>
          <cell r="J793">
            <v>3.797077871968471</v>
          </cell>
          <cell r="K793">
            <v>3.6659176615357572</v>
          </cell>
          <cell r="L793">
            <v>3.4976046054341996</v>
          </cell>
          <cell r="M793">
            <v>3.2114293938944245</v>
          </cell>
          <cell r="N793">
            <v>3.2123631267632593</v>
          </cell>
          <cell r="O793">
            <v>2.5616645158773692</v>
          </cell>
        </row>
        <row r="794">
          <cell r="A794" t="str">
            <v>RHEM-SHLTHDH</v>
          </cell>
          <cell r="B794" t="str">
            <v>VAR_fin</v>
          </cell>
          <cell r="C794" t="str">
            <v>RHEM_LTH_DH</v>
          </cell>
          <cell r="D794">
            <v>2.0646884562124952</v>
          </cell>
          <cell r="E794">
            <v>3.8269965775190964</v>
          </cell>
          <cell r="F794">
            <v>4.2134025067784755</v>
          </cell>
          <cell r="G794">
            <v>3.7325270800162516</v>
          </cell>
          <cell r="H794">
            <v>3.2790442137265128</v>
          </cell>
          <cell r="I794">
            <v>3.9379121326793776</v>
          </cell>
          <cell r="J794">
            <v>3.835432193907546</v>
          </cell>
          <cell r="K794">
            <v>3.7029471328644035</v>
          </cell>
          <cell r="L794">
            <v>3.5329339448830286</v>
          </cell>
          <cell r="M794">
            <v>3.2438680746408295</v>
          </cell>
          <cell r="N794">
            <v>3.2448112391548092</v>
          </cell>
          <cell r="O794">
            <v>2.5875399150276488</v>
          </cell>
        </row>
        <row r="795">
          <cell r="A795" t="str">
            <v>RHEM-SHLTHDH</v>
          </cell>
          <cell r="B795" t="str">
            <v>VAR_ncap</v>
          </cell>
          <cell r="C795" t="str">
            <v>-</v>
          </cell>
          <cell r="D795">
            <v>7.6920740448498203E-8</v>
          </cell>
          <cell r="E795">
            <v>2.0309592772845199E-7</v>
          </cell>
          <cell r="F795">
            <v>2.2532177271569999E-7</v>
          </cell>
          <cell r="G795">
            <v>2.01349545326401E-7</v>
          </cell>
          <cell r="H795">
            <v>3.4011129490267002E-7</v>
          </cell>
          <cell r="I795">
            <v>4.0912652327550699E-7</v>
          </cell>
          <cell r="J795">
            <v>5.0563417792000597E-7</v>
          </cell>
          <cell r="K795">
            <v>7.0120614804100605E-7</v>
          </cell>
          <cell r="L795">
            <v>7.9339295212091401E-7</v>
          </cell>
          <cell r="M795">
            <v>7.8231068452839801E-7</v>
          </cell>
          <cell r="N795">
            <v>7.0202134552376202E-7</v>
          </cell>
          <cell r="O795">
            <v>2.47319995345923E-6</v>
          </cell>
        </row>
        <row r="796">
          <cell r="A796" t="str">
            <v>RHEM-SHLTHDH</v>
          </cell>
          <cell r="B796" t="str">
            <v>VAR_cap</v>
          </cell>
          <cell r="C796" t="str">
            <v>-</v>
          </cell>
          <cell r="D796">
            <v>0.31562554403242843</v>
          </cell>
          <cell r="E796">
            <v>0.31562574712835617</v>
          </cell>
          <cell r="F796">
            <v>0.31562597245012886</v>
          </cell>
          <cell r="G796">
            <v>0.31562617379967423</v>
          </cell>
          <cell r="H796">
            <v>0.31562651391096913</v>
          </cell>
          <cell r="I796">
            <v>0.3156269230374924</v>
          </cell>
          <cell r="J796">
            <v>0.31562742867167032</v>
          </cell>
          <cell r="K796">
            <v>0.31562812987781835</v>
          </cell>
          <cell r="L796">
            <v>0.31562892327077047</v>
          </cell>
          <cell r="M796">
            <v>0.31562970558145498</v>
          </cell>
          <cell r="N796">
            <v>0.31563040760280053</v>
          </cell>
          <cell r="O796">
            <v>0.31563288080275398</v>
          </cell>
        </row>
        <row r="797">
          <cell r="A797" t="str">
            <v>D-ITOT_SOLELC</v>
          </cell>
          <cell r="B797" t="str">
            <v>VAR_fout</v>
          </cell>
          <cell r="C797" t="str">
            <v>ITOT_ELC</v>
          </cell>
          <cell r="D797">
            <v>3.5118608214336806</v>
          </cell>
          <cell r="E797">
            <v>4.8445219793278946</v>
          </cell>
          <cell r="F797">
            <v>11.917501290480015</v>
          </cell>
          <cell r="G797">
            <v>14.095031703235428</v>
          </cell>
          <cell r="H797">
            <v>14.798658804772536</v>
          </cell>
          <cell r="I797">
            <v>15.549300533885274</v>
          </cell>
          <cell r="J797">
            <v>16.328600856740707</v>
          </cell>
          <cell r="K797">
            <v>17.125590815175091</v>
          </cell>
          <cell r="L797">
            <v>17.966422969475772</v>
          </cell>
          <cell r="M797">
            <v>18.860612386712045</v>
          </cell>
          <cell r="N797">
            <v>19.75518565831425</v>
          </cell>
          <cell r="O797">
            <v>20.600440159533321</v>
          </cell>
        </row>
        <row r="798">
          <cell r="A798" t="str">
            <v>D-ITOT_SOLELC</v>
          </cell>
          <cell r="B798" t="str">
            <v>VAR_fout</v>
          </cell>
          <cell r="C798" t="str">
            <v>ELC5</v>
          </cell>
          <cell r="D798">
            <v>6.0931782738494183E-3</v>
          </cell>
          <cell r="E798">
            <v>4.100754085372629E-3</v>
          </cell>
          <cell r="F798">
            <v>8.0487390176618642E-3</v>
          </cell>
          <cell r="G798">
            <v>2.1177004736720011E-2</v>
          </cell>
          <cell r="H798">
            <v>3.7248400441539167E-2</v>
          </cell>
          <cell r="I798">
            <v>4.3450419378575647E-2</v>
          </cell>
          <cell r="J798">
            <v>5.9468509104709091E-2</v>
          </cell>
          <cell r="K798">
            <v>9.6298620960410378E-2</v>
          </cell>
          <cell r="L798">
            <v>0.13576355716881075</v>
          </cell>
          <cell r="M798">
            <v>0.16260048348680509</v>
          </cell>
          <cell r="N798">
            <v>0.23823352833196526</v>
          </cell>
          <cell r="O798">
            <v>0.40221984303568376</v>
          </cell>
        </row>
        <row r="799">
          <cell r="A799" t="str">
            <v>D-ITOT_SOLELC</v>
          </cell>
          <cell r="B799" t="str">
            <v>VAR_fin</v>
          </cell>
          <cell r="C799" t="str">
            <v>ITOT_SOL_ELC</v>
          </cell>
          <cell r="D799">
            <v>3.517953999707534</v>
          </cell>
          <cell r="E799">
            <v>4.8486226008987279</v>
          </cell>
          <cell r="F799">
            <v>11.92555002949767</v>
          </cell>
          <cell r="G799">
            <v>14.116208707972151</v>
          </cell>
          <cell r="H799">
            <v>14.835907205214095</v>
          </cell>
          <cell r="I799">
            <v>15.592750953263854</v>
          </cell>
          <cell r="J799">
            <v>16.388069365845411</v>
          </cell>
          <cell r="K799">
            <v>17.221889436135481</v>
          </cell>
          <cell r="L799">
            <v>18.102186526644577</v>
          </cell>
          <cell r="M799">
            <v>19.023212870198844</v>
          </cell>
          <cell r="N799">
            <v>19.993419186646218</v>
          </cell>
          <cell r="O799">
            <v>21.002660002569002</v>
          </cell>
        </row>
        <row r="800">
          <cell r="A800" t="str">
            <v>D-SWOD</v>
          </cell>
          <cell r="B800" t="str">
            <v>VAR_fout</v>
          </cell>
          <cell r="C800" t="str">
            <v>SWOD</v>
          </cell>
          <cell r="D800">
            <v>8.574373327098348</v>
          </cell>
          <cell r="E800">
            <v>9.3285072248951586</v>
          </cell>
          <cell r="F800">
            <v>9.0663030796659445</v>
          </cell>
          <cell r="G800">
            <v>7.6259530663052608</v>
          </cell>
          <cell r="H800">
            <v>5.1301345724480418</v>
          </cell>
          <cell r="I800">
            <v>3.2523336030498062</v>
          </cell>
          <cell r="J800">
            <v>2.0336889512374676</v>
          </cell>
          <cell r="K800">
            <v>0.6871095518392325</v>
          </cell>
          <cell r="L800">
            <v>0.66514070180793539</v>
          </cell>
          <cell r="M800">
            <v>0.66396274723800286</v>
          </cell>
          <cell r="N800">
            <v>0.65143133449852553</v>
          </cell>
          <cell r="O800">
            <v>0.68370821169112073</v>
          </cell>
        </row>
        <row r="801">
          <cell r="A801" t="str">
            <v>D-SWOD</v>
          </cell>
          <cell r="B801" t="str">
            <v>VAR_fin</v>
          </cell>
          <cell r="C801" t="str">
            <v>WOD</v>
          </cell>
          <cell r="D801">
            <v>8.574373327098348</v>
          </cell>
          <cell r="E801">
            <v>9.3285072248951586</v>
          </cell>
          <cell r="F801">
            <v>9.0663030796659445</v>
          </cell>
          <cell r="G801">
            <v>7.6259530663052608</v>
          </cell>
          <cell r="H801">
            <v>5.1301345724480418</v>
          </cell>
          <cell r="I801">
            <v>3.2523336030498062</v>
          </cell>
          <cell r="J801">
            <v>2.0336889512374676</v>
          </cell>
          <cell r="K801">
            <v>0.6871095518392325</v>
          </cell>
          <cell r="L801">
            <v>0.66514070180793539</v>
          </cell>
          <cell r="M801">
            <v>0.66396274723800286</v>
          </cell>
          <cell r="N801">
            <v>0.65143133449852553</v>
          </cell>
          <cell r="O801">
            <v>0.68370821169112073</v>
          </cell>
        </row>
        <row r="802">
          <cell r="A802" t="str">
            <v>D-RSH2R</v>
          </cell>
          <cell r="B802" t="str">
            <v>VAR_fout</v>
          </cell>
          <cell r="C802" t="str">
            <v>RSH2</v>
          </cell>
          <cell r="G802">
            <v>8.9457801339015252E-4</v>
          </cell>
          <cell r="H802">
            <v>1.7227621276462279E-3</v>
          </cell>
          <cell r="I802">
            <v>2.0292913132258358E-3</v>
          </cell>
          <cell r="J802">
            <v>2.3597808501504883E-3</v>
          </cell>
          <cell r="K802">
            <v>4.3155646487181756E-3</v>
          </cell>
          <cell r="L802">
            <v>2.6156209361551455E-3</v>
          </cell>
          <cell r="M802">
            <v>4.8256657853691627E-3</v>
          </cell>
          <cell r="N802">
            <v>4.9094890032545619E-3</v>
          </cell>
          <cell r="O802">
            <v>1.2044745597467744E-2</v>
          </cell>
        </row>
        <row r="803">
          <cell r="A803" t="str">
            <v>D-RSH2R</v>
          </cell>
          <cell r="B803" t="str">
            <v>VAR_fin</v>
          </cell>
          <cell r="C803" t="str">
            <v>H2</v>
          </cell>
          <cell r="G803">
            <v>8.9457801339015252E-4</v>
          </cell>
          <cell r="H803">
            <v>1.7227621276462279E-3</v>
          </cell>
          <cell r="I803">
            <v>2.0292913132258358E-3</v>
          </cell>
          <cell r="J803">
            <v>2.3597808501504883E-3</v>
          </cell>
          <cell r="K803">
            <v>4.3155646487181756E-3</v>
          </cell>
          <cell r="L803">
            <v>2.6156209361551455E-3</v>
          </cell>
          <cell r="M803">
            <v>4.8256657853691627E-3</v>
          </cell>
          <cell r="N803">
            <v>4.9094890032545619E-3</v>
          </cell>
          <cell r="O803">
            <v>1.2044745597467744E-2</v>
          </cell>
        </row>
        <row r="804">
          <cell r="A804" t="str">
            <v>D-RSH2R</v>
          </cell>
          <cell r="B804" t="str">
            <v>VAR_ncap</v>
          </cell>
          <cell r="C804" t="str">
            <v>-</v>
          </cell>
          <cell r="G804">
            <v>1.2256669045734099E-4</v>
          </cell>
          <cell r="H804">
            <v>1.3822698231423199E-4</v>
          </cell>
          <cell r="I804">
            <v>1.95067775044956E-4</v>
          </cell>
          <cell r="J804">
            <v>2.5787308353539501E-4</v>
          </cell>
          <cell r="K804">
            <v>1.09270659815336E-4</v>
          </cell>
          <cell r="L804">
            <v>1.1724006046066901E-4</v>
          </cell>
          <cell r="M804">
            <v>3.1427898901229998E-4</v>
          </cell>
          <cell r="N804">
            <v>3.2792956700038699E-4</v>
          </cell>
          <cell r="O804">
            <v>6.3063764178476105E-4</v>
          </cell>
        </row>
        <row r="805">
          <cell r="A805" t="str">
            <v>D-RSH2R</v>
          </cell>
          <cell r="B805" t="str">
            <v>VAR_cap</v>
          </cell>
          <cell r="C805" t="str">
            <v>-</v>
          </cell>
          <cell r="G805">
            <v>1.2256669045734099E-4</v>
          </cell>
          <cell r="H805">
            <v>2.3127742271814299E-4</v>
          </cell>
          <cell r="I805">
            <v>2.24095018061407E-4</v>
          </cell>
          <cell r="J805">
            <v>2.5787308353539501E-4</v>
          </cell>
          <cell r="K805">
            <v>3.6714374335073102E-4</v>
          </cell>
          <cell r="L805">
            <v>1.90033566950035E-4</v>
          </cell>
          <cell r="M805">
            <v>4.0328554714110301E-4</v>
          </cell>
          <cell r="N805">
            <v>3.83595265974791E-4</v>
          </cell>
          <cell r="O805">
            <v>9.5856720878514901E-4</v>
          </cell>
        </row>
        <row r="806">
          <cell r="A806" t="str">
            <v>SCOM-SHLTHCHPBIO</v>
          </cell>
          <cell r="B806" t="str">
            <v>VAR_fout</v>
          </cell>
          <cell r="C806" t="str">
            <v>SCOM-SHLTHC-BIO</v>
          </cell>
          <cell r="D806">
            <v>1.4100765332346208</v>
          </cell>
          <cell r="E806">
            <v>1.5273767552347797</v>
          </cell>
          <cell r="F806">
            <v>1.3802098931328248</v>
          </cell>
          <cell r="G806">
            <v>1.145128774390368</v>
          </cell>
          <cell r="H806">
            <v>0.93015103106962682</v>
          </cell>
          <cell r="I806">
            <v>0.74346380225960618</v>
          </cell>
          <cell r="J806">
            <v>0.68376947709795732</v>
          </cell>
          <cell r="K806">
            <v>0.63026869001459351</v>
          </cell>
          <cell r="L806">
            <v>0.57720964557893562</v>
          </cell>
          <cell r="M806">
            <v>0.50679732343929984</v>
          </cell>
          <cell r="N806">
            <v>0.45571954958352995</v>
          </cell>
          <cell r="O806">
            <v>0.40919006016122894</v>
          </cell>
        </row>
        <row r="807">
          <cell r="A807" t="str">
            <v>SCOM-SHLTHCHPBIO</v>
          </cell>
          <cell r="B807" t="str">
            <v>VAR_fin</v>
          </cell>
          <cell r="C807" t="str">
            <v>SCOM_LTH_CHPBIO_ON</v>
          </cell>
          <cell r="D807">
            <v>1.4243197305400206</v>
          </cell>
          <cell r="E807">
            <v>1.5428048032674524</v>
          </cell>
          <cell r="F807">
            <v>1.394151407204874</v>
          </cell>
          <cell r="G807">
            <v>1.1566957317074429</v>
          </cell>
          <cell r="H807">
            <v>0.93954649602992601</v>
          </cell>
          <cell r="I807">
            <v>0.75097353763596597</v>
          </cell>
          <cell r="J807">
            <v>0.69067623949288637</v>
          </cell>
          <cell r="K807">
            <v>0.63663504041878183</v>
          </cell>
          <cell r="L807">
            <v>0.58304004603932913</v>
          </cell>
          <cell r="M807">
            <v>0.51191648832252479</v>
          </cell>
          <cell r="N807">
            <v>0.46032277735710098</v>
          </cell>
          <cell r="O807">
            <v>0.4133232930921501</v>
          </cell>
        </row>
        <row r="808">
          <cell r="A808" t="str">
            <v>SCOM-SHLTHCHPBIO</v>
          </cell>
          <cell r="B808" t="str">
            <v>VAR_fin</v>
          </cell>
          <cell r="C808" t="str">
            <v>SCOMLTHCHPC</v>
          </cell>
          <cell r="D808">
            <v>1.4100765332346208</v>
          </cell>
          <cell r="E808">
            <v>1.5273767552347797</v>
          </cell>
          <cell r="F808">
            <v>1.3802098931328248</v>
          </cell>
          <cell r="G808">
            <v>1.145128774390368</v>
          </cell>
          <cell r="H808">
            <v>0.93015103106962682</v>
          </cell>
          <cell r="I808">
            <v>0.74346380225960618</v>
          </cell>
          <cell r="J808">
            <v>0.68376947709795732</v>
          </cell>
          <cell r="K808">
            <v>0.63026869001459351</v>
          </cell>
          <cell r="L808">
            <v>0.57720964557893562</v>
          </cell>
          <cell r="M808">
            <v>0.50679732343929984</v>
          </cell>
          <cell r="N808">
            <v>0.45571954958352995</v>
          </cell>
          <cell r="O808">
            <v>0.40919006016122894</v>
          </cell>
        </row>
        <row r="809">
          <cell r="A809" t="str">
            <v>SCOM-SHLTHCHPBIO</v>
          </cell>
          <cell r="B809" t="str">
            <v>VAR_ncap</v>
          </cell>
          <cell r="C809" t="str">
            <v>-</v>
          </cell>
          <cell r="D809">
            <v>4.8626160207965705E-7</v>
          </cell>
          <cell r="E809">
            <v>5.6440915127224899E-2</v>
          </cell>
          <cell r="F809">
            <v>5.1818545887190197E-2</v>
          </cell>
          <cell r="G809">
            <v>3.9877200779827301E-2</v>
          </cell>
          <cell r="H809">
            <v>4.6126837470545003E-2</v>
          </cell>
          <cell r="I809">
            <v>5.0034001317062801E-2</v>
          </cell>
          <cell r="J809">
            <v>3.85367827510886E-2</v>
          </cell>
          <cell r="K809">
            <v>4.5965863755549903E-2</v>
          </cell>
          <cell r="L809">
            <v>3.6100487283059E-2</v>
          </cell>
          <cell r="M809">
            <v>3.4024320181652801E-2</v>
          </cell>
          <cell r="N809">
            <v>3.11307816685579E-2</v>
          </cell>
          <cell r="O809">
            <v>2.8001967053975299E-2</v>
          </cell>
        </row>
        <row r="810">
          <cell r="A810" t="str">
            <v>SCOM-SHLTHCHPBIO</v>
          </cell>
          <cell r="B810" t="str">
            <v>VAR_cap</v>
          </cell>
          <cell r="C810" t="str">
            <v>-</v>
          </cell>
          <cell r="D810">
            <v>0.10914017384064108</v>
          </cell>
          <cell r="E810">
            <v>0.1209571264537945</v>
          </cell>
          <cell r="F810">
            <v>0.11364605506541198</v>
          </cell>
          <cell r="G810">
            <v>0.10145788124665603</v>
          </cell>
          <cell r="H810">
            <v>8.9273043868307395E-2</v>
          </cell>
          <cell r="I810">
            <v>7.7072331371563607E-2</v>
          </cell>
          <cell r="J810">
            <v>6.9419815405833099E-2</v>
          </cell>
          <cell r="K810">
            <v>7.2399051030896902E-2</v>
          </cell>
          <cell r="L810">
            <v>6.1900221607549703E-2</v>
          </cell>
          <cell r="M810">
            <v>5.7709998208110992E-2</v>
          </cell>
          <cell r="N810">
            <v>5.1688577392903001E-2</v>
          </cell>
          <cell r="O810">
            <v>4.7989692017142399E-2</v>
          </cell>
        </row>
        <row r="811">
          <cell r="A811" t="str">
            <v>D-RSH2</v>
          </cell>
          <cell r="B811" t="str">
            <v>VAR_fout</v>
          </cell>
          <cell r="C811" t="str">
            <v>RSH2</v>
          </cell>
          <cell r="G811">
            <v>8.1026195500781778E-4</v>
          </cell>
          <cell r="H811">
            <v>1.5882201649567468E-3</v>
          </cell>
          <cell r="I811">
            <v>1.9192407299568595E-3</v>
          </cell>
          <cell r="J811">
            <v>2.0339327858072071E-3</v>
          </cell>
          <cell r="K811">
            <v>4.8923612298761203E-3</v>
          </cell>
          <cell r="L811">
            <v>5.4198129288869608E-3</v>
          </cell>
          <cell r="M811">
            <v>7.9525737260099372E-3</v>
          </cell>
          <cell r="N811">
            <v>9.0675700452407526E-3</v>
          </cell>
          <cell r="O811">
            <v>1.8477584118746448E-2</v>
          </cell>
        </row>
        <row r="812">
          <cell r="A812" t="str">
            <v>D-RSH2</v>
          </cell>
          <cell r="B812" t="str">
            <v>VAR_fin</v>
          </cell>
          <cell r="C812" t="str">
            <v>H2</v>
          </cell>
          <cell r="G812">
            <v>8.164348449775764E-4</v>
          </cell>
          <cell r="H812">
            <v>1.6003198424319608E-3</v>
          </cell>
          <cell r="I812">
            <v>1.933862250538296E-3</v>
          </cell>
          <cell r="J812">
            <v>2.0494280749727353E-3</v>
          </cell>
          <cell r="K812">
            <v>4.9296331360512598E-3</v>
          </cell>
          <cell r="L812">
            <v>5.4611031667661037E-3</v>
          </cell>
          <cell r="M812">
            <v>8.0131595183992408E-3</v>
          </cell>
          <cell r="N812">
            <v>9.1366503122289836E-3</v>
          </cell>
          <cell r="O812">
            <v>1.8618353524204843E-2</v>
          </cell>
        </row>
        <row r="813">
          <cell r="A813" t="str">
            <v>D-RSH2</v>
          </cell>
          <cell r="B813" t="str">
            <v>VAR_ncap</v>
          </cell>
          <cell r="C813" t="str">
            <v>-</v>
          </cell>
          <cell r="G813">
            <v>1.5383918447171E-4</v>
          </cell>
          <cell r="H813">
            <v>1.3508239688366199E-4</v>
          </cell>
          <cell r="I813">
            <v>1.7189955517072001E-5</v>
          </cell>
          <cell r="J813">
            <v>1.4532601022519601E-5</v>
          </cell>
          <cell r="K813">
            <v>2.7418010917792398E-4</v>
          </cell>
          <cell r="L813">
            <v>4.9942270630303399E-6</v>
          </cell>
          <cell r="M813">
            <v>3.0628457910460599E-4</v>
          </cell>
          <cell r="N813">
            <v>8.3454732702245004E-5</v>
          </cell>
          <cell r="O813">
            <v>1.1222956608623999E-3</v>
          </cell>
        </row>
        <row r="814">
          <cell r="A814" t="str">
            <v>D-RSH2</v>
          </cell>
          <cell r="B814" t="str">
            <v>VAR_cap</v>
          </cell>
          <cell r="C814" t="str">
            <v>-</v>
          </cell>
          <cell r="G814">
            <v>1.5383918447171E-4</v>
          </cell>
          <cell r="H814">
            <v>2.88921581355371E-4</v>
          </cell>
          <cell r="I814">
            <v>3.0611153687244301E-4</v>
          </cell>
          <cell r="J814">
            <v>3.20644137894963E-4</v>
          </cell>
          <cell r="K814">
            <v>5.9482424707288698E-4</v>
          </cell>
          <cell r="L814">
            <v>5.9981847413591695E-4</v>
          </cell>
          <cell r="M814">
            <v>9.06103053240523E-4</v>
          </cell>
          <cell r="N814">
            <v>9.4078865835384498E-4</v>
          </cell>
          <cell r="O814">
            <v>1.9580142623334602E-3</v>
          </cell>
        </row>
        <row r="815">
          <cell r="A815" t="str">
            <v>RHES-SHNGABR</v>
          </cell>
          <cell r="B815" t="str">
            <v>VAR_fout</v>
          </cell>
          <cell r="C815" t="str">
            <v>CO2_R</v>
          </cell>
          <cell r="D815">
            <v>1043.1361067064799</v>
          </cell>
          <cell r="E815">
            <v>1211.3150182519801</v>
          </cell>
          <cell r="F815">
            <v>1085.0285095044501</v>
          </cell>
          <cell r="G815">
            <v>1180.57120886191</v>
          </cell>
          <cell r="H815">
            <v>1210.8606199367</v>
          </cell>
          <cell r="I815">
            <v>1131.25672920323</v>
          </cell>
          <cell r="J815">
            <v>1099.9561179216701</v>
          </cell>
          <cell r="K815">
            <v>1068.36214611439</v>
          </cell>
          <cell r="L815">
            <v>996.68557766240099</v>
          </cell>
          <cell r="M815">
            <v>923.20387438800697</v>
          </cell>
          <cell r="N815">
            <v>904.18428056505002</v>
          </cell>
          <cell r="O815">
            <v>752.26662529143198</v>
          </cell>
        </row>
        <row r="816">
          <cell r="A816" t="str">
            <v>RHES-SHNGABR</v>
          </cell>
          <cell r="B816" t="str">
            <v>VAR_fout</v>
          </cell>
          <cell r="C816" t="str">
            <v>RHES-SHNGA</v>
          </cell>
          <cell r="D816">
            <v>17.570554988850208</v>
          </cell>
          <cell r="E816">
            <v>20.403355803889724</v>
          </cell>
          <cell r="F816">
            <v>18.276189433142406</v>
          </cell>
          <cell r="G816">
            <v>19.885507950688215</v>
          </cell>
          <cell r="H816">
            <v>20.395701931557852</v>
          </cell>
          <cell r="I816">
            <v>19.054856254309698</v>
          </cell>
          <cell r="J816">
            <v>18.527629645843696</v>
          </cell>
          <cell r="K816">
            <v>17.995461681004844</v>
          </cell>
          <cell r="L816">
            <v>16.788143595377328</v>
          </cell>
          <cell r="M816">
            <v>15.550419870010746</v>
          </cell>
          <cell r="N816">
            <v>15.230054371219813</v>
          </cell>
          <cell r="O816">
            <v>12.67115769551172</v>
          </cell>
        </row>
        <row r="817">
          <cell r="A817" t="str">
            <v>RHES-SHNGABR</v>
          </cell>
          <cell r="B817" t="str">
            <v>VAR_fin</v>
          </cell>
          <cell r="C817" t="str">
            <v>RNGA</v>
          </cell>
          <cell r="D817">
            <v>18.49532104089495</v>
          </cell>
          <cell r="E817">
            <v>21.477216635673408</v>
          </cell>
          <cell r="F817">
            <v>19.23809414014988</v>
          </cell>
          <cell r="G817">
            <v>20.932113632303384</v>
          </cell>
          <cell r="H817">
            <v>21.469159927955644</v>
          </cell>
          <cell r="I817">
            <v>20.057743425589166</v>
          </cell>
          <cell r="J817">
            <v>19.502768048256527</v>
          </cell>
          <cell r="K817">
            <v>18.942591243163012</v>
          </cell>
          <cell r="L817">
            <v>17.671730100397173</v>
          </cell>
          <cell r="M817">
            <v>16.368863021063934</v>
          </cell>
          <cell r="N817">
            <v>16.031636180231388</v>
          </cell>
          <cell r="O817">
            <v>13.338060732117601</v>
          </cell>
        </row>
        <row r="818">
          <cell r="A818" t="str">
            <v>RHES-SHNGABR</v>
          </cell>
          <cell r="B818" t="str">
            <v>VAR_ncap</v>
          </cell>
          <cell r="C818" t="str">
            <v>-</v>
          </cell>
          <cell r="E818">
            <v>0.22646029366824599</v>
          </cell>
          <cell r="F818">
            <v>3.8334922828583397E-7</v>
          </cell>
          <cell r="G818">
            <v>2.2879889643623901E-6</v>
          </cell>
          <cell r="H818">
            <v>1.17729351154506</v>
          </cell>
          <cell r="I818">
            <v>0.369955570449152</v>
          </cell>
          <cell r="J818">
            <v>4.6625709967580999E-6</v>
          </cell>
          <cell r="K818">
            <v>1.0953968662940901</v>
          </cell>
          <cell r="L818">
            <v>0.215116918237061</v>
          </cell>
          <cell r="M818">
            <v>8.9870808814527708E-6</v>
          </cell>
          <cell r="N818">
            <v>0.89175856921932695</v>
          </cell>
          <cell r="O818">
            <v>0.133977967446026</v>
          </cell>
        </row>
        <row r="819">
          <cell r="A819" t="str">
            <v>RHES-SHNGABR</v>
          </cell>
          <cell r="B819" t="str">
            <v>VAR_cap</v>
          </cell>
          <cell r="C819" t="str">
            <v>-</v>
          </cell>
          <cell r="D819">
            <v>1.4219190615860799</v>
          </cell>
          <cell r="E819">
            <v>1.6483791890893864</v>
          </cell>
          <cell r="F819">
            <v>1.6483760642839529</v>
          </cell>
          <cell r="G819">
            <v>1.6483764186733139</v>
          </cell>
          <cell r="H819">
            <v>1.6620704137996618</v>
          </cell>
          <cell r="I819">
            <v>1.5472498068305915</v>
          </cell>
          <cell r="J819">
            <v>1.5418374102306585</v>
          </cell>
          <cell r="K819">
            <v>1.465353019198572</v>
          </cell>
          <cell r="L819">
            <v>1.3673601720555077</v>
          </cell>
          <cell r="M819">
            <v>1.3105109666853816</v>
          </cell>
          <cell r="N819">
            <v>1.232702387425513</v>
          </cell>
          <cell r="O819">
            <v>1.0257417783324438</v>
          </cell>
        </row>
        <row r="820">
          <cell r="A820" t="str">
            <v>SCOM-SHLTHCHPHFC</v>
          </cell>
          <cell r="B820" t="str">
            <v>VAR_fout</v>
          </cell>
          <cell r="C820" t="str">
            <v>SCOM-SHLTHC-HFC</v>
          </cell>
          <cell r="G820">
            <v>1.7252902341918441E-3</v>
          </cell>
          <cell r="H820">
            <v>3.8090878207617191E-3</v>
          </cell>
          <cell r="I820">
            <v>3.8787170722155645E-3</v>
          </cell>
          <cell r="J820">
            <v>4.3926263381484981E-3</v>
          </cell>
          <cell r="K820">
            <v>1.2330576696651092E-2</v>
          </cell>
          <cell r="L820">
            <v>1.1615819827673938E-2</v>
          </cell>
          <cell r="M820">
            <v>2.73816754636706E-2</v>
          </cell>
          <cell r="N820">
            <v>2.1105136629249201E-2</v>
          </cell>
          <cell r="O820">
            <v>3.7133109669827982E-2</v>
          </cell>
        </row>
        <row r="821">
          <cell r="A821" t="str">
            <v>SCOM-SHLTHCHPHFC</v>
          </cell>
          <cell r="B821" t="str">
            <v>VAR_fin</v>
          </cell>
          <cell r="C821" t="str">
            <v>SCOM_LTH_CHPHFC_ON</v>
          </cell>
          <cell r="G821">
            <v>1.742717408274592E-3</v>
          </cell>
          <cell r="H821">
            <v>3.8475634553148696E-3</v>
          </cell>
          <cell r="I821">
            <v>3.9178960325409757E-3</v>
          </cell>
          <cell r="J821">
            <v>4.4369963011600972E-3</v>
          </cell>
          <cell r="K821">
            <v>1.2455127976415259E-2</v>
          </cell>
          <cell r="L821">
            <v>1.1733151341084788E-2</v>
          </cell>
          <cell r="M821">
            <v>2.7658258044111733E-2</v>
          </cell>
          <cell r="N821">
            <v>2.1318319827524451E-2</v>
          </cell>
          <cell r="O821">
            <v>3.7508191585684823E-2</v>
          </cell>
        </row>
        <row r="822">
          <cell r="A822" t="str">
            <v>SCOM-SHLTHCHPHFC</v>
          </cell>
          <cell r="B822" t="str">
            <v>VAR_fin</v>
          </cell>
          <cell r="C822" t="str">
            <v>SCOMLTHCHPC</v>
          </cell>
          <cell r="G822">
            <v>1.7252902341918441E-3</v>
          </cell>
          <cell r="H822">
            <v>3.8090878207617191E-3</v>
          </cell>
          <cell r="I822">
            <v>3.8787170722155645E-3</v>
          </cell>
          <cell r="J822">
            <v>4.3926263381484981E-3</v>
          </cell>
          <cell r="K822">
            <v>1.2330576696651092E-2</v>
          </cell>
          <cell r="L822">
            <v>1.1615819827673938E-2</v>
          </cell>
          <cell r="M822">
            <v>2.73816754636706E-2</v>
          </cell>
          <cell r="N822">
            <v>2.1105136629249201E-2</v>
          </cell>
          <cell r="O822">
            <v>3.7133109669827982E-2</v>
          </cell>
        </row>
        <row r="823">
          <cell r="A823" t="str">
            <v>SCOM-SHLTHCHPHFC</v>
          </cell>
          <cell r="B823" t="str">
            <v>VAR_ncap</v>
          </cell>
          <cell r="C823" t="str">
            <v>-</v>
          </cell>
          <cell r="G823">
            <v>1.62678986169336E-4</v>
          </cell>
          <cell r="H823">
            <v>2.9590536633340302E-4</v>
          </cell>
          <cell r="I823">
            <v>2.7712534055642602E-4</v>
          </cell>
          <cell r="J823">
            <v>2.6056758191263799E-4</v>
          </cell>
          <cell r="K823">
            <v>8.6107471980611801E-4</v>
          </cell>
          <cell r="L823">
            <v>6.5318995962479205E-4</v>
          </cell>
          <cell r="M823">
            <v>1.7298374695254E-3</v>
          </cell>
          <cell r="N823">
            <v>1.08057086087048E-3</v>
          </cell>
          <cell r="O823">
            <v>2.3588392324228602E-3</v>
          </cell>
        </row>
        <row r="824">
          <cell r="A824" t="str">
            <v>SCOM-SHLTHCHPHFC</v>
          </cell>
          <cell r="B824" t="str">
            <v>VAR_cap</v>
          </cell>
          <cell r="C824" t="str">
            <v>-</v>
          </cell>
          <cell r="G824">
            <v>1.62678986169336E-4</v>
          </cell>
          <cell r="H824">
            <v>3.6332108090318882E-4</v>
          </cell>
          <cell r="I824">
            <v>3.6328314298723907E-4</v>
          </cell>
          <cell r="J824">
            <v>3.8768587693036001E-4</v>
          </cell>
          <cell r="K824">
            <v>1.0397895090957141E-3</v>
          </cell>
          <cell r="L824">
            <v>9.8249780506767304E-4</v>
          </cell>
          <cell r="M824">
            <v>2.2021976241510498E-3</v>
          </cell>
          <cell r="N824">
            <v>1.6933485058586199E-3</v>
          </cell>
          <cell r="O824">
            <v>3.0674572194818598E-3</v>
          </cell>
        </row>
        <row r="825">
          <cell r="A825" t="str">
            <v>RHSA-WHNGABR</v>
          </cell>
          <cell r="B825" t="str">
            <v>VAR_fout</v>
          </cell>
          <cell r="C825" t="str">
            <v>RHSA-WHNGA</v>
          </cell>
          <cell r="D825">
            <v>6.3804645394373196</v>
          </cell>
          <cell r="E825">
            <v>5.162848812652606</v>
          </cell>
          <cell r="F825">
            <v>9.07544940419357</v>
          </cell>
          <cell r="G825">
            <v>9.1625138452731907</v>
          </cell>
          <cell r="H825">
            <v>9.7451804909366455</v>
          </cell>
          <cell r="I825">
            <v>9.5850434049896851</v>
          </cell>
          <cell r="J825">
            <v>9.2984881732773026</v>
          </cell>
          <cell r="K825">
            <v>9.0147199245211471</v>
          </cell>
          <cell r="L825">
            <v>8.5017883487577226</v>
          </cell>
          <cell r="M825">
            <v>7.9220693389484742</v>
          </cell>
          <cell r="N825">
            <v>7.7598669809220171</v>
          </cell>
          <cell r="O825">
            <v>6.3173774504727058</v>
          </cell>
        </row>
        <row r="826">
          <cell r="A826" t="str">
            <v>RHSA-WHNGABR</v>
          </cell>
          <cell r="B826" t="str">
            <v>VAR_fout</v>
          </cell>
          <cell r="C826" t="str">
            <v>CO2_R</v>
          </cell>
          <cell r="D826">
            <v>479.81093336568603</v>
          </cell>
          <cell r="E826">
            <v>386.18656901008899</v>
          </cell>
          <cell r="F826">
            <v>673.493876837524</v>
          </cell>
          <cell r="G826">
            <v>671.12439074468602</v>
          </cell>
          <cell r="H826">
            <v>704.65151242157299</v>
          </cell>
          <cell r="I826">
            <v>684.29930131825097</v>
          </cell>
          <cell r="J826">
            <v>659.66633078344705</v>
          </cell>
          <cell r="K826">
            <v>635.53775467874095</v>
          </cell>
          <cell r="L826">
            <v>599.37607858742001</v>
          </cell>
          <cell r="M826">
            <v>558.50588839586703</v>
          </cell>
          <cell r="N826">
            <v>547.07062215500196</v>
          </cell>
          <cell r="O826">
            <v>445.375110258326</v>
          </cell>
        </row>
        <row r="827">
          <cell r="A827" t="str">
            <v>RHSA-WHNGABR</v>
          </cell>
          <cell r="B827" t="str">
            <v>VAR_fin</v>
          </cell>
          <cell r="C827" t="str">
            <v>RNGA</v>
          </cell>
          <cell r="D827">
            <v>8.5072860525831011</v>
          </cell>
          <cell r="E827">
            <v>6.8472795923774603</v>
          </cell>
          <cell r="F827">
            <v>11.941380794991558</v>
          </cell>
          <cell r="G827">
            <v>11.899368630224933</v>
          </cell>
          <cell r="H827">
            <v>12.493821142226459</v>
          </cell>
          <cell r="I827">
            <v>12.132966335429975</v>
          </cell>
          <cell r="J827">
            <v>11.696211538713598</v>
          </cell>
          <cell r="K827">
            <v>11.268399905651426</v>
          </cell>
          <cell r="L827">
            <v>10.627235435947167</v>
          </cell>
          <cell r="M827">
            <v>9.9025866736855939</v>
          </cell>
          <cell r="N827">
            <v>9.6998337261525176</v>
          </cell>
          <cell r="O827">
            <v>7.8967218130908865</v>
          </cell>
        </row>
        <row r="828">
          <cell r="A828" t="str">
            <v>RHSA-WHNGABR</v>
          </cell>
          <cell r="B828" t="str">
            <v>VAR_ncap</v>
          </cell>
          <cell r="C828" t="str">
            <v>-</v>
          </cell>
          <cell r="E828">
            <v>2.7984011018985201E-6</v>
          </cell>
          <cell r="F828">
            <v>0.184293442682291</v>
          </cell>
          <cell r="G828">
            <v>5.9194870013443701E-3</v>
          </cell>
          <cell r="H828">
            <v>0.38582780706595399</v>
          </cell>
          <cell r="I828">
            <v>0.24767165150180301</v>
          </cell>
          <cell r="J828">
            <v>4.2544915492235399E-3</v>
          </cell>
          <cell r="K828">
            <v>0.36467127675095801</v>
          </cell>
          <cell r="L828">
            <v>0.176837594557614</v>
          </cell>
          <cell r="M828">
            <v>1.39107211004051E-4</v>
          </cell>
          <cell r="N828">
            <v>0.344988014254</v>
          </cell>
          <cell r="O828">
            <v>8.69411159265224E-2</v>
          </cell>
        </row>
        <row r="829">
          <cell r="A829" t="str">
            <v>RHSA-WHNGABR</v>
          </cell>
          <cell r="B829" t="str">
            <v>VAR_cap</v>
          </cell>
          <cell r="C829" t="str">
            <v>-</v>
          </cell>
          <cell r="D829">
            <v>0.43610075802020798</v>
          </cell>
          <cell r="E829">
            <v>0.4361027271940483</v>
          </cell>
          <cell r="F829">
            <v>0.62039384058361813</v>
          </cell>
          <cell r="G829">
            <v>0.62631165800823463</v>
          </cell>
          <cell r="H829">
            <v>0.68913266764975445</v>
          </cell>
          <cell r="I829">
            <v>0.67699059515007753</v>
          </cell>
          <cell r="J829">
            <v>0.63775172385997225</v>
          </cell>
          <cell r="K829">
            <v>0.61659387861477877</v>
          </cell>
          <cell r="L829">
            <v>0.58325197734302459</v>
          </cell>
          <cell r="M829">
            <v>0.54164383869716748</v>
          </cell>
          <cell r="N829">
            <v>0.53049060963703187</v>
          </cell>
          <cell r="O829">
            <v>0.43206409390377765</v>
          </cell>
        </row>
        <row r="830">
          <cell r="A830" t="str">
            <v>ITOT-SWHWSTBR</v>
          </cell>
          <cell r="B830" t="str">
            <v>VAR_fout</v>
          </cell>
          <cell r="C830" t="str">
            <v>ITOT-SWH</v>
          </cell>
          <cell r="D830">
            <v>4.1173680430324273</v>
          </cell>
          <cell r="E830">
            <v>4.2663631821316548</v>
          </cell>
          <cell r="F830">
            <v>2.9612133280828283</v>
          </cell>
          <cell r="G830">
            <v>2.9281016081785611</v>
          </cell>
          <cell r="H830">
            <v>2.8950215042297165</v>
          </cell>
          <cell r="I830">
            <v>2.8804376785839056</v>
          </cell>
          <cell r="J830">
            <v>2.9092432629684004</v>
          </cell>
          <cell r="K830">
            <v>2.9375828308099736</v>
          </cell>
          <cell r="L830">
            <v>2.9376083481210737</v>
          </cell>
          <cell r="M830">
            <v>2.93763479156764</v>
          </cell>
          <cell r="N830">
            <v>2.937591926598917</v>
          </cell>
          <cell r="O830">
            <v>2.9376651072876836</v>
          </cell>
        </row>
        <row r="831">
          <cell r="A831" t="str">
            <v>ITOT-SWHWSTBR</v>
          </cell>
          <cell r="B831" t="str">
            <v>VAR_fout</v>
          </cell>
          <cell r="C831" t="str">
            <v>CO2_I</v>
          </cell>
          <cell r="D831">
            <v>723.65862574509401</v>
          </cell>
          <cell r="E831">
            <v>749.84565019283696</v>
          </cell>
          <cell r="F831">
            <v>520.45567584486105</v>
          </cell>
          <cell r="G831">
            <v>514.63604022532297</v>
          </cell>
          <cell r="H831">
            <v>508.82196134946599</v>
          </cell>
          <cell r="I831">
            <v>506.25874350868702</v>
          </cell>
          <cell r="J831">
            <v>503.68987836467801</v>
          </cell>
          <cell r="K831">
            <v>501.11707113817198</v>
          </cell>
          <cell r="L831">
            <v>501.12142409124198</v>
          </cell>
          <cell r="M831">
            <v>501.12593503212702</v>
          </cell>
          <cell r="N831">
            <v>501.11862277275702</v>
          </cell>
          <cell r="O831">
            <v>501.13110653731098</v>
          </cell>
        </row>
        <row r="832">
          <cell r="A832" t="str">
            <v>ITOT-SWHWSTBR</v>
          </cell>
          <cell r="B832" t="str">
            <v>VAR_fin</v>
          </cell>
          <cell r="C832" t="str">
            <v>IWST</v>
          </cell>
          <cell r="D832">
            <v>7.7980455360462626</v>
          </cell>
          <cell r="E832">
            <v>8.0802332994917769</v>
          </cell>
          <cell r="F832">
            <v>5.6083585759144521</v>
          </cell>
          <cell r="G832">
            <v>5.545646985186667</v>
          </cell>
          <cell r="H832">
            <v>5.4829952731623397</v>
          </cell>
          <cell r="I832">
            <v>5.4553743912573998</v>
          </cell>
          <cell r="J832">
            <v>5.427692654791791</v>
          </cell>
          <cell r="K832">
            <v>5.3999684389889211</v>
          </cell>
          <cell r="L832">
            <v>5.4000153458107985</v>
          </cell>
          <cell r="M832">
            <v>5.4000639550875755</v>
          </cell>
          <cell r="N832">
            <v>5.3999851591891881</v>
          </cell>
          <cell r="O832">
            <v>5.4001196825141236</v>
          </cell>
        </row>
        <row r="833">
          <cell r="A833" t="str">
            <v>ITOT-SWHWSTBR</v>
          </cell>
          <cell r="B833" t="str">
            <v>VAR_ncap</v>
          </cell>
          <cell r="C833" t="str">
            <v>-</v>
          </cell>
          <cell r="E833">
            <v>1.8283972179419799E-5</v>
          </cell>
          <cell r="F833">
            <v>1.36504648616443E-5</v>
          </cell>
          <cell r="G833">
            <v>3.0712752696661598E-5</v>
          </cell>
          <cell r="H833">
            <v>8.7917287729301297E-2</v>
          </cell>
          <cell r="I833">
            <v>9.2321473759670994E-2</v>
          </cell>
          <cell r="J833">
            <v>5.3571890013444897E-3</v>
          </cell>
          <cell r="K833">
            <v>0.112261844283125</v>
          </cell>
          <cell r="L833">
            <v>7.7870953273446702E-2</v>
          </cell>
          <cell r="M833">
            <v>1.2770699500258499E-3</v>
          </cell>
          <cell r="N833">
            <v>0.125702605046497</v>
          </cell>
          <cell r="O833">
            <v>7.0427419909632596E-2</v>
          </cell>
        </row>
        <row r="834">
          <cell r="A834" t="str">
            <v>ITOT-SWHWSTBR</v>
          </cell>
          <cell r="B834" t="str">
            <v>VAR_cap</v>
          </cell>
          <cell r="C834" t="str">
            <v>-</v>
          </cell>
          <cell r="D834">
            <v>0.35954682816669398</v>
          </cell>
          <cell r="E834">
            <v>0.33644520280774687</v>
          </cell>
          <cell r="F834">
            <v>0.30102610261267054</v>
          </cell>
          <cell r="G834">
            <v>0.30089870111586903</v>
          </cell>
          <cell r="H834">
            <v>0.16594481413939191</v>
          </cell>
          <cell r="I834">
            <v>0.18022603894451839</v>
          </cell>
          <cell r="J834">
            <v>0.18551668041924199</v>
          </cell>
          <cell r="K834">
            <v>0.20986046666495858</v>
          </cell>
          <cell r="L834">
            <v>0.20886695747769393</v>
          </cell>
          <cell r="M834">
            <v>0.19127847874598675</v>
          </cell>
          <cell r="N834">
            <v>0.19988602309315293</v>
          </cell>
          <cell r="O834">
            <v>0.19726477663286632</v>
          </cell>
        </row>
        <row r="835">
          <cell r="A835" t="str">
            <v>SCOM-SHSTG-ELC</v>
          </cell>
          <cell r="B835" t="str">
            <v>VAR_fout</v>
          </cell>
          <cell r="C835" t="str">
            <v>SCOM-SHAELCB</v>
          </cell>
          <cell r="D835">
            <v>4.1716785239734921E-5</v>
          </cell>
          <cell r="E835">
            <v>2.7052733809919063E-4</v>
          </cell>
          <cell r="F835">
            <v>8.2116627173321521E-2</v>
          </cell>
          <cell r="G835">
            <v>0.12976747572877662</v>
          </cell>
          <cell r="H835">
            <v>0.13954120284203614</v>
          </cell>
          <cell r="I835">
            <v>0.133201479541186</v>
          </cell>
          <cell r="J835">
            <v>0.15212569053920019</v>
          </cell>
          <cell r="K835">
            <v>0.13094746193691739</v>
          </cell>
          <cell r="L835">
            <v>0.12882903256995662</v>
          </cell>
          <cell r="M835">
            <v>0.16147806771123965</v>
          </cell>
          <cell r="N835">
            <v>0.12592063410178217</v>
          </cell>
          <cell r="O835">
            <v>0.15786453901533934</v>
          </cell>
        </row>
        <row r="836">
          <cell r="A836" t="str">
            <v>SCOM-SHSTG-ELC</v>
          </cell>
          <cell r="B836" t="str">
            <v>VAR_fin</v>
          </cell>
          <cell r="C836" t="str">
            <v>SCOM-SHAELCB</v>
          </cell>
          <cell r="D836">
            <v>4.7869793343471258E-5</v>
          </cell>
          <cell r="E836">
            <v>3.4673677298396416E-4</v>
          </cell>
          <cell r="F836">
            <v>0.10597478529366081</v>
          </cell>
          <cell r="G836">
            <v>0.16222577607567901</v>
          </cell>
          <cell r="H836">
            <v>0.16914525602072503</v>
          </cell>
          <cell r="I836">
            <v>0.1567198224616988</v>
          </cell>
          <cell r="J836">
            <v>0.17386106224140421</v>
          </cell>
          <cell r="K836">
            <v>0.14550152782457101</v>
          </cell>
          <cell r="L836">
            <v>0.14314994038303852</v>
          </cell>
          <cell r="M836">
            <v>0.1794224523784429</v>
          </cell>
          <cell r="N836">
            <v>0.13991775249898886</v>
          </cell>
          <cell r="O836">
            <v>0.17541037841910134</v>
          </cell>
        </row>
        <row r="837">
          <cell r="A837" t="str">
            <v>SCOM-SHSTG-ELC</v>
          </cell>
          <cell r="B837" t="str">
            <v>VAR_ncap</v>
          </cell>
          <cell r="C837" t="str">
            <v>-</v>
          </cell>
          <cell r="D837">
            <v>1.46670950350609E-2</v>
          </cell>
          <cell r="E837">
            <v>3.2701635343674598E-4</v>
          </cell>
          <cell r="F837">
            <v>2.6278264994430499E-2</v>
          </cell>
          <cell r="G837">
            <v>1.5421640789706201E-4</v>
          </cell>
          <cell r="H837">
            <v>8.4507101694088795E-3</v>
          </cell>
          <cell r="I837">
            <v>1.79813675430237E-2</v>
          </cell>
          <cell r="J837">
            <v>2.9550091149029202E-4</v>
          </cell>
          <cell r="K837">
            <v>2.2746686931391898E-3</v>
          </cell>
          <cell r="L837">
            <v>1.48948942761959E-2</v>
          </cell>
          <cell r="M837">
            <v>4.0429377681938904E-3</v>
          </cell>
          <cell r="N837">
            <v>6.5421034754182599E-3</v>
          </cell>
          <cell r="O837">
            <v>9.7957618692703294E-3</v>
          </cell>
        </row>
        <row r="838">
          <cell r="A838" t="str">
            <v>SCOM-SHSTG-ELC</v>
          </cell>
          <cell r="B838" t="str">
            <v>VAR_cap</v>
          </cell>
          <cell r="C838" t="str">
            <v>-</v>
          </cell>
          <cell r="D838">
            <v>1.46670950350609E-2</v>
          </cell>
          <cell r="E838">
            <v>1.4703479370528455E-2</v>
          </cell>
          <cell r="F838">
            <v>4.0931010924205452E-2</v>
          </cell>
          <cell r="G838">
            <v>4.0933344493529041E-2</v>
          </cell>
          <cell r="H838">
            <v>3.8184976861055361E-2</v>
          </cell>
          <cell r="I838">
            <v>3.1896195891318903E-2</v>
          </cell>
          <cell r="J838">
            <v>2.6405198965476245E-2</v>
          </cell>
          <cell r="K838">
            <v>1.9827459479922649E-2</v>
          </cell>
          <cell r="L838">
            <v>1.9593049721867439E-2</v>
          </cell>
          <cell r="M838">
            <v>2.043438047626606E-2</v>
          </cell>
          <cell r="N838">
            <v>2.0278928712347485E-2</v>
          </cell>
          <cell r="O838">
            <v>1.9598059839185836E-2</v>
          </cell>
        </row>
        <row r="839">
          <cell r="A839" t="str">
            <v>SCOM-SHNGABR</v>
          </cell>
          <cell r="B839" t="str">
            <v>VAR_fout</v>
          </cell>
          <cell r="C839" t="str">
            <v>CO2_S</v>
          </cell>
          <cell r="D839">
            <v>1440.9463325765901</v>
          </cell>
          <cell r="E839">
            <v>1508.6876775604901</v>
          </cell>
          <cell r="F839">
            <v>1439.8858085132399</v>
          </cell>
          <cell r="G839">
            <v>1491.58648563818</v>
          </cell>
          <cell r="H839">
            <v>1508.51634840264</v>
          </cell>
          <cell r="I839">
            <v>1517.87952901167</v>
          </cell>
          <cell r="J839">
            <v>1418.96667159712</v>
          </cell>
          <cell r="K839">
            <v>1325.0994147809299</v>
          </cell>
          <cell r="L839">
            <v>1294.1152353684699</v>
          </cell>
          <cell r="M839">
            <v>1257.2564737658699</v>
          </cell>
          <cell r="N839">
            <v>1230.3830335596699</v>
          </cell>
          <cell r="O839">
            <v>1171.3484791133601</v>
          </cell>
        </row>
        <row r="840">
          <cell r="A840" t="str">
            <v>SCOM-SHNGABR</v>
          </cell>
          <cell r="B840" t="str">
            <v>VAR_fout</v>
          </cell>
          <cell r="C840" t="str">
            <v>SCOM-SHNGA</v>
          </cell>
          <cell r="D840">
            <v>24.189720763414222</v>
          </cell>
          <cell r="E840">
            <v>25.32692079803898</v>
          </cell>
          <cell r="F840">
            <v>24.171917337724103</v>
          </cell>
          <cell r="G840">
            <v>25.0398365062997</v>
          </cell>
          <cell r="H840">
            <v>25.324044629514692</v>
          </cell>
          <cell r="I840">
            <v>25.481227946664927</v>
          </cell>
          <cell r="J840">
            <v>23.820739733692466</v>
          </cell>
          <cell r="K840">
            <v>22.244953960220013</v>
          </cell>
          <cell r="L840">
            <v>21.724810613360841</v>
          </cell>
          <cell r="M840">
            <v>21.106048393911685</v>
          </cell>
          <cell r="N840">
            <v>20.654913608497477</v>
          </cell>
          <cell r="O840">
            <v>19.663877818222677</v>
          </cell>
        </row>
        <row r="841">
          <cell r="A841" t="str">
            <v>SCOM-SHNGABR</v>
          </cell>
          <cell r="B841" t="str">
            <v>VAR_fin</v>
          </cell>
          <cell r="C841" t="str">
            <v>SNGA</v>
          </cell>
          <cell r="D841">
            <v>25.548693840010504</v>
          </cell>
          <cell r="E841">
            <v>26.749781517029927</v>
          </cell>
          <cell r="F841">
            <v>25.529890221865898</v>
          </cell>
          <cell r="G841">
            <v>26.446568894294064</v>
          </cell>
          <cell r="H841">
            <v>26.746743766004283</v>
          </cell>
          <cell r="I841">
            <v>26.912757606589878</v>
          </cell>
          <cell r="J841">
            <v>25.158983538956115</v>
          </cell>
          <cell r="K841">
            <v>23.494670474839122</v>
          </cell>
          <cell r="L841">
            <v>22.945305591639492</v>
          </cell>
          <cell r="M841">
            <v>22.291781449749408</v>
          </cell>
          <cell r="N841">
            <v>21.815302013469253</v>
          </cell>
          <cell r="O841">
            <v>20.768590055201479</v>
          </cell>
        </row>
        <row r="842">
          <cell r="A842" t="str">
            <v>SCOM-SHNGABR</v>
          </cell>
          <cell r="B842" t="str">
            <v>VAR_ncap</v>
          </cell>
          <cell r="C842" t="str">
            <v>-</v>
          </cell>
          <cell r="D842">
            <v>4.4548929977979499E-7</v>
          </cell>
          <cell r="E842">
            <v>3.73569324648933E-6</v>
          </cell>
          <cell r="F842">
            <v>4.41233081942898E-6</v>
          </cell>
          <cell r="G842">
            <v>8.4253335524914995E-6</v>
          </cell>
          <cell r="H842">
            <v>1.32525426843293</v>
          </cell>
          <cell r="I842">
            <v>0.72196795196138897</v>
          </cell>
          <cell r="J842">
            <v>1.7778448844467901E-5</v>
          </cell>
          <cell r="K842">
            <v>1.1196277624555699</v>
          </cell>
          <cell r="L842">
            <v>0.60669800166241805</v>
          </cell>
          <cell r="M842">
            <v>1.7294529894983299E-2</v>
          </cell>
          <cell r="N842">
            <v>1.1332909647896801</v>
          </cell>
          <cell r="O842">
            <v>0.53130233311269504</v>
          </cell>
        </row>
        <row r="843">
          <cell r="A843" t="str">
            <v>SCOM-SHNGABR</v>
          </cell>
          <cell r="B843" t="str">
            <v>VAR_cap</v>
          </cell>
          <cell r="C843" t="str">
            <v>-</v>
          </cell>
          <cell r="D843">
            <v>2.7746819433645196</v>
          </cell>
          <cell r="E843">
            <v>2.7744566399672537</v>
          </cell>
          <cell r="F843">
            <v>2.7744304069206041</v>
          </cell>
          <cell r="G843">
            <v>2.7744050266720643</v>
          </cell>
          <cell r="H843">
            <v>2.044755026331329</v>
          </cell>
          <cell r="I843">
            <v>2.0472219425051668</v>
          </cell>
          <cell r="J843">
            <v>2.0471958607066618</v>
          </cell>
          <cell r="K843">
            <v>1.8415903966635703</v>
          </cell>
          <cell r="L843">
            <v>1.837253153062127</v>
          </cell>
          <cell r="M843">
            <v>1.7435970048704272</v>
          </cell>
          <cell r="N843">
            <v>1.7632253469513557</v>
          </cell>
          <cell r="O843">
            <v>1.6818500106007976</v>
          </cell>
        </row>
        <row r="844">
          <cell r="A844" t="str">
            <v>RHEM-SHELCHP</v>
          </cell>
          <cell r="B844" t="str">
            <v>VAR_fout</v>
          </cell>
          <cell r="C844" t="str">
            <v>RHEM-SHAELCH</v>
          </cell>
          <cell r="D844">
            <v>9.9025426308812037</v>
          </cell>
          <cell r="E844">
            <v>11.655209114131999</v>
          </cell>
          <cell r="F844">
            <v>11.655218174001446</v>
          </cell>
          <cell r="G844">
            <v>11.656441508894021</v>
          </cell>
          <cell r="H844">
            <v>16.144624701516697</v>
          </cell>
          <cell r="I844">
            <v>16.147472766383217</v>
          </cell>
          <cell r="J844">
            <v>16.147539405213752</v>
          </cell>
          <cell r="K844">
            <v>16.147634179934009</v>
          </cell>
          <cell r="L844">
            <v>16.147741932213144</v>
          </cell>
          <cell r="M844">
            <v>16.147832488501631</v>
          </cell>
          <cell r="N844">
            <v>16.150683157638504</v>
          </cell>
          <cell r="O844">
            <v>16.150815540748791</v>
          </cell>
        </row>
        <row r="845">
          <cell r="A845" t="str">
            <v>RHEM-SHELCHP</v>
          </cell>
          <cell r="B845" t="str">
            <v>VAR_fin</v>
          </cell>
          <cell r="C845" t="str">
            <v>RHEMELCHPC</v>
          </cell>
          <cell r="D845">
            <v>9.9025426308812037</v>
          </cell>
          <cell r="E845">
            <v>11.655209114131999</v>
          </cell>
          <cell r="F845">
            <v>11.655218174001446</v>
          </cell>
          <cell r="G845">
            <v>11.656441508894021</v>
          </cell>
          <cell r="H845">
            <v>16.144624701516697</v>
          </cell>
          <cell r="I845">
            <v>16.147472766383217</v>
          </cell>
          <cell r="J845">
            <v>16.147539405213752</v>
          </cell>
          <cell r="K845">
            <v>16.147634179934009</v>
          </cell>
          <cell r="L845">
            <v>16.147741932213144</v>
          </cell>
          <cell r="M845">
            <v>16.147832488501631</v>
          </cell>
          <cell r="N845">
            <v>16.150683157638504</v>
          </cell>
          <cell r="O845">
            <v>16.150815540748791</v>
          </cell>
        </row>
        <row r="846">
          <cell r="A846" t="str">
            <v>RHEM-SHELCHP</v>
          </cell>
          <cell r="B846" t="str">
            <v>VAR_fin</v>
          </cell>
          <cell r="C846" t="str">
            <v>RHEM_ELC</v>
          </cell>
          <cell r="D846">
            <v>3.0945445721503773</v>
          </cell>
          <cell r="E846">
            <v>3.5825437850815551</v>
          </cell>
          <cell r="F846">
            <v>3.4965654522004321</v>
          </cell>
          <cell r="G846">
            <v>3.3624350506425023</v>
          </cell>
          <cell r="H846">
            <v>4.5054766608883821</v>
          </cell>
          <cell r="I846">
            <v>4.3641818287522165</v>
          </cell>
          <cell r="J846">
            <v>4.2493524750562495</v>
          </cell>
          <cell r="K846">
            <v>4.1404190204958997</v>
          </cell>
          <cell r="L846">
            <v>4.1404466492854199</v>
          </cell>
          <cell r="M846">
            <v>4.1404698688465764</v>
          </cell>
          <cell r="N846">
            <v>4.1412008096508952</v>
          </cell>
          <cell r="O846">
            <v>4.1412347540381544</v>
          </cell>
        </row>
        <row r="847">
          <cell r="A847" t="str">
            <v>RHEM-SHELCHP</v>
          </cell>
          <cell r="B847" t="str">
            <v>VAR_ncap</v>
          </cell>
          <cell r="C847" t="str">
            <v>-</v>
          </cell>
          <cell r="D847">
            <v>1.47751282854509E-6</v>
          </cell>
          <cell r="E847">
            <v>0.123761489578206</v>
          </cell>
          <cell r="F847">
            <v>8.9815632158514507E-5</v>
          </cell>
          <cell r="G847">
            <v>9.0363798369459805E-5</v>
          </cell>
          <cell r="H847">
            <v>0.89523041167402995</v>
          </cell>
          <cell r="I847">
            <v>0.244998380711616</v>
          </cell>
          <cell r="J847">
            <v>8.5421209159449899E-5</v>
          </cell>
          <cell r="K847">
            <v>0.89533105857246198</v>
          </cell>
          <cell r="L847">
            <v>0.20737837082285501</v>
          </cell>
          <cell r="M847">
            <v>3.7725470879507603E-2</v>
          </cell>
          <cell r="N847">
            <v>0.80265272348262195</v>
          </cell>
          <cell r="O847">
            <v>0.30040072791483502</v>
          </cell>
        </row>
        <row r="848">
          <cell r="A848" t="str">
            <v>RHEM-SHELCHP</v>
          </cell>
          <cell r="B848" t="str">
            <v>VAR_cap</v>
          </cell>
          <cell r="C848" t="str">
            <v>-</v>
          </cell>
          <cell r="D848">
            <v>0.69925342790482758</v>
          </cell>
          <cell r="E848">
            <v>0.82301475690202275</v>
          </cell>
          <cell r="F848">
            <v>0.82310363281008858</v>
          </cell>
          <cell r="G848">
            <v>0.82319338968481848</v>
          </cell>
          <cell r="H848">
            <v>1.1401571505234167</v>
          </cell>
          <cell r="I848">
            <v>1.1403190164466233</v>
          </cell>
          <cell r="J848">
            <v>1.140313280833829</v>
          </cell>
          <cell r="K848">
            <v>1.1404135295024627</v>
          </cell>
          <cell r="L848">
            <v>1.1404271518076052</v>
          </cell>
          <cell r="M848">
            <v>1.1404327272530901</v>
          </cell>
          <cell r="N848">
            <v>1.1405957259052735</v>
          </cell>
          <cell r="O848">
            <v>1.140776669662636</v>
          </cell>
        </row>
        <row r="849">
          <cell r="A849" t="str">
            <v>RHNM-SHSTG-ELC</v>
          </cell>
          <cell r="B849" t="str">
            <v>VAR_fout</v>
          </cell>
          <cell r="C849" t="str">
            <v>RHNM-SHAELCB</v>
          </cell>
          <cell r="E849">
            <v>1.8531394006097344E-6</v>
          </cell>
          <cell r="F849">
            <v>2.6383286990118836E-2</v>
          </cell>
          <cell r="G849">
            <v>3.096247720844407E-2</v>
          </cell>
          <cell r="H849">
            <v>1.4656170184342596E-2</v>
          </cell>
          <cell r="I849">
            <v>1.2311564761654133E-3</v>
          </cell>
          <cell r="J849">
            <v>4.3582908744421098E-3</v>
          </cell>
          <cell r="K849">
            <v>2.1515039176233553E-3</v>
          </cell>
          <cell r="L849">
            <v>1.3570845649637313E-3</v>
          </cell>
          <cell r="M849">
            <v>2.7553305339106699E-3</v>
          </cell>
          <cell r="N849">
            <v>1.2988045906552385E-3</v>
          </cell>
          <cell r="O849">
            <v>1.4047172581171114E-3</v>
          </cell>
        </row>
        <row r="850">
          <cell r="A850" t="str">
            <v>RHNM-SHSTG-ELC</v>
          </cell>
          <cell r="B850" t="str">
            <v>VAR_fin</v>
          </cell>
          <cell r="C850" t="str">
            <v>RHNM-SHAELCB</v>
          </cell>
          <cell r="E850">
            <v>1.4548138744182941E-6</v>
          </cell>
          <cell r="F850">
            <v>2.6381709399576479E-2</v>
          </cell>
          <cell r="G850">
            <v>3.0960946401334843E-2</v>
          </cell>
          <cell r="H850">
            <v>1.465694149608728E-2</v>
          </cell>
          <cell r="I850">
            <v>1.2336308475748396E-3</v>
          </cell>
          <cell r="J850">
            <v>4.3648499320743028E-3</v>
          </cell>
          <cell r="K850">
            <v>2.1561986500080329E-3</v>
          </cell>
          <cell r="L850">
            <v>1.3626266988587309E-3</v>
          </cell>
          <cell r="M850">
            <v>2.7607205551565587E-3</v>
          </cell>
          <cell r="N850">
            <v>1.2988870365130633E-3</v>
          </cell>
          <cell r="O850">
            <v>1.4102703654743827E-3</v>
          </cell>
        </row>
        <row r="851">
          <cell r="A851" t="str">
            <v>RHNM-SHSTG-ELC</v>
          </cell>
          <cell r="B851" t="str">
            <v>VAR_ncap</v>
          </cell>
          <cell r="C851" t="str">
            <v>-</v>
          </cell>
          <cell r="D851">
            <v>2.0551348153664299E-4</v>
          </cell>
          <cell r="E851">
            <v>2.4225913947915098E-3</v>
          </cell>
          <cell r="F851">
            <v>6.14137895280624E-4</v>
          </cell>
          <cell r="G851">
            <v>9.5650054759722995E-5</v>
          </cell>
          <cell r="H851">
            <v>1.7364454825869E-4</v>
          </cell>
          <cell r="I851">
            <v>1.6045460027954499E-4</v>
          </cell>
          <cell r="J851">
            <v>6.50654714732139E-4</v>
          </cell>
          <cell r="K851">
            <v>2.70004838011605E-4</v>
          </cell>
          <cell r="L851">
            <v>1.95711687073047E-4</v>
          </cell>
          <cell r="M851">
            <v>4.8239860521669299E-4</v>
          </cell>
          <cell r="N851">
            <v>1.9176678897023399E-4</v>
          </cell>
          <cell r="O851">
            <v>2.7342571929591498E-4</v>
          </cell>
        </row>
        <row r="852">
          <cell r="A852" t="str">
            <v>RHNM-SHSTG-ELC</v>
          </cell>
          <cell r="B852" t="str">
            <v>VAR_cap</v>
          </cell>
          <cell r="C852" t="str">
            <v>-</v>
          </cell>
          <cell r="D852">
            <v>2.0551348153664299E-4</v>
          </cell>
          <cell r="E852">
            <v>2.5948593160593546E-3</v>
          </cell>
          <cell r="F852">
            <v>3.1799208208689589E-3</v>
          </cell>
          <cell r="G852">
            <v>3.1798071921473169E-3</v>
          </cell>
          <cell r="H852">
            <v>1.9262759895377207E-3</v>
          </cell>
          <cell r="I852">
            <v>2.9765748588832198E-4</v>
          </cell>
          <cell r="J852">
            <v>8.3038598551106197E-4</v>
          </cell>
          <cell r="K852">
            <v>5.3187424842373904E-4</v>
          </cell>
          <cell r="L852">
            <v>3.0367136223231807E-4</v>
          </cell>
          <cell r="M852">
            <v>6.0186336132470411E-4</v>
          </cell>
          <cell r="N852">
            <v>3.3720649459266895E-4</v>
          </cell>
          <cell r="O852">
            <v>4.1393703299672099E-4</v>
          </cell>
        </row>
        <row r="853">
          <cell r="A853" t="str">
            <v>D-RWOD</v>
          </cell>
          <cell r="B853" t="str">
            <v>VAR_fout</v>
          </cell>
          <cell r="C853" t="str">
            <v>RWOD</v>
          </cell>
          <cell r="D853">
            <v>13.723009250357382</v>
          </cell>
          <cell r="E853">
            <v>13.848736259804038</v>
          </cell>
          <cell r="F853">
            <v>10.698532814329248</v>
          </cell>
          <cell r="G853">
            <v>9.6161163699334722</v>
          </cell>
          <cell r="H853">
            <v>8.9573774457350623</v>
          </cell>
          <cell r="I853">
            <v>7.8678088285927048</v>
          </cell>
          <cell r="J853">
            <v>6.970025533944515</v>
          </cell>
          <cell r="K853">
            <v>5.8795873541961132</v>
          </cell>
          <cell r="L853">
            <v>5.5439687336858023</v>
          </cell>
          <cell r="M853">
            <v>4.7328250674290553</v>
          </cell>
          <cell r="N853">
            <v>4.4226356985901401</v>
          </cell>
          <cell r="O853">
            <v>2.9541036498418531</v>
          </cell>
        </row>
        <row r="854">
          <cell r="A854" t="str">
            <v>D-RWOD</v>
          </cell>
          <cell r="B854" t="str">
            <v>VAR_fin</v>
          </cell>
          <cell r="C854" t="str">
            <v>WOD</v>
          </cell>
          <cell r="D854">
            <v>13.723009250357382</v>
          </cell>
          <cell r="E854">
            <v>13.848736259804038</v>
          </cell>
          <cell r="F854">
            <v>10.698532814329248</v>
          </cell>
          <cell r="G854">
            <v>9.6161163699334722</v>
          </cell>
          <cell r="H854">
            <v>8.9573774457350623</v>
          </cell>
          <cell r="I854">
            <v>7.8678088285927048</v>
          </cell>
          <cell r="J854">
            <v>6.970025533944515</v>
          </cell>
          <cell r="K854">
            <v>5.8795873541961132</v>
          </cell>
          <cell r="L854">
            <v>5.5439687336858023</v>
          </cell>
          <cell r="M854">
            <v>4.7328250674290553</v>
          </cell>
          <cell r="N854">
            <v>4.4226356985901401</v>
          </cell>
          <cell r="O854">
            <v>2.9541036498418531</v>
          </cell>
        </row>
        <row r="855">
          <cell r="A855" t="str">
            <v>RHNS-SHLTHCHPWOD</v>
          </cell>
          <cell r="B855" t="str">
            <v>VAR_fout</v>
          </cell>
          <cell r="C855" t="str">
            <v>RHNS-SHLTHC-WOD</v>
          </cell>
          <cell r="G855">
            <v>4.3246184679832421E-3</v>
          </cell>
          <cell r="H855">
            <v>9.2958969568768396E-3</v>
          </cell>
          <cell r="I855">
            <v>9.2890939347434493E-3</v>
          </cell>
          <cell r="J855">
            <v>9.6059652623684631E-3</v>
          </cell>
          <cell r="K855">
            <v>2.1981153726112319E-2</v>
          </cell>
          <cell r="L855">
            <v>2.3017223190961233E-2</v>
          </cell>
          <cell r="M855">
            <v>2.8721368937411323E-2</v>
          </cell>
          <cell r="N855">
            <v>1.4406043589828613E-2</v>
          </cell>
          <cell r="O855">
            <v>2.0821199947976946E-2</v>
          </cell>
        </row>
        <row r="856">
          <cell r="A856" t="str">
            <v>RHNS-SHLTHCHPWOD</v>
          </cell>
          <cell r="B856" t="str">
            <v>VAR_fin</v>
          </cell>
          <cell r="C856" t="str">
            <v>RHNS_LTH_CHPWOD_ON</v>
          </cell>
          <cell r="G856">
            <v>4.368301482811361E-3</v>
          </cell>
          <cell r="H856">
            <v>9.3897949059362027E-3</v>
          </cell>
          <cell r="I856">
            <v>9.3829231664075367E-3</v>
          </cell>
          <cell r="J856">
            <v>9.7029952145135951E-3</v>
          </cell>
          <cell r="K856">
            <v>2.2203185581931635E-2</v>
          </cell>
          <cell r="L856">
            <v>2.3249720394910325E-2</v>
          </cell>
          <cell r="M856">
            <v>2.9011483775162942E-2</v>
          </cell>
          <cell r="N856">
            <v>1.4551559181645073E-2</v>
          </cell>
          <cell r="O856">
            <v>2.1031515098966634E-2</v>
          </cell>
        </row>
        <row r="857">
          <cell r="A857" t="str">
            <v>RHNS-SHLTHCHPWOD</v>
          </cell>
          <cell r="B857" t="str">
            <v>VAR_fin</v>
          </cell>
          <cell r="C857" t="str">
            <v>RHNSLTHCHPC</v>
          </cell>
          <cell r="G857">
            <v>4.3246184679832421E-3</v>
          </cell>
          <cell r="H857">
            <v>9.2958969568768396E-3</v>
          </cell>
          <cell r="I857">
            <v>9.2890939347434493E-3</v>
          </cell>
          <cell r="J857">
            <v>9.6059652623684631E-3</v>
          </cell>
          <cell r="K857">
            <v>2.1981153726112319E-2</v>
          </cell>
          <cell r="L857">
            <v>2.3017223190961233E-2</v>
          </cell>
          <cell r="M857">
            <v>2.8721368937411323E-2</v>
          </cell>
          <cell r="N857">
            <v>1.4406043589828613E-2</v>
          </cell>
          <cell r="O857">
            <v>2.0821199947976946E-2</v>
          </cell>
        </row>
        <row r="858">
          <cell r="A858" t="str">
            <v>RHNS-SHLTHCHPWOD</v>
          </cell>
          <cell r="B858" t="str">
            <v>VAR_ncap</v>
          </cell>
          <cell r="C858" t="str">
            <v>-</v>
          </cell>
          <cell r="G858">
            <v>5.1903669109470605E-4</v>
          </cell>
          <cell r="H858">
            <v>8.28301891530682E-4</v>
          </cell>
          <cell r="I858">
            <v>7.6796710633417805E-4</v>
          </cell>
          <cell r="J858">
            <v>7.2100792825355504E-4</v>
          </cell>
          <cell r="K858">
            <v>1.92061660872801E-3</v>
          </cell>
          <cell r="L858">
            <v>1.50554615814392E-3</v>
          </cell>
          <cell r="M858">
            <v>2.06570699334535E-3</v>
          </cell>
          <cell r="N858">
            <v>1.02925662245036E-3</v>
          </cell>
          <cell r="O858">
            <v>1.9041065756772999E-3</v>
          </cell>
        </row>
        <row r="859">
          <cell r="A859" t="str">
            <v>RHNS-SHLTHCHPWOD</v>
          </cell>
          <cell r="B859" t="str">
            <v>VAR_cap</v>
          </cell>
          <cell r="C859" t="str">
            <v>-</v>
          </cell>
          <cell r="G859">
            <v>5.1903669109470605E-4</v>
          </cell>
          <cell r="H859">
            <v>1.0315789905080341E-3</v>
          </cell>
          <cell r="I859">
            <v>1.0135573257971898E-3</v>
          </cell>
          <cell r="J859">
            <v>1.0781783262892399E-3</v>
          </cell>
          <cell r="K859">
            <v>2.3915149721397003E-3</v>
          </cell>
          <cell r="L859">
            <v>2.2677846954883996E-3</v>
          </cell>
          <cell r="M859">
            <v>2.9598042051592198E-3</v>
          </cell>
          <cell r="N859">
            <v>1.6959048094808997E-3</v>
          </cell>
          <cell r="O859">
            <v>2.5846857233874799E-3</v>
          </cell>
        </row>
        <row r="860">
          <cell r="A860" t="str">
            <v>RHNM-SHELCBR</v>
          </cell>
          <cell r="B860" t="str">
            <v>VAR_fout</v>
          </cell>
          <cell r="C860" t="str">
            <v>RHNM-SHAELCB</v>
          </cell>
          <cell r="E860">
            <v>0.15438977277383165</v>
          </cell>
          <cell r="F860">
            <v>0.16878888740447612</v>
          </cell>
          <cell r="G860">
            <v>0.16322391212937895</v>
          </cell>
          <cell r="H860">
            <v>8.7328949399506445E-2</v>
          </cell>
          <cell r="I860">
            <v>9.2807159546322553E-3</v>
          </cell>
          <cell r="J860">
            <v>3.2897389788562853E-2</v>
          </cell>
          <cell r="K860">
            <v>1.9293563472100352E-2</v>
          </cell>
          <cell r="L860">
            <v>9.0478342206101545E-3</v>
          </cell>
          <cell r="M860">
            <v>2.5974419897394432E-2</v>
          </cell>
          <cell r="N860">
            <v>9.8485317117099069E-3</v>
          </cell>
          <cell r="O860">
            <v>1.2394536170901161E-2</v>
          </cell>
        </row>
        <row r="861">
          <cell r="A861" t="str">
            <v>RHNM-SHELCBR</v>
          </cell>
          <cell r="B861" t="str">
            <v>VAR_fin</v>
          </cell>
          <cell r="C861" t="str">
            <v>RHNM_ELC</v>
          </cell>
          <cell r="E861">
            <v>0.16251555028824402</v>
          </cell>
          <cell r="F861">
            <v>0.17767251305734341</v>
          </cell>
          <cell r="G861">
            <v>0.17181464434671478</v>
          </cell>
          <cell r="H861">
            <v>9.1925209894217277E-2</v>
          </cell>
          <cell r="I861">
            <v>9.7691746890865936E-3</v>
          </cell>
          <cell r="J861">
            <v>3.4628831356381923E-2</v>
          </cell>
          <cell r="K861">
            <v>2.0309014181158259E-2</v>
          </cell>
          <cell r="L861">
            <v>9.5240360216949076E-3</v>
          </cell>
          <cell r="M861">
            <v>2.734149462883622E-2</v>
          </cell>
          <cell r="N861">
            <v>1.0366875486010422E-2</v>
          </cell>
          <cell r="O861">
            <v>1.3046880179895965E-2</v>
          </cell>
        </row>
        <row r="862">
          <cell r="A862" t="str">
            <v>RHNM-SHELCBR</v>
          </cell>
          <cell r="B862" t="str">
            <v>VAR_ncap</v>
          </cell>
          <cell r="C862" t="str">
            <v>-</v>
          </cell>
          <cell r="E862">
            <v>1.35175928312213E-2</v>
          </cell>
          <cell r="H862">
            <v>1.2713975080603701E-3</v>
          </cell>
          <cell r="J862">
            <v>2.2684096162857502E-3</v>
          </cell>
          <cell r="L862">
            <v>3.6487198365823799E-5</v>
          </cell>
          <cell r="M862">
            <v>2.52769232781729E-3</v>
          </cell>
          <cell r="N862">
            <v>6.5649056871782399E-6</v>
          </cell>
          <cell r="O862">
            <v>3.3569948768031802E-4</v>
          </cell>
        </row>
        <row r="863">
          <cell r="A863" t="str">
            <v>RHNM-SHELCBR</v>
          </cell>
          <cell r="B863" t="str">
            <v>VAR_cap</v>
          </cell>
          <cell r="C863" t="str">
            <v>-</v>
          </cell>
          <cell r="E863">
            <v>1.35175928312213E-2</v>
          </cell>
          <cell r="F863">
            <v>1.3515774566750597E-2</v>
          </cell>
          <cell r="G863">
            <v>1.3512670683709314E-2</v>
          </cell>
          <cell r="H863">
            <v>8.1916790800718939E-3</v>
          </cell>
          <cell r="I863">
            <v>1.2701775776211527E-3</v>
          </cell>
          <cell r="J863">
            <v>3.5260918243996912E-3</v>
          </cell>
          <cell r="K863">
            <v>2.2670668044954961E-3</v>
          </cell>
          <cell r="L863">
            <v>1.291358519334508E-3</v>
          </cell>
          <cell r="M863">
            <v>2.5625530021923127E-3</v>
          </cell>
          <cell r="N863">
            <v>1.43892719552707E-3</v>
          </cell>
          <cell r="O863">
            <v>1.7597097425484302E-3</v>
          </cell>
        </row>
        <row r="864">
          <cell r="A864" t="str">
            <v>RHNS-SHSTG-NGAHP</v>
          </cell>
          <cell r="B864" t="str">
            <v>VAR_fout</v>
          </cell>
          <cell r="C864" t="str">
            <v>RHNS-SHANGAH</v>
          </cell>
          <cell r="F864">
            <v>3.6513392938974118E-4</v>
          </cell>
          <cell r="G864">
            <v>4.2188669659651008E-4</v>
          </cell>
          <cell r="H864">
            <v>4.1507859598573726E-2</v>
          </cell>
          <cell r="I864">
            <v>0.10692876152281114</v>
          </cell>
          <cell r="J864">
            <v>0.10208319952865434</v>
          </cell>
          <cell r="K864">
            <v>0.12873442565227466</v>
          </cell>
          <cell r="L864">
            <v>0.12968205426569643</v>
          </cell>
          <cell r="M864">
            <v>0.11284784374270665</v>
          </cell>
          <cell r="N864">
            <v>0.13362838447431305</v>
          </cell>
          <cell r="O864">
            <v>9.9206749176560277E-2</v>
          </cell>
        </row>
        <row r="865">
          <cell r="A865" t="str">
            <v>RHNS-SHSTG-NGAHP</v>
          </cell>
          <cell r="B865" t="str">
            <v>VAR_fin</v>
          </cell>
          <cell r="C865" t="str">
            <v>RHNS-SHANGAH</v>
          </cell>
          <cell r="F865">
            <v>3.5746263649281496E-4</v>
          </cell>
          <cell r="G865">
            <v>4.0772953425163058E-4</v>
          </cell>
          <cell r="H865">
            <v>4.1502587167489752E-2</v>
          </cell>
          <cell r="I865">
            <v>0.1069339357818551</v>
          </cell>
          <cell r="J865">
            <v>0.10208732156580051</v>
          </cell>
          <cell r="K865">
            <v>0.12874122904193991</v>
          </cell>
          <cell r="L865">
            <v>0.12968969618712417</v>
          </cell>
          <cell r="M865">
            <v>0.11285948763126739</v>
          </cell>
          <cell r="N865">
            <v>0.13363736075706648</v>
          </cell>
          <cell r="O865">
            <v>9.9221301664683709E-2</v>
          </cell>
        </row>
        <row r="866">
          <cell r="A866" t="str">
            <v>RHNS-SHSTG-NGAHP</v>
          </cell>
          <cell r="B866" t="str">
            <v>VAR_ncap</v>
          </cell>
          <cell r="C866" t="str">
            <v>-</v>
          </cell>
          <cell r="D866">
            <v>2.22679499880484E-5</v>
          </cell>
          <cell r="E866">
            <v>1.9239924746917801E-5</v>
          </cell>
          <cell r="F866">
            <v>1.04632476290232E-4</v>
          </cell>
          <cell r="G866">
            <v>4.8256953522112403E-5</v>
          </cell>
          <cell r="H866">
            <v>6.5091983752473097E-3</v>
          </cell>
          <cell r="I866">
            <v>1.0128829177373099E-2</v>
          </cell>
          <cell r="J866">
            <v>1.9561872091164399E-4</v>
          </cell>
          <cell r="K866">
            <v>1.03069719433768E-2</v>
          </cell>
          <cell r="L866">
            <v>8.6291259278242598E-3</v>
          </cell>
          <cell r="M866">
            <v>1.9427531808994499E-3</v>
          </cell>
          <cell r="N866">
            <v>1.1276212854540901E-2</v>
          </cell>
          <cell r="O866">
            <v>7.6320422341449902E-3</v>
          </cell>
        </row>
        <row r="867">
          <cell r="A867" t="str">
            <v>RHNS-SHSTG-NGAHP</v>
          </cell>
          <cell r="B867" t="str">
            <v>VAR_cap</v>
          </cell>
          <cell r="C867" t="str">
            <v>-</v>
          </cell>
          <cell r="D867">
            <v>2.22679499880484E-5</v>
          </cell>
          <cell r="E867">
            <v>1.689668335566987E-7</v>
          </cell>
          <cell r="F867">
            <v>9.5017524328716812E-5</v>
          </cell>
          <cell r="G867">
            <v>9.9175426424160995E-5</v>
          </cell>
          <cell r="H867">
            <v>6.577681769734809E-3</v>
          </cell>
          <cell r="I867">
            <v>1.6627275531985047E-2</v>
          </cell>
          <cell r="J867">
            <v>1.6627851969974593E-2</v>
          </cell>
          <cell r="K867">
            <v>2.0313005967436112E-2</v>
          </cell>
          <cell r="L867">
            <v>2.0300997754210817E-2</v>
          </cell>
          <cell r="M867">
            <v>2.0315519847924828E-2</v>
          </cell>
          <cell r="N867">
            <v>2.0302219249000348E-2</v>
          </cell>
          <cell r="O867">
            <v>2.0347351894852227E-2</v>
          </cell>
        </row>
        <row r="868">
          <cell r="A868" t="str">
            <v>RHNS-SHLTHDH</v>
          </cell>
          <cell r="B868" t="str">
            <v>VAR_fout</v>
          </cell>
          <cell r="C868" t="str">
            <v>RHNS-SHLTHD</v>
          </cell>
          <cell r="E868">
            <v>5.3913151019541201E-2</v>
          </cell>
          <cell r="F868">
            <v>7.166955864805255E-2</v>
          </cell>
          <cell r="G868">
            <v>0.1108968522388506</v>
          </cell>
          <cell r="H868">
            <v>0.17233342389142628</v>
          </cell>
          <cell r="I868">
            <v>0.24116551268650005</v>
          </cell>
          <cell r="J868">
            <v>0.38838130526213333</v>
          </cell>
          <cell r="K868">
            <v>0.62546467173762577</v>
          </cell>
          <cell r="L868">
            <v>0.67941577944331155</v>
          </cell>
          <cell r="M868">
            <v>0.71414757153206365</v>
          </cell>
          <cell r="N868">
            <v>0.75062542752535033</v>
          </cell>
          <cell r="O868">
            <v>0.78900711572011661</v>
          </cell>
        </row>
        <row r="869">
          <cell r="A869" t="str">
            <v>RHNS-SHLTHDH</v>
          </cell>
          <cell r="B869" t="str">
            <v>VAR_fin</v>
          </cell>
          <cell r="C869" t="str">
            <v>RHNS_LTH_DH</v>
          </cell>
          <cell r="E869">
            <v>5.445772830256685E-2</v>
          </cell>
          <cell r="F869">
            <v>7.2393493583891508E-2</v>
          </cell>
          <cell r="G869">
            <v>0.11201702246348537</v>
          </cell>
          <cell r="H869">
            <v>0.1740741655468955</v>
          </cell>
          <cell r="I869">
            <v>0.24360152796616172</v>
          </cell>
          <cell r="J869">
            <v>0.39230434874962938</v>
          </cell>
          <cell r="K869">
            <v>0.63178249670467312</v>
          </cell>
          <cell r="L869">
            <v>0.68627856509425422</v>
          </cell>
          <cell r="M869">
            <v>0.72136118336572064</v>
          </cell>
          <cell r="N869">
            <v>0.75820750255085956</v>
          </cell>
          <cell r="O869">
            <v>0.79697688456577398</v>
          </cell>
        </row>
        <row r="870">
          <cell r="A870" t="str">
            <v>RHNS-SHLTHDH</v>
          </cell>
          <cell r="B870" t="str">
            <v>VAR_fin</v>
          </cell>
          <cell r="C870" t="str">
            <v>RHNSLTHDHC</v>
          </cell>
          <cell r="E870">
            <v>5.3913151019541201E-2</v>
          </cell>
          <cell r="F870">
            <v>7.166955864805255E-2</v>
          </cell>
          <cell r="G870">
            <v>0.1108968522388506</v>
          </cell>
          <cell r="H870">
            <v>0.17233342389142628</v>
          </cell>
          <cell r="I870">
            <v>0.24116551268650005</v>
          </cell>
          <cell r="J870">
            <v>0.38838130526213333</v>
          </cell>
          <cell r="K870">
            <v>0.62546467173762577</v>
          </cell>
          <cell r="L870">
            <v>0.67941577944331155</v>
          </cell>
          <cell r="M870">
            <v>0.71414757153206365</v>
          </cell>
          <cell r="N870">
            <v>0.75062542752535033</v>
          </cell>
          <cell r="O870">
            <v>0.78900711572011661</v>
          </cell>
        </row>
        <row r="871">
          <cell r="A871" t="str">
            <v>RHNS-SHLTHDH</v>
          </cell>
          <cell r="B871" t="str">
            <v>VAR_ncap</v>
          </cell>
          <cell r="C871" t="str">
            <v>-</v>
          </cell>
          <cell r="E871">
            <v>4.6927065098043303E-3</v>
          </cell>
          <cell r="F871">
            <v>9.344705644525E-4</v>
          </cell>
          <cell r="G871">
            <v>2.51306876021711E-3</v>
          </cell>
          <cell r="H871">
            <v>5.21182739635193E-3</v>
          </cell>
          <cell r="I871">
            <v>5.4734396569540902E-3</v>
          </cell>
          <cell r="J871">
            <v>1.0461872684127399E-2</v>
          </cell>
          <cell r="K871">
            <v>1.7857892244203599E-2</v>
          </cell>
          <cell r="L871">
            <v>3.9143297647463403E-3</v>
          </cell>
          <cell r="M871">
            <v>2.34668786171541E-3</v>
          </cell>
          <cell r="N871">
            <v>1.4676647725518799E-3</v>
          </cell>
          <cell r="O871">
            <v>2.9818307454888798E-3</v>
          </cell>
        </row>
        <row r="872">
          <cell r="A872" t="str">
            <v>RHNS-SHLTHDH</v>
          </cell>
          <cell r="B872" t="str">
            <v>VAR_cap</v>
          </cell>
          <cell r="C872" t="str">
            <v>-</v>
          </cell>
          <cell r="E872">
            <v>4.6927065098043303E-3</v>
          </cell>
          <cell r="F872">
            <v>5.6271770742568304E-3</v>
          </cell>
          <cell r="G872">
            <v>8.1402458344739404E-3</v>
          </cell>
          <cell r="H872">
            <v>1.3352073230825901E-2</v>
          </cell>
          <cell r="I872">
            <v>1.8825512887780001E-2</v>
          </cell>
          <cell r="J872">
            <v>2.9287385571907298E-2</v>
          </cell>
          <cell r="K872">
            <v>4.71452778161109E-2</v>
          </cell>
          <cell r="L872">
            <v>5.1059607580857203E-2</v>
          </cell>
          <cell r="M872">
            <v>5.3406295442572603E-2</v>
          </cell>
          <cell r="N872">
            <v>5.4873960215124501E-2</v>
          </cell>
          <cell r="O872">
            <v>5.7855790960613399E-2</v>
          </cell>
        </row>
        <row r="873">
          <cell r="A873" t="str">
            <v>ITOT-SWHNGAHP</v>
          </cell>
          <cell r="B873" t="str">
            <v>VAR_fout</v>
          </cell>
          <cell r="C873" t="str">
            <v>ITOT-SWHANGAH</v>
          </cell>
          <cell r="F873">
            <v>7.9143646751326319E-2</v>
          </cell>
          <cell r="G873">
            <v>0.17247175141678481</v>
          </cell>
          <cell r="H873">
            <v>0.21241959246747905</v>
          </cell>
          <cell r="I873">
            <v>0.23938745794770061</v>
          </cell>
          <cell r="J873">
            <v>0.24457301992107142</v>
          </cell>
          <cell r="K873">
            <v>0.24454187625402868</v>
          </cell>
          <cell r="L873">
            <v>0.24437808794050636</v>
          </cell>
          <cell r="M873">
            <v>3.2658110160655682</v>
          </cell>
          <cell r="N873">
            <v>3.2657148980265971</v>
          </cell>
          <cell r="O873">
            <v>3.2634235008341062</v>
          </cell>
        </row>
        <row r="874">
          <cell r="A874" t="str">
            <v>ITOT-SWHNGAHP</v>
          </cell>
          <cell r="B874" t="str">
            <v>VAR_fout</v>
          </cell>
          <cell r="C874" t="str">
            <v>CO2_I</v>
          </cell>
          <cell r="F874">
            <v>2.3674789084400198</v>
          </cell>
          <cell r="G874">
            <v>5.0604011976173604</v>
          </cell>
          <cell r="H874">
            <v>6.1153028728866898</v>
          </cell>
          <cell r="I874">
            <v>6.7644856829117703</v>
          </cell>
          <cell r="J874">
            <v>6.7857815178671697</v>
          </cell>
          <cell r="K874">
            <v>6.6641557427405003</v>
          </cell>
          <cell r="L874">
            <v>6.6596922502423102</v>
          </cell>
          <cell r="M874">
            <v>88.998553420806999</v>
          </cell>
          <cell r="N874">
            <v>88.995934051105493</v>
          </cell>
          <cell r="O874">
            <v>88.933489826855904</v>
          </cell>
        </row>
        <row r="875">
          <cell r="A875" t="str">
            <v>ITOT-SWHNGAHP</v>
          </cell>
          <cell r="B875" t="str">
            <v>VAR_fin</v>
          </cell>
          <cell r="C875" t="str">
            <v>ITOTELCHPC</v>
          </cell>
          <cell r="F875">
            <v>7.9143646751326319E-2</v>
          </cell>
          <cell r="G875">
            <v>0.17247175141678481</v>
          </cell>
          <cell r="H875">
            <v>0.21241959246747905</v>
          </cell>
          <cell r="I875">
            <v>0.23938745794770061</v>
          </cell>
          <cell r="J875">
            <v>0.24457301992107142</v>
          </cell>
          <cell r="K875">
            <v>0.24454187625402868</v>
          </cell>
          <cell r="L875">
            <v>0.24437808794050636</v>
          </cell>
          <cell r="M875">
            <v>3.2658110160655682</v>
          </cell>
          <cell r="N875">
            <v>3.2657148980265971</v>
          </cell>
          <cell r="O875">
            <v>3.2634235008341062</v>
          </cell>
        </row>
        <row r="876">
          <cell r="A876" t="str">
            <v>ITOT-SWHNGAHP</v>
          </cell>
          <cell r="B876" t="str">
            <v>VAR_fin</v>
          </cell>
          <cell r="C876" t="str">
            <v>INGA</v>
          </cell>
          <cell r="F876">
            <v>4.1976576390780548E-2</v>
          </cell>
          <cell r="G876">
            <v>8.9723425489669315E-2</v>
          </cell>
          <cell r="H876">
            <v>0.10842735590224628</v>
          </cell>
          <cell r="I876">
            <v>0.11993768941332929</v>
          </cell>
          <cell r="J876">
            <v>0.12031527513948885</v>
          </cell>
          <cell r="K876">
            <v>0.11815878976490242</v>
          </cell>
          <cell r="L876">
            <v>0.11807964982699132</v>
          </cell>
          <cell r="M876">
            <v>1.5779885358299108</v>
          </cell>
          <cell r="N876">
            <v>1.5779420931047075</v>
          </cell>
          <cell r="O876">
            <v>1.5768349260080807</v>
          </cell>
        </row>
        <row r="877">
          <cell r="A877" t="str">
            <v>ITOT-SWHNGAHP</v>
          </cell>
          <cell r="B877" t="str">
            <v>VAR_ncap</v>
          </cell>
          <cell r="C877" t="str">
            <v>-</v>
          </cell>
          <cell r="E877">
            <v>1.36261439277642E-3</v>
          </cell>
          <cell r="F877">
            <v>3.4883238014197901E-3</v>
          </cell>
          <cell r="G877">
            <v>4.7832547037904502E-3</v>
          </cell>
          <cell r="H877">
            <v>3.09057737744583E-3</v>
          </cell>
          <cell r="I877">
            <v>5.81152479146864E-3</v>
          </cell>
          <cell r="J877">
            <v>4.8455294843717401E-3</v>
          </cell>
          <cell r="K877">
            <v>3.7888442138384001E-3</v>
          </cell>
          <cell r="L877">
            <v>4.9626636837228197E-3</v>
          </cell>
          <cell r="M877">
            <v>0.16985022674908001</v>
          </cell>
          <cell r="N877">
            <v>4.5012405654444596E-3</v>
          </cell>
          <cell r="O877">
            <v>4.8571433094068799E-3</v>
          </cell>
        </row>
        <row r="878">
          <cell r="A878" t="str">
            <v>ITOT-SWHNGAHP</v>
          </cell>
          <cell r="B878" t="str">
            <v>VAR_cap</v>
          </cell>
          <cell r="C878" t="str">
            <v>-</v>
          </cell>
          <cell r="E878">
            <v>1.36261439277642E-3</v>
          </cell>
          <cell r="F878">
            <v>4.8485019582143636E-3</v>
          </cell>
          <cell r="G878">
            <v>9.6300093382775762E-3</v>
          </cell>
          <cell r="H878">
            <v>1.2049873772847391E-2</v>
          </cell>
          <cell r="I878">
            <v>1.3499017460124286E-2</v>
          </cell>
          <cell r="J878">
            <v>1.3739408560011969E-2</v>
          </cell>
          <cell r="K878">
            <v>1.4432276643752975E-2</v>
          </cell>
          <cell r="L878">
            <v>1.3835765106500763E-2</v>
          </cell>
          <cell r="M878">
            <v>0.17858408188622193</v>
          </cell>
          <cell r="N878">
            <v>0.17839105171425634</v>
          </cell>
          <cell r="O878">
            <v>0.17919210746998251</v>
          </cell>
        </row>
        <row r="879">
          <cell r="A879" t="str">
            <v>RHSA-WHLFOBR</v>
          </cell>
          <cell r="B879" t="str">
            <v>VAR_fout</v>
          </cell>
          <cell r="C879" t="str">
            <v>CO2_R</v>
          </cell>
          <cell r="D879">
            <v>726.71261268753301</v>
          </cell>
          <cell r="E879">
            <v>610.69149499693003</v>
          </cell>
          <cell r="F879">
            <v>122.928057017626</v>
          </cell>
          <cell r="G879">
            <v>195.60500614647299</v>
          </cell>
          <cell r="H879">
            <v>55.8790676903171</v>
          </cell>
          <cell r="I879">
            <v>1.3650285399439801</v>
          </cell>
          <cell r="J879">
            <v>1.40275114730426</v>
          </cell>
          <cell r="K879">
            <v>1.3288441752245199</v>
          </cell>
          <cell r="L879">
            <v>1.7755267094428</v>
          </cell>
          <cell r="M879">
            <v>2.7414354416781999</v>
          </cell>
          <cell r="N879">
            <v>2.2801366561974401</v>
          </cell>
          <cell r="O879">
            <v>5.9801656000142396</v>
          </cell>
        </row>
        <row r="880">
          <cell r="A880" t="str">
            <v>RHSA-WHLFOBR</v>
          </cell>
          <cell r="B880" t="str">
            <v>VAR_fout</v>
          </cell>
          <cell r="C880" t="str">
            <v>RHSA-WHLFO</v>
          </cell>
          <cell r="D880">
            <v>6.9844608863003472</v>
          </cell>
          <cell r="E880">
            <v>5.9211664061495588</v>
          </cell>
          <cell r="F880">
            <v>1.2075276971287048</v>
          </cell>
          <cell r="G880">
            <v>1.9629064106173049</v>
          </cell>
          <cell r="H880">
            <v>0.56667275932556782</v>
          </cell>
          <cell r="I880">
            <v>1.3987529560427744E-2</v>
          </cell>
          <cell r="J880">
            <v>1.4374075387205832E-2</v>
          </cell>
          <cell r="K880">
            <v>1.3616746198521278E-2</v>
          </cell>
          <cell r="L880">
            <v>1.8193928996297366E-2</v>
          </cell>
          <cell r="M880">
            <v>2.8091653878571564E-2</v>
          </cell>
          <cell r="N880">
            <v>2.3364697474886172E-2</v>
          </cell>
          <cell r="O880">
            <v>6.127911663289131E-2</v>
          </cell>
        </row>
        <row r="881">
          <cell r="A881" t="str">
            <v>RHSA-WHLFOBR</v>
          </cell>
          <cell r="B881" t="str">
            <v>VAR_fin</v>
          </cell>
          <cell r="C881" t="str">
            <v>RLFO</v>
          </cell>
          <cell r="D881">
            <v>9.8604153688946123</v>
          </cell>
          <cell r="E881">
            <v>8.2861803934454556</v>
          </cell>
          <cell r="F881">
            <v>1.6679519269691476</v>
          </cell>
          <cell r="G881">
            <v>2.6540706397079052</v>
          </cell>
          <cell r="H881">
            <v>0.7581963051603412</v>
          </cell>
          <cell r="I881">
            <v>1.8521418452428478E-2</v>
          </cell>
          <cell r="J881">
            <v>1.903325844374841E-2</v>
          </cell>
          <cell r="K881">
            <v>1.803045013873162E-2</v>
          </cell>
          <cell r="L881">
            <v>2.4091271498545504E-2</v>
          </cell>
          <cell r="M881">
            <v>3.7197224446108561E-2</v>
          </cell>
          <cell r="N881">
            <v>3.0938082173642346E-2</v>
          </cell>
          <cell r="O881">
            <v>8.1142002713897474E-2</v>
          </cell>
        </row>
        <row r="882">
          <cell r="A882" t="str">
            <v>RHSA-WHLFOBR</v>
          </cell>
          <cell r="B882" t="str">
            <v>VAR_ncap</v>
          </cell>
          <cell r="C882" t="str">
            <v>-</v>
          </cell>
          <cell r="E882">
            <v>7.8694765345913601E-7</v>
          </cell>
          <cell r="F882">
            <v>3.0681515887223599E-7</v>
          </cell>
          <cell r="G882">
            <v>5.35496250818481E-7</v>
          </cell>
          <cell r="H882">
            <v>5.7170088017669296E-6</v>
          </cell>
          <cell r="I882">
            <v>1.03146253851262E-3</v>
          </cell>
          <cell r="J882">
            <v>5.4442746164624301E-5</v>
          </cell>
          <cell r="L882">
            <v>1.1312266094060601E-3</v>
          </cell>
          <cell r="M882">
            <v>9.4762121977619805E-4</v>
          </cell>
          <cell r="N882">
            <v>2.33329009063668E-5</v>
          </cell>
          <cell r="O882">
            <v>3.49248016044303E-3</v>
          </cell>
        </row>
        <row r="883">
          <cell r="A883" t="str">
            <v>RHSA-WHLFOBR</v>
          </cell>
          <cell r="B883" t="str">
            <v>VAR_cap</v>
          </cell>
          <cell r="C883" t="str">
            <v>-</v>
          </cell>
          <cell r="D883">
            <v>0.47738433216181703</v>
          </cell>
          <cell r="E883">
            <v>0.47737876340933061</v>
          </cell>
          <cell r="F883">
            <v>0.17334161299899736</v>
          </cell>
          <cell r="G883">
            <v>0.17329207531832919</v>
          </cell>
          <cell r="H883">
            <v>4.4943380414732309E-2</v>
          </cell>
          <cell r="I883">
            <v>1.0363956522948913E-3</v>
          </cell>
          <cell r="J883">
            <v>1.0883678287386214E-3</v>
          </cell>
          <cell r="K883">
            <v>1.0840080294105912E-3</v>
          </cell>
          <cell r="L883">
            <v>1.3349265460587303E-3</v>
          </cell>
          <cell r="M883">
            <v>2.0780158454179413E-3</v>
          </cell>
          <cell r="N883">
            <v>1.7409634658841684E-3</v>
          </cell>
          <cell r="O883">
            <v>4.4607920107194938E-3</v>
          </cell>
        </row>
        <row r="884">
          <cell r="A884" t="str">
            <v>D-IWST</v>
          </cell>
          <cell r="B884" t="str">
            <v>VAR_fout</v>
          </cell>
          <cell r="C884" t="str">
            <v>CO2</v>
          </cell>
          <cell r="D884">
            <v>1068.1290358364399</v>
          </cell>
          <cell r="E884">
            <v>1094.48182552247</v>
          </cell>
          <cell r="F884">
            <v>1024.64147438076</v>
          </cell>
          <cell r="G884">
            <v>1013.19812144335</v>
          </cell>
          <cell r="H884">
            <v>1001.75504366445</v>
          </cell>
          <cell r="I884">
            <v>996.69846554331798</v>
          </cell>
          <cell r="J884">
            <v>991.64203710912102</v>
          </cell>
          <cell r="K884">
            <v>986.58594142142499</v>
          </cell>
          <cell r="L884">
            <v>986.58554841506498</v>
          </cell>
          <cell r="M884">
            <v>986.58590670346496</v>
          </cell>
          <cell r="N884">
            <v>986.58561879310196</v>
          </cell>
          <cell r="O884">
            <v>986.58624396292396</v>
          </cell>
        </row>
        <row r="885">
          <cell r="A885" t="str">
            <v>D-IWST</v>
          </cell>
          <cell r="B885" t="str">
            <v>VAR_fout</v>
          </cell>
          <cell r="C885" t="str">
            <v>IWST</v>
          </cell>
          <cell r="D885">
            <v>11.51001116203058</v>
          </cell>
          <cell r="E885">
            <v>11.793985188819743</v>
          </cell>
          <cell r="F885">
            <v>11.041395198068575</v>
          </cell>
          <cell r="G885">
            <v>10.918083205208569</v>
          </cell>
          <cell r="H885">
            <v>10.794774177418667</v>
          </cell>
          <cell r="I885">
            <v>10.74028518904438</v>
          </cell>
          <cell r="J885">
            <v>10.685797813675871</v>
          </cell>
          <cell r="K885">
            <v>10.631314023937769</v>
          </cell>
          <cell r="L885">
            <v>10.631309788955447</v>
          </cell>
          <cell r="M885">
            <v>10.63131364982182</v>
          </cell>
          <cell r="N885">
            <v>10.631310547339469</v>
          </cell>
          <cell r="O885">
            <v>10.631317284083233</v>
          </cell>
        </row>
        <row r="886">
          <cell r="A886" t="str">
            <v>D-IWST</v>
          </cell>
          <cell r="B886" t="str">
            <v>VAR_fin</v>
          </cell>
          <cell r="C886" t="str">
            <v>WSTNREN</v>
          </cell>
          <cell r="D886">
            <v>11.51001116203058</v>
          </cell>
          <cell r="E886">
            <v>11.793985188819743</v>
          </cell>
          <cell r="F886">
            <v>11.041395198068575</v>
          </cell>
          <cell r="G886">
            <v>10.918083205208569</v>
          </cell>
          <cell r="H886">
            <v>10.794774177418667</v>
          </cell>
          <cell r="I886">
            <v>10.74028518904438</v>
          </cell>
          <cell r="J886">
            <v>10.685797813675871</v>
          </cell>
          <cell r="K886">
            <v>10.631314023937769</v>
          </cell>
          <cell r="L886">
            <v>10.631309788955447</v>
          </cell>
          <cell r="M886">
            <v>10.63131364982182</v>
          </cell>
          <cell r="N886">
            <v>10.631310547339469</v>
          </cell>
          <cell r="O886">
            <v>10.631317284083233</v>
          </cell>
        </row>
        <row r="887">
          <cell r="A887" t="str">
            <v>RHES-SHLFOBR</v>
          </cell>
          <cell r="B887" t="str">
            <v>VAR_fout</v>
          </cell>
          <cell r="C887" t="str">
            <v>CO2_R</v>
          </cell>
          <cell r="D887">
            <v>1783.6632477432299</v>
          </cell>
          <cell r="E887">
            <v>1640.9689885268499</v>
          </cell>
          <cell r="F887">
            <v>1689.27316175649</v>
          </cell>
          <cell r="G887">
            <v>1599.49002863181</v>
          </cell>
          <cell r="H887">
            <v>1312.8628941929201</v>
          </cell>
          <cell r="I887">
            <v>1283.50346926316</v>
          </cell>
          <cell r="J887">
            <v>1196.75163139748</v>
          </cell>
          <cell r="K887">
            <v>940.32912626171003</v>
          </cell>
          <cell r="L887">
            <v>838.93279597445201</v>
          </cell>
          <cell r="M887">
            <v>703.45426185113695</v>
          </cell>
          <cell r="N887">
            <v>384.66074624903001</v>
          </cell>
          <cell r="O887">
            <v>112.72468754466701</v>
          </cell>
        </row>
        <row r="888">
          <cell r="A888" t="str">
            <v>RHES-SHLFOBR</v>
          </cell>
          <cell r="B888" t="str">
            <v>VAR_fout</v>
          </cell>
          <cell r="C888" t="str">
            <v>RHES-SHLFO</v>
          </cell>
          <cell r="D888">
            <v>21.680664759429806</v>
          </cell>
          <cell r="E888">
            <v>19.946196999845863</v>
          </cell>
          <cell r="F888">
            <v>20.533340670377996</v>
          </cell>
          <cell r="G888">
            <v>19.442014708041576</v>
          </cell>
          <cell r="H888">
            <v>15.958023646058292</v>
          </cell>
          <cell r="I888">
            <v>15.601155918791223</v>
          </cell>
          <cell r="J888">
            <v>14.546675754774931</v>
          </cell>
          <cell r="K888">
            <v>11.429825991987087</v>
          </cell>
          <cell r="L888">
            <v>10.197340068662779</v>
          </cell>
          <cell r="M888">
            <v>8.5505804103343745</v>
          </cell>
          <cell r="N888">
            <v>4.6756026935516459</v>
          </cell>
          <cell r="O888">
            <v>1.3701836172604878</v>
          </cell>
        </row>
        <row r="889">
          <cell r="A889" t="str">
            <v>RHES-SHLFOBR</v>
          </cell>
          <cell r="B889" t="str">
            <v>VAR_fin</v>
          </cell>
          <cell r="C889" t="str">
            <v>RLFO</v>
          </cell>
          <cell r="D889">
            <v>24.201672289596019</v>
          </cell>
          <cell r="E889">
            <v>22.265522232386036</v>
          </cell>
          <cell r="F889">
            <v>22.920938422747529</v>
          </cell>
          <cell r="G889">
            <v>21.702714092697551</v>
          </cell>
          <cell r="H889">
            <v>17.813607790948751</v>
          </cell>
          <cell r="I889">
            <v>17.41524381632507</v>
          </cell>
          <cell r="J889">
            <v>16.238149679748751</v>
          </cell>
          <cell r="K889">
            <v>12.758875525939068</v>
          </cell>
          <cell r="L889">
            <v>11.383077285949136</v>
          </cell>
          <cell r="M889">
            <v>9.5448339464197574</v>
          </cell>
          <cell r="N889">
            <v>5.2192774253599747</v>
          </cell>
          <cell r="O889">
            <v>1.5295072936861263</v>
          </cell>
        </row>
        <row r="890">
          <cell r="A890" t="str">
            <v>RHES-SHLFOBR</v>
          </cell>
          <cell r="B890" t="str">
            <v>VAR_ncap</v>
          </cell>
          <cell r="C890" t="str">
            <v>-</v>
          </cell>
          <cell r="E890">
            <v>4.2464367099339298E-7</v>
          </cell>
          <cell r="F890">
            <v>2.35153529562062E-7</v>
          </cell>
          <cell r="G890">
            <v>6.5104073357306898E-7</v>
          </cell>
          <cell r="H890">
            <v>0.83730903857482397</v>
          </cell>
          <cell r="I890">
            <v>0.42488901661170098</v>
          </cell>
          <cell r="J890">
            <v>2.03858383317815E-6</v>
          </cell>
          <cell r="K890">
            <v>0.49910265055209502</v>
          </cell>
          <cell r="L890">
            <v>0.260940448166193</v>
          </cell>
          <cell r="M890">
            <v>7.1236592022344097E-6</v>
          </cell>
          <cell r="N890">
            <v>0.111864752629626</v>
          </cell>
          <cell r="O890">
            <v>8.9267465821506806E-6</v>
          </cell>
        </row>
        <row r="891">
          <cell r="A891" t="str">
            <v>RHES-SHLFOBR</v>
          </cell>
          <cell r="B891" t="str">
            <v>VAR_cap</v>
          </cell>
          <cell r="C891" t="str">
            <v>-</v>
          </cell>
          <cell r="D891">
            <v>1.7515307393373001</v>
          </cell>
          <cell r="E891">
            <v>1.7515285189408367</v>
          </cell>
          <cell r="F891">
            <v>1.7515240871864199</v>
          </cell>
          <cell r="G891">
            <v>1.7515189045089836</v>
          </cell>
          <cell r="H891">
            <v>1.2915382083400646</v>
          </cell>
          <cell r="I891">
            <v>1.2621977652662402</v>
          </cell>
          <cell r="J891">
            <v>1.2619136494967691</v>
          </cell>
          <cell r="K891">
            <v>0.92399160902378008</v>
          </cell>
          <cell r="L891">
            <v>0.82532913227817628</v>
          </cell>
          <cell r="M891">
            <v>0.76004289424149851</v>
          </cell>
          <cell r="N891">
            <v>0.37848944592830558</v>
          </cell>
          <cell r="O891">
            <v>0.11187841800267796</v>
          </cell>
        </row>
        <row r="892">
          <cell r="A892" t="str">
            <v>ITOT-SWHSTG</v>
          </cell>
          <cell r="B892" t="str">
            <v>VAR_fout</v>
          </cell>
          <cell r="C892" t="str">
            <v>ITOT-SWH</v>
          </cell>
          <cell r="D892">
            <v>1.3515346424585224E-5</v>
          </cell>
          <cell r="E892">
            <v>4.9381916292474569E-4</v>
          </cell>
          <cell r="F892">
            <v>8.9044169997607794E-3</v>
          </cell>
          <cell r="G892">
            <v>5.4594041030412649E-3</v>
          </cell>
          <cell r="H892">
            <v>1.03151262673733E-2</v>
          </cell>
          <cell r="I892">
            <v>1.3799607409273862E-2</v>
          </cell>
          <cell r="J892">
            <v>2.8706803895482406E-2</v>
          </cell>
          <cell r="K892">
            <v>0.17758699596589056</v>
          </cell>
          <cell r="L892">
            <v>0.29291877447690545</v>
          </cell>
          <cell r="M892">
            <v>0.43299112232098924</v>
          </cell>
          <cell r="N892">
            <v>0.30987525759964762</v>
          </cell>
          <cell r="O892">
            <v>0.48639492168513648</v>
          </cell>
        </row>
        <row r="893">
          <cell r="A893" t="str">
            <v>ITOT-SWHSTG</v>
          </cell>
          <cell r="B893" t="str">
            <v>VAR_fout</v>
          </cell>
          <cell r="C893" t="str">
            <v>AUX_ITOT-STG_OUT</v>
          </cell>
          <cell r="D893">
            <v>1.351534642458519E-5</v>
          </cell>
          <cell r="E893">
            <v>4.9341586005062954E-4</v>
          </cell>
          <cell r="F893">
            <v>8.8930593250161841E-3</v>
          </cell>
          <cell r="G893">
            <v>5.4594041030412753E-3</v>
          </cell>
          <cell r="H893">
            <v>1.030366501596512E-2</v>
          </cell>
          <cell r="I893">
            <v>1.3799607409273877E-2</v>
          </cell>
          <cell r="J893">
            <v>2.8678769907303229E-2</v>
          </cell>
          <cell r="K893">
            <v>0.17758699596589056</v>
          </cell>
          <cell r="L893">
            <v>0.29291877447690545</v>
          </cell>
          <cell r="M893">
            <v>0.43299112232098924</v>
          </cell>
          <cell r="N893">
            <v>0.30987525759964768</v>
          </cell>
          <cell r="O893">
            <v>0.48639492168513648</v>
          </cell>
        </row>
        <row r="894">
          <cell r="A894" t="str">
            <v>ITOT-SWHSTG</v>
          </cell>
          <cell r="B894" t="str">
            <v>VAR_fin</v>
          </cell>
          <cell r="C894" t="str">
            <v>AUX_ITOT-STG_IN</v>
          </cell>
          <cell r="D894">
            <v>1.6684336699941316E-5</v>
          </cell>
          <cell r="E894">
            <v>6.007531790367921E-4</v>
          </cell>
          <cell r="F894">
            <v>1.0600496426350005E-2</v>
          </cell>
          <cell r="G894">
            <v>6.2751771279085091E-3</v>
          </cell>
          <cell r="H894">
            <v>1.1461251414141721E-2</v>
          </cell>
          <cell r="I894">
            <v>1.4838287537327036E-2</v>
          </cell>
          <cell r="J894">
            <v>2.9902920714732172E-2</v>
          </cell>
          <cell r="K894">
            <v>0.17938080396913472</v>
          </cell>
          <cell r="L894">
            <v>0.29587754995603249</v>
          </cell>
          <cell r="M894">
            <v>0.43736477018362557</v>
          </cell>
          <cell r="N894">
            <v>0.31300531066805931</v>
          </cell>
          <cell r="O894">
            <v>0.49130800153184156</v>
          </cell>
        </row>
        <row r="895">
          <cell r="A895" t="str">
            <v>ITOT-SWHSTG</v>
          </cell>
          <cell r="B895" t="str">
            <v>VAR_fin</v>
          </cell>
          <cell r="C895" t="str">
            <v>ITOT-SWH</v>
          </cell>
          <cell r="D895">
            <v>1.6684336699941316E-5</v>
          </cell>
          <cell r="E895">
            <v>6.007531790367921E-4</v>
          </cell>
          <cell r="F895">
            <v>1.0600496426350005E-2</v>
          </cell>
          <cell r="G895">
            <v>6.2751771279085091E-3</v>
          </cell>
          <cell r="H895">
            <v>1.1461251414141721E-2</v>
          </cell>
          <cell r="I895">
            <v>1.4838287537327036E-2</v>
          </cell>
          <cell r="J895">
            <v>2.9902920714732172E-2</v>
          </cell>
          <cell r="K895">
            <v>0.17938080396913472</v>
          </cell>
          <cell r="L895">
            <v>0.29587754995603249</v>
          </cell>
          <cell r="M895">
            <v>0.43736477018362557</v>
          </cell>
          <cell r="N895">
            <v>0.31300531066805931</v>
          </cell>
          <cell r="O895">
            <v>0.49130800153184156</v>
          </cell>
        </row>
        <row r="896">
          <cell r="A896" t="str">
            <v>ITOT-SWHSTG</v>
          </cell>
          <cell r="B896" t="str">
            <v>VAR_ncap</v>
          </cell>
          <cell r="C896" t="str">
            <v>-</v>
          </cell>
          <cell r="D896">
            <v>2.2152918038874799E-3</v>
          </cell>
          <cell r="E896">
            <v>1.40656852363955E-5</v>
          </cell>
          <cell r="F896">
            <v>1.6362345556277E-5</v>
          </cell>
          <cell r="G896">
            <v>9.6260814675875595E-6</v>
          </cell>
          <cell r="H896">
            <v>3.1968812193578799E-3</v>
          </cell>
          <cell r="I896">
            <v>1.08676386431376E-3</v>
          </cell>
          <cell r="J896">
            <v>1.14336060613662E-3</v>
          </cell>
          <cell r="K896">
            <v>2.4327911113642998E-2</v>
          </cell>
          <cell r="L896">
            <v>5.5950901482552599E-2</v>
          </cell>
          <cell r="M896">
            <v>5.9821682277196404E-3</v>
          </cell>
          <cell r="N896">
            <v>9.2376697482838208E-3</v>
          </cell>
          <cell r="O896">
            <v>7.1334353242316406E-2</v>
          </cell>
        </row>
        <row r="897">
          <cell r="A897" t="str">
            <v>ITOT-SWHSTG</v>
          </cell>
          <cell r="B897" t="str">
            <v>VAR_cap</v>
          </cell>
          <cell r="C897" t="str">
            <v>-</v>
          </cell>
          <cell r="D897">
            <v>2.2152918038874799E-3</v>
          </cell>
          <cell r="E897">
            <v>2.2271988920672275E-3</v>
          </cell>
          <cell r="F897">
            <v>2.2414371727956335E-3</v>
          </cell>
          <cell r="G897">
            <v>2.2432910585203627E-3</v>
          </cell>
          <cell r="H897">
            <v>3.7809994311205119E-3</v>
          </cell>
          <cell r="I897">
            <v>4.2831917610932435E-3</v>
          </cell>
          <cell r="J897">
            <v>5.4124265854566247E-3</v>
          </cell>
          <cell r="K897">
            <v>2.650338880509228E-2</v>
          </cell>
          <cell r="L897">
            <v>8.1325735799330195E-2</v>
          </cell>
          <cell r="M897">
            <v>8.613782143430862E-2</v>
          </cell>
          <cell r="N897">
            <v>5.7573829544472988E-2</v>
          </cell>
          <cell r="O897">
            <v>8.6461612347934758E-2</v>
          </cell>
        </row>
        <row r="898">
          <cell r="A898" t="str">
            <v>SCOM-SHLFOBR</v>
          </cell>
          <cell r="B898" t="str">
            <v>VAR_fout</v>
          </cell>
          <cell r="C898" t="str">
            <v>CO2_S</v>
          </cell>
          <cell r="D898">
            <v>2229.91402906643</v>
          </cell>
          <cell r="E898">
            <v>1980.52899802193</v>
          </cell>
          <cell r="F898">
            <v>1873.4941119631901</v>
          </cell>
          <cell r="G898">
            <v>1587.6690430281401</v>
          </cell>
          <cell r="H898">
            <v>1251.1637470099299</v>
          </cell>
          <cell r="I898">
            <v>1056.10606618973</v>
          </cell>
          <cell r="J898">
            <v>950.83550852058499</v>
          </cell>
          <cell r="K898">
            <v>790.43989312985605</v>
          </cell>
          <cell r="L898">
            <v>653.82701168098004</v>
          </cell>
          <cell r="M898">
            <v>543.92712779606097</v>
          </cell>
          <cell r="N898">
            <v>299.43811266889998</v>
          </cell>
          <cell r="O898">
            <v>101.16588285639</v>
          </cell>
        </row>
        <row r="899">
          <cell r="A899" t="str">
            <v>SCOM-SHLFOBR</v>
          </cell>
          <cell r="B899" t="str">
            <v>VAR_fout</v>
          </cell>
          <cell r="C899" t="str">
            <v>SCOM-SHLFO</v>
          </cell>
          <cell r="D899">
            <v>24.843070733806076</v>
          </cell>
          <cell r="E899">
            <v>22.108409510048698</v>
          </cell>
          <cell r="F899">
            <v>20.975588628450762</v>
          </cell>
          <cell r="G899">
            <v>17.863063040370612</v>
          </cell>
          <cell r="H899">
            <v>14.147384853116334</v>
          </cell>
          <cell r="I899">
            <v>12.001205297610559</v>
          </cell>
          <cell r="J899">
            <v>10.804948960461177</v>
          </cell>
          <cell r="K899">
            <v>8.9822715128392598</v>
          </cell>
          <cell r="L899">
            <v>7.4298524054656747</v>
          </cell>
          <cell r="M899">
            <v>6.1809900885915869</v>
          </cell>
          <cell r="N899">
            <v>3.4027058257829546</v>
          </cell>
          <cell r="O899">
            <v>1.149612305186247</v>
          </cell>
        </row>
        <row r="900">
          <cell r="A900" t="str">
            <v>SCOM-SHLFOBR</v>
          </cell>
          <cell r="B900" t="str">
            <v>VAR_fin</v>
          </cell>
          <cell r="C900" t="str">
            <v>SLFO</v>
          </cell>
          <cell r="D900">
            <v>30.256635401172776</v>
          </cell>
          <cell r="E900">
            <v>26.872849362577067</v>
          </cell>
          <cell r="F900">
            <v>25.420544260016158</v>
          </cell>
          <cell r="G900">
            <v>21.542320800924575</v>
          </cell>
          <cell r="H900">
            <v>16.976441614788758</v>
          </cell>
          <cell r="I900">
            <v>14.32979737028127</v>
          </cell>
          <cell r="J900">
            <v>12.901431594580515</v>
          </cell>
          <cell r="K900">
            <v>10.725100313837938</v>
          </cell>
          <cell r="L900">
            <v>8.8714655587649904</v>
          </cell>
          <cell r="M900">
            <v>7.3802866729451795</v>
          </cell>
          <cell r="N900">
            <v>4.0629323292930852</v>
          </cell>
          <cell r="O900">
            <v>1.3726714091776095</v>
          </cell>
        </row>
        <row r="901">
          <cell r="A901" t="str">
            <v>SCOM-SHLFOBR</v>
          </cell>
          <cell r="B901" t="str">
            <v>VAR_ncap</v>
          </cell>
          <cell r="C901" t="str">
            <v>-</v>
          </cell>
          <cell r="D901">
            <v>3.1799337878000702E-6</v>
          </cell>
          <cell r="E901">
            <v>3.80517853383611E-6</v>
          </cell>
          <cell r="F901">
            <v>3.38304563917409E-6</v>
          </cell>
          <cell r="G901">
            <v>3.3608833774111998E-6</v>
          </cell>
          <cell r="H901">
            <v>0.60637883939617399</v>
          </cell>
          <cell r="I901">
            <v>0.33204318982609099</v>
          </cell>
          <cell r="J901">
            <v>8.3488624400496606E-6</v>
          </cell>
          <cell r="K901">
            <v>0.36406038468857999</v>
          </cell>
          <cell r="L901">
            <v>0.16226901273488001</v>
          </cell>
          <cell r="M901">
            <v>4.7537406989032701E-5</v>
          </cell>
          <cell r="N901">
            <v>9.1184493188099694E-2</v>
          </cell>
          <cell r="O901">
            <v>3.41831184811381E-4</v>
          </cell>
        </row>
        <row r="902">
          <cell r="A902" t="str">
            <v>SCOM-SHLFOBR</v>
          </cell>
          <cell r="B902" t="str">
            <v>VAR_cap</v>
          </cell>
          <cell r="C902" t="str">
            <v>-</v>
          </cell>
          <cell r="D902">
            <v>1.9285768371589078</v>
          </cell>
          <cell r="E902">
            <v>1.9284950833071715</v>
          </cell>
          <cell r="F902">
            <v>1.9284790859123033</v>
          </cell>
          <cell r="G902">
            <v>1.928437369350279</v>
          </cell>
          <cell r="H902">
            <v>1.106489902692998</v>
          </cell>
          <cell r="I902">
            <v>0.93842186425705976</v>
          </cell>
          <cell r="J902">
            <v>0.92282375640670722</v>
          </cell>
          <cell r="K902">
            <v>0.69609668226040078</v>
          </cell>
          <cell r="L902">
            <v>0.57734399389847557</v>
          </cell>
          <cell r="M902">
            <v>0.52636162413644538</v>
          </cell>
          <cell r="N902">
            <v>0.26651992926464235</v>
          </cell>
          <cell r="O902">
            <v>9.1559423317909769E-2</v>
          </cell>
        </row>
        <row r="903">
          <cell r="A903" t="str">
            <v>RHNM-SHPLTBR</v>
          </cell>
          <cell r="B903" t="str">
            <v>VAR_fout</v>
          </cell>
          <cell r="C903" t="str">
            <v>RHNM-SHPLT</v>
          </cell>
          <cell r="E903">
            <v>7.3539595964502213E-2</v>
          </cell>
          <cell r="F903">
            <v>7.4210291572706366E-2</v>
          </cell>
          <cell r="G903">
            <v>0.20228104227968496</v>
          </cell>
          <cell r="H903">
            <v>0.31702424317414007</v>
          </cell>
          <cell r="I903">
            <v>0.40271135860786528</v>
          </cell>
          <cell r="J903">
            <v>0.47102656934291098</v>
          </cell>
          <cell r="K903">
            <v>0.52383693014688748</v>
          </cell>
          <cell r="L903">
            <v>0.56613196970149671</v>
          </cell>
          <cell r="M903">
            <v>0.60374314113188765</v>
          </cell>
          <cell r="N903">
            <v>0.60375440995881524</v>
          </cell>
          <cell r="O903">
            <v>0.60380675016279917</v>
          </cell>
        </row>
        <row r="904">
          <cell r="A904" t="str">
            <v>RHNM-SHPLTBR</v>
          </cell>
          <cell r="B904" t="str">
            <v>VAR_fin</v>
          </cell>
          <cell r="C904" t="str">
            <v>RPLT</v>
          </cell>
          <cell r="E904">
            <v>8.1710662182780253E-2</v>
          </cell>
          <cell r="F904">
            <v>8.24558795252293E-2</v>
          </cell>
          <cell r="G904">
            <v>0.22475671364409447</v>
          </cell>
          <cell r="H904">
            <v>0.35224915908237769</v>
          </cell>
          <cell r="I904">
            <v>0.44745706511985073</v>
          </cell>
          <cell r="J904">
            <v>0.52336285482545697</v>
          </cell>
          <cell r="K904">
            <v>0.58204103349654135</v>
          </cell>
          <cell r="L904">
            <v>0.6290355218905519</v>
          </cell>
          <cell r="M904">
            <v>0.67082571236876432</v>
          </cell>
          <cell r="N904">
            <v>0.67083823328757253</v>
          </cell>
          <cell r="O904">
            <v>0.67089638906977644</v>
          </cell>
        </row>
        <row r="905">
          <cell r="A905" t="str">
            <v>RHNM-SHPLTBR</v>
          </cell>
          <cell r="B905" t="str">
            <v>VAR_fin</v>
          </cell>
          <cell r="C905" t="str">
            <v>RHNMPLTBRC</v>
          </cell>
          <cell r="E905">
            <v>7.3539595964502213E-2</v>
          </cell>
          <cell r="F905">
            <v>7.4210291572706366E-2</v>
          </cell>
          <cell r="G905">
            <v>0.20228104227968496</v>
          </cell>
          <cell r="H905">
            <v>0.31702424317414007</v>
          </cell>
          <cell r="I905">
            <v>0.40271135860786528</v>
          </cell>
          <cell r="J905">
            <v>0.47102656934291098</v>
          </cell>
          <cell r="K905">
            <v>0.52383693014688748</v>
          </cell>
          <cell r="L905">
            <v>0.56613196970149671</v>
          </cell>
          <cell r="M905">
            <v>0.60374314113188765</v>
          </cell>
          <cell r="N905">
            <v>0.60375440995881524</v>
          </cell>
          <cell r="O905">
            <v>0.60380675016279917</v>
          </cell>
        </row>
        <row r="906">
          <cell r="A906" t="str">
            <v>RHNM-SHPLTBR</v>
          </cell>
          <cell r="B906" t="str">
            <v>VAR_ncap</v>
          </cell>
          <cell r="C906" t="str">
            <v>-</v>
          </cell>
          <cell r="E906">
            <v>5.8434451130111803E-3</v>
          </cell>
          <cell r="F906">
            <v>8.5100140744767398E-5</v>
          </cell>
          <cell r="G906">
            <v>1.08563548644661E-2</v>
          </cell>
          <cell r="H906">
            <v>1.0905539987693001E-2</v>
          </cell>
          <cell r="I906">
            <v>1.1654505852140101E-2</v>
          </cell>
          <cell r="J906">
            <v>1.4101731893990501E-2</v>
          </cell>
          <cell r="K906">
            <v>1.5121313136215699E-2</v>
          </cell>
          <cell r="L906">
            <v>1.4913754274989E-2</v>
          </cell>
          <cell r="M906">
            <v>1.7045454088430698E-2</v>
          </cell>
          <cell r="N906">
            <v>1.7109888733416401E-2</v>
          </cell>
          <cell r="O906">
            <v>1.32430231527215E-2</v>
          </cell>
        </row>
        <row r="907">
          <cell r="A907" t="str">
            <v>RHNM-SHPLTBR</v>
          </cell>
          <cell r="B907" t="str">
            <v>VAR_cap</v>
          </cell>
          <cell r="C907" t="str">
            <v>-</v>
          </cell>
          <cell r="E907">
            <v>5.8434451130111803E-3</v>
          </cell>
          <cell r="F907">
            <v>5.928084792154514E-3</v>
          </cell>
          <cell r="G907">
            <v>1.6782776641702767E-2</v>
          </cell>
          <cell r="H907">
            <v>2.4837716506128461E-2</v>
          </cell>
          <cell r="I907">
            <v>3.1366962325165143E-2</v>
          </cell>
          <cell r="J907">
            <v>3.6660700448386721E-2</v>
          </cell>
          <cell r="K907">
            <v>4.0875515980324378E-2</v>
          </cell>
          <cell r="L907">
            <v>4.4057115087124878E-2</v>
          </cell>
          <cell r="M907">
            <v>4.7078413589271804E-2</v>
          </cell>
          <cell r="N907">
            <v>4.7016563992509995E-2</v>
          </cell>
          <cell r="O907">
            <v>4.7396215796450071E-2</v>
          </cell>
        </row>
        <row r="908">
          <cell r="A908" t="str">
            <v>D-RHES_NKEV_GAS_ELC_CHP</v>
          </cell>
          <cell r="B908" t="str">
            <v>VAR_fout</v>
          </cell>
          <cell r="C908" t="str">
            <v>RHES_ELC</v>
          </cell>
          <cell r="D908">
            <v>8.6936850984497393E-3</v>
          </cell>
          <cell r="E908">
            <v>1.7660244648637846E-3</v>
          </cell>
          <cell r="F908">
            <v>6.4218025416378239E-3</v>
          </cell>
          <cell r="G908">
            <v>5.6498071964244442E-3</v>
          </cell>
          <cell r="H908">
            <v>1.179673935781345E-2</v>
          </cell>
          <cell r="I908">
            <v>1.2191481578285224E-2</v>
          </cell>
          <cell r="J908">
            <v>1.1805432512922671E-2</v>
          </cell>
          <cell r="K908">
            <v>1.5140948693594844E-2</v>
          </cell>
          <cell r="L908">
            <v>1.3448036415085709E-2</v>
          </cell>
          <cell r="M908">
            <v>1.442933164908481E-2</v>
          </cell>
          <cell r="N908">
            <v>7.7742899427564779E-2</v>
          </cell>
          <cell r="O908">
            <v>7.7175662295097536E-2</v>
          </cell>
        </row>
        <row r="909">
          <cell r="A909" t="str">
            <v>D-RHES_NKEV_GAS_ELC_CHP</v>
          </cell>
          <cell r="B909" t="str">
            <v>VAR_fout</v>
          </cell>
          <cell r="C909" t="str">
            <v>ELC5</v>
          </cell>
          <cell r="D909">
            <v>8.6177516958540774E-3</v>
          </cell>
          <cell r="E909">
            <v>1.7638859737910846E-3</v>
          </cell>
          <cell r="F909">
            <v>6.4375043390388024E-3</v>
          </cell>
          <cell r="G909">
            <v>5.66192936513377E-3</v>
          </cell>
          <cell r="H909">
            <v>1.1999530461631281E-2</v>
          </cell>
          <cell r="I909">
            <v>1.228154215110804E-2</v>
          </cell>
          <cell r="J909">
            <v>1.1949195705145143E-2</v>
          </cell>
          <cell r="K909">
            <v>1.5423210375111998E-2</v>
          </cell>
          <cell r="L909">
            <v>1.3668280747370837E-2</v>
          </cell>
          <cell r="M909">
            <v>1.465039209697375E-2</v>
          </cell>
          <cell r="N909">
            <v>7.8426455656775362E-2</v>
          </cell>
          <cell r="O909">
            <v>7.8266377904201961E-2</v>
          </cell>
        </row>
        <row r="910">
          <cell r="A910" t="str">
            <v>D-RHES_NKEV_GAS_ELC_CHP</v>
          </cell>
          <cell r="B910" t="str">
            <v>VAR_fin</v>
          </cell>
          <cell r="C910" t="str">
            <v>RHES_NKEV_GAS_ELC_CHP</v>
          </cell>
          <cell r="D910">
            <v>1.7311436794303813E-2</v>
          </cell>
          <cell r="E910">
            <v>3.5299104386548688E-3</v>
          </cell>
          <cell r="F910">
            <v>1.2852603285583554E-2</v>
          </cell>
          <cell r="G910">
            <v>1.1311736561558226E-2</v>
          </cell>
          <cell r="H910">
            <v>2.3796269819444708E-2</v>
          </cell>
          <cell r="I910">
            <v>2.4473023729393265E-2</v>
          </cell>
          <cell r="J910">
            <v>2.3754628218067793E-2</v>
          </cell>
          <cell r="K910">
            <v>3.0564159068706874E-2</v>
          </cell>
          <cell r="L910">
            <v>2.7116317162456549E-2</v>
          </cell>
          <cell r="M910">
            <v>2.9079723746058571E-2</v>
          </cell>
          <cell r="N910">
            <v>0.1561693550843401</v>
          </cell>
          <cell r="O910">
            <v>0.15544204019929939</v>
          </cell>
        </row>
        <row r="911">
          <cell r="A911" t="str">
            <v>SCOM-SHSTG-SOL</v>
          </cell>
          <cell r="B911" t="str">
            <v>VAR_fout</v>
          </cell>
          <cell r="C911" t="str">
            <v>SCOM-SHASOL</v>
          </cell>
          <cell r="D911">
            <v>1.3398661769213681E-4</v>
          </cell>
          <cell r="E911">
            <v>1.3752358182200956E-4</v>
          </cell>
          <cell r="F911">
            <v>1.11962469577631E-2</v>
          </cell>
          <cell r="G911">
            <v>7.5249396102427023E-3</v>
          </cell>
          <cell r="H911">
            <v>3.6961053913177659E-2</v>
          </cell>
          <cell r="I911">
            <v>3.7261428231343888E-2</v>
          </cell>
          <cell r="J911">
            <v>2.0658251219121734E-2</v>
          </cell>
          <cell r="K911">
            <v>7.2698732259560236E-2</v>
          </cell>
          <cell r="L911">
            <v>5.6763442548056452E-2</v>
          </cell>
          <cell r="M911">
            <v>7.9848411057278884E-2</v>
          </cell>
          <cell r="N911">
            <v>6.9800681792034636E-2</v>
          </cell>
          <cell r="O911">
            <v>0.10391464655656348</v>
          </cell>
        </row>
        <row r="912">
          <cell r="A912" t="str">
            <v>SCOM-SHSTG-SOL</v>
          </cell>
          <cell r="B912" t="str">
            <v>VAR_fin</v>
          </cell>
          <cell r="C912" t="str">
            <v>SCOM-SHASOL</v>
          </cell>
          <cell r="D912">
            <v>1.311065286243047E-4</v>
          </cell>
          <cell r="E912">
            <v>1.295989616669106E-4</v>
          </cell>
          <cell r="F912">
            <v>1.4402873300534526E-2</v>
          </cell>
          <cell r="G912">
            <v>9.3723571072247477E-3</v>
          </cell>
          <cell r="H912">
            <v>4.4776393176669073E-2</v>
          </cell>
          <cell r="I912">
            <v>4.3816402934998035E-2</v>
          </cell>
          <cell r="J912">
            <v>2.3560191727353109E-2</v>
          </cell>
          <cell r="K912">
            <v>8.0724895221317081E-2</v>
          </cell>
          <cell r="L912">
            <v>6.3047091374326222E-2</v>
          </cell>
          <cell r="M912">
            <v>8.8664966721694979E-2</v>
          </cell>
          <cell r="N912">
            <v>7.7515649973042236E-2</v>
          </cell>
          <cell r="O912">
            <v>0.11535757899066672</v>
          </cell>
        </row>
        <row r="913">
          <cell r="A913" t="str">
            <v>SCOM-SHSTG-SOL</v>
          </cell>
          <cell r="B913" t="str">
            <v>VAR_ncap</v>
          </cell>
          <cell r="C913" t="str">
            <v>-</v>
          </cell>
          <cell r="D913">
            <v>2.0164132238970699E-2</v>
          </cell>
          <cell r="E913">
            <v>3.2664294245391698E-3</v>
          </cell>
          <cell r="F913">
            <v>2.55435647169997E-5</v>
          </cell>
          <cell r="G913">
            <v>1.0133279736454999E-5</v>
          </cell>
          <cell r="H913">
            <v>1.6599946029424099E-2</v>
          </cell>
          <cell r="I913">
            <v>6.9124064734675597E-3</v>
          </cell>
          <cell r="J913">
            <v>5.4189347450258896E-6</v>
          </cell>
          <cell r="K913">
            <v>1.6604844585130701E-2</v>
          </cell>
          <cell r="L913">
            <v>5.8857951192472103E-3</v>
          </cell>
          <cell r="M913">
            <v>7.9342908627411395E-4</v>
          </cell>
          <cell r="N913">
            <v>1.57939413566686E-2</v>
          </cell>
          <cell r="O913">
            <v>6.4833586500297703E-3</v>
          </cell>
        </row>
        <row r="914">
          <cell r="A914" t="str">
            <v>SCOM-SHSTG-SOL</v>
          </cell>
          <cell r="B914" t="str">
            <v>VAR_cap</v>
          </cell>
          <cell r="C914" t="str">
            <v>-</v>
          </cell>
          <cell r="D914">
            <v>2.0164132238970699E-2</v>
          </cell>
          <cell r="E914">
            <v>2.3430561663509802E-2</v>
          </cell>
          <cell r="F914">
            <v>2.34561052282268E-2</v>
          </cell>
          <cell r="G914">
            <v>2.34662385079633E-2</v>
          </cell>
          <cell r="H914">
            <v>2.3538413197816101E-2</v>
          </cell>
          <cell r="I914">
            <v>2.3525922028355701E-2</v>
          </cell>
          <cell r="J914">
            <v>2.35177714376366E-2</v>
          </cell>
          <cell r="K914">
            <v>2.3522669993343299E-2</v>
          </cell>
          <cell r="L914">
            <v>2.3557460097811098E-2</v>
          </cell>
          <cell r="M914">
            <v>2.3284068790652E-2</v>
          </cell>
          <cell r="N914">
            <v>2.35483699391968E-2</v>
          </cell>
          <cell r="O914">
            <v>2.3070729092972499E-2</v>
          </cell>
        </row>
        <row r="915">
          <cell r="A915" t="str">
            <v>RHNM-SHELCBRA</v>
          </cell>
          <cell r="B915" t="str">
            <v>VAR_fout</v>
          </cell>
          <cell r="C915" t="str">
            <v>RHNM-SHELCB</v>
          </cell>
          <cell r="E915">
            <v>0.15438980826616849</v>
          </cell>
          <cell r="F915">
            <v>0.1687904649950186</v>
          </cell>
          <cell r="G915">
            <v>0.16322544293648825</v>
          </cell>
          <cell r="H915">
            <v>8.7328182227521103E-2</v>
          </cell>
          <cell r="I915">
            <v>9.27823520382004E-3</v>
          </cell>
          <cell r="J915">
            <v>3.2890830730930645E-2</v>
          </cell>
          <cell r="K915">
            <v>1.9288868739715654E-2</v>
          </cell>
          <cell r="L915">
            <v>9.0422846293815948E-3</v>
          </cell>
          <cell r="M915">
            <v>2.5969029876148551E-2</v>
          </cell>
          <cell r="N915">
            <v>9.8484524456213876E-3</v>
          </cell>
          <cell r="O915">
            <v>1.2388992307218199E-2</v>
          </cell>
        </row>
        <row r="916">
          <cell r="A916" t="str">
            <v>RHNM-SHELCBRA</v>
          </cell>
          <cell r="B916" t="str">
            <v>VAR_fin</v>
          </cell>
          <cell r="C916" t="str">
            <v>RHNM-SHAELCB</v>
          </cell>
          <cell r="E916">
            <v>0.15438980826616849</v>
          </cell>
          <cell r="F916">
            <v>0.1687904649950186</v>
          </cell>
          <cell r="G916">
            <v>0.16322544293648825</v>
          </cell>
          <cell r="H916">
            <v>8.7328182227521103E-2</v>
          </cell>
          <cell r="I916">
            <v>9.27823520382004E-3</v>
          </cell>
          <cell r="J916">
            <v>3.2890830730930645E-2</v>
          </cell>
          <cell r="K916">
            <v>1.9288868739715654E-2</v>
          </cell>
          <cell r="L916">
            <v>9.0422846293815948E-3</v>
          </cell>
          <cell r="M916">
            <v>2.5969029876148551E-2</v>
          </cell>
          <cell r="N916">
            <v>9.8484524456213876E-3</v>
          </cell>
          <cell r="O916">
            <v>1.2388992307218199E-2</v>
          </cell>
        </row>
        <row r="917">
          <cell r="A917" t="str">
            <v>RHNM-SHELCBRA</v>
          </cell>
          <cell r="B917" t="str">
            <v>VAR_ncap</v>
          </cell>
          <cell r="C917" t="str">
            <v>-</v>
          </cell>
          <cell r="E917">
            <v>1.35175928312213E-2</v>
          </cell>
          <cell r="H917">
            <v>1.37144198613407E-3</v>
          </cell>
          <cell r="J917">
            <v>2.4194029550468898E-3</v>
          </cell>
          <cell r="L917">
            <v>5.6218403820805203E-4</v>
          </cell>
          <cell r="M917">
            <v>2.07001979031426E-3</v>
          </cell>
          <cell r="N917">
            <v>3.0764475893326398E-4</v>
          </cell>
          <cell r="O917">
            <v>7.8181850607153297E-4</v>
          </cell>
        </row>
        <row r="918">
          <cell r="A918" t="str">
            <v>RHNM-SHELCBRA</v>
          </cell>
          <cell r="B918" t="str">
            <v>VAR_cap</v>
          </cell>
          <cell r="C918" t="str">
            <v>-</v>
          </cell>
          <cell r="E918">
            <v>1.35175928312213E-2</v>
          </cell>
          <cell r="F918">
            <v>1.3516739360378003E-2</v>
          </cell>
          <cell r="G918">
            <v>1.3512957347994929E-2</v>
          </cell>
          <cell r="H918">
            <v>8.1916914372855715E-3</v>
          </cell>
          <cell r="I918">
            <v>1.2703789689737829E-3</v>
          </cell>
          <cell r="J918">
            <v>3.5263672432141956E-3</v>
          </cell>
          <cell r="K918">
            <v>2.2663755165806361E-3</v>
          </cell>
          <cell r="L918">
            <v>1.2909444126344702E-3</v>
          </cell>
          <cell r="M918">
            <v>2.564415024101476E-3</v>
          </cell>
          <cell r="N918">
            <v>1.4385355566369597E-3</v>
          </cell>
          <cell r="O918">
            <v>1.7589848356199499E-3</v>
          </cell>
        </row>
        <row r="919">
          <cell r="A919" t="str">
            <v>RHNM-SHSTG-SOL</v>
          </cell>
          <cell r="B919" t="str">
            <v>VAR_fout</v>
          </cell>
          <cell r="C919" t="str">
            <v>RHNM-SHASOL</v>
          </cell>
          <cell r="E919">
            <v>8.6741930856061315E-5</v>
          </cell>
          <cell r="F919">
            <v>3.7017910376378055E-3</v>
          </cell>
          <cell r="G919">
            <v>4.5277645924272081E-3</v>
          </cell>
          <cell r="H919">
            <v>3.4525816444944185E-3</v>
          </cell>
          <cell r="I919">
            <v>1.1143474880775559E-3</v>
          </cell>
          <cell r="J919">
            <v>9.837888137831654E-4</v>
          </cell>
          <cell r="K919">
            <v>2.2657960990033485E-3</v>
          </cell>
          <cell r="L919">
            <v>2.0765041600894697E-3</v>
          </cell>
          <cell r="M919">
            <v>5.8904650495985528E-3</v>
          </cell>
          <cell r="N919">
            <v>2.9651943709247883E-3</v>
          </cell>
          <cell r="O919">
            <v>2.6012261557677389E-3</v>
          </cell>
        </row>
        <row r="920">
          <cell r="A920" t="str">
            <v>RHNM-SHSTG-SOL</v>
          </cell>
          <cell r="B920" t="str">
            <v>VAR_fin</v>
          </cell>
          <cell r="C920" t="str">
            <v>RHNM-SHASOL</v>
          </cell>
          <cell r="E920">
            <v>1.1300447733620129E-6</v>
          </cell>
          <cell r="F920">
            <v>3.6164366648769241E-3</v>
          </cell>
          <cell r="G920">
            <v>4.4340015855234309E-3</v>
          </cell>
          <cell r="H920">
            <v>3.3930114623929222E-3</v>
          </cell>
          <cell r="I920">
            <v>1.0709589957753624E-3</v>
          </cell>
          <cell r="J920">
            <v>8.6615761793089319E-4</v>
          </cell>
          <cell r="K920">
            <v>2.1715021442970084E-3</v>
          </cell>
          <cell r="L920">
            <v>2.024448532303822E-3</v>
          </cell>
          <cell r="M920">
            <v>5.7824432254164745E-3</v>
          </cell>
          <cell r="N920">
            <v>2.9095279076894265E-3</v>
          </cell>
          <cell r="O920">
            <v>2.4280860975557537E-3</v>
          </cell>
        </row>
        <row r="921">
          <cell r="A921" t="str">
            <v>RHNM-SHSTG-SOL</v>
          </cell>
          <cell r="B921" t="str">
            <v>VAR_ncap</v>
          </cell>
          <cell r="C921" t="str">
            <v>-</v>
          </cell>
          <cell r="D921">
            <v>1.6939170190822199E-4</v>
          </cell>
          <cell r="E921">
            <v>3.5212939086412597E-5</v>
          </cell>
          <cell r="F921">
            <v>4.4319128062063698E-4</v>
          </cell>
          <cell r="G921">
            <v>1.40379699389377E-4</v>
          </cell>
          <cell r="H921">
            <v>1.30226137717238E-5</v>
          </cell>
          <cell r="I921">
            <v>3.1368931280324899E-5</v>
          </cell>
          <cell r="J921">
            <v>1.6939100065238501E-4</v>
          </cell>
          <cell r="K921">
            <v>3.2913344863345998E-4</v>
          </cell>
          <cell r="L921">
            <v>1.38469083923293E-5</v>
          </cell>
          <cell r="M921">
            <v>7.3276038835457696E-4</v>
          </cell>
          <cell r="N921">
            <v>3.8714438634422799E-5</v>
          </cell>
          <cell r="O921">
            <v>3.5131953032804502E-5</v>
          </cell>
        </row>
        <row r="922">
          <cell r="A922" t="str">
            <v>RHNM-SHSTG-SOL</v>
          </cell>
          <cell r="B922" t="str">
            <v>VAR_cap</v>
          </cell>
          <cell r="C922" t="str">
            <v>-</v>
          </cell>
          <cell r="D922">
            <v>1.6939170190822199E-4</v>
          </cell>
          <cell r="E922">
            <v>2.0460464099463399E-4</v>
          </cell>
          <cell r="F922">
            <v>6.47795921615272E-4</v>
          </cell>
          <cell r="G922">
            <v>7.8817562100464897E-4</v>
          </cell>
          <cell r="H922">
            <v>6.5856383969944304E-4</v>
          </cell>
          <cell r="I922">
            <v>2.5113325933021698E-4</v>
          </cell>
          <cell r="J922">
            <v>2.1378254570443401E-4</v>
          </cell>
          <cell r="K922">
            <v>5.2989338056616997E-4</v>
          </cell>
          <cell r="L922">
            <v>4.9474778867186005E-4</v>
          </cell>
          <cell r="M922">
            <v>1.07574074538037E-3</v>
          </cell>
          <cell r="N922">
            <v>8.3922882528352503E-4</v>
          </cell>
          <cell r="O922">
            <v>8.0660678002180395E-4</v>
          </cell>
        </row>
        <row r="923">
          <cell r="A923" t="str">
            <v>RHNS-SHELCHP</v>
          </cell>
          <cell r="B923" t="str">
            <v>VAR_fout</v>
          </cell>
          <cell r="C923" t="str">
            <v>RHNS-SHAELCH</v>
          </cell>
          <cell r="E923">
            <v>0.24245584676859466</v>
          </cell>
          <cell r="F923">
            <v>0.64574764099028814</v>
          </cell>
          <cell r="G923">
            <v>1.5084361521533864</v>
          </cell>
          <cell r="H923">
            <v>1.5085656099548528</v>
          </cell>
          <cell r="I923">
            <v>1.5086099704690323</v>
          </cell>
          <cell r="J923">
            <v>1.5086879168416312</v>
          </cell>
          <cell r="K923">
            <v>1.7958230857178343</v>
          </cell>
          <cell r="L923">
            <v>1.7959017771994108</v>
          </cell>
          <cell r="M923">
            <v>1.7960270559974423</v>
          </cell>
          <cell r="N923">
            <v>1.7965071434123812</v>
          </cell>
          <cell r="O923">
            <v>1.7970798928890663</v>
          </cell>
        </row>
        <row r="924">
          <cell r="A924" t="str">
            <v>RHNS-SHELCHP</v>
          </cell>
          <cell r="B924" t="str">
            <v>VAR_fin</v>
          </cell>
          <cell r="C924" t="str">
            <v>RHNS_ELC</v>
          </cell>
          <cell r="E924">
            <v>7.4525362736248282E-2</v>
          </cell>
          <cell r="F924">
            <v>0.19372429229708629</v>
          </cell>
          <cell r="G924">
            <v>0.43512581312116844</v>
          </cell>
          <cell r="H924">
            <v>0.4209950539408891</v>
          </cell>
          <cell r="I924">
            <v>0.40773242445108987</v>
          </cell>
          <cell r="J924">
            <v>0.39702313601095529</v>
          </cell>
          <cell r="K924">
            <v>0.46046745787636734</v>
          </cell>
          <cell r="L924">
            <v>0.46048763517933627</v>
          </cell>
          <cell r="M924">
            <v>0.46051975794806199</v>
          </cell>
          <cell r="N924">
            <v>0.4606428572852263</v>
          </cell>
          <cell r="O924">
            <v>0.46078971612540176</v>
          </cell>
        </row>
        <row r="925">
          <cell r="A925" t="str">
            <v>RHNS-SHELCHP</v>
          </cell>
          <cell r="B925" t="str">
            <v>VAR_fin</v>
          </cell>
          <cell r="C925" t="str">
            <v>RHNSELCHPC</v>
          </cell>
          <cell r="E925">
            <v>0.24245584676859466</v>
          </cell>
          <cell r="F925">
            <v>0.64574764099028814</v>
          </cell>
          <cell r="G925">
            <v>1.5084361521533864</v>
          </cell>
          <cell r="H925">
            <v>1.5085656099548528</v>
          </cell>
          <cell r="I925">
            <v>1.5086099704690323</v>
          </cell>
          <cell r="J925">
            <v>1.5086879168416312</v>
          </cell>
          <cell r="K925">
            <v>1.7958230857178343</v>
          </cell>
          <cell r="L925">
            <v>1.7959017771994108</v>
          </cell>
          <cell r="M925">
            <v>1.7960270559974423</v>
          </cell>
          <cell r="N925">
            <v>1.7965071434123812</v>
          </cell>
          <cell r="O925">
            <v>1.7970798928890663</v>
          </cell>
        </row>
        <row r="926">
          <cell r="A926" t="str">
            <v>RHNS-SHELCHP</v>
          </cell>
          <cell r="B926" t="str">
            <v>VAR_ncap</v>
          </cell>
          <cell r="C926" t="str">
            <v>-</v>
          </cell>
          <cell r="E926">
            <v>1.77817909253336E-2</v>
          </cell>
          <cell r="F926">
            <v>2.9456755431005299E-2</v>
          </cell>
          <cell r="G926">
            <v>6.3564386760801894E-2</v>
          </cell>
          <cell r="H926">
            <v>8.0112079723402008E-3</v>
          </cell>
          <cell r="I926">
            <v>4.4323105053334602E-2</v>
          </cell>
          <cell r="J926">
            <v>5.7644068472363502E-2</v>
          </cell>
          <cell r="K926">
            <v>2.9022677489689699E-2</v>
          </cell>
          <cell r="L926">
            <v>4.5086285547782198E-2</v>
          </cell>
          <cell r="M926">
            <v>5.6900774982444398E-2</v>
          </cell>
          <cell r="N926">
            <v>3.8177170560353399E-2</v>
          </cell>
          <cell r="O926">
            <v>3.6155125898447202E-2</v>
          </cell>
        </row>
        <row r="927">
          <cell r="A927" t="str">
            <v>RHNS-SHELCHP</v>
          </cell>
          <cell r="B927" t="str">
            <v>VAR_cap</v>
          </cell>
          <cell r="C927" t="str">
            <v>-</v>
          </cell>
          <cell r="E927">
            <v>1.77817909253336E-2</v>
          </cell>
          <cell r="F927">
            <v>4.7238262769770868E-2</v>
          </cell>
          <cell r="G927">
            <v>0.1108018636209714</v>
          </cell>
          <cell r="H927">
            <v>0.1101402541439435</v>
          </cell>
          <cell r="I927">
            <v>0.10998908930827672</v>
          </cell>
          <cell r="J927">
            <v>0.1099775141894519</v>
          </cell>
          <cell r="K927">
            <v>0.13098858318544579</v>
          </cell>
          <cell r="L927">
            <v>0.13092449418031185</v>
          </cell>
          <cell r="M927">
            <v>0.13100848073993202</v>
          </cell>
          <cell r="N927">
            <v>0.13101009620922244</v>
          </cell>
          <cell r="O927">
            <v>0.13123182668623318</v>
          </cell>
        </row>
        <row r="928">
          <cell r="A928" t="str">
            <v>SCOM-SHBIOBR</v>
          </cell>
          <cell r="B928" t="str">
            <v>VAR_fout</v>
          </cell>
          <cell r="C928" t="str">
            <v>SCOM-SHBIO</v>
          </cell>
          <cell r="D928">
            <v>1.2230742508175292</v>
          </cell>
          <cell r="E928">
            <v>1.3407711077682443</v>
          </cell>
          <cell r="F928">
            <v>1.4131414725636671</v>
          </cell>
          <cell r="G928">
            <v>1.4122632492032301</v>
          </cell>
          <cell r="H928">
            <v>1.5483635081915474</v>
          </cell>
          <cell r="I928">
            <v>1.6672836623881953</v>
          </cell>
          <cell r="J928">
            <v>1.757660337034894</v>
          </cell>
          <cell r="K928">
            <v>1.9041048987120313</v>
          </cell>
          <cell r="L928">
            <v>2.1886452767446301</v>
          </cell>
          <cell r="M928">
            <v>2.1798327912494884</v>
          </cell>
          <cell r="N928">
            <v>3.0571418912710935</v>
          </cell>
          <cell r="O928">
            <v>3.1766401953834835</v>
          </cell>
        </row>
        <row r="929">
          <cell r="A929" t="str">
            <v>SCOM-SHBIOBR</v>
          </cell>
          <cell r="B929" t="str">
            <v>VAR_fin</v>
          </cell>
          <cell r="C929" t="str">
            <v>SBIO</v>
          </cell>
          <cell r="D929">
            <v>1.4022864604649508</v>
          </cell>
          <cell r="E929">
            <v>1.5372289701539132</v>
          </cell>
          <cell r="F929">
            <v>1.6202034769131697</v>
          </cell>
          <cell r="G929">
            <v>1.6191965709736642</v>
          </cell>
          <cell r="H929">
            <v>1.7752390600682726</v>
          </cell>
          <cell r="I929">
            <v>1.9115841118874064</v>
          </cell>
          <cell r="J929">
            <v>2.0152033215259064</v>
          </cell>
          <cell r="K929">
            <v>2.1831058228755222</v>
          </cell>
          <cell r="L929">
            <v>2.5093387717778382</v>
          </cell>
          <cell r="M929">
            <v>2.4992350278026705</v>
          </cell>
          <cell r="N929">
            <v>3.5050927439476012</v>
          </cell>
          <cell r="O929">
            <v>3.6421006596921388</v>
          </cell>
        </row>
        <row r="930">
          <cell r="A930" t="str">
            <v>SCOM-SHBIOBR</v>
          </cell>
          <cell r="B930" t="str">
            <v>VAR_ncap</v>
          </cell>
          <cell r="C930" t="str">
            <v>-</v>
          </cell>
          <cell r="D930">
            <v>1.0517819118999901E-5</v>
          </cell>
          <cell r="E930">
            <v>4.3561604984353201E-5</v>
          </cell>
          <cell r="F930">
            <v>4.5748581614669902E-3</v>
          </cell>
          <cell r="G930">
            <v>5.0356877121414403E-5</v>
          </cell>
          <cell r="H930">
            <v>0.101473588390482</v>
          </cell>
          <cell r="I930">
            <v>3.9212938981115802E-2</v>
          </cell>
          <cell r="J930">
            <v>2.4819290354646699E-5</v>
          </cell>
          <cell r="K930">
            <v>0.132643390361495</v>
          </cell>
          <cell r="L930">
            <v>3.7510553606956598E-2</v>
          </cell>
          <cell r="M930">
            <v>2.2389976516230601E-3</v>
          </cell>
          <cell r="N930">
            <v>0.214087660504308</v>
          </cell>
          <cell r="O930">
            <v>7.8613089367996894E-2</v>
          </cell>
        </row>
        <row r="931">
          <cell r="A931" t="str">
            <v>SCOM-SHBIOBR</v>
          </cell>
          <cell r="B931" t="str">
            <v>VAR_cap</v>
          </cell>
          <cell r="C931" t="str">
            <v>-</v>
          </cell>
          <cell r="D931">
            <v>0.105351443287795</v>
          </cell>
          <cell r="E931">
            <v>0.10539379867273348</v>
          </cell>
          <cell r="F931">
            <v>0.10996649938256339</v>
          </cell>
          <cell r="G931">
            <v>0.11000997186440979</v>
          </cell>
          <cell r="H931">
            <v>0.1334276173613993</v>
          </cell>
          <cell r="I931">
            <v>0.14168195682927254</v>
          </cell>
          <cell r="J931">
            <v>0.1406863475385709</v>
          </cell>
          <cell r="K931">
            <v>0.17187056090006986</v>
          </cell>
          <cell r="L931">
            <v>0.17619101062399165</v>
          </cell>
          <cell r="M931">
            <v>0.17238180821945245</v>
          </cell>
          <cell r="N931">
            <v>0.26542368280103928</v>
          </cell>
          <cell r="O931">
            <v>0.29492756598301306</v>
          </cell>
        </row>
        <row r="932">
          <cell r="A932" t="str">
            <v>RHES-SHDEM</v>
          </cell>
          <cell r="B932" t="str">
            <v>VAR_fout</v>
          </cell>
          <cell r="C932" t="str">
            <v>RHES-SHD</v>
          </cell>
          <cell r="D932">
            <v>62.024837503894084</v>
          </cell>
          <cell r="E932">
            <v>67.815394581973521</v>
          </cell>
          <cell r="F932">
            <v>66.44155435064701</v>
          </cell>
          <cell r="G932">
            <v>64.47256407615069</v>
          </cell>
          <cell r="H932">
            <v>62.336402497188921</v>
          </cell>
          <cell r="I932">
            <v>59.383205239498317</v>
          </cell>
          <cell r="J932">
            <v>56.032310024199134</v>
          </cell>
          <cell r="K932">
            <v>52.896940072054662</v>
          </cell>
          <cell r="L932">
            <v>49.589228207113941</v>
          </cell>
          <cell r="M932">
            <v>46.196846682574026</v>
          </cell>
          <cell r="N932">
            <v>45.311849619689404</v>
          </cell>
          <cell r="O932">
            <v>38.378065779618744</v>
          </cell>
        </row>
        <row r="933">
          <cell r="A933" t="str">
            <v>RHES-SHDEM</v>
          </cell>
          <cell r="B933" t="str">
            <v>VAR_fin</v>
          </cell>
          <cell r="C933" t="str">
            <v>RHES-SHPLT</v>
          </cell>
          <cell r="D933">
            <v>1.2831060488858295</v>
          </cell>
          <cell r="E933">
            <v>1.4867818763261549</v>
          </cell>
          <cell r="F933">
            <v>1.4748012198848321</v>
          </cell>
          <cell r="G933">
            <v>1.4844875351354776</v>
          </cell>
          <cell r="H933">
            <v>1.4780997403366782</v>
          </cell>
          <cell r="I933">
            <v>1.483840072720914</v>
          </cell>
          <cell r="J933">
            <v>1.4840780605846604</v>
          </cell>
          <cell r="K933">
            <v>1.4837268276844711</v>
          </cell>
          <cell r="L933">
            <v>1.4849270952973925</v>
          </cell>
          <cell r="M933">
            <v>1.4831958924599304</v>
          </cell>
          <cell r="N933">
            <v>1.4840634436674494</v>
          </cell>
          <cell r="O933">
            <v>1.4794091418615651</v>
          </cell>
        </row>
        <row r="934">
          <cell r="A934" t="str">
            <v>RHES-SHDEM</v>
          </cell>
          <cell r="B934" t="str">
            <v>VAR_fin</v>
          </cell>
          <cell r="C934" t="str">
            <v>RHES-SHLTHC-NGA</v>
          </cell>
          <cell r="D934">
            <v>6.2227586090886827E-2</v>
          </cell>
          <cell r="E934">
            <v>3.3519896169999235E-3</v>
          </cell>
          <cell r="F934">
            <v>2.989357633941998E-2</v>
          </cell>
          <cell r="G934">
            <v>2.1630939457908241E-2</v>
          </cell>
          <cell r="H934">
            <v>5.1583757553665531E-2</v>
          </cell>
          <cell r="I934">
            <v>5.0795474673454244E-2</v>
          </cell>
          <cell r="J934">
            <v>4.6175843797206656E-2</v>
          </cell>
          <cell r="K934">
            <v>5.3376444652567807E-2</v>
          </cell>
          <cell r="L934">
            <v>5.1430863359002585E-2</v>
          </cell>
          <cell r="M934">
            <v>4.8533033241984658E-2</v>
          </cell>
          <cell r="N934">
            <v>0.32212636804909939</v>
          </cell>
          <cell r="O934">
            <v>0.30803876714873579</v>
          </cell>
        </row>
        <row r="935">
          <cell r="A935" t="str">
            <v>RHES-SHDEM</v>
          </cell>
          <cell r="B935" t="str">
            <v>VAR_fin</v>
          </cell>
          <cell r="C935" t="str">
            <v>RHES-SHSOL</v>
          </cell>
          <cell r="D935">
            <v>0.36991992834581588</v>
          </cell>
          <cell r="E935">
            <v>0.43555894066018491</v>
          </cell>
          <cell r="F935">
            <v>0.4349643142553406</v>
          </cell>
          <cell r="G935">
            <v>0.43297655312570499</v>
          </cell>
          <cell r="H935">
            <v>0.41778008800734284</v>
          </cell>
          <cell r="I935">
            <v>0.38896894129160808</v>
          </cell>
          <cell r="J935">
            <v>0.39299105992527084</v>
          </cell>
          <cell r="K935">
            <v>0.36488323989088384</v>
          </cell>
          <cell r="L935">
            <v>0.32118137284947668</v>
          </cell>
          <cell r="M935">
            <v>0.30649754464187429</v>
          </cell>
          <cell r="N935">
            <v>0.31840981803431323</v>
          </cell>
          <cell r="O935">
            <v>0.26518798256288573</v>
          </cell>
        </row>
        <row r="936">
          <cell r="A936" t="str">
            <v>RHES-SHDEM</v>
          </cell>
          <cell r="B936" t="str">
            <v>VAR_fin</v>
          </cell>
          <cell r="C936" t="str">
            <v>RHES-SHLTHC-WOD</v>
          </cell>
          <cell r="E936">
            <v>5.6624337029037266E-5</v>
          </cell>
          <cell r="F936">
            <v>1.3516319733244573E-3</v>
          </cell>
          <cell r="G936">
            <v>4.8561066327378541E-3</v>
          </cell>
          <cell r="H936">
            <v>1.4532295116295873E-2</v>
          </cell>
          <cell r="I936">
            <v>9.5993811846716969E-3</v>
          </cell>
          <cell r="J936">
            <v>9.0143855568642992E-3</v>
          </cell>
          <cell r="K936">
            <v>1.272137889760438E-2</v>
          </cell>
          <cell r="L936">
            <v>1.1072119453795916E-2</v>
          </cell>
          <cell r="M936">
            <v>1.3355362868969996E-2</v>
          </cell>
          <cell r="N936">
            <v>1.4931566849491023E-2</v>
          </cell>
          <cell r="O936">
            <v>2.9588201728276451E-2</v>
          </cell>
        </row>
        <row r="937">
          <cell r="A937" t="str">
            <v>RHES-SHDEM</v>
          </cell>
          <cell r="B937" t="str">
            <v>VAR_fin</v>
          </cell>
          <cell r="C937" t="str">
            <v>RHES-SHNGA</v>
          </cell>
          <cell r="D937">
            <v>17.527174133017077</v>
          </cell>
          <cell r="E937">
            <v>20.403255284335795</v>
          </cell>
          <cell r="F937">
            <v>18.261280221580996</v>
          </cell>
          <cell r="G937">
            <v>19.88188243674966</v>
          </cell>
          <cell r="H937">
            <v>20.383767791279276</v>
          </cell>
          <cell r="I937">
            <v>19.050125947213523</v>
          </cell>
          <cell r="J937">
            <v>18.523192052985866</v>
          </cell>
          <cell r="K937">
            <v>17.989813406816072</v>
          </cell>
          <cell r="L937">
            <v>16.784511600107059</v>
          </cell>
          <cell r="M937">
            <v>15.543954800022222</v>
          </cell>
          <cell r="N937">
            <v>15.224533353199654</v>
          </cell>
          <cell r="O937">
            <v>12.655906433179064</v>
          </cell>
        </row>
        <row r="938">
          <cell r="A938" t="str">
            <v>RHES-SHDEM</v>
          </cell>
          <cell r="B938" t="str">
            <v>VAR_fin</v>
          </cell>
          <cell r="C938" t="str">
            <v>RHES-SHNGAH</v>
          </cell>
          <cell r="E938">
            <v>5.5322586511929765E-5</v>
          </cell>
          <cell r="F938">
            <v>1.870594944513073E-2</v>
          </cell>
          <cell r="G938">
            <v>6.9290579263813906E-3</v>
          </cell>
          <cell r="H938">
            <v>6.0826154674581773E-2</v>
          </cell>
          <cell r="I938">
            <v>5.936782835359674E-2</v>
          </cell>
          <cell r="J938">
            <v>5.6356796353325141E-2</v>
          </cell>
          <cell r="K938">
            <v>1.9371890992480394</v>
          </cell>
          <cell r="L938">
            <v>1.938958182814456</v>
          </cell>
          <cell r="M938">
            <v>1.9364423190005957</v>
          </cell>
          <cell r="N938">
            <v>5.0754507385868806</v>
          </cell>
          <cell r="O938">
            <v>5.0669712665104836</v>
          </cell>
        </row>
        <row r="939">
          <cell r="A939" t="str">
            <v>RHES-SHDEM</v>
          </cell>
          <cell r="B939" t="str">
            <v>VAR_fin</v>
          </cell>
          <cell r="C939" t="str">
            <v>RHES-SHCOA</v>
          </cell>
          <cell r="D939">
            <v>9.787050414000556E-2</v>
          </cell>
          <cell r="E939">
            <v>7.1951351818913364E-2</v>
          </cell>
          <cell r="F939">
            <v>1.6655654674051553E-2</v>
          </cell>
          <cell r="G939">
            <v>5.3994634896647074E-3</v>
          </cell>
          <cell r="H939">
            <v>1.2150785324431448E-2</v>
          </cell>
          <cell r="I939">
            <v>7.0601211322894987E-4</v>
          </cell>
          <cell r="J939">
            <v>1.1703357844811259E-3</v>
          </cell>
          <cell r="L939">
            <v>1.3615957202115076E-3</v>
          </cell>
          <cell r="M939">
            <v>2.3162894337940966E-3</v>
          </cell>
          <cell r="N939">
            <v>4.1958185153924985E-4</v>
          </cell>
          <cell r="O939">
            <v>5.9404706546640623E-3</v>
          </cell>
        </row>
        <row r="940">
          <cell r="A940" t="str">
            <v>RHES-SHDEM</v>
          </cell>
          <cell r="B940" t="str">
            <v>VAR_fin</v>
          </cell>
          <cell r="C940" t="str">
            <v>RHES-SHLFO</v>
          </cell>
          <cell r="D940">
            <v>21.623933291132406</v>
          </cell>
          <cell r="E940">
            <v>19.946089353065194</v>
          </cell>
          <cell r="F940">
            <v>20.518376261455685</v>
          </cell>
          <cell r="G940">
            <v>19.438397492204093</v>
          </cell>
          <cell r="H940">
            <v>15.946001079871378</v>
          </cell>
          <cell r="I940">
            <v>15.596522635216076</v>
          </cell>
          <cell r="J940">
            <v>14.542394975059425</v>
          </cell>
          <cell r="K940">
            <v>11.424434417909493</v>
          </cell>
          <cell r="L940">
            <v>10.194012065941333</v>
          </cell>
          <cell r="M940">
            <v>8.544809863538827</v>
          </cell>
          <cell r="N940">
            <v>4.6709748419556147</v>
          </cell>
          <cell r="O940">
            <v>1.3613171311369885</v>
          </cell>
        </row>
        <row r="941">
          <cell r="A941" t="str">
            <v>RHES-SHDEM</v>
          </cell>
          <cell r="B941" t="str">
            <v>VAR_fin</v>
          </cell>
          <cell r="C941" t="str">
            <v>RHES-SHCON</v>
          </cell>
          <cell r="D941">
            <v>1.4684530855279103</v>
          </cell>
          <cell r="E941">
            <v>3.5519177405755826</v>
          </cell>
          <cell r="F941">
            <v>3.5513420498185138</v>
          </cell>
          <cell r="G941">
            <v>3.5509166907805936</v>
          </cell>
          <cell r="H941">
            <v>3.5514816864677057</v>
          </cell>
          <cell r="I941">
            <v>3.5515926544671919</v>
          </cell>
          <cell r="J941">
            <v>3.5511268578160111</v>
          </cell>
          <cell r="K941">
            <v>3.5504703725421156</v>
          </cell>
          <cell r="L941">
            <v>3.5506525167408558</v>
          </cell>
          <cell r="M941">
            <v>3.5504757949986376</v>
          </cell>
          <cell r="N941">
            <v>3.5506101951623017</v>
          </cell>
          <cell r="O941">
            <v>3.5521639555123006</v>
          </cell>
        </row>
        <row r="942">
          <cell r="A942" t="str">
            <v>RHES-SHDEM</v>
          </cell>
          <cell r="B942" t="str">
            <v>VAR_fin</v>
          </cell>
          <cell r="C942" t="str">
            <v>RHES-SHWOD</v>
          </cell>
          <cell r="D942">
            <v>4.3568184354106343</v>
          </cell>
          <cell r="E942">
            <v>4.3866025320235247</v>
          </cell>
          <cell r="F942">
            <v>4.1844969532651453</v>
          </cell>
          <cell r="G942">
            <v>3.9409422932380984</v>
          </cell>
          <cell r="H942">
            <v>3.6193277423166106</v>
          </cell>
          <cell r="I942">
            <v>3.2509393732611565</v>
          </cell>
          <cell r="J942">
            <v>2.8186204814358793</v>
          </cell>
          <cell r="K942">
            <v>2.4214415445222852</v>
          </cell>
          <cell r="L942">
            <v>2.1606304648104988</v>
          </cell>
          <cell r="M942">
            <v>1.8900750743035231</v>
          </cell>
          <cell r="N942">
            <v>1.8208677949152936</v>
          </cell>
          <cell r="O942">
            <v>1.2673512018706405</v>
          </cell>
        </row>
        <row r="943">
          <cell r="A943" t="str">
            <v>RHES-SHDEM</v>
          </cell>
          <cell r="B943" t="str">
            <v>VAR_fin</v>
          </cell>
          <cell r="C943" t="str">
            <v>RHES-SHLTHD</v>
          </cell>
          <cell r="D943">
            <v>1.8436719526471033</v>
          </cell>
          <cell r="E943">
            <v>3.5036932202257431</v>
          </cell>
          <cell r="F943">
            <v>3.4899045837376792</v>
          </cell>
          <cell r="G943">
            <v>2.7194506403854324</v>
          </cell>
          <cell r="H943">
            <v>3.2652641284356272</v>
          </cell>
          <cell r="I943">
            <v>3.1068858344957602</v>
          </cell>
          <cell r="J943">
            <v>2.9202182403038353</v>
          </cell>
          <cell r="K943">
            <v>2.7451105950549639</v>
          </cell>
          <cell r="L943">
            <v>2.5623802835356373</v>
          </cell>
          <cell r="M943">
            <v>2.369984052739798</v>
          </cell>
          <cell r="N943">
            <v>2.3229541599668582</v>
          </cell>
          <cell r="O943">
            <v>1.9310557300648228</v>
          </cell>
        </row>
        <row r="944">
          <cell r="A944" t="str">
            <v>RHES-SHDEM</v>
          </cell>
          <cell r="B944" t="str">
            <v>VAR_fin</v>
          </cell>
          <cell r="C944" t="str">
            <v>RHES-SHELCB</v>
          </cell>
          <cell r="D944">
            <v>4.2500044275482836</v>
          </cell>
          <cell r="E944">
            <v>3.7516073851711922</v>
          </cell>
          <cell r="F944">
            <v>4.1932561501667189</v>
          </cell>
          <cell r="G944">
            <v>2.7108095352284991</v>
          </cell>
          <cell r="H944">
            <v>3.266955809946436</v>
          </cell>
          <cell r="I944">
            <v>2.5612775909311738</v>
          </cell>
          <cell r="J944">
            <v>1.4143517532892005</v>
          </cell>
          <cell r="K944">
            <v>0.64042913529326684</v>
          </cell>
          <cell r="L944">
            <v>0.25532681910396188</v>
          </cell>
          <cell r="M944">
            <v>0.23668714211476483</v>
          </cell>
          <cell r="N944">
            <v>0.23309195131702901</v>
          </cell>
          <cell r="O944">
            <v>0.19360421276878209</v>
          </cell>
        </row>
        <row r="945">
          <cell r="A945" t="str">
            <v>RHES-SHDEM</v>
          </cell>
          <cell r="B945" t="str">
            <v>VAR_fin</v>
          </cell>
          <cell r="C945" t="str">
            <v>RHES-SHELCH</v>
          </cell>
          <cell r="D945">
            <v>9.1193307102457339</v>
          </cell>
          <cell r="E945">
            <v>10.275813698555627</v>
          </cell>
          <cell r="F945">
            <v>10.26126300156931</v>
          </cell>
          <cell r="G945">
            <v>10.27246134876577</v>
          </cell>
          <cell r="H945">
            <v>10.26384688356432</v>
          </cell>
          <cell r="I945">
            <v>10.271216448768364</v>
          </cell>
          <cell r="J945">
            <v>10.271503853949866</v>
          </cell>
          <cell r="K945">
            <v>10.270172222598442</v>
          </cell>
          <cell r="L945">
            <v>10.272115010506653</v>
          </cell>
          <cell r="M945">
            <v>10.269169805699192</v>
          </cell>
          <cell r="N945">
            <v>10.270329011199008</v>
          </cell>
          <cell r="O945">
            <v>10.259327091449189</v>
          </cell>
        </row>
        <row r="946">
          <cell r="A946" t="str">
            <v>RHES-SHDEM</v>
          </cell>
          <cell r="B946" t="str">
            <v>VAR_fin</v>
          </cell>
          <cell r="C946" t="str">
            <v>RHES-SHNST</v>
          </cell>
          <cell r="D946">
            <v>2.3273756813180491E-2</v>
          </cell>
          <cell r="E946">
            <v>5.0705178490332584E-5</v>
          </cell>
          <cell r="F946">
            <v>6.8903503873605281E-3</v>
          </cell>
          <cell r="G946">
            <v>2.1592739937891362E-3</v>
          </cell>
          <cell r="H946">
            <v>6.1143610618036573E-3</v>
          </cell>
          <cell r="I946">
            <v>2.5680751462132285E-3</v>
          </cell>
          <cell r="J946">
            <v>2.4719139216231125E-3</v>
          </cell>
          <cell r="K946">
            <v>4.5745031000162936E-3</v>
          </cell>
          <cell r="L946">
            <v>1.5648523408111992E-3</v>
          </cell>
          <cell r="M946">
            <v>2.7796357119787389E-3</v>
          </cell>
          <cell r="N946">
            <v>3.9524817885565749E-3</v>
          </cell>
          <cell r="O946">
            <v>4.3151907214235719E-3</v>
          </cell>
        </row>
        <row r="947">
          <cell r="A947" t="str">
            <v>D-RHEM_LTH_CHPNGA</v>
          </cell>
          <cell r="B947" t="str">
            <v>VAR_fout</v>
          </cell>
          <cell r="C947" t="str">
            <v>RHSA_LTH</v>
          </cell>
          <cell r="D947">
            <v>2.0237219265724104E-3</v>
          </cell>
          <cell r="E947">
            <v>4.6080505351836862E-3</v>
          </cell>
          <cell r="F947">
            <v>1.7846473991341566E-2</v>
          </cell>
          <cell r="G947">
            <v>2.3408082966215982E-3</v>
          </cell>
          <cell r="H947">
            <v>2.9790221164278527E-2</v>
          </cell>
          <cell r="I947">
            <v>1.9415071891510098E-3</v>
          </cell>
          <cell r="J947">
            <v>3.3973788077307471E-2</v>
          </cell>
          <cell r="K947">
            <v>2.1066892635129299E-3</v>
          </cell>
          <cell r="L947">
            <v>3.0366911148630844E-2</v>
          </cell>
          <cell r="M947">
            <v>1.2493085353961447E-3</v>
          </cell>
          <cell r="N947">
            <v>1.3111357027260793E-3</v>
          </cell>
          <cell r="O947">
            <v>9.7523752404641531E-4</v>
          </cell>
        </row>
        <row r="948">
          <cell r="A948" t="str">
            <v>D-RHEM_LTH_CHPNGA</v>
          </cell>
          <cell r="B948" t="str">
            <v>VAR_fout</v>
          </cell>
          <cell r="C948" t="str">
            <v>RHEM_LTH_CHPNGA_ON</v>
          </cell>
          <cell r="D948">
            <v>4.6011680124530385E-2</v>
          </cell>
          <cell r="E948">
            <v>4.691587156124364E-2</v>
          </cell>
          <cell r="F948">
            <v>0.19080582293181536</v>
          </cell>
          <cell r="G948">
            <v>0.50287438108317595</v>
          </cell>
          <cell r="H948">
            <v>0.52632303485648502</v>
          </cell>
          <cell r="I948">
            <v>0.67930709227164399</v>
          </cell>
          <cell r="J948">
            <v>0.5612761569516328</v>
          </cell>
          <cell r="K948">
            <v>0.5963185579031125</v>
          </cell>
          <cell r="L948">
            <v>0.54300633428304679</v>
          </cell>
          <cell r="M948">
            <v>0.55821559504866314</v>
          </cell>
          <cell r="N948">
            <v>0.70131593835550721</v>
          </cell>
          <cell r="O948">
            <v>0.95884549491654336</v>
          </cell>
        </row>
        <row r="949">
          <cell r="A949" t="str">
            <v>D-RHEM_LTH_CHPNGA</v>
          </cell>
          <cell r="B949" t="str">
            <v>VAR_fout</v>
          </cell>
          <cell r="C949" t="str">
            <v>LTH</v>
          </cell>
          <cell r="E949">
            <v>5.9290720050855398E-6</v>
          </cell>
          <cell r="F949">
            <v>6.3537286912902682E-5</v>
          </cell>
          <cell r="G949">
            <v>3.0980412288083594E-4</v>
          </cell>
          <cell r="H949">
            <v>5.9375221584420288E-4</v>
          </cell>
          <cell r="I949">
            <v>1.3555916929503336E-3</v>
          </cell>
          <cell r="J949">
            <v>1.2841852785959852E-3</v>
          </cell>
          <cell r="K949">
            <v>1.107732078525875E-3</v>
          </cell>
          <cell r="L949">
            <v>1.0173768035932813E-3</v>
          </cell>
          <cell r="M949">
            <v>2.0775985073956953E-3</v>
          </cell>
          <cell r="N949">
            <v>2.166527824790009E-3</v>
          </cell>
          <cell r="O949">
            <v>3.2797319864351659E-3</v>
          </cell>
        </row>
        <row r="950">
          <cell r="A950" t="str">
            <v>D-RHEM_LTH_CHPNGA</v>
          </cell>
          <cell r="B950" t="str">
            <v>VAR_fin</v>
          </cell>
          <cell r="C950" t="str">
            <v>RHEM_LTH_CHPNGA</v>
          </cell>
          <cell r="D950">
            <v>4.8035402051102821E-2</v>
          </cell>
          <cell r="E950">
            <v>5.1530304611847731E-2</v>
          </cell>
          <cell r="F950">
            <v>0.20871583421006973</v>
          </cell>
          <cell r="G950">
            <v>0.50552499350267799</v>
          </cell>
          <cell r="H950">
            <v>0.55670700823660813</v>
          </cell>
          <cell r="I950">
            <v>0.68260419115374493</v>
          </cell>
          <cell r="J950">
            <v>0.59653413030753577</v>
          </cell>
          <cell r="K950">
            <v>0.59953297924515148</v>
          </cell>
          <cell r="L950">
            <v>0.57439062223527082</v>
          </cell>
          <cell r="M950">
            <v>0.56154250209145462</v>
          </cell>
          <cell r="N950">
            <v>0.70479360188302353</v>
          </cell>
          <cell r="O950">
            <v>0.96310046442702479</v>
          </cell>
        </row>
        <row r="951">
          <cell r="A951" t="str">
            <v>RHEM-SHLTHCHPNGA</v>
          </cell>
          <cell r="B951" t="str">
            <v>VAR_fout</v>
          </cell>
          <cell r="C951" t="str">
            <v>RHEM-SHLTHC-NGA</v>
          </cell>
          <cell r="D951">
            <v>4.4294861509940428E-2</v>
          </cell>
          <cell r="E951">
            <v>1.9432317742535483E-3</v>
          </cell>
          <cell r="F951">
            <v>0.17606284648140594</v>
          </cell>
          <cell r="G951">
            <v>0.49710514816210294</v>
          </cell>
          <cell r="H951">
            <v>0.5041316103003799</v>
          </cell>
          <cell r="I951">
            <v>0.53005473887693344</v>
          </cell>
          <cell r="J951">
            <v>0.52858924789734618</v>
          </cell>
          <cell r="K951">
            <v>0.5106884308230164</v>
          </cell>
          <cell r="L951">
            <v>0.5117591496337337</v>
          </cell>
          <cell r="M951">
            <v>0.51380399831362789</v>
          </cell>
          <cell r="N951">
            <v>0.64794455037387955</v>
          </cell>
          <cell r="O951">
            <v>0.92615514343880745</v>
          </cell>
        </row>
        <row r="952">
          <cell r="A952" t="str">
            <v>RHEM-SHLTHCHPNGA</v>
          </cell>
          <cell r="B952" t="str">
            <v>VAR_fin</v>
          </cell>
          <cell r="C952" t="str">
            <v>RHEM_LTH_CHPNGA_ON</v>
          </cell>
          <cell r="D952">
            <v>4.4742284353475138E-2</v>
          </cell>
          <cell r="E952">
            <v>1.9628603780338883E-3</v>
          </cell>
          <cell r="F952">
            <v>0.17784125907212708</v>
          </cell>
          <cell r="G952">
            <v>0.50212641228495258</v>
          </cell>
          <cell r="H952">
            <v>0.50922384878826232</v>
          </cell>
          <cell r="I952">
            <v>0.5354088271484182</v>
          </cell>
          <cell r="J952">
            <v>0.53392853322964229</v>
          </cell>
          <cell r="K952">
            <v>0.51584689982122856</v>
          </cell>
          <cell r="L952">
            <v>0.51692843397346855</v>
          </cell>
          <cell r="M952">
            <v>0.51899393769053348</v>
          </cell>
          <cell r="N952">
            <v>0.65448944482210092</v>
          </cell>
          <cell r="O952">
            <v>0.93551024589778509</v>
          </cell>
        </row>
        <row r="953">
          <cell r="A953" t="str">
            <v>RHEM-SHLTHCHPNGA</v>
          </cell>
          <cell r="B953" t="str">
            <v>VAR_fin</v>
          </cell>
          <cell r="C953" t="str">
            <v>RHEMLTHCHPC</v>
          </cell>
          <cell r="D953">
            <v>4.4294861509940428E-2</v>
          </cell>
          <cell r="E953">
            <v>1.9432317742535483E-3</v>
          </cell>
          <cell r="F953">
            <v>0.17606284648140594</v>
          </cell>
          <cell r="G953">
            <v>0.49710514816210294</v>
          </cell>
          <cell r="H953">
            <v>0.5041316103003799</v>
          </cell>
          <cell r="I953">
            <v>0.53005473887693344</v>
          </cell>
          <cell r="J953">
            <v>0.52858924789734618</v>
          </cell>
          <cell r="K953">
            <v>0.5106884308230164</v>
          </cell>
          <cell r="L953">
            <v>0.5117591496337337</v>
          </cell>
          <cell r="M953">
            <v>0.51380399831362789</v>
          </cell>
          <cell r="N953">
            <v>0.64794455037387955</v>
          </cell>
          <cell r="O953">
            <v>0.92615514343880745</v>
          </cell>
        </row>
        <row r="954">
          <cell r="A954" t="str">
            <v>RHEM-SHLTHCHPNGA</v>
          </cell>
          <cell r="B954" t="str">
            <v>VAR_ncap</v>
          </cell>
          <cell r="C954" t="str">
            <v>-</v>
          </cell>
          <cell r="D954">
            <v>1.2128631389231799E-6</v>
          </cell>
          <cell r="E954">
            <v>1.54253259863801E-4</v>
          </cell>
          <cell r="F954">
            <v>1.5485404679852899E-2</v>
          </cell>
          <cell r="G954">
            <v>2.9233701778982001E-2</v>
          </cell>
          <cell r="H954">
            <v>2.6053689896867498E-2</v>
          </cell>
          <cell r="I954">
            <v>3.6415790835083998E-2</v>
          </cell>
          <cell r="J954">
            <v>2.61378700063081E-2</v>
          </cell>
          <cell r="K954">
            <v>2.9483819484210201E-2</v>
          </cell>
          <cell r="L954">
            <v>2.6666348428796598E-2</v>
          </cell>
          <cell r="M954">
            <v>2.6874671758000301E-2</v>
          </cell>
          <cell r="N954">
            <v>3.5869924602926699E-2</v>
          </cell>
          <cell r="O954">
            <v>4.9085644328361398E-2</v>
          </cell>
        </row>
        <row r="955">
          <cell r="A955" t="str">
            <v>RHEM-SHLTHCHPNGA</v>
          </cell>
          <cell r="B955" t="str">
            <v>VAR_cap</v>
          </cell>
          <cell r="C955" t="str">
            <v>-</v>
          </cell>
          <cell r="D955">
            <v>6.7994138616876525E-3</v>
          </cell>
          <cell r="E955">
            <v>2.3592356136857475E-4</v>
          </cell>
          <cell r="F955">
            <v>1.5648421469959751E-2</v>
          </cell>
          <cell r="G955">
            <v>3.8386436447475726E-2</v>
          </cell>
          <cell r="H955">
            <v>4.2418679378063276E-2</v>
          </cell>
          <cell r="I955">
            <v>5.1614524127791495E-2</v>
          </cell>
          <cell r="J955">
            <v>4.4901653339395192E-2</v>
          </cell>
          <cell r="K955">
            <v>4.55953396457833E-2</v>
          </cell>
          <cell r="L955">
            <v>4.3441954010691494E-2</v>
          </cell>
          <cell r="M955">
            <v>4.3006464217118297E-2</v>
          </cell>
          <cell r="N955">
            <v>5.3472132306569498E-2</v>
          </cell>
          <cell r="O955">
            <v>7.4127965028914597E-2</v>
          </cell>
        </row>
        <row r="956">
          <cell r="A956" t="str">
            <v>D-RHES_SOLELC</v>
          </cell>
          <cell r="B956" t="str">
            <v>VAR_fout</v>
          </cell>
          <cell r="C956" t="str">
            <v>RHES_ELC</v>
          </cell>
          <cell r="D956">
            <v>1.6527387709160748</v>
          </cell>
          <cell r="E956">
            <v>1.4530196356409306</v>
          </cell>
          <cell r="F956">
            <v>2.4954200343151665</v>
          </cell>
          <cell r="G956">
            <v>4.0829856738180359</v>
          </cell>
          <cell r="H956">
            <v>4.1746457501959036</v>
          </cell>
          <cell r="I956">
            <v>5.4630467584360529</v>
          </cell>
          <cell r="J956">
            <v>4.2757667753951729</v>
          </cell>
          <cell r="K956">
            <v>4.3942735162967832</v>
          </cell>
          <cell r="L956">
            <v>4.9512386428115063</v>
          </cell>
          <cell r="M956">
            <v>5.1280138564160538</v>
          </cell>
          <cell r="N956">
            <v>7.5856424763564858</v>
          </cell>
          <cell r="O956">
            <v>8.4330056885731803</v>
          </cell>
        </row>
        <row r="957">
          <cell r="A957" t="str">
            <v>D-RHES_SOLELC</v>
          </cell>
          <cell r="B957" t="str">
            <v>VAR_fout</v>
          </cell>
          <cell r="C957" t="str">
            <v>ELC5</v>
          </cell>
          <cell r="D957">
            <v>0.48220031781858619</v>
          </cell>
          <cell r="E957">
            <v>1.9376453625968617</v>
          </cell>
          <cell r="F957">
            <v>4.4654290394664953</v>
          </cell>
          <cell r="G957">
            <v>14.82533114025849</v>
          </cell>
          <cell r="H957">
            <v>15.697814039514437</v>
          </cell>
          <cell r="I957">
            <v>15.423141971413513</v>
          </cell>
          <cell r="J957">
            <v>17.675792945441984</v>
          </cell>
          <cell r="K957">
            <v>18.674641006415765</v>
          </cell>
          <cell r="L957">
            <v>19.296389367558579</v>
          </cell>
          <cell r="M957">
            <v>20.353727928293672</v>
          </cell>
          <cell r="N957">
            <v>19.195467099205906</v>
          </cell>
          <cell r="O957">
            <v>19.701934429216386</v>
          </cell>
        </row>
        <row r="958">
          <cell r="A958" t="str">
            <v>D-RHES_SOLELC</v>
          </cell>
          <cell r="B958" t="str">
            <v>VAR_fin</v>
          </cell>
          <cell r="C958" t="str">
            <v>RHES_SOL_ELC</v>
          </cell>
          <cell r="D958">
            <v>2.1349390887346629</v>
          </cell>
          <cell r="E958">
            <v>3.3906654127963223</v>
          </cell>
          <cell r="F958">
            <v>6.960849073781664</v>
          </cell>
          <cell r="G958">
            <v>18.908316814076517</v>
          </cell>
          <cell r="H958">
            <v>19.87245978971033</v>
          </cell>
          <cell r="I958">
            <v>20.886188729849554</v>
          </cell>
          <cell r="J958">
            <v>21.951559720837167</v>
          </cell>
          <cell r="K958">
            <v>23.06891452271255</v>
          </cell>
          <cell r="L958">
            <v>24.247628010370086</v>
          </cell>
          <cell r="M958">
            <v>25.481741784709733</v>
          </cell>
          <cell r="N958">
            <v>26.781109575562375</v>
          </cell>
          <cell r="O958">
            <v>28.134940117789569</v>
          </cell>
        </row>
        <row r="959">
          <cell r="A959" t="str">
            <v>D-DH2</v>
          </cell>
          <cell r="B959" t="str">
            <v>VAR_fout</v>
          </cell>
          <cell r="C959" t="str">
            <v>H2</v>
          </cell>
          <cell r="G959">
            <v>6.9378561326919813E-5</v>
          </cell>
          <cell r="H959">
            <v>1.1509151195248355E-3</v>
          </cell>
          <cell r="I959">
            <v>2.9221957109222896E-3</v>
          </cell>
          <cell r="J959">
            <v>3.3671818071640881E-3</v>
          </cell>
          <cell r="K959">
            <v>3.4983457797449127E-3</v>
          </cell>
          <cell r="L959">
            <v>3.4992252091323667E-3</v>
          </cell>
          <cell r="M959">
            <v>3.5482304390819378E-3</v>
          </cell>
          <cell r="N959">
            <v>2.8634184816508394E-3</v>
          </cell>
          <cell r="O959">
            <v>5.5439200598833846E-3</v>
          </cell>
        </row>
        <row r="960">
          <cell r="A960" t="str">
            <v>D-DH2</v>
          </cell>
          <cell r="B960" t="str">
            <v>VAR_fin</v>
          </cell>
          <cell r="C960" t="str">
            <v>H2_E</v>
          </cell>
          <cell r="G960">
            <v>7.0079354875676606E-5</v>
          </cell>
          <cell r="H960">
            <v>1.1625405247725612E-3</v>
          </cell>
          <cell r="I960">
            <v>2.9517128393154431E-3</v>
          </cell>
          <cell r="J960">
            <v>3.4011937446101893E-3</v>
          </cell>
          <cell r="K960">
            <v>3.533682605802941E-3</v>
          </cell>
          <cell r="L960">
            <v>3.5345709183155216E-3</v>
          </cell>
          <cell r="M960">
            <v>3.5840711505878173E-3</v>
          </cell>
          <cell r="N960">
            <v>2.8923419006574125E-3</v>
          </cell>
          <cell r="O960">
            <v>5.599919252407457E-3</v>
          </cell>
        </row>
        <row r="961">
          <cell r="A961" t="str">
            <v>D-DH2</v>
          </cell>
          <cell r="B961" t="str">
            <v>VAR_ncap</v>
          </cell>
          <cell r="C961" t="str">
            <v>-</v>
          </cell>
          <cell r="G961">
            <v>1.0516388793413201E-4</v>
          </cell>
          <cell r="H961">
            <v>1.8870964045188701E-4</v>
          </cell>
          <cell r="I961">
            <v>5.8749298459545303E-4</v>
          </cell>
          <cell r="J961">
            <v>7.8324684439987302E-5</v>
          </cell>
          <cell r="K961">
            <v>4.1296900463363799E-4</v>
          </cell>
          <cell r="L961">
            <v>2.05400906015934E-5</v>
          </cell>
          <cell r="M961">
            <v>3.1658409926144598E-4</v>
          </cell>
          <cell r="N961">
            <v>5.0381191658369599E-5</v>
          </cell>
          <cell r="O961">
            <v>1.7052284048695899E-3</v>
          </cell>
        </row>
        <row r="962">
          <cell r="A962" t="str">
            <v>D-DH2</v>
          </cell>
          <cell r="B962" t="str">
            <v>VAR_cap</v>
          </cell>
          <cell r="C962" t="str">
            <v>-</v>
          </cell>
          <cell r="G962">
            <v>1.0516388793413201E-4</v>
          </cell>
          <cell r="H962">
            <v>2.9387352838601902E-4</v>
          </cell>
          <cell r="I962">
            <v>8.8136651298147302E-4</v>
          </cell>
          <cell r="J962">
            <v>9.5969119742145997E-4</v>
          </cell>
          <cell r="K962">
            <v>1.3726602020551E-3</v>
          </cell>
          <cell r="L962">
            <v>1.3932002926566899E-3</v>
          </cell>
          <cell r="M962">
            <v>1.7097843919181401E-3</v>
          </cell>
          <cell r="N962">
            <v>1.7268271913715601E-3</v>
          </cell>
          <cell r="O962">
            <v>3.3602301005119699E-3</v>
          </cell>
        </row>
        <row r="963">
          <cell r="A963" t="str">
            <v>ITOT-SWHHFOBR</v>
          </cell>
          <cell r="B963" t="str">
            <v>VAR_fout</v>
          </cell>
          <cell r="C963" t="str">
            <v>ITOT-SWH</v>
          </cell>
          <cell r="D963">
            <v>1.8458240382158615</v>
          </cell>
          <cell r="E963">
            <v>1.5251656067708788</v>
          </cell>
          <cell r="F963">
            <v>5.9116310578524664E-3</v>
          </cell>
          <cell r="G963">
            <v>1.7548749118191324E-3</v>
          </cell>
          <cell r="H963">
            <v>2.6276428516454021E-3</v>
          </cell>
          <cell r="I963">
            <v>2.4895841350647961E-3</v>
          </cell>
          <cell r="J963">
            <v>3.1343018396889463E-3</v>
          </cell>
        </row>
        <row r="964">
          <cell r="A964" t="str">
            <v>ITOT-SWHHFOBR</v>
          </cell>
          <cell r="B964" t="str">
            <v>VAR_fout</v>
          </cell>
          <cell r="C964" t="str">
            <v>CO2_I</v>
          </cell>
          <cell r="D964">
            <v>210.21031753391901</v>
          </cell>
          <cell r="E964">
            <v>172.94418926641299</v>
          </cell>
          <cell r="F964">
            <v>0.666038359695862</v>
          </cell>
          <cell r="G964">
            <v>0.195621235193736</v>
          </cell>
          <cell r="H964">
            <v>0.28984295758144302</v>
          </cell>
          <cell r="I964">
            <v>0.27176746893494902</v>
          </cell>
          <cell r="J964">
            <v>0.33863543510451499</v>
          </cell>
        </row>
        <row r="965">
          <cell r="A965" t="str">
            <v>ITOT-SWHHFOBR</v>
          </cell>
          <cell r="B965" t="str">
            <v>VAR_fin</v>
          </cell>
          <cell r="C965" t="str">
            <v>IHFO</v>
          </cell>
          <cell r="D965">
            <v>2.7300041238171344</v>
          </cell>
          <cell r="E965">
            <v>2.246028432031336</v>
          </cell>
          <cell r="F965">
            <v>8.6498488272189859E-3</v>
          </cell>
          <cell r="G965">
            <v>2.5405355219965745E-3</v>
          </cell>
          <cell r="H965">
            <v>3.7641942543044549E-3</v>
          </cell>
          <cell r="I965">
            <v>3.5294476485058265E-3</v>
          </cell>
          <cell r="J965">
            <v>4.3978627935651283E-3</v>
          </cell>
        </row>
        <row r="966">
          <cell r="A966" t="str">
            <v>ITOT-SWHHFOBR</v>
          </cell>
          <cell r="B966" t="str">
            <v>VAR_ncap</v>
          </cell>
          <cell r="C966" t="str">
            <v>-</v>
          </cell>
          <cell r="D966">
            <v>1.6391721941047799E-3</v>
          </cell>
          <cell r="E966">
            <v>6.6629988773017905E-5</v>
          </cell>
          <cell r="F966">
            <v>4.4838108943032397E-5</v>
          </cell>
          <cell r="G966">
            <v>4.3557451424751302E-5</v>
          </cell>
          <cell r="H966">
            <v>1.8720839761731E-4</v>
          </cell>
          <cell r="I966">
            <v>6.9710312626518296E-5</v>
          </cell>
          <cell r="J966">
            <v>1.23472426957839E-4</v>
          </cell>
          <cell r="K966">
            <v>2.44057790640219E-5</v>
          </cell>
          <cell r="L966">
            <v>4.0267819581185598E-5</v>
          </cell>
          <cell r="M966">
            <v>3.29080720418672E-5</v>
          </cell>
          <cell r="N966">
            <v>2.13828386838406E-5</v>
          </cell>
          <cell r="O966">
            <v>1.2011723848130401E-5</v>
          </cell>
        </row>
        <row r="967">
          <cell r="A967" t="str">
            <v>ITOT-SWHHFOBR</v>
          </cell>
          <cell r="B967" t="str">
            <v>VAR_cap</v>
          </cell>
          <cell r="C967" t="str">
            <v>-</v>
          </cell>
          <cell r="D967">
            <v>0.10235617219410478</v>
          </cell>
          <cell r="E967">
            <v>0.10232256091063459</v>
          </cell>
          <cell r="F967">
            <v>5.6053581508283545E-4</v>
          </cell>
          <cell r="G967">
            <v>1.6656934364457643E-4</v>
          </cell>
          <cell r="H967">
            <v>2.4831850843541961E-4</v>
          </cell>
          <cell r="I967">
            <v>2.3623391426441157E-4</v>
          </cell>
          <cell r="J967">
            <v>2.9613288587604451E-4</v>
          </cell>
          <cell r="K967">
            <v>-2.0390359519863004E-5</v>
          </cell>
          <cell r="L967">
            <v>-3.8057994065359845E-6</v>
          </cell>
          <cell r="M967">
            <v>-2.3394638866945308E-5</v>
          </cell>
          <cell r="N967">
            <v>-5.3426832626427034E-6</v>
          </cell>
          <cell r="O967">
            <v>-2.4343835609514898E-5</v>
          </cell>
        </row>
        <row r="968">
          <cell r="A968" t="str">
            <v>RHSA-WHSTG-ELCHP</v>
          </cell>
          <cell r="B968" t="str">
            <v>VAR_fout</v>
          </cell>
          <cell r="C968" t="str">
            <v>RHSA-WHAELCH</v>
          </cell>
          <cell r="D968">
            <v>7.5812237410391405E-7</v>
          </cell>
          <cell r="E968">
            <v>2.9529666554896704E-6</v>
          </cell>
          <cell r="F968">
            <v>0.86071158706897577</v>
          </cell>
          <cell r="G968">
            <v>1.1808748268750584</v>
          </cell>
          <cell r="H968">
            <v>1.257635903642444</v>
          </cell>
          <cell r="I968">
            <v>1.5555412409379761</v>
          </cell>
          <cell r="J968">
            <v>1.5370701358726735</v>
          </cell>
          <cell r="K968">
            <v>1.6234357330745943</v>
          </cell>
          <cell r="L968">
            <v>1.9363466957853868</v>
          </cell>
          <cell r="M968">
            <v>1.9424587375172444</v>
          </cell>
          <cell r="N968">
            <v>1.701720902021775</v>
          </cell>
          <cell r="O968">
            <v>1.9111406439251521</v>
          </cell>
        </row>
        <row r="969">
          <cell r="A969" t="str">
            <v>RHSA-WHSTG-ELCHP</v>
          </cell>
          <cell r="B969" t="str">
            <v>VAR_fin</v>
          </cell>
          <cell r="C969" t="str">
            <v>RHSA-WHAELCH</v>
          </cell>
          <cell r="D969">
            <v>1.4839193726226141E-5</v>
          </cell>
          <cell r="E969">
            <v>1.0626775404223162E-5</v>
          </cell>
          <cell r="F969">
            <v>0.86074224681908895</v>
          </cell>
          <cell r="G969">
            <v>1.1809080116534854</v>
          </cell>
          <cell r="H969">
            <v>1.2576868139955506</v>
          </cell>
          <cell r="I969">
            <v>1.5556060548961401</v>
          </cell>
          <cell r="J969">
            <v>1.5371545105996185</v>
          </cell>
          <cell r="K969">
            <v>1.6235076701807236</v>
          </cell>
          <cell r="L969">
            <v>1.9364393342543667</v>
          </cell>
          <cell r="M969">
            <v>1.9425511284474672</v>
          </cell>
          <cell r="N969">
            <v>1.7018062932024489</v>
          </cell>
          <cell r="O969">
            <v>1.9112554303965961</v>
          </cell>
        </row>
        <row r="970">
          <cell r="A970" t="str">
            <v>RHSA-WHSTG-ELCHP</v>
          </cell>
          <cell r="B970" t="str">
            <v>VAR_ncap</v>
          </cell>
          <cell r="C970" t="str">
            <v>-</v>
          </cell>
          <cell r="D970">
            <v>1.553376899096E-2</v>
          </cell>
          <cell r="E970">
            <v>4.2533970390474997E-2</v>
          </cell>
          <cell r="F970">
            <v>2.1426641545560201E-2</v>
          </cell>
          <cell r="G970">
            <v>1.7070154154896999E-2</v>
          </cell>
          <cell r="H970">
            <v>6.0564499663597102E-2</v>
          </cell>
          <cell r="I970">
            <v>4.9543569795651297E-2</v>
          </cell>
          <cell r="J970">
            <v>2.1762061249340901E-2</v>
          </cell>
          <cell r="K970">
            <v>6.1316789322833701E-2</v>
          </cell>
          <cell r="L970">
            <v>7.8169322753048706E-2</v>
          </cell>
          <cell r="M970">
            <v>2.8617891344577099E-2</v>
          </cell>
          <cell r="N970">
            <v>5.3539761486780302E-2</v>
          </cell>
          <cell r="O970">
            <v>8.5011399839830901E-2</v>
          </cell>
        </row>
        <row r="971">
          <cell r="A971" t="str">
            <v>RHSA-WHSTG-ELCHP</v>
          </cell>
          <cell r="B971" t="str">
            <v>VAR_cap</v>
          </cell>
          <cell r="C971" t="str">
            <v>-</v>
          </cell>
          <cell r="D971">
            <v>1.5535008520363089E-2</v>
          </cell>
          <cell r="E971">
            <v>5.7917118361710998E-2</v>
          </cell>
          <cell r="F971">
            <v>7.9289053317272054E-2</v>
          </cell>
          <cell r="G971">
            <v>9.6299700303926011E-2</v>
          </cell>
          <cell r="H971">
            <v>0.12448915733318117</v>
          </cell>
          <cell r="I971">
            <v>0.128194718706579</v>
          </cell>
          <cell r="J971">
            <v>0.13165833741294503</v>
          </cell>
          <cell r="K971">
            <v>0.13214000132604908</v>
          </cell>
          <cell r="L971">
            <v>0.16530020972105883</v>
          </cell>
          <cell r="M971">
            <v>0.16727141759655792</v>
          </cell>
          <cell r="N971">
            <v>0.14534994479628902</v>
          </cell>
          <cell r="O971">
            <v>0.16634236842862163</v>
          </cell>
        </row>
        <row r="972">
          <cell r="A972" t="str">
            <v>ITOT-SWHSTG-ELCHP</v>
          </cell>
          <cell r="B972" t="str">
            <v>VAR_fout</v>
          </cell>
          <cell r="C972" t="str">
            <v>ITOT-SWHAELCH</v>
          </cell>
          <cell r="D972">
            <v>3.8161205515305501E-4</v>
          </cell>
          <cell r="E972">
            <v>9.111309040940073E-5</v>
          </cell>
          <cell r="F972">
            <v>1.0330182777038328E-2</v>
          </cell>
          <cell r="G972">
            <v>1.5139098477030849E-2</v>
          </cell>
          <cell r="H972">
            <v>7.0349543012886619E-3</v>
          </cell>
          <cell r="I972">
            <v>7.5157754487116778E-3</v>
          </cell>
          <cell r="J972">
            <v>1.6517483363981678E-2</v>
          </cell>
          <cell r="K972">
            <v>0.10314312291088366</v>
          </cell>
          <cell r="L972">
            <v>0.16412916794483218</v>
          </cell>
          <cell r="M972">
            <v>0.20221977172752711</v>
          </cell>
          <cell r="N972">
            <v>0.27352548712843883</v>
          </cell>
          <cell r="O972">
            <v>0.3399759594227128</v>
          </cell>
        </row>
        <row r="973">
          <cell r="A973" t="str">
            <v>ITOT-SWHSTG-ELCHP</v>
          </cell>
          <cell r="B973" t="str">
            <v>VAR_fin</v>
          </cell>
          <cell r="C973" t="str">
            <v>ITOT-SWHAELCH</v>
          </cell>
          <cell r="D973">
            <v>5.1567951788039211E-4</v>
          </cell>
          <cell r="E973">
            <v>1.1525699636091511E-4</v>
          </cell>
          <cell r="F973">
            <v>1.3348513706925538E-2</v>
          </cell>
          <cell r="G973">
            <v>1.8954112806776977E-2</v>
          </cell>
          <cell r="H973">
            <v>8.5137496794330282E-3</v>
          </cell>
          <cell r="I973">
            <v>8.8595988628435342E-3</v>
          </cell>
          <cell r="J973">
            <v>1.8923366515976776E-2</v>
          </cell>
          <cell r="K973">
            <v>0.11462693684153927</v>
          </cell>
          <cell r="L973">
            <v>0.18240051756970854</v>
          </cell>
          <cell r="M973">
            <v>0.22472247298368678</v>
          </cell>
          <cell r="N973">
            <v>0.30396292374999662</v>
          </cell>
          <cell r="O973">
            <v>0.37780565611586658</v>
          </cell>
        </row>
        <row r="974">
          <cell r="A974" t="str">
            <v>ITOT-SWHSTG-ELCHP</v>
          </cell>
          <cell r="B974" t="str">
            <v>VAR_ncap</v>
          </cell>
          <cell r="C974" t="str">
            <v>-</v>
          </cell>
          <cell r="D974">
            <v>1.8487769284645399E-2</v>
          </cell>
          <cell r="E974">
            <v>6.0469019529101101E-5</v>
          </cell>
          <cell r="F974">
            <v>2.7084067229183401E-2</v>
          </cell>
          <cell r="G974">
            <v>2.9110371649396099E-2</v>
          </cell>
          <cell r="H974">
            <v>4.4716422278027398E-2</v>
          </cell>
          <cell r="I974">
            <v>4.02751410924376E-2</v>
          </cell>
          <cell r="J974">
            <v>2.91971126883947E-2</v>
          </cell>
          <cell r="K974">
            <v>4.4891723537160803E-2</v>
          </cell>
          <cell r="L974">
            <v>3.8190753775507298E-2</v>
          </cell>
          <cell r="M974">
            <v>4.7511386748414E-2</v>
          </cell>
          <cell r="N974">
            <v>4.8943591641305101E-2</v>
          </cell>
          <cell r="O974">
            <v>3.3915842265065298E-2</v>
          </cell>
        </row>
        <row r="975">
          <cell r="A975" t="str">
            <v>ITOT-SWHSTG-ELCHP</v>
          </cell>
          <cell r="B975" t="str">
            <v>VAR_cap</v>
          </cell>
          <cell r="C975" t="str">
            <v>-</v>
          </cell>
          <cell r="D975">
            <v>1.8487769284645399E-2</v>
          </cell>
          <cell r="E975">
            <v>1.802147964431695E-2</v>
          </cell>
          <cell r="F975">
            <v>4.5139653389505242E-2</v>
          </cell>
          <cell r="G975">
            <v>7.4339836326864625E-2</v>
          </cell>
          <cell r="H975">
            <v>0.10497824749245929</v>
          </cell>
          <cell r="I975">
            <v>0.11400096613543051</v>
          </cell>
          <cell r="J975">
            <v>0.11398019426352496</v>
          </cell>
          <cell r="K975">
            <v>0.11378715322796783</v>
          </cell>
          <cell r="L975">
            <v>0.11382971672330222</v>
          </cell>
          <cell r="M975">
            <v>0.12956522371471871</v>
          </cell>
          <cell r="N975">
            <v>0.12938059993328774</v>
          </cell>
          <cell r="O975">
            <v>0.12941354249196127</v>
          </cell>
        </row>
        <row r="976">
          <cell r="A976" t="str">
            <v>D-RHNS_LTH_CHPWOD</v>
          </cell>
          <cell r="B976" t="str">
            <v>VAR_fout</v>
          </cell>
          <cell r="C976" t="str">
            <v>RHNS_LTH_CHPWOD_ON</v>
          </cell>
          <cell r="D976">
            <v>5.3045944061268834E-5</v>
          </cell>
          <cell r="E976">
            <v>4.765389322221005E-5</v>
          </cell>
          <cell r="F976">
            <v>3.8916478042389305E-6</v>
          </cell>
          <cell r="G976">
            <v>5.0972987191477449E-3</v>
          </cell>
          <cell r="H976">
            <v>9.6998829860250203E-3</v>
          </cell>
          <cell r="I976">
            <v>9.3829231664075367E-3</v>
          </cell>
          <cell r="J976">
            <v>1.097048234342015E-2</v>
          </cell>
          <cell r="K976">
            <v>2.46534053705855E-2</v>
          </cell>
          <cell r="L976">
            <v>2.4053769321099549E-2</v>
          </cell>
          <cell r="M976">
            <v>2.9067643711777873E-2</v>
          </cell>
          <cell r="N976">
            <v>1.711441545446922E-2</v>
          </cell>
          <cell r="O976">
            <v>2.593921845856537E-2</v>
          </cell>
        </row>
        <row r="977">
          <cell r="A977" t="str">
            <v>D-RHNS_LTH_CHPWOD</v>
          </cell>
          <cell r="B977" t="str">
            <v>VAR_fout</v>
          </cell>
          <cell r="C977" t="str">
            <v>RHSA_LTH</v>
          </cell>
          <cell r="D977">
            <v>1.5916227899242773E-5</v>
          </cell>
          <cell r="E977">
            <v>8.4257587040405791E-5</v>
          </cell>
          <cell r="F977">
            <v>6.5548284623240588E-5</v>
          </cell>
          <cell r="G977">
            <v>4.7850091476989941E-5</v>
          </cell>
          <cell r="H977">
            <v>8.6617491073427884E-4</v>
          </cell>
          <cell r="I977">
            <v>1.1309575770410054E-3</v>
          </cell>
          <cell r="J977">
            <v>7.4879768818290741E-5</v>
          </cell>
          <cell r="K977">
            <v>1.8269641312397919E-4</v>
          </cell>
          <cell r="L977">
            <v>3.8800263848793752E-4</v>
          </cell>
          <cell r="M977">
            <v>2.068878225134259E-3</v>
          </cell>
          <cell r="N977">
            <v>1.6289853330353569E-4</v>
          </cell>
          <cell r="O977">
            <v>9.878559131900015E-5</v>
          </cell>
        </row>
        <row r="978">
          <cell r="A978" t="str">
            <v>D-RHNS_LTH_CHPWOD</v>
          </cell>
          <cell r="B978" t="str">
            <v>VAR_fout</v>
          </cell>
          <cell r="C978" t="str">
            <v>LTH</v>
          </cell>
          <cell r="E978">
            <v>2.3135308414462381E-6</v>
          </cell>
          <cell r="F978">
            <v>4.5268089820748466E-6</v>
          </cell>
          <cell r="G978">
            <v>2.4081248705972879E-6</v>
          </cell>
          <cell r="H978">
            <v>1.0104519413763695E-5</v>
          </cell>
          <cell r="I978">
            <v>1.3760701342909764E-5</v>
          </cell>
          <cell r="J978">
            <v>1.8065271880782303E-5</v>
          </cell>
          <cell r="K978">
            <v>4.6919785731285532E-5</v>
          </cell>
          <cell r="L978">
            <v>5.0814726329327309E-5</v>
          </cell>
          <cell r="M978">
            <v>7.6423512335529805E-5</v>
          </cell>
          <cell r="N978">
            <v>4.8652470971535881E-5</v>
          </cell>
          <cell r="O978">
            <v>8.2190153723914102E-5</v>
          </cell>
        </row>
        <row r="979">
          <cell r="A979" t="str">
            <v>D-RHNS_LTH_CHPWOD</v>
          </cell>
          <cell r="B979" t="str">
            <v>VAR_fin</v>
          </cell>
          <cell r="C979" t="str">
            <v>RHNS_LTH_CHPWOD</v>
          </cell>
          <cell r="D979">
            <v>6.8962171960511661E-5</v>
          </cell>
          <cell r="E979">
            <v>1.3422501110406206E-4</v>
          </cell>
          <cell r="F979">
            <v>7.3966741409554304E-5</v>
          </cell>
          <cell r="G979">
            <v>5.1486277309167614E-3</v>
          </cell>
          <cell r="H979">
            <v>1.0576576472249076E-2</v>
          </cell>
          <cell r="I979">
            <v>1.0527779471790498E-2</v>
          </cell>
          <cell r="J979">
            <v>1.1063427384119223E-2</v>
          </cell>
          <cell r="K979">
            <v>2.4883021569440753E-2</v>
          </cell>
          <cell r="L979">
            <v>2.4492586685916813E-2</v>
          </cell>
          <cell r="M979">
            <v>3.1212945449247635E-2</v>
          </cell>
          <cell r="N979">
            <v>1.7325966458744291E-2</v>
          </cell>
          <cell r="O979">
            <v>2.6120194203608275E-2</v>
          </cell>
        </row>
        <row r="980">
          <cell r="A980" t="str">
            <v>D-SBIO</v>
          </cell>
          <cell r="B980" t="str">
            <v>VAR_fout</v>
          </cell>
          <cell r="C980" t="str">
            <v>SBIO</v>
          </cell>
          <cell r="D980">
            <v>4.0477015392536391</v>
          </cell>
          <cell r="E980">
            <v>4.5839585651782047</v>
          </cell>
          <cell r="F980">
            <v>4.6658133423712913</v>
          </cell>
          <cell r="G980">
            <v>4.6550513786620131</v>
          </cell>
          <cell r="H980">
            <v>4.7687999214695571</v>
          </cell>
          <cell r="I980">
            <v>4.8663128880334749</v>
          </cell>
          <cell r="J980">
            <v>4.938786922699733</v>
          </cell>
          <cell r="K980">
            <v>5.0695399287313521</v>
          </cell>
          <cell r="L980">
            <v>5.3897826338438719</v>
          </cell>
          <cell r="M980">
            <v>5.3907205854671245</v>
          </cell>
          <cell r="N980">
            <v>6.3966531176069594</v>
          </cell>
          <cell r="O980">
            <v>6.6465399333731225</v>
          </cell>
        </row>
        <row r="981">
          <cell r="A981" t="str">
            <v>D-SBIO</v>
          </cell>
          <cell r="B981" t="str">
            <v>VAR_fin</v>
          </cell>
          <cell r="C981" t="str">
            <v>BIO</v>
          </cell>
          <cell r="D981">
            <v>4.0477015392536391</v>
          </cell>
          <cell r="E981">
            <v>4.5839585651782047</v>
          </cell>
          <cell r="F981">
            <v>4.6658133423712913</v>
          </cell>
          <cell r="G981">
            <v>4.6550513786620131</v>
          </cell>
          <cell r="H981">
            <v>4.7687999214695571</v>
          </cell>
          <cell r="I981">
            <v>4.8663128880334749</v>
          </cell>
          <cell r="J981">
            <v>4.938786922699733</v>
          </cell>
          <cell r="K981">
            <v>5.0695399287313521</v>
          </cell>
          <cell r="L981">
            <v>5.3897826338438719</v>
          </cell>
          <cell r="M981">
            <v>5.3907205854671245</v>
          </cell>
          <cell r="N981">
            <v>6.3966531176069594</v>
          </cell>
          <cell r="O981">
            <v>6.6465399333731225</v>
          </cell>
        </row>
        <row r="982">
          <cell r="A982" t="str">
            <v>RHEM-SHDEM</v>
          </cell>
          <cell r="B982" t="str">
            <v>VAR_fout</v>
          </cell>
          <cell r="C982" t="str">
            <v>RHEM-SHD</v>
          </cell>
          <cell r="D982">
            <v>66.986774791699034</v>
          </cell>
          <cell r="E982">
            <v>66.782026660973159</v>
          </cell>
          <cell r="F982">
            <v>65.887030306479787</v>
          </cell>
          <cell r="G982">
            <v>64.87837932369753</v>
          </cell>
          <cell r="H982">
            <v>63.959017636009939</v>
          </cell>
          <cell r="I982">
            <v>62.328030452496208</v>
          </cell>
          <cell r="J982">
            <v>60.28450390115048</v>
          </cell>
          <cell r="K982">
            <v>58.319860093770238</v>
          </cell>
          <cell r="L982">
            <v>55.800958860111159</v>
          </cell>
          <cell r="M982">
            <v>52.537901814509972</v>
          </cell>
          <cell r="N982">
            <v>51.531428599672736</v>
          </cell>
          <cell r="O982">
            <v>41.792267123779538</v>
          </cell>
        </row>
        <row r="983">
          <cell r="A983" t="str">
            <v>RHEM-SHDEM</v>
          </cell>
          <cell r="B983" t="str">
            <v>VAR_fin</v>
          </cell>
          <cell r="C983" t="str">
            <v>RHEM-SHNST</v>
          </cell>
          <cell r="D983">
            <v>1.6338557451774371E-2</v>
          </cell>
          <cell r="E983">
            <v>6.7726355318817034E-5</v>
          </cell>
          <cell r="F983">
            <v>4.1911558501822148E-3</v>
          </cell>
          <cell r="G983">
            <v>2.2955599036536172E-3</v>
          </cell>
          <cell r="H983">
            <v>7.3209496173597729E-3</v>
          </cell>
          <cell r="I983">
            <v>3.9735024905832358E-3</v>
          </cell>
          <cell r="J983">
            <v>3.3054383216074902E-3</v>
          </cell>
          <cell r="K983">
            <v>5.9583754822278897E-3</v>
          </cell>
          <cell r="L983">
            <v>3.5546130252550726E-3</v>
          </cell>
          <cell r="M983">
            <v>5.5136704788550711E-3</v>
          </cell>
          <cell r="N983">
            <v>5.3413163148034676E-3</v>
          </cell>
          <cell r="O983">
            <v>1.014631368088887E-2</v>
          </cell>
        </row>
        <row r="984">
          <cell r="A984" t="str">
            <v>RHEM-SHDEM</v>
          </cell>
          <cell r="B984" t="str">
            <v>VAR_fin</v>
          </cell>
          <cell r="C984" t="str">
            <v>RHEM-SHPLT</v>
          </cell>
          <cell r="D984">
            <v>1.3980646032409387</v>
          </cell>
          <cell r="E984">
            <v>1.6076928690622265</v>
          </cell>
          <cell r="F984">
            <v>1.6040334922733452</v>
          </cell>
          <cell r="G984">
            <v>1.606061163817492</v>
          </cell>
          <cell r="H984">
            <v>1.5997948579022498</v>
          </cell>
          <cell r="I984">
            <v>1.6040572211350119</v>
          </cell>
          <cell r="J984">
            <v>1.6052028966517546</v>
          </cell>
          <cell r="K984">
            <v>1.6029540661623716</v>
          </cell>
          <cell r="L984">
            <v>1.605062653075054</v>
          </cell>
          <cell r="M984">
            <v>1.603393009449035</v>
          </cell>
          <cell r="N984">
            <v>1.603328292126657</v>
          </cell>
          <cell r="O984">
            <v>1.5997225787334988</v>
          </cell>
        </row>
        <row r="985">
          <cell r="A985" t="str">
            <v>RHEM-SHDEM</v>
          </cell>
          <cell r="B985" t="str">
            <v>VAR_fin</v>
          </cell>
          <cell r="C985" t="str">
            <v>RHEM-SHNGAH</v>
          </cell>
          <cell r="E985">
            <v>4.9133382460641484E-5</v>
          </cell>
          <cell r="F985">
            <v>1.2275241569681294E-2</v>
          </cell>
          <cell r="G985">
            <v>9.5338126059685783E-3</v>
          </cell>
          <cell r="H985">
            <v>2.0039407776954395E-2</v>
          </cell>
          <cell r="I985">
            <v>1.1282387485062792E-2</v>
          </cell>
          <cell r="J985">
            <v>9.367487623792501E-3</v>
          </cell>
          <cell r="K985">
            <v>1.6826745156935677E-2</v>
          </cell>
          <cell r="L985">
            <v>1.4134659193455752E-2</v>
          </cell>
          <cell r="M985">
            <v>1.5415171435534347E-2</v>
          </cell>
          <cell r="N985">
            <v>1.3791983504739886E-2</v>
          </cell>
          <cell r="O985">
            <v>3.9336926923378888E-2</v>
          </cell>
        </row>
        <row r="986">
          <cell r="A986" t="str">
            <v>RHEM-SHDEM</v>
          </cell>
          <cell r="B986" t="str">
            <v>VAR_fin</v>
          </cell>
          <cell r="C986" t="str">
            <v>RHEM-SHLTHC-WOD</v>
          </cell>
          <cell r="E986">
            <v>6.1406823537086725E-5</v>
          </cell>
          <cell r="F986">
            <v>7.2259372220504121E-4</v>
          </cell>
          <cell r="G986">
            <v>9.6769785110286995E-3</v>
          </cell>
          <cell r="H986">
            <v>2.0704507091115754E-2</v>
          </cell>
          <cell r="I986">
            <v>1.3762843082411285E-2</v>
          </cell>
          <cell r="J986">
            <v>1.3042631817086198E-2</v>
          </cell>
          <cell r="K986">
            <v>2.8173451149696542E-2</v>
          </cell>
          <cell r="L986">
            <v>2.691606681446827E-2</v>
          </cell>
          <cell r="M986">
            <v>2.2696509501502225E-2</v>
          </cell>
          <cell r="N986">
            <v>2.6473808309616639E-2</v>
          </cell>
          <cell r="O986">
            <v>4.9625678737475892E-2</v>
          </cell>
        </row>
        <row r="987">
          <cell r="A987" t="str">
            <v>RHEM-SHDEM</v>
          </cell>
          <cell r="B987" t="str">
            <v>VAR_fin</v>
          </cell>
          <cell r="C987" t="str">
            <v>RHEM-SHSOL</v>
          </cell>
          <cell r="D987">
            <v>0.40698112051059965</v>
          </cell>
          <cell r="E987">
            <v>0.47095320414084274</v>
          </cell>
          <cell r="F987">
            <v>0.46759910660190301</v>
          </cell>
          <cell r="G987">
            <v>0.46912464331080156</v>
          </cell>
          <cell r="H987">
            <v>0.45538464315884192</v>
          </cell>
          <cell r="I987">
            <v>0.46925860033976408</v>
          </cell>
          <cell r="J987">
            <v>0.46478417132655597</v>
          </cell>
          <cell r="K987">
            <v>0.42014315431917587</v>
          </cell>
          <cell r="L987">
            <v>0.46206783396754425</v>
          </cell>
          <cell r="M987">
            <v>0.40611695286567528</v>
          </cell>
          <cell r="N987">
            <v>0.43751793775207115</v>
          </cell>
          <cell r="O987">
            <v>0.36894144695700903</v>
          </cell>
        </row>
        <row r="988">
          <cell r="A988" t="str">
            <v>RHEM-SHDEM</v>
          </cell>
          <cell r="B988" t="str">
            <v>VAR_fin</v>
          </cell>
          <cell r="C988" t="str">
            <v>RHEM-SHLTHD</v>
          </cell>
          <cell r="D988">
            <v>2.0357705208361034</v>
          </cell>
          <cell r="E988">
            <v>3.788609858264516</v>
          </cell>
          <cell r="F988">
            <v>4.166713737629272</v>
          </cell>
          <cell r="G988">
            <v>3.6931069319149596</v>
          </cell>
          <cell r="H988">
            <v>3.2370781081836619</v>
          </cell>
          <cell r="I988">
            <v>3.8942394120652648</v>
          </cell>
          <cell r="J988">
            <v>3.7938343071582743</v>
          </cell>
          <cell r="K988">
            <v>3.6598339833957638</v>
          </cell>
          <cell r="L988">
            <v>3.4941398747987091</v>
          </cell>
          <cell r="M988">
            <v>3.2056198294982035</v>
          </cell>
          <cell r="N988">
            <v>3.206623430119437</v>
          </cell>
          <cell r="O988">
            <v>2.5504455625262414</v>
          </cell>
        </row>
        <row r="989">
          <cell r="A989" t="str">
            <v>RHEM-SHDEM</v>
          </cell>
          <cell r="B989" t="str">
            <v>VAR_fin</v>
          </cell>
          <cell r="C989" t="str">
            <v>RHEM-SHNGA</v>
          </cell>
          <cell r="D989">
            <v>18.971465086290177</v>
          </cell>
          <cell r="E989">
            <v>18.862746603344462</v>
          </cell>
          <cell r="F989">
            <v>18.969184329262536</v>
          </cell>
          <cell r="G989">
            <v>18.837790662839335</v>
          </cell>
          <cell r="H989">
            <v>18.43845926072062</v>
          </cell>
          <cell r="I989">
            <v>17.844655131457444</v>
          </cell>
          <cell r="J989">
            <v>17.26958471874832</v>
          </cell>
          <cell r="K989">
            <v>16.705970676105476</v>
          </cell>
          <cell r="L989">
            <v>15.941090306728242</v>
          </cell>
          <cell r="M989">
            <v>14.943668924754101</v>
          </cell>
          <cell r="N989">
            <v>14.639458580459467</v>
          </cell>
          <cell r="O989">
            <v>11.635341932068545</v>
          </cell>
        </row>
        <row r="990">
          <cell r="A990" t="str">
            <v>RHEM-SHDEM</v>
          </cell>
          <cell r="B990" t="str">
            <v>VAR_fin</v>
          </cell>
          <cell r="C990" t="str">
            <v>RHEM-SHELCB</v>
          </cell>
          <cell r="D990">
            <v>4.610133469922582</v>
          </cell>
          <cell r="E990">
            <v>3.7230586809787978</v>
          </cell>
          <cell r="F990">
            <v>4.2913408267530011</v>
          </cell>
          <cell r="G990">
            <v>3.0529438503581341</v>
          </cell>
          <cell r="H990">
            <v>1.8910833532753875</v>
          </cell>
          <cell r="I990">
            <v>2.1019411248324853</v>
          </cell>
          <cell r="J990">
            <v>1.6173643823192965</v>
          </cell>
          <cell r="K990">
            <v>1.4091091561487914</v>
          </cell>
          <cell r="L990">
            <v>0.34423257885261094</v>
          </cell>
          <cell r="M990">
            <v>0.32164848311459665</v>
          </cell>
          <cell r="N990">
            <v>0.31547814834506449</v>
          </cell>
          <cell r="O990">
            <v>0.25176020774493285</v>
          </cell>
        </row>
        <row r="991">
          <cell r="A991" t="str">
            <v>RHEM-SHDEM</v>
          </cell>
          <cell r="B991" t="str">
            <v>VAR_fin</v>
          </cell>
          <cell r="C991" t="str">
            <v>RHEM-SHELCH</v>
          </cell>
          <cell r="D991">
            <v>9.8784120677865221</v>
          </cell>
          <cell r="E991">
            <v>11.655090983700118</v>
          </cell>
          <cell r="F991">
            <v>11.649978162293946</v>
          </cell>
          <cell r="G991">
            <v>11.653683551474204</v>
          </cell>
          <cell r="H991">
            <v>16.132521811696257</v>
          </cell>
          <cell r="I991">
            <v>16.141619523550641</v>
          </cell>
          <cell r="J991">
            <v>16.142809436144042</v>
          </cell>
          <cell r="K991">
            <v>16.138555376539149</v>
          </cell>
          <cell r="L991">
            <v>16.141842842407364</v>
          </cell>
          <cell r="M991">
            <v>16.138348105267578</v>
          </cell>
          <cell r="N991">
            <v>16.141276306275657</v>
          </cell>
          <cell r="O991">
            <v>16.128468002152648</v>
          </cell>
        </row>
        <row r="992">
          <cell r="A992" t="str">
            <v>RHEM-SHDEM</v>
          </cell>
          <cell r="B992" t="str">
            <v>VAR_fin</v>
          </cell>
          <cell r="C992" t="str">
            <v>RHEM-SHLFO</v>
          </cell>
          <cell r="D992">
            <v>23.406524607661812</v>
          </cell>
          <cell r="E992">
            <v>18.60480369704235</v>
          </cell>
          <cell r="F992">
            <v>18.196575765785877</v>
          </cell>
          <cell r="G992">
            <v>19.227617950488639</v>
          </cell>
          <cell r="H992">
            <v>16.104179408824155</v>
          </cell>
          <cell r="I992">
            <v>14.452151325276089</v>
          </cell>
          <cell r="J992">
            <v>13.882170341285233</v>
          </cell>
          <cell r="K992">
            <v>13.163347917475292</v>
          </cell>
          <cell r="L992">
            <v>12.722220687427782</v>
          </cell>
          <cell r="M992">
            <v>10.999916049219205</v>
          </cell>
          <cell r="N992">
            <v>10.183421114765826</v>
          </cell>
          <cell r="O992">
            <v>4.425270285553573</v>
          </cell>
        </row>
        <row r="993">
          <cell r="A993" t="str">
            <v>RHEM-SHDEM</v>
          </cell>
          <cell r="B993" t="str">
            <v>VAR_fin</v>
          </cell>
          <cell r="C993" t="str">
            <v>RHEM-SHCON</v>
          </cell>
          <cell r="D993">
            <v>1.4710859130511409</v>
          </cell>
          <cell r="E993">
            <v>3.4517327969553073</v>
          </cell>
          <cell r="F993">
            <v>3.4513209870489279</v>
          </cell>
          <cell r="G993">
            <v>3.4510230231455994</v>
          </cell>
          <cell r="H993">
            <v>3.4512730322098162</v>
          </cell>
          <cell r="I993">
            <v>3.4513273756772307</v>
          </cell>
          <cell r="J993">
            <v>3.4510740511677955</v>
          </cell>
          <cell r="K993">
            <v>3.4494938131923378</v>
          </cell>
          <cell r="L993">
            <v>3.449797490259074</v>
          </cell>
          <cell r="M993">
            <v>3.4496619838981628</v>
          </cell>
          <cell r="N993">
            <v>3.4496650663163422</v>
          </cell>
          <cell r="O993">
            <v>3.4509189262731175</v>
          </cell>
        </row>
        <row r="994">
          <cell r="A994" t="str">
            <v>RHEM-SHDEM</v>
          </cell>
          <cell r="B994" t="str">
            <v>VAR_fin</v>
          </cell>
          <cell r="C994" t="str">
            <v>RHEM-SHWOD</v>
          </cell>
          <cell r="D994">
            <v>4.7262820521062174</v>
          </cell>
          <cell r="E994">
            <v>4.6165568489309585</v>
          </cell>
          <cell r="F994">
            <v>2.900298449549084</v>
          </cell>
          <cell r="G994">
            <v>2.3705670162058481</v>
          </cell>
          <cell r="H994">
            <v>2.1039620460102095</v>
          </cell>
          <cell r="I994">
            <v>1.8138399508871876</v>
          </cell>
          <cell r="J994">
            <v>1.5070191757313205</v>
          </cell>
          <cell r="K994">
            <v>1.2141106395965719</v>
          </cell>
          <cell r="L994">
            <v>1.0871420616165974</v>
          </cell>
          <cell r="M994">
            <v>0.91715948292149763</v>
          </cell>
          <cell r="N994">
            <v>0.8658138906032824</v>
          </cell>
          <cell r="O994">
            <v>0.36511230866632799</v>
          </cell>
        </row>
        <row r="995">
          <cell r="A995" t="str">
            <v>RHEM-SHDEM</v>
          </cell>
          <cell r="B995" t="str">
            <v>VAR_fin</v>
          </cell>
          <cell r="C995" t="str">
            <v>RHEM-SHLTHC-NGA</v>
          </cell>
          <cell r="D995">
            <v>6.7021642217610214E-2</v>
          </cell>
          <cell r="E995">
            <v>1.9927469900642911E-3</v>
          </cell>
          <cell r="F995">
            <v>0.17441239374995235</v>
          </cell>
          <cell r="G995">
            <v>0.49586368157811611</v>
          </cell>
          <cell r="H995">
            <v>0.49846756829651961</v>
          </cell>
          <cell r="I995">
            <v>0.52712236750030084</v>
          </cell>
          <cell r="J995">
            <v>0.52631479502061163</v>
          </cell>
          <cell r="K995">
            <v>0.50677774667997244</v>
          </cell>
          <cell r="L995">
            <v>0.50964404041023148</v>
          </cell>
          <cell r="M995">
            <v>0.5102045161992107</v>
          </cell>
          <cell r="N995">
            <v>0.64409121937682168</v>
          </cell>
          <cell r="O995">
            <v>0.91928267144008358</v>
          </cell>
        </row>
        <row r="996">
          <cell r="A996" t="str">
            <v>ITOT-SWHH2BR</v>
          </cell>
          <cell r="B996" t="str">
            <v>VAR_fout</v>
          </cell>
          <cell r="C996" t="str">
            <v>ITOT-SWH</v>
          </cell>
          <cell r="G996">
            <v>1.5376733791177296E-3</v>
          </cell>
          <cell r="H996">
            <v>1.0120552773732474E-2</v>
          </cell>
          <cell r="I996">
            <v>1.2434391503042213E-2</v>
          </cell>
          <cell r="J996">
            <v>1.249484051507915E-2</v>
          </cell>
          <cell r="K996">
            <v>4.2862631186893839E-2</v>
          </cell>
          <cell r="L996">
            <v>6.3253612697448947E-2</v>
          </cell>
          <cell r="M996">
            <v>9.1192831175575362E-2</v>
          </cell>
          <cell r="N996">
            <v>9.1262823032486617E-2</v>
          </cell>
          <cell r="O996">
            <v>9.9439815963269021E-2</v>
          </cell>
        </row>
        <row r="997">
          <cell r="A997" t="str">
            <v>ITOT-SWHH2BR</v>
          </cell>
          <cell r="B997" t="str">
            <v>VAR_fin</v>
          </cell>
          <cell r="C997" t="str">
            <v>IH2</v>
          </cell>
          <cell r="G997">
            <v>1.9101453617920954E-3</v>
          </cell>
          <cell r="H997">
            <v>1.2544612305163658E-2</v>
          </cell>
          <cell r="I997">
            <v>1.5379078200924566E-2</v>
          </cell>
          <cell r="J997">
            <v>1.5420246095028727E-2</v>
          </cell>
          <cell r="K997">
            <v>5.2783269422794307E-2</v>
          </cell>
          <cell r="L997">
            <v>7.786000276748023E-2</v>
          </cell>
          <cell r="M997">
            <v>0.11220222790668086</v>
          </cell>
          <cell r="N997">
            <v>0.11223969123649877</v>
          </cell>
          <cell r="O997">
            <v>0.12224320879141576</v>
          </cell>
        </row>
        <row r="998">
          <cell r="A998" t="str">
            <v>ITOT-SWHH2BR</v>
          </cell>
          <cell r="B998" t="str">
            <v>VAR_ncap</v>
          </cell>
          <cell r="C998" t="str">
            <v>-</v>
          </cell>
          <cell r="G998">
            <v>1.4402454406588799E-4</v>
          </cell>
          <cell r="H998">
            <v>7.7349279975682801E-4</v>
          </cell>
          <cell r="I998">
            <v>3.3522184131652699E-4</v>
          </cell>
          <cell r="J998">
            <v>1.4404325715480499E-4</v>
          </cell>
          <cell r="K998">
            <v>3.5835076971238201E-3</v>
          </cell>
          <cell r="L998">
            <v>2.2449093567763201E-3</v>
          </cell>
          <cell r="M998">
            <v>2.5044868823701398E-3</v>
          </cell>
          <cell r="N998">
            <v>3.75152911420689E-3</v>
          </cell>
          <cell r="O998">
            <v>2.7918555645153401E-3</v>
          </cell>
        </row>
        <row r="999">
          <cell r="A999" t="str">
            <v>ITOT-SWHH2BR</v>
          </cell>
          <cell r="B999" t="str">
            <v>VAR_cap</v>
          </cell>
          <cell r="C999" t="str">
            <v>-</v>
          </cell>
          <cell r="G999">
            <v>1.4402454406588799E-4</v>
          </cell>
          <cell r="H999">
            <v>9.0782824159627582E-4</v>
          </cell>
          <cell r="I999">
            <v>1.1440541239177871E-3</v>
          </cell>
          <cell r="J999">
            <v>1.149396263054474E-3</v>
          </cell>
          <cell r="K999">
            <v>3.9874655377763538E-3</v>
          </cell>
          <cell r="L999">
            <v>5.9176048658179008E-3</v>
          </cell>
          <cell r="M999">
            <v>8.2211080742851002E-3</v>
          </cell>
          <cell r="N999">
            <v>8.2802045925360352E-3</v>
          </cell>
          <cell r="O999">
            <v>8.9318800227693555E-3</v>
          </cell>
        </row>
        <row r="1000">
          <cell r="A1000" t="str">
            <v>RHNS-SHSTG-ELC</v>
          </cell>
          <cell r="B1000" t="str">
            <v>VAR_fout</v>
          </cell>
          <cell r="C1000" t="str">
            <v>RHNS-SHAELCB</v>
          </cell>
          <cell r="E1000">
            <v>2.9703400678427325E-6</v>
          </cell>
          <cell r="F1000">
            <v>1.6579050006117181E-2</v>
          </cell>
          <cell r="G1000">
            <v>1.7786027541744395E-2</v>
          </cell>
          <cell r="H1000">
            <v>1.1132535538607664E-2</v>
          </cell>
          <cell r="I1000">
            <v>2.2194777118705786E-3</v>
          </cell>
          <cell r="J1000">
            <v>5.1181532035175024E-2</v>
          </cell>
          <cell r="K1000">
            <v>5.2519622257467015E-2</v>
          </cell>
          <cell r="L1000">
            <v>1.1239923600530737E-2</v>
          </cell>
          <cell r="M1000">
            <v>8.1221619923490802E-4</v>
          </cell>
          <cell r="N1000">
            <v>8.2276476628000291E-4</v>
          </cell>
          <cell r="O1000">
            <v>9.0474563957801857E-4</v>
          </cell>
        </row>
        <row r="1001">
          <cell r="A1001" t="str">
            <v>RHNS-SHSTG-ELC</v>
          </cell>
          <cell r="B1001" t="str">
            <v>VAR_fin</v>
          </cell>
          <cell r="C1001" t="str">
            <v>RHNS-SHAELCB</v>
          </cell>
          <cell r="E1001">
            <v>1.4930744609129349E-6</v>
          </cell>
          <cell r="F1001">
            <v>1.6575505868687775E-2</v>
          </cell>
          <cell r="G1001">
            <v>1.7782739080046676E-2</v>
          </cell>
          <cell r="H1001">
            <v>1.1132287104179964E-2</v>
          </cell>
          <cell r="I1001">
            <v>2.2214396387068838E-3</v>
          </cell>
          <cell r="J1001">
            <v>5.1189715170994139E-2</v>
          </cell>
          <cell r="K1001">
            <v>5.2525683190709792E-2</v>
          </cell>
          <cell r="L1001">
            <v>1.12453638636317E-2</v>
          </cell>
          <cell r="M1001">
            <v>8.168377587272304E-4</v>
          </cell>
          <cell r="N1001">
            <v>8.225290745147131E-4</v>
          </cell>
          <cell r="O1001">
            <v>9.0952195846511288E-4</v>
          </cell>
        </row>
        <row r="1002">
          <cell r="A1002" t="str">
            <v>RHNS-SHSTG-ELC</v>
          </cell>
          <cell r="B1002" t="str">
            <v>VAR_ncap</v>
          </cell>
          <cell r="C1002" t="str">
            <v>-</v>
          </cell>
          <cell r="D1002">
            <v>2.3824202581563599E-5</v>
          </cell>
          <cell r="E1002">
            <v>1.5872365683567801E-5</v>
          </cell>
          <cell r="F1002">
            <v>1.9595707397825199E-3</v>
          </cell>
          <cell r="G1002">
            <v>4.2405863626924503E-5</v>
          </cell>
          <cell r="H1002">
            <v>1.2179513694755601E-4</v>
          </cell>
          <cell r="I1002">
            <v>1.6594538678200399E-4</v>
          </cell>
          <cell r="J1002">
            <v>5.5823342437493198E-3</v>
          </cell>
          <cell r="K1002">
            <v>2.1524343044769799E-4</v>
          </cell>
          <cell r="L1002">
            <v>1.87001894027055E-4</v>
          </cell>
          <cell r="M1002">
            <v>1.5165806964289699E-4</v>
          </cell>
          <cell r="N1002">
            <v>1.3993936635813399E-4</v>
          </cell>
          <cell r="O1002">
            <v>1.8026415647215801E-4</v>
          </cell>
        </row>
        <row r="1003">
          <cell r="A1003" t="str">
            <v>RHNS-SHSTG-ELC</v>
          </cell>
          <cell r="B1003" t="str">
            <v>VAR_cap</v>
          </cell>
          <cell r="C1003" t="str">
            <v>-</v>
          </cell>
          <cell r="D1003">
            <v>2.3824202581563599E-5</v>
          </cell>
          <cell r="E1003">
            <v>-2.3966574821830184E-7</v>
          </cell>
          <cell r="F1003">
            <v>1.9556258491955705E-3</v>
          </cell>
          <cell r="G1003">
            <v>1.9548771591357378E-3</v>
          </cell>
          <cell r="H1003">
            <v>1.385747610813181E-3</v>
          </cell>
          <cell r="I1003">
            <v>3.8175356263331101E-4</v>
          </cell>
          <cell r="J1003">
            <v>5.778076528276231E-3</v>
          </cell>
          <cell r="K1003">
            <v>5.3926971578153668E-3</v>
          </cell>
          <cell r="L1003">
            <v>1.3552691444835493E-3</v>
          </cell>
          <cell r="M1003">
            <v>2.0905610523023701E-4</v>
          </cell>
          <cell r="N1003">
            <v>2.0499680148640197E-4</v>
          </cell>
          <cell r="O1003">
            <v>2.5149566934502701E-4</v>
          </cell>
        </row>
        <row r="1004">
          <cell r="A1004" t="str">
            <v>RHES-SHCOABR</v>
          </cell>
          <cell r="B1004" t="str">
            <v>VAR_fout</v>
          </cell>
          <cell r="C1004" t="str">
            <v>CO2_R</v>
          </cell>
          <cell r="D1004">
            <v>9.2700950489061604</v>
          </cell>
          <cell r="E1004">
            <v>9.2700633362314608</v>
          </cell>
          <cell r="F1004">
            <v>0.52747082177212001</v>
          </cell>
          <cell r="G1004">
            <v>0.44507791756814702</v>
          </cell>
          <cell r="H1004">
            <v>0.18061800400389999</v>
          </cell>
        </row>
        <row r="1005">
          <cell r="A1005" t="str">
            <v>RHES-SHCOABR</v>
          </cell>
          <cell r="B1005" t="str">
            <v>VAR_fout</v>
          </cell>
          <cell r="C1005" t="str">
            <v>RHES-SHCOA</v>
          </cell>
          <cell r="D1005">
            <v>7.2000738243931328E-2</v>
          </cell>
          <cell r="E1005">
            <v>7.2000491931894881E-2</v>
          </cell>
          <cell r="F1005">
            <v>4.0968607516281216E-3</v>
          </cell>
          <cell r="G1005">
            <v>3.4569158646069642E-3</v>
          </cell>
          <cell r="H1005">
            <v>1.402858283525438E-3</v>
          </cell>
        </row>
        <row r="1006">
          <cell r="A1006" t="str">
            <v>RHES-SHCOABR</v>
          </cell>
          <cell r="B1006" t="str">
            <v>VAR_fin</v>
          </cell>
          <cell r="C1006" t="str">
            <v>RCOA</v>
          </cell>
          <cell r="D1006">
            <v>0.10000102533879353</v>
          </cell>
          <cell r="E1006">
            <v>0.10000068323874284</v>
          </cell>
          <cell r="F1006">
            <v>5.6900843772612819E-3</v>
          </cell>
          <cell r="G1006">
            <v>4.8012720341763428E-3</v>
          </cell>
          <cell r="H1006">
            <v>1.9484142826742188E-3</v>
          </cell>
        </row>
        <row r="1007">
          <cell r="A1007" t="str">
            <v>RHES-SHCOABR</v>
          </cell>
          <cell r="B1007" t="str">
            <v>VAR_cap</v>
          </cell>
          <cell r="C1007" t="str">
            <v>-</v>
          </cell>
          <cell r="D1007">
            <v>7.0000000000000001E-3</v>
          </cell>
          <cell r="E1007">
            <v>6.9814258176347467E-3</v>
          </cell>
          <cell r="F1007">
            <v>5.8407283611299019E-4</v>
          </cell>
          <cell r="G1007">
            <v>5.3756318756729982E-4</v>
          </cell>
          <cell r="H1007">
            <v>1.3937679992032993E-4</v>
          </cell>
        </row>
        <row r="1008">
          <cell r="A1008" t="str">
            <v>D-INGA</v>
          </cell>
          <cell r="B1008" t="str">
            <v>VAR_fout</v>
          </cell>
          <cell r="C1008" t="str">
            <v>CO2</v>
          </cell>
          <cell r="D1008">
            <v>2102.7706906106901</v>
          </cell>
          <cell r="E1008">
            <v>1716.7425986866699</v>
          </cell>
          <cell r="F1008">
            <v>1756.98201541504</v>
          </cell>
          <cell r="G1008">
            <v>1603.6988614782299</v>
          </cell>
          <cell r="H1008">
            <v>1425.01745377674</v>
          </cell>
          <cell r="I1008">
            <v>1274.4536323902701</v>
          </cell>
          <cell r="J1008">
            <v>1041.4716304963699</v>
          </cell>
          <cell r="K1008">
            <v>923.78564615103801</v>
          </cell>
          <cell r="L1008">
            <v>855.83260679889099</v>
          </cell>
          <cell r="M1008">
            <v>730.28777708127404</v>
          </cell>
          <cell r="N1008">
            <v>657.75626089131401</v>
          </cell>
          <cell r="O1008">
            <v>576.39529060307302</v>
          </cell>
        </row>
        <row r="1009">
          <cell r="A1009" t="str">
            <v>D-INGA</v>
          </cell>
          <cell r="B1009" t="str">
            <v>VAR_fout</v>
          </cell>
          <cell r="C1009" t="str">
            <v>IH2</v>
          </cell>
          <cell r="G1009">
            <v>7.5561880395401378E-3</v>
          </cell>
          <cell r="H1009">
            <v>2.4096222919171278E-2</v>
          </cell>
          <cell r="I1009">
            <v>3.7138431223997501E-2</v>
          </cell>
          <cell r="J1009">
            <v>3.4225392341553806E-2</v>
          </cell>
          <cell r="K1009">
            <v>0.1147228473340374</v>
          </cell>
          <cell r="L1009">
            <v>0.13070999372570699</v>
          </cell>
          <cell r="M1009">
            <v>0.19586867232351898</v>
          </cell>
          <cell r="N1009">
            <v>0.20349826660381667</v>
          </cell>
          <cell r="O1009">
            <v>0.20198598397100356</v>
          </cell>
        </row>
        <row r="1010">
          <cell r="A1010" t="str">
            <v>D-INGA</v>
          </cell>
          <cell r="B1010" t="str">
            <v>VAR_fout</v>
          </cell>
          <cell r="C1010" t="str">
            <v>INGA</v>
          </cell>
          <cell r="D1010">
            <v>37.487475321888624</v>
          </cell>
          <cell r="E1010">
            <v>30.342057121699415</v>
          </cell>
          <cell r="F1010">
            <v>33.822125159017496</v>
          </cell>
          <cell r="G1010">
            <v>31.113309898087049</v>
          </cell>
          <cell r="H1010">
            <v>27.955246051487148</v>
          </cell>
          <cell r="I1010">
            <v>25.294134886773083</v>
          </cell>
          <cell r="J1010">
            <v>21.17642897990314</v>
          </cell>
          <cell r="K1010">
            <v>19.096185904504622</v>
          </cell>
          <cell r="L1010">
            <v>17.895140672775888</v>
          </cell>
          <cell r="M1010">
            <v>15.676072609209527</v>
          </cell>
          <cell r="N1010">
            <v>14.394140656304753</v>
          </cell>
          <cell r="O1010">
            <v>12.956271702565253</v>
          </cell>
        </row>
        <row r="1011">
          <cell r="A1011" t="str">
            <v>D-INGA</v>
          </cell>
          <cell r="B1011" t="str">
            <v>VAR_fin</v>
          </cell>
          <cell r="C1011" t="str">
            <v>NGA</v>
          </cell>
          <cell r="D1011">
            <v>37.283168273239134</v>
          </cell>
          <cell r="E1011">
            <v>30.438698558274258</v>
          </cell>
          <cell r="F1011">
            <v>31.152163393883701</v>
          </cell>
          <cell r="G1011">
            <v>28.434376976564419</v>
          </cell>
          <cell r="H1011">
            <v>25.266266910935197</v>
          </cell>
          <cell r="I1011">
            <v>22.596695609756576</v>
          </cell>
          <cell r="J1011">
            <v>18.465809051354057</v>
          </cell>
          <cell r="K1011">
            <v>16.37917812324536</v>
          </cell>
          <cell r="L1011">
            <v>15.174336999980344</v>
          </cell>
          <cell r="M1011">
            <v>12.948364841866562</v>
          </cell>
          <cell r="N1011">
            <v>11.662345051264428</v>
          </cell>
          <cell r="O1011">
            <v>10.21977465608285</v>
          </cell>
        </row>
        <row r="1012">
          <cell r="A1012" t="str">
            <v>D-INGA</v>
          </cell>
          <cell r="B1012" t="str">
            <v>VAR_fin</v>
          </cell>
          <cell r="C1012" t="str">
            <v>BNGA</v>
          </cell>
          <cell r="D1012">
            <v>0.32406527161980048</v>
          </cell>
          <cell r="E1012">
            <v>3.1317859664122097E-4</v>
          </cell>
          <cell r="F1012">
            <v>2.7780105886767079</v>
          </cell>
          <cell r="G1012">
            <v>2.7783835122334306</v>
          </cell>
          <cell r="H1012">
            <v>2.7783902610504594</v>
          </cell>
          <cell r="I1012">
            <v>2.7783953817630631</v>
          </cell>
          <cell r="J1012">
            <v>2.7784048986285632</v>
          </cell>
          <cell r="K1012">
            <v>2.7784205021789559</v>
          </cell>
          <cell r="L1012">
            <v>2.7784187274872636</v>
          </cell>
          <cell r="M1012">
            <v>2.7784374986919085</v>
          </cell>
          <cell r="N1012">
            <v>2.7784558336121714</v>
          </cell>
          <cell r="O1012">
            <v>2.7786157004512209</v>
          </cell>
        </row>
        <row r="1013">
          <cell r="A1013" t="str">
            <v>D-INGA</v>
          </cell>
          <cell r="B1013" t="str">
            <v>VAR_fin</v>
          </cell>
          <cell r="C1013" t="str">
            <v>H2</v>
          </cell>
          <cell r="G1013">
            <v>7.5559030303419521E-3</v>
          </cell>
          <cell r="H1013">
            <v>2.4093040931592175E-2</v>
          </cell>
          <cell r="I1013">
            <v>3.7131100078305071E-2</v>
          </cell>
          <cell r="J1013">
            <v>3.4218061195860398E-2</v>
          </cell>
          <cell r="K1013">
            <v>0.11470713773612072</v>
          </cell>
          <cell r="L1013">
            <v>0.13070266310550327</v>
          </cell>
          <cell r="M1013">
            <v>0.19585819925824199</v>
          </cell>
          <cell r="N1013">
            <v>0.20349411173524631</v>
          </cell>
          <cell r="O1013">
            <v>0.20195456477517107</v>
          </cell>
        </row>
        <row r="1014">
          <cell r="A1014" t="str">
            <v>D-INGA</v>
          </cell>
          <cell r="B1014" t="str">
            <v>VAR_ncap</v>
          </cell>
          <cell r="C1014" t="str">
            <v>-</v>
          </cell>
          <cell r="D1014">
            <v>2.6223721097234301E-6</v>
          </cell>
          <cell r="E1014">
            <v>1.3570788731876199E-6</v>
          </cell>
          <cell r="F1014">
            <v>2.0398788645692499E-6</v>
          </cell>
          <cell r="G1014">
            <v>3.19410173285069E-6</v>
          </cell>
          <cell r="H1014">
            <v>5.1475229949901303E-6</v>
          </cell>
          <cell r="I1014">
            <v>7.3067591598209001E-6</v>
          </cell>
          <cell r="J1014">
            <v>1.3383172632960201E-5</v>
          </cell>
          <cell r="K1014">
            <v>5.3758525663263397E-2</v>
          </cell>
          <cell r="L1014">
            <v>0.60441176692093701</v>
          </cell>
          <cell r="M1014">
            <v>1.2888927651825201E-4</v>
          </cell>
          <cell r="N1014">
            <v>4.3447202996709197E-5</v>
          </cell>
          <cell r="O1014">
            <v>1.9003211468923399E-4</v>
          </cell>
        </row>
        <row r="1015">
          <cell r="A1015" t="str">
            <v>D-INGA</v>
          </cell>
          <cell r="B1015" t="str">
            <v>VAR_cap</v>
          </cell>
          <cell r="C1015" t="str">
            <v>-</v>
          </cell>
          <cell r="D1015">
            <v>1.9844859926382097</v>
          </cell>
          <cell r="E1015">
            <v>1.984487349717083</v>
          </cell>
          <cell r="F1015">
            <v>1.9844893895959475</v>
          </cell>
          <cell r="G1015">
            <v>1.9844925836976803</v>
          </cell>
          <cell r="H1015">
            <v>1.9844977312206753</v>
          </cell>
          <cell r="I1015">
            <v>1.9845050379798352</v>
          </cell>
          <cell r="J1015">
            <v>1.984518421152468</v>
          </cell>
          <cell r="K1015">
            <v>0.94720783175767842</v>
          </cell>
          <cell r="L1015">
            <v>0.76505339266924799</v>
          </cell>
          <cell r="M1015">
            <v>0.65833162865864903</v>
          </cell>
          <cell r="N1015">
            <v>0.65837100935352599</v>
          </cell>
          <cell r="O1015">
            <v>0.65855849863319205</v>
          </cell>
        </row>
        <row r="1016">
          <cell r="A1016" t="str">
            <v>RHEM-SHNGAHP</v>
          </cell>
          <cell r="B1016" t="str">
            <v>VAR_fout</v>
          </cell>
          <cell r="C1016" t="str">
            <v>CO2_R</v>
          </cell>
          <cell r="F1016">
            <v>0.20941833558547299</v>
          </cell>
          <cell r="G1016">
            <v>0.22614927165684401</v>
          </cell>
          <cell r="H1016">
            <v>0.248581674174541</v>
          </cell>
          <cell r="I1016">
            <v>0.17386028019051999</v>
          </cell>
          <cell r="J1016">
            <v>0.17079060180960901</v>
          </cell>
          <cell r="K1016">
            <v>0.28541662524564998</v>
          </cell>
          <cell r="L1016">
            <v>0.287781977123716</v>
          </cell>
          <cell r="M1016">
            <v>0.288831598647247</v>
          </cell>
          <cell r="N1016">
            <v>0.22190429534881301</v>
          </cell>
          <cell r="O1016">
            <v>0.87063172491140295</v>
          </cell>
        </row>
        <row r="1017">
          <cell r="A1017" t="str">
            <v>RHEM-SHNGAHP</v>
          </cell>
          <cell r="B1017" t="str">
            <v>VAR_fout</v>
          </cell>
          <cell r="C1017" t="str">
            <v>RHEM-SHANGAH</v>
          </cell>
          <cell r="F1017">
            <v>7.4261821129600215E-3</v>
          </cell>
          <cell r="G1017">
            <v>8.3402568270609309E-3</v>
          </cell>
          <cell r="H1017">
            <v>9.4760744587812744E-3</v>
          </cell>
          <cell r="I1017">
            <v>6.8434365606906836E-3</v>
          </cell>
          <cell r="J1017">
            <v>6.9043009242182474E-3</v>
          </cell>
          <cell r="K1017">
            <v>1.1841753600617426E-2</v>
          </cell>
          <cell r="L1017">
            <v>1.1939890540239284E-2</v>
          </cell>
          <cell r="M1017">
            <v>1.1983438667279404E-2</v>
          </cell>
          <cell r="N1017">
            <v>9.2066675729826821E-3</v>
          </cell>
          <cell r="O1017">
            <v>3.6121954544196568E-2</v>
          </cell>
        </row>
        <row r="1018">
          <cell r="A1018" t="str">
            <v>RHEM-SHNGAHP</v>
          </cell>
          <cell r="B1018" t="str">
            <v>VAR_fin</v>
          </cell>
          <cell r="C1018" t="str">
            <v>RHEMELCHPC</v>
          </cell>
          <cell r="F1018">
            <v>7.4261821129600215E-3</v>
          </cell>
          <cell r="G1018">
            <v>8.3402568270609309E-3</v>
          </cell>
          <cell r="H1018">
            <v>9.4760744587812744E-3</v>
          </cell>
          <cell r="I1018">
            <v>6.8434365606906836E-3</v>
          </cell>
          <cell r="J1018">
            <v>6.9043009242182474E-3</v>
          </cell>
          <cell r="K1018">
            <v>1.1841753600617426E-2</v>
          </cell>
          <cell r="L1018">
            <v>1.1939890540239284E-2</v>
          </cell>
          <cell r="M1018">
            <v>1.1983438667279404E-2</v>
          </cell>
          <cell r="N1018">
            <v>9.2066675729826821E-3</v>
          </cell>
          <cell r="O1018">
            <v>3.6121954544196568E-2</v>
          </cell>
        </row>
        <row r="1019">
          <cell r="A1019" t="str">
            <v>RHEM-SHNGAHP</v>
          </cell>
          <cell r="B1019" t="str">
            <v>VAR_fin</v>
          </cell>
          <cell r="C1019" t="str">
            <v>RNGA</v>
          </cell>
          <cell r="F1019">
            <v>3.713091056480009E-3</v>
          </cell>
          <cell r="G1019">
            <v>4.0097388591639081E-3</v>
          </cell>
          <cell r="H1019">
            <v>4.407476492456406E-3</v>
          </cell>
          <cell r="I1019">
            <v>3.0826290813921993E-3</v>
          </cell>
          <cell r="J1019">
            <v>3.0282021597448448E-3</v>
          </cell>
          <cell r="K1019">
            <v>5.060578461802313E-3</v>
          </cell>
          <cell r="L1019">
            <v>5.1025173248885804E-3</v>
          </cell>
          <cell r="M1019">
            <v>5.1211276355894852E-3</v>
          </cell>
          <cell r="N1019">
            <v>3.9344733217874708E-3</v>
          </cell>
          <cell r="O1019">
            <v>1.5436732711195101E-2</v>
          </cell>
        </row>
        <row r="1020">
          <cell r="A1020" t="str">
            <v>RHEM-SHNGAHP</v>
          </cell>
          <cell r="B1020" t="str">
            <v>VAR_ncap</v>
          </cell>
          <cell r="C1020" t="str">
            <v>-</v>
          </cell>
          <cell r="D1020">
            <v>2.8985594379743798E-7</v>
          </cell>
          <cell r="E1020">
            <v>7.1322250955838204E-7</v>
          </cell>
          <cell r="F1020">
            <v>6.1831520306799604E-4</v>
          </cell>
          <cell r="G1020">
            <v>1.25595649044253E-5</v>
          </cell>
          <cell r="H1020">
            <v>1.55097690431766E-4</v>
          </cell>
          <cell r="I1020">
            <v>3.0433334625725301E-4</v>
          </cell>
          <cell r="J1020">
            <v>1.2583382671867399E-4</v>
          </cell>
          <cell r="K1020">
            <v>6.8622183875854297E-4</v>
          </cell>
          <cell r="L1020">
            <v>1.10326997555487E-4</v>
          </cell>
          <cell r="M1020">
            <v>3.2627804799470098E-4</v>
          </cell>
          <cell r="N1020">
            <v>3.2954943566081699E-4</v>
          </cell>
          <cell r="O1020">
            <v>2.2421034994268298E-3</v>
          </cell>
        </row>
        <row r="1021">
          <cell r="A1021" t="str">
            <v>RHEM-SHNGAHP</v>
          </cell>
          <cell r="B1021" t="str">
            <v>VAR_cap</v>
          </cell>
          <cell r="C1021" t="str">
            <v>-</v>
          </cell>
          <cell r="D1021">
            <v>2.8985594379743798E-7</v>
          </cell>
          <cell r="E1021">
            <v>4.4430209165653999E-7</v>
          </cell>
          <cell r="F1021">
            <v>6.1867394280317128E-4</v>
          </cell>
          <cell r="G1021">
            <v>6.313565178705531E-4</v>
          </cell>
          <cell r="H1021">
            <v>7.8512152438683274E-4</v>
          </cell>
          <cell r="I1021">
            <v>5.9792474655977483E-4</v>
          </cell>
          <cell r="J1021">
            <v>5.8446806481741856E-4</v>
          </cell>
          <cell r="K1021">
            <v>1.1150308709348628E-3</v>
          </cell>
          <cell r="L1021">
            <v>9.5124964164328726E-4</v>
          </cell>
          <cell r="M1021">
            <v>1.1210107636852283E-3</v>
          </cell>
          <cell r="N1021">
            <v>8.5094323681745904E-4</v>
          </cell>
          <cell r="O1021">
            <v>2.8957257489577626E-3</v>
          </cell>
        </row>
        <row r="1022">
          <cell r="A1022" t="str">
            <v>D-SPLT</v>
          </cell>
          <cell r="B1022" t="str">
            <v>VAR_fout</v>
          </cell>
          <cell r="C1022" t="str">
            <v>SPLT</v>
          </cell>
          <cell r="D1022">
            <v>2.0856390248217873</v>
          </cell>
          <cell r="E1022">
            <v>2.4000935980624938</v>
          </cell>
          <cell r="F1022">
            <v>2.3204438801193401</v>
          </cell>
          <cell r="G1022">
            <v>2.5333915437652923</v>
          </cell>
          <cell r="H1022">
            <v>2.6823755170947394</v>
          </cell>
          <cell r="I1022">
            <v>3.0232347506460555</v>
          </cell>
          <cell r="J1022">
            <v>2.8919034369846219</v>
          </cell>
          <cell r="K1022">
            <v>2.9541199472327144</v>
          </cell>
          <cell r="L1022">
            <v>2.8831331773153459</v>
          </cell>
          <cell r="M1022">
            <v>2.8158327624279913</v>
          </cell>
          <cell r="N1022">
            <v>2.7547593350551689</v>
          </cell>
          <cell r="O1022">
            <v>2.6332886730050085</v>
          </cell>
        </row>
        <row r="1023">
          <cell r="A1023" t="str">
            <v>D-SPLT</v>
          </cell>
          <cell r="B1023" t="str">
            <v>VAR_fin</v>
          </cell>
          <cell r="C1023" t="str">
            <v>PLT</v>
          </cell>
          <cell r="D1023">
            <v>2.0856390248217873</v>
          </cell>
          <cell r="E1023">
            <v>2.4000935980624938</v>
          </cell>
          <cell r="F1023">
            <v>2.3204438801193401</v>
          </cell>
          <cell r="G1023">
            <v>2.5333915437652923</v>
          </cell>
          <cell r="H1023">
            <v>2.6823755170947394</v>
          </cell>
          <cell r="I1023">
            <v>3.0232347506460555</v>
          </cell>
          <cell r="J1023">
            <v>2.8919034369846219</v>
          </cell>
          <cell r="K1023">
            <v>2.9541199472327144</v>
          </cell>
          <cell r="L1023">
            <v>2.8831331773153459</v>
          </cell>
          <cell r="M1023">
            <v>2.8158327624279913</v>
          </cell>
          <cell r="N1023">
            <v>2.7547593350551689</v>
          </cell>
          <cell r="O1023">
            <v>2.6332886730050085</v>
          </cell>
        </row>
        <row r="1024">
          <cell r="A1024" t="str">
            <v>RHES-SHCONBR</v>
          </cell>
          <cell r="B1024" t="str">
            <v>VAR_fout</v>
          </cell>
          <cell r="C1024" t="str">
            <v>RHES-SHCON</v>
          </cell>
          <cell r="F1024">
            <v>3.1424714203955663E-4</v>
          </cell>
          <cell r="G1024">
            <v>2.4439261403030481E-4</v>
          </cell>
          <cell r="H1024">
            <v>3.4039190495406308E-4</v>
          </cell>
          <cell r="I1024">
            <v>3.4259259599113775E-4</v>
          </cell>
          <cell r="J1024">
            <v>3.2096927309761196E-4</v>
          </cell>
          <cell r="K1024">
            <v>8.6818535705085378E-4</v>
          </cell>
          <cell r="L1024">
            <v>8.5974016441095068E-4</v>
          </cell>
          <cell r="M1024">
            <v>8.7075666492253975E-4</v>
          </cell>
          <cell r="N1024">
            <v>8.8116201645659542E-4</v>
          </cell>
          <cell r="O1024">
            <v>1.3184990376673262E-3</v>
          </cell>
        </row>
        <row r="1025">
          <cell r="A1025" t="str">
            <v>RHES-SHCONBR</v>
          </cell>
          <cell r="B1025" t="str">
            <v>VAR_fin</v>
          </cell>
          <cell r="C1025" t="str">
            <v>CON</v>
          </cell>
          <cell r="F1025">
            <v>3.1424714203955663E-4</v>
          </cell>
          <cell r="G1025">
            <v>2.4439261403030481E-4</v>
          </cell>
          <cell r="H1025">
            <v>3.4039190495406308E-4</v>
          </cell>
          <cell r="I1025">
            <v>3.4259259599113775E-4</v>
          </cell>
          <cell r="J1025">
            <v>3.2096927309761196E-4</v>
          </cell>
          <cell r="K1025">
            <v>8.6818535705085378E-4</v>
          </cell>
          <cell r="L1025">
            <v>8.5974016441095068E-4</v>
          </cell>
          <cell r="M1025">
            <v>8.7075666492253975E-4</v>
          </cell>
          <cell r="N1025">
            <v>8.8116201645659542E-4</v>
          </cell>
          <cell r="O1025">
            <v>1.3184990376673262E-3</v>
          </cell>
        </row>
        <row r="1026">
          <cell r="A1026" t="str">
            <v>RHES-SHCONBR</v>
          </cell>
          <cell r="B1026" t="str">
            <v>VAR_ncap</v>
          </cell>
          <cell r="C1026" t="str">
            <v>-</v>
          </cell>
          <cell r="E1026">
            <v>7.5228565774730998E-8</v>
          </cell>
          <cell r="F1026">
            <v>1.8922243798204101E-5</v>
          </cell>
          <cell r="G1026">
            <v>2.8371901716317601E-7</v>
          </cell>
          <cell r="H1026">
            <v>4.0143978830115604E-6</v>
          </cell>
          <cell r="I1026">
            <v>4.0259377886409299E-7</v>
          </cell>
          <cell r="J1026">
            <v>1.87867563069991E-7</v>
          </cell>
          <cell r="K1026">
            <v>4.6964248746823601E-5</v>
          </cell>
          <cell r="L1026">
            <v>1.7168035227955701E-6</v>
          </cell>
          <cell r="M1026">
            <v>1.6354973185193001E-6</v>
          </cell>
          <cell r="N1026">
            <v>1.05335966625886E-6</v>
          </cell>
          <cell r="O1026">
            <v>4.28820049634174E-5</v>
          </cell>
        </row>
        <row r="1027">
          <cell r="A1027" t="str">
            <v>RHES-SHCONBR</v>
          </cell>
          <cell r="B1027" t="str">
            <v>VAR_cap</v>
          </cell>
          <cell r="C1027" t="str">
            <v>-</v>
          </cell>
          <cell r="E1027">
            <v>7.5228565774730998E-8</v>
          </cell>
          <cell r="F1027">
            <v>1.8945149990135464E-5</v>
          </cell>
          <cell r="G1027">
            <v>1.9174899000251219E-5</v>
          </cell>
          <cell r="H1027">
            <v>2.3014645357855819E-5</v>
          </cell>
          <cell r="I1027">
            <v>2.3266072233590901E-5</v>
          </cell>
          <cell r="J1027">
            <v>2.3075802968534618E-5</v>
          </cell>
          <cell r="K1027">
            <v>6.965983422577737E-5</v>
          </cell>
          <cell r="L1027">
            <v>7.2084469783211636E-5</v>
          </cell>
          <cell r="M1027">
            <v>7.3120535225247536E-5</v>
          </cell>
          <cell r="N1027">
            <v>7.40409263260615E-5</v>
          </cell>
          <cell r="O1027">
            <v>1.1777149282072347E-4</v>
          </cell>
        </row>
        <row r="1028">
          <cell r="A1028" t="str">
            <v>RHSA-WHSOLBR</v>
          </cell>
          <cell r="B1028" t="str">
            <v>VAR_fout</v>
          </cell>
          <cell r="C1028" t="str">
            <v>RHSA-WHASOL</v>
          </cell>
          <cell r="D1028">
            <v>1.721488024659851</v>
          </cell>
          <cell r="E1028">
            <v>1.9867540611076411</v>
          </cell>
          <cell r="F1028">
            <v>1.9378728590278731</v>
          </cell>
          <cell r="G1028">
            <v>1.5130460659676876</v>
          </cell>
          <cell r="H1028">
            <v>1.1527014398362911</v>
          </cell>
          <cell r="I1028">
            <v>1.1224917532239118</v>
          </cell>
          <cell r="J1028">
            <v>1.1213241166857324</v>
          </cell>
          <cell r="K1028">
            <v>1.0409419324423643</v>
          </cell>
          <cell r="L1028">
            <v>1.0385037978076577</v>
          </cell>
          <cell r="M1028">
            <v>0.98190791139653755</v>
          </cell>
          <cell r="N1028">
            <v>0.99703843975702788</v>
          </cell>
          <cell r="O1028">
            <v>0.84338580217951298</v>
          </cell>
        </row>
        <row r="1029">
          <cell r="A1029" t="str">
            <v>RHSA-WHSOLBR</v>
          </cell>
          <cell r="B1029" t="str">
            <v>VAR_fin</v>
          </cell>
          <cell r="C1029" t="str">
            <v>SOL</v>
          </cell>
          <cell r="D1029">
            <v>1.721488024659851</v>
          </cell>
          <cell r="E1029">
            <v>1.9867540611076411</v>
          </cell>
          <cell r="F1029">
            <v>1.9378728590278731</v>
          </cell>
          <cell r="G1029">
            <v>1.5130460659676876</v>
          </cell>
          <cell r="H1029">
            <v>1.1527014398362911</v>
          </cell>
          <cell r="I1029">
            <v>1.1224917532239118</v>
          </cell>
          <cell r="J1029">
            <v>1.1213241166857324</v>
          </cell>
          <cell r="K1029">
            <v>1.0409419324423643</v>
          </cell>
          <cell r="L1029">
            <v>1.0385037978076577</v>
          </cell>
          <cell r="M1029">
            <v>0.98190791139653755</v>
          </cell>
          <cell r="N1029">
            <v>0.99703843975702788</v>
          </cell>
          <cell r="O1029">
            <v>0.84338580217951298</v>
          </cell>
        </row>
        <row r="1030">
          <cell r="A1030" t="str">
            <v>RHSA-WHSOLBR</v>
          </cell>
          <cell r="B1030" t="str">
            <v>VAR_fin</v>
          </cell>
          <cell r="C1030" t="str">
            <v>RHSASOLBRC</v>
          </cell>
          <cell r="D1030">
            <v>1.721488024659851</v>
          </cell>
          <cell r="E1030">
            <v>1.9867540611076411</v>
          </cell>
          <cell r="F1030">
            <v>1.9378728590278731</v>
          </cell>
          <cell r="G1030">
            <v>1.5130460659676876</v>
          </cell>
          <cell r="H1030">
            <v>1.1527014398362911</v>
          </cell>
          <cell r="I1030">
            <v>1.1224917532239118</v>
          </cell>
          <cell r="J1030">
            <v>1.1213241166857324</v>
          </cell>
          <cell r="K1030">
            <v>1.0409419324423643</v>
          </cell>
          <cell r="L1030">
            <v>1.0385037978076577</v>
          </cell>
          <cell r="M1030">
            <v>0.98190791139653755</v>
          </cell>
          <cell r="N1030">
            <v>0.99703843975702788</v>
          </cell>
          <cell r="O1030">
            <v>0.84338580217951298</v>
          </cell>
        </row>
        <row r="1031">
          <cell r="A1031" t="str">
            <v>RHSA-WHSOLBR</v>
          </cell>
          <cell r="B1031" t="str">
            <v>VAR_ncap</v>
          </cell>
          <cell r="C1031" t="str">
            <v>-</v>
          </cell>
          <cell r="E1031">
            <v>8.2719677998180904E-2</v>
          </cell>
          <cell r="F1031">
            <v>4.5801300069449502E-6</v>
          </cell>
          <cell r="G1031">
            <v>1.8218350639544398E-5</v>
          </cell>
          <cell r="H1031">
            <v>7.2946215827856903E-2</v>
          </cell>
          <cell r="I1031">
            <v>9.0292377658836506E-2</v>
          </cell>
          <cell r="J1031">
            <v>3.8031407804358E-5</v>
          </cell>
          <cell r="K1031">
            <v>6.3061584383604194E-2</v>
          </cell>
          <cell r="L1031">
            <v>7.4622053537787794E-2</v>
          </cell>
          <cell r="M1031">
            <v>6.1143791197895902E-3</v>
          </cell>
          <cell r="N1031">
            <v>7.7397683600475498E-2</v>
          </cell>
          <cell r="O1031">
            <v>4.0976233219458903E-2</v>
          </cell>
        </row>
        <row r="1032">
          <cell r="A1032" t="str">
            <v>RHSA-WHSOLBR</v>
          </cell>
          <cell r="B1032" t="str">
            <v>VAR_cap</v>
          </cell>
          <cell r="C1032" t="str">
            <v>-</v>
          </cell>
          <cell r="D1032">
            <v>0.25000991745774798</v>
          </cell>
          <cell r="E1032">
            <v>0.33272959545592889</v>
          </cell>
          <cell r="F1032">
            <v>0.33273417558593588</v>
          </cell>
          <cell r="G1032">
            <v>0.33275239393657541</v>
          </cell>
          <cell r="H1032">
            <v>0.18018612917784441</v>
          </cell>
          <cell r="I1032">
            <v>0.163254307666617</v>
          </cell>
          <cell r="J1032">
            <v>0.16327662489449801</v>
          </cell>
          <cell r="K1032">
            <v>0.15339199345024501</v>
          </cell>
          <cell r="L1032">
            <v>0.151590422372333</v>
          </cell>
          <cell r="M1032">
            <v>0.143798017041182</v>
          </cell>
          <cell r="N1032">
            <v>0.14564749279488801</v>
          </cell>
          <cell r="O1032">
            <v>0.12448829593972401</v>
          </cell>
        </row>
        <row r="1033">
          <cell r="A1033" t="str">
            <v>SCOM-SHCONBR</v>
          </cell>
          <cell r="B1033" t="str">
            <v>VAR_ncap</v>
          </cell>
          <cell r="C1033" t="str">
            <v>-</v>
          </cell>
          <cell r="D1033">
            <v>1.13737666481605E-8</v>
          </cell>
          <cell r="E1033">
            <v>1.20794377452009E-8</v>
          </cell>
          <cell r="F1033">
            <v>1.44091794418312E-8</v>
          </cell>
          <cell r="G1033">
            <v>1.79817948906076E-8</v>
          </cell>
          <cell r="H1033">
            <v>3.9408991635177301E-8</v>
          </cell>
          <cell r="I1033">
            <v>7.3023871993120999E-8</v>
          </cell>
          <cell r="J1033">
            <v>3.0949833596171003E-8</v>
          </cell>
          <cell r="K1033">
            <v>6.4128854235703902E-8</v>
          </cell>
          <cell r="L1033">
            <v>1.1473594017956399E-7</v>
          </cell>
          <cell r="M1033">
            <v>8.3537263057996098E-8</v>
          </cell>
          <cell r="N1033">
            <v>2.0505872861592099E-7</v>
          </cell>
          <cell r="O1033">
            <v>2.1016942762820399E-7</v>
          </cell>
        </row>
        <row r="1034">
          <cell r="A1034" t="str">
            <v>SCOM-SHCONBR</v>
          </cell>
          <cell r="B1034" t="str">
            <v>VAR_cap</v>
          </cell>
          <cell r="C1034" t="str">
            <v>-</v>
          </cell>
          <cell r="D1034">
            <v>1.13737666481605E-8</v>
          </cell>
          <cell r="E1034">
            <v>-7.0307172082140364E-7</v>
          </cell>
          <cell r="F1034">
            <v>-1.1456013776399375E-6</v>
          </cell>
          <cell r="G1034">
            <v>-6.4197705193006677E-7</v>
          </cell>
          <cell r="H1034">
            <v>-1.0814066914116127E-6</v>
          </cell>
          <cell r="I1034">
            <v>4.6266083684370019E-8</v>
          </cell>
          <cell r="J1034">
            <v>-2.4509842310477112E-6</v>
          </cell>
          <cell r="K1034">
            <v>-1.8908282994608673E-6</v>
          </cell>
          <cell r="L1034">
            <v>7.7463635322625014E-8</v>
          </cell>
          <cell r="M1034">
            <v>-2.6693817535863361E-6</v>
          </cell>
          <cell r="N1034">
            <v>1.0927238885052702E-7</v>
          </cell>
          <cell r="O1034">
            <v>6.5865296957859307E-7</v>
          </cell>
        </row>
        <row r="1035">
          <cell r="A1035" t="str">
            <v>RHES-SHSOLBR</v>
          </cell>
          <cell r="B1035" t="str">
            <v>VAR_fout</v>
          </cell>
          <cell r="C1035" t="str">
            <v>RHES-SHASOL</v>
          </cell>
          <cell r="D1035">
            <v>0.37732610756439694</v>
          </cell>
          <cell r="E1035">
            <v>0.43547179557489735</v>
          </cell>
          <cell r="F1035">
            <v>0.43484667720057507</v>
          </cell>
          <cell r="G1035">
            <v>0.43498398719358927</v>
          </cell>
          <cell r="H1035">
            <v>0.42042757083892901</v>
          </cell>
          <cell r="I1035">
            <v>0.39233605058074333</v>
          </cell>
          <cell r="J1035">
            <v>0.39485509030042604</v>
          </cell>
          <cell r="K1035">
            <v>0.36714543776819597</v>
          </cell>
          <cell r="L1035">
            <v>0.32305222403891776</v>
          </cell>
          <cell r="M1035">
            <v>0.30882213190851943</v>
          </cell>
          <cell r="N1035">
            <v>0.32069419665925158</v>
          </cell>
          <cell r="O1035">
            <v>0.2684161479027059</v>
          </cell>
        </row>
        <row r="1036">
          <cell r="A1036" t="str">
            <v>RHES-SHSOLBR</v>
          </cell>
          <cell r="B1036" t="str">
            <v>VAR_fin</v>
          </cell>
          <cell r="C1036" t="str">
            <v>SOL</v>
          </cell>
          <cell r="D1036">
            <v>0.37732610756439694</v>
          </cell>
          <cell r="E1036">
            <v>0.43547179557489735</v>
          </cell>
          <cell r="F1036">
            <v>0.43484667720057507</v>
          </cell>
          <cell r="G1036">
            <v>0.43498398719358927</v>
          </cell>
          <cell r="H1036">
            <v>0.42042757083892901</v>
          </cell>
          <cell r="I1036">
            <v>0.39233605058074333</v>
          </cell>
          <cell r="J1036">
            <v>0.39485509030042604</v>
          </cell>
          <cell r="K1036">
            <v>0.36714543776819597</v>
          </cell>
          <cell r="L1036">
            <v>0.32305222403891776</v>
          </cell>
          <cell r="M1036">
            <v>0.30882213190851943</v>
          </cell>
          <cell r="N1036">
            <v>0.32069419665925158</v>
          </cell>
          <cell r="O1036">
            <v>0.2684161479027059</v>
          </cell>
        </row>
        <row r="1037">
          <cell r="A1037" t="str">
            <v>RHES-SHSOLBR</v>
          </cell>
          <cell r="B1037" t="str">
            <v>VAR_ncap</v>
          </cell>
          <cell r="C1037" t="str">
            <v>-</v>
          </cell>
          <cell r="E1037">
            <v>8.4763066866712904E-3</v>
          </cell>
          <cell r="F1037">
            <v>1.47948424637838E-6</v>
          </cell>
          <cell r="G1037">
            <v>1.2864551304554801E-6</v>
          </cell>
          <cell r="H1037">
            <v>4.2676179458877701E-2</v>
          </cell>
          <cell r="I1037">
            <v>1.65766063258031E-2</v>
          </cell>
          <cell r="J1037">
            <v>1.5571974285548901E-6</v>
          </cell>
          <cell r="K1037">
            <v>4.0785854271893199E-2</v>
          </cell>
          <cell r="L1037">
            <v>1.21772758292412E-2</v>
          </cell>
          <cell r="M1037">
            <v>7.5703787424054401E-4</v>
          </cell>
          <cell r="N1037">
            <v>3.5690571119400903E-2</v>
          </cell>
          <cell r="O1037">
            <v>1.38787451478352E-2</v>
          </cell>
        </row>
        <row r="1038">
          <cell r="A1038" t="str">
            <v>RHES-SHSOLBR</v>
          </cell>
          <cell r="B1038" t="str">
            <v>VAR_cap</v>
          </cell>
          <cell r="C1038" t="str">
            <v>-</v>
          </cell>
          <cell r="D1038">
            <v>5.4798678617278197E-2</v>
          </cell>
          <cell r="E1038">
            <v>6.3274985303949483E-2</v>
          </cell>
          <cell r="F1038">
            <v>6.3276464788195874E-2</v>
          </cell>
          <cell r="G1038">
            <v>6.3277751243326325E-2</v>
          </cell>
          <cell r="H1038">
            <v>6.1232917333466294E-2</v>
          </cell>
          <cell r="I1038">
            <v>5.9254138182924299E-2</v>
          </cell>
          <cell r="J1038">
            <v>5.9254342982109298E-2</v>
          </cell>
          <cell r="K1038">
            <v>5.7364017795124803E-2</v>
          </cell>
          <cell r="L1038">
            <v>5.5511544136769501E-2</v>
          </cell>
          <cell r="M1038">
            <v>5.3720167975374898E-2</v>
          </cell>
          <cell r="N1038">
            <v>5.1988590624398701E-2</v>
          </cell>
          <cell r="O1038">
            <v>5.0326354141476702E-2</v>
          </cell>
        </row>
        <row r="1039">
          <cell r="A1039" t="str">
            <v>SCOM-SHSOLBR</v>
          </cell>
          <cell r="B1039" t="str">
            <v>VAR_fout</v>
          </cell>
          <cell r="C1039" t="str">
            <v>SCOM-SHASOL</v>
          </cell>
          <cell r="D1039">
            <v>0.62699674140755068</v>
          </cell>
          <cell r="E1039">
            <v>0.68734342049607799</v>
          </cell>
          <cell r="F1039">
            <v>0.68710539640262069</v>
          </cell>
          <cell r="G1039">
            <v>0.68756343294399536</v>
          </cell>
          <cell r="H1039">
            <v>0.68780420922686236</v>
          </cell>
          <cell r="I1039">
            <v>0.68802832473041875</v>
          </cell>
          <cell r="J1039">
            <v>0.68801838194041698</v>
          </cell>
          <cell r="K1039">
            <v>0.68753384165815401</v>
          </cell>
          <cell r="L1039">
            <v>0.68834438991483105</v>
          </cell>
          <cell r="M1039">
            <v>0.68771745660865946</v>
          </cell>
          <cell r="N1039">
            <v>0.68839779169106141</v>
          </cell>
          <cell r="O1039">
            <v>0.68852227419180057</v>
          </cell>
        </row>
        <row r="1040">
          <cell r="A1040" t="str">
            <v>SCOM-SHSOLBR</v>
          </cell>
          <cell r="B1040" t="str">
            <v>VAR_fin</v>
          </cell>
          <cell r="C1040" t="str">
            <v>SOL</v>
          </cell>
          <cell r="D1040">
            <v>0.62699674140755068</v>
          </cell>
          <cell r="E1040">
            <v>0.68734342049607799</v>
          </cell>
          <cell r="F1040">
            <v>0.68710539640262069</v>
          </cell>
          <cell r="G1040">
            <v>0.68756343294399536</v>
          </cell>
          <cell r="H1040">
            <v>0.68780420922686236</v>
          </cell>
          <cell r="I1040">
            <v>0.68802832473041875</v>
          </cell>
          <cell r="J1040">
            <v>0.68801838194041698</v>
          </cell>
          <cell r="K1040">
            <v>0.68753384165815401</v>
          </cell>
          <cell r="L1040">
            <v>0.68834438991483105</v>
          </cell>
          <cell r="M1040">
            <v>0.68771745660865946</v>
          </cell>
          <cell r="N1040">
            <v>0.68839779169106141</v>
          </cell>
          <cell r="O1040">
            <v>0.68852227419180057</v>
          </cell>
        </row>
        <row r="1041">
          <cell r="A1041" t="str">
            <v>SCOM-SHSOLBR</v>
          </cell>
          <cell r="B1041" t="str">
            <v>VAR_ncap</v>
          </cell>
          <cell r="C1041" t="str">
            <v>-</v>
          </cell>
          <cell r="D1041">
            <v>4.3848406026964198E-5</v>
          </cell>
          <cell r="E1041">
            <v>8.8197069961647497E-3</v>
          </cell>
          <cell r="F1041">
            <v>4.1296326665864102E-6</v>
          </cell>
          <cell r="G1041">
            <v>1.0432176810758799E-5</v>
          </cell>
          <cell r="H1041">
            <v>7.1866548479612505E-2</v>
          </cell>
          <cell r="I1041">
            <v>2.8153876390063001E-2</v>
          </cell>
          <cell r="J1041">
            <v>2.54325238957607E-5</v>
          </cell>
          <cell r="K1041">
            <v>7.1917167043687294E-2</v>
          </cell>
          <cell r="L1041">
            <v>2.3851396965656201E-2</v>
          </cell>
          <cell r="M1041">
            <v>4.3771984334319601E-3</v>
          </cell>
          <cell r="N1041">
            <v>6.6793697308725294E-2</v>
          </cell>
          <cell r="O1041">
            <v>2.92067394239117E-2</v>
          </cell>
        </row>
        <row r="1042">
          <cell r="A1042" t="str">
            <v>SCOM-SHSOLBR</v>
          </cell>
          <cell r="B1042" t="str">
            <v>VAR_cap</v>
          </cell>
          <cell r="C1042" t="str">
            <v>-</v>
          </cell>
          <cell r="D1042">
            <v>9.1101441882106463E-2</v>
          </cell>
          <cell r="E1042">
            <v>9.9921148878271221E-2</v>
          </cell>
          <cell r="F1042">
            <v>9.9925278510937798E-2</v>
          </cell>
          <cell r="G1042">
            <v>9.9935710687748563E-2</v>
          </cell>
          <cell r="H1042">
            <v>0.1000255807646391</v>
          </cell>
          <cell r="I1042">
            <v>0.100029739567826</v>
          </cell>
          <cell r="J1042">
            <v>0.100045857393571</v>
          </cell>
          <cell r="K1042">
            <v>0.10009647595764599</v>
          </cell>
          <cell r="L1042">
            <v>0.10011658475618899</v>
          </cell>
          <cell r="M1042">
            <v>0.100145762442775</v>
          </cell>
          <cell r="N1042">
            <v>0.100199180278131</v>
          </cell>
          <cell r="O1042">
            <v>0.100377635166069</v>
          </cell>
        </row>
        <row r="1043">
          <cell r="A1043" t="str">
            <v>RHEM-SHSTG-ELCHP</v>
          </cell>
          <cell r="B1043" t="str">
            <v>VAR_fout</v>
          </cell>
          <cell r="C1043" t="str">
            <v>RHEM-SHAELCH</v>
          </cell>
          <cell r="D1043">
            <v>1.2066650860583995E-6</v>
          </cell>
          <cell r="E1043">
            <v>5.0400773826304624E-6</v>
          </cell>
          <cell r="F1043">
            <v>1.777851751167268</v>
          </cell>
          <cell r="G1043">
            <v>2.0563627933644502</v>
          </cell>
          <cell r="H1043">
            <v>2.4036258813018487</v>
          </cell>
          <cell r="I1043">
            <v>2.4075286247108174</v>
          </cell>
          <cell r="J1043">
            <v>2.5396958661757143</v>
          </cell>
          <cell r="K1043">
            <v>2.6183399398465457</v>
          </cell>
          <cell r="L1043">
            <v>2.6835651515606398</v>
          </cell>
          <cell r="M1043">
            <v>2.4894785234067758</v>
          </cell>
          <cell r="N1043">
            <v>2.463658236052046</v>
          </cell>
          <cell r="O1043">
            <v>2.3111123320412661</v>
          </cell>
        </row>
        <row r="1044">
          <cell r="A1044" t="str">
            <v>RHEM-SHSTG-ELCHP</v>
          </cell>
          <cell r="B1044" t="str">
            <v>VAR_fin</v>
          </cell>
          <cell r="C1044" t="str">
            <v>RHEM-SHAELCH</v>
          </cell>
          <cell r="D1044">
            <v>1.21269070580644E-5</v>
          </cell>
          <cell r="E1044">
            <v>1.1359038108801546E-5</v>
          </cell>
          <cell r="F1044">
            <v>1.7779352754454767</v>
          </cell>
          <cell r="G1044">
            <v>2.0564407360010937</v>
          </cell>
          <cell r="H1044">
            <v>2.4037374616492819</v>
          </cell>
          <cell r="I1044">
            <v>2.4076506181289901</v>
          </cell>
          <cell r="J1044">
            <v>2.5398557037447618</v>
          </cell>
          <cell r="K1044">
            <v>2.618492378140163</v>
          </cell>
          <cell r="L1044">
            <v>2.6837056820284233</v>
          </cell>
          <cell r="M1044">
            <v>2.4896331539783141</v>
          </cell>
          <cell r="N1044">
            <v>2.4637900065549116</v>
          </cell>
          <cell r="O1044">
            <v>2.3112626972169914</v>
          </cell>
        </row>
        <row r="1045">
          <cell r="A1045" t="str">
            <v>RHEM-SHSTG-ELCHP</v>
          </cell>
          <cell r="B1045" t="str">
            <v>VAR_ncap</v>
          </cell>
          <cell r="C1045" t="str">
            <v>-</v>
          </cell>
          <cell r="D1045">
            <v>1.8299820920393398E-2</v>
          </cell>
          <cell r="E1045">
            <v>0.17544372011244699</v>
          </cell>
          <cell r="F1045">
            <v>1.57583467068793E-4</v>
          </cell>
          <cell r="G1045">
            <v>1.8018518557404899E-4</v>
          </cell>
          <cell r="H1045">
            <v>0.173702717325424</v>
          </cell>
          <cell r="I1045">
            <v>9.4566608016834905E-2</v>
          </cell>
          <cell r="J1045">
            <v>4.0706659753585498E-4</v>
          </cell>
          <cell r="K1045">
            <v>0.17386322151668199</v>
          </cell>
          <cell r="L1045">
            <v>8.0247485454682799E-2</v>
          </cell>
          <cell r="M1045">
            <v>1.53547911901616E-2</v>
          </cell>
          <cell r="N1045">
            <v>0.16869802786513599</v>
          </cell>
          <cell r="O1045">
            <v>8.5326501082638201E-2</v>
          </cell>
        </row>
        <row r="1046">
          <cell r="A1046" t="str">
            <v>RHEM-SHSTG-ELCHP</v>
          </cell>
          <cell r="B1046" t="str">
            <v>VAR_cap</v>
          </cell>
          <cell r="C1046" t="str">
            <v>-</v>
          </cell>
          <cell r="D1046">
            <v>1.8299820920393398E-2</v>
          </cell>
          <cell r="E1046">
            <v>0.19364912353656219</v>
          </cell>
          <cell r="F1046">
            <v>0.19367037216858959</v>
          </cell>
          <cell r="G1046">
            <v>0.19369245411595029</v>
          </cell>
          <cell r="H1046">
            <v>0.26826900917216612</v>
          </cell>
          <cell r="I1046">
            <v>0.26830668858104656</v>
          </cell>
          <cell r="J1046">
            <v>0.26830767211484186</v>
          </cell>
          <cell r="K1046">
            <v>0.26832793082370809</v>
          </cell>
          <cell r="L1046">
            <v>0.26833588881916359</v>
          </cell>
          <cell r="M1046">
            <v>0.26833387871827846</v>
          </cell>
          <cell r="N1046">
            <v>0.26837612593676813</v>
          </cell>
          <cell r="O1046">
            <v>0.26841779785397174</v>
          </cell>
        </row>
        <row r="1047">
          <cell r="A1047" t="str">
            <v>ITOT-SWHELCBR</v>
          </cell>
          <cell r="B1047" t="str">
            <v>VAR_fout</v>
          </cell>
          <cell r="C1047" t="str">
            <v>ITOT-SWHAELC</v>
          </cell>
          <cell r="D1047">
            <v>9.8139188763240437</v>
          </cell>
          <cell r="E1047">
            <v>10.335085644226197</v>
          </cell>
          <cell r="F1047">
            <v>10.335329075145419</v>
          </cell>
          <cell r="G1047">
            <v>10.582203951236183</v>
          </cell>
          <cell r="H1047">
            <v>10.865027723224022</v>
          </cell>
          <cell r="I1047">
            <v>11.101079591317156</v>
          </cell>
          <cell r="J1047">
            <v>11.319361018206957</v>
          </cell>
          <cell r="K1047">
            <v>11.538040064225129</v>
          </cell>
          <cell r="L1047">
            <v>11.538062491885348</v>
          </cell>
          <cell r="M1047">
            <v>11.736554695849161</v>
          </cell>
          <cell r="N1047">
            <v>11.736564557016958</v>
          </cell>
          <cell r="O1047">
            <v>11.736692556145373</v>
          </cell>
        </row>
        <row r="1048">
          <cell r="A1048" t="str">
            <v>ITOT-SWHELCBR</v>
          </cell>
          <cell r="B1048" t="str">
            <v>VAR_fin</v>
          </cell>
          <cell r="C1048" t="str">
            <v>ITOT_ELC</v>
          </cell>
          <cell r="D1048">
            <v>11.646972668370793</v>
          </cell>
          <cell r="E1048">
            <v>12.258981152019214</v>
          </cell>
          <cell r="F1048">
            <v>12.249529066775395</v>
          </cell>
          <cell r="G1048">
            <v>12.525540152571518</v>
          </cell>
          <cell r="H1048">
            <v>12.84331655679847</v>
          </cell>
          <cell r="I1048">
            <v>13.105039502408369</v>
          </cell>
          <cell r="J1048">
            <v>13.345122195871918</v>
          </cell>
          <cell r="K1048">
            <v>13.585041360130587</v>
          </cell>
          <cell r="L1048">
            <v>13.585067766755129</v>
          </cell>
          <cell r="M1048">
            <v>13.818775119607254</v>
          </cell>
          <cell r="N1048">
            <v>13.818786730276978</v>
          </cell>
          <cell r="O1048">
            <v>13.818937438147973</v>
          </cell>
        </row>
        <row r="1049">
          <cell r="A1049" t="str">
            <v>ITOT-SWHELCBR</v>
          </cell>
          <cell r="B1049" t="str">
            <v>VAR_ncap</v>
          </cell>
          <cell r="C1049" t="str">
            <v>-</v>
          </cell>
          <cell r="E1049">
            <v>0.22155153705908501</v>
          </cell>
          <cell r="F1049">
            <v>1.45535132851973E-3</v>
          </cell>
          <cell r="G1049">
            <v>5.1338175591770702E-2</v>
          </cell>
          <cell r="H1049">
            <v>0.58227885884577701</v>
          </cell>
          <cell r="I1049">
            <v>0.34653015045637497</v>
          </cell>
          <cell r="J1049">
            <v>0.106882443841949</v>
          </cell>
          <cell r="K1049">
            <v>0.55595400695111996</v>
          </cell>
          <cell r="L1049">
            <v>0.294072445455619</v>
          </cell>
          <cell r="M1049">
            <v>0.18615185455043201</v>
          </cell>
          <cell r="N1049">
            <v>0.53001903680427698</v>
          </cell>
          <cell r="O1049">
            <v>0.31325877470525998</v>
          </cell>
        </row>
        <row r="1050">
          <cell r="A1050" t="str">
            <v>ITOT-SWHELCBR</v>
          </cell>
          <cell r="B1050" t="str">
            <v>VAR_cap</v>
          </cell>
          <cell r="C1050" t="str">
            <v>-</v>
          </cell>
          <cell r="D1050">
            <v>0.55644997413134401</v>
          </cell>
          <cell r="E1050">
            <v>0.77799054982289906</v>
          </cell>
          <cell r="F1050">
            <v>0.77938719389128652</v>
          </cell>
          <cell r="G1050">
            <v>0.83067953832321961</v>
          </cell>
          <cell r="H1050">
            <v>0.8926949994775496</v>
          </cell>
          <cell r="I1050">
            <v>0.97057677035704215</v>
          </cell>
          <cell r="J1050">
            <v>1.0356108278519802</v>
          </cell>
          <cell r="K1050">
            <v>1.009245841243529</v>
          </cell>
          <cell r="L1050">
            <v>0.99586035358356673</v>
          </cell>
          <cell r="M1050">
            <v>1.0360415311731714</v>
          </cell>
          <cell r="N1050">
            <v>1.0152936707614078</v>
          </cell>
          <cell r="O1050">
            <v>1.0292835676436403</v>
          </cell>
        </row>
        <row r="1051">
          <cell r="A1051"/>
          <cell r="B1051"/>
          <cell r="C1051"/>
        </row>
        <row r="1052">
          <cell r="A1052"/>
          <cell r="B1052"/>
          <cell r="C1052"/>
        </row>
        <row r="1053">
          <cell r="A1053"/>
          <cell r="B1053"/>
          <cell r="C1053"/>
        </row>
        <row r="1054">
          <cell r="A1054"/>
          <cell r="B1054"/>
          <cell r="C1054"/>
        </row>
        <row r="1055">
          <cell r="A1055"/>
          <cell r="B1055"/>
          <cell r="C1055"/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B4" t="str">
            <v>CO2_M</v>
          </cell>
          <cell r="C4" t="str">
            <v>EQ_combalM</v>
          </cell>
          <cell r="D4" t="str">
            <v>-</v>
          </cell>
          <cell r="N4">
            <v>5.4287111996889879</v>
          </cell>
          <cell r="O4">
            <v>9.2129519672510689</v>
          </cell>
          <cell r="P4">
            <v>11.592115877265714</v>
          </cell>
        </row>
        <row r="5">
          <cell r="B5" t="str">
            <v>CO2_O</v>
          </cell>
          <cell r="C5" t="str">
            <v>EQ_combalM</v>
          </cell>
          <cell r="D5" t="str">
            <v>-</v>
          </cell>
          <cell r="N5">
            <v>5.4287111996889879</v>
          </cell>
          <cell r="O5">
            <v>9.2129519672510689</v>
          </cell>
          <cell r="P5">
            <v>11.592115877265714</v>
          </cell>
        </row>
        <row r="6">
          <cell r="B6" t="str">
            <v>CO2_R</v>
          </cell>
          <cell r="C6" t="str">
            <v>VAR_fout</v>
          </cell>
          <cell r="D6" t="str">
            <v>RHNS-SHNGAHP</v>
          </cell>
          <cell r="G6">
            <v>0.19647168150130601</v>
          </cell>
          <cell r="H6">
            <v>0.18712787011349999</v>
          </cell>
          <cell r="I6">
            <v>13.399411914922799</v>
          </cell>
          <cell r="J6">
            <v>32.836511516874999</v>
          </cell>
          <cell r="K6">
            <v>31.973444126765099</v>
          </cell>
          <cell r="L6">
            <v>38.0329943693757</v>
          </cell>
          <cell r="M6">
            <v>38.031753745136001</v>
          </cell>
          <cell r="N6">
            <v>38.0298967168006</v>
          </cell>
          <cell r="O6">
            <v>38.018880218174203</v>
          </cell>
          <cell r="P6">
            <v>38.048952869955798</v>
          </cell>
        </row>
        <row r="7">
          <cell r="B7" t="str">
            <v>CO2_R</v>
          </cell>
          <cell r="C7" t="str">
            <v>VAR_fout</v>
          </cell>
          <cell r="D7" t="str">
            <v>RHNS-CHPGFC</v>
          </cell>
          <cell r="H7">
            <v>4.9340534460500199E-2</v>
          </cell>
          <cell r="I7">
            <v>0.16878441667590299</v>
          </cell>
          <cell r="J7">
            <v>0.16764173130201299</v>
          </cell>
          <cell r="K7">
            <v>0.17678642005453199</v>
          </cell>
          <cell r="L7">
            <v>0.41377035790244499</v>
          </cell>
          <cell r="M7">
            <v>0.33601472059753101</v>
          </cell>
          <cell r="N7">
            <v>0.52801423833691497</v>
          </cell>
          <cell r="O7">
            <v>0.50498029166028002</v>
          </cell>
          <cell r="P7">
            <v>0.89554328720875798</v>
          </cell>
        </row>
        <row r="8">
          <cell r="B8" t="str">
            <v>CO2_R</v>
          </cell>
          <cell r="C8" t="str">
            <v>VAR_fout</v>
          </cell>
          <cell r="D8" t="str">
            <v>RHES-CHPNGA</v>
          </cell>
          <cell r="E8">
            <v>5.5103682334143</v>
          </cell>
          <cell r="F8">
            <v>0.73981200518872703</v>
          </cell>
          <cell r="G8">
            <v>2.9835669496095201</v>
          </cell>
          <cell r="H8">
            <v>2.4227687550972199</v>
          </cell>
          <cell r="I8">
            <v>4.9680169967141996</v>
          </cell>
          <cell r="J8">
            <v>5.0009425777693304</v>
          </cell>
          <cell r="K8">
            <v>4.7928356781851296</v>
          </cell>
          <cell r="L8">
            <v>6.1573996040095498</v>
          </cell>
          <cell r="M8">
            <v>5.1639125918056896</v>
          </cell>
          <cell r="N8">
            <v>5.6806278671634196</v>
          </cell>
          <cell r="O8">
            <v>30.2801472690861</v>
          </cell>
          <cell r="P8">
            <v>30.128883805803198</v>
          </cell>
        </row>
        <row r="9">
          <cell r="B9" t="str">
            <v>CO2_R</v>
          </cell>
          <cell r="C9" t="str">
            <v>VAR_fout</v>
          </cell>
          <cell r="D9" t="str">
            <v>RHEM-CHPGFC</v>
          </cell>
          <cell r="H9">
            <v>0.20891316785026301</v>
          </cell>
          <cell r="I9">
            <v>0.80976423003278497</v>
          </cell>
          <cell r="J9">
            <v>0.80975065411131397</v>
          </cell>
          <cell r="K9">
            <v>0.89574313944947404</v>
          </cell>
          <cell r="L9">
            <v>2.3987986508843702</v>
          </cell>
          <cell r="M9">
            <v>2.1324832000608498</v>
          </cell>
          <cell r="N9">
            <v>4.1217372686931704</v>
          </cell>
          <cell r="O9">
            <v>4.0228258694839703</v>
          </cell>
          <cell r="P9">
            <v>7.8242150311935799</v>
          </cell>
        </row>
        <row r="10">
          <cell r="B10" t="str">
            <v>CO2_R</v>
          </cell>
          <cell r="C10" t="str">
            <v>VAR_fout</v>
          </cell>
          <cell r="D10" t="str">
            <v>RHEM-SHNGABR</v>
          </cell>
          <cell r="E10">
            <v>1127.9641133324899</v>
          </cell>
          <cell r="F10">
            <v>1119.85811798945</v>
          </cell>
          <cell r="G10">
            <v>1126.4855534870301</v>
          </cell>
          <cell r="H10">
            <v>1118.5304390244301</v>
          </cell>
          <cell r="I10">
            <v>1095.3361417951</v>
          </cell>
          <cell r="J10">
            <v>1059.73016450727</v>
          </cell>
          <cell r="K10">
            <v>1025.51312521919</v>
          </cell>
          <cell r="L10">
            <v>992.27486502855299</v>
          </cell>
          <cell r="M10">
            <v>946.68149729246295</v>
          </cell>
          <cell r="N10">
            <v>887.647268943163</v>
          </cell>
          <cell r="O10">
            <v>869.59361433034701</v>
          </cell>
          <cell r="P10">
            <v>691.77222996161197</v>
          </cell>
        </row>
        <row r="11">
          <cell r="B11" t="str">
            <v>CO2_R</v>
          </cell>
          <cell r="C11" t="str">
            <v>VAR_fout</v>
          </cell>
          <cell r="D11" t="str">
            <v>RHSA-WHNGAHP</v>
          </cell>
          <cell r="G11">
            <v>0.250420958487583</v>
          </cell>
          <cell r="H11">
            <v>0.28651384359250198</v>
          </cell>
          <cell r="I11">
            <v>16.375610196987701</v>
          </cell>
          <cell r="J11">
            <v>41.085384843211997</v>
          </cell>
          <cell r="K11">
            <v>54.676809464130798</v>
          </cell>
          <cell r="L11">
            <v>90.870931774706605</v>
          </cell>
          <cell r="M11">
            <v>96.993228784383604</v>
          </cell>
          <cell r="N11">
            <v>101.30830898184</v>
          </cell>
          <cell r="O11">
            <v>133.65644449893099</v>
          </cell>
          <cell r="P11">
            <v>134.07967926089799</v>
          </cell>
        </row>
        <row r="12">
          <cell r="B12" t="str">
            <v>CO2_R</v>
          </cell>
          <cell r="C12" t="str">
            <v>VAR_fout</v>
          </cell>
          <cell r="D12" t="str">
            <v>RHEM-SHLFOBR</v>
          </cell>
          <cell r="E12">
            <v>1928.7110727240499</v>
          </cell>
          <cell r="F12">
            <v>1530.6224424368199</v>
          </cell>
          <cell r="G12">
            <v>1497.46882419024</v>
          </cell>
          <cell r="H12">
            <v>1582.07475068903</v>
          </cell>
          <cell r="I12">
            <v>1325.84616696277</v>
          </cell>
          <cell r="J12">
            <v>1189.42325919427</v>
          </cell>
          <cell r="K12">
            <v>1142.42733386788</v>
          </cell>
          <cell r="L12">
            <v>1083.61413440407</v>
          </cell>
          <cell r="M12">
            <v>1047.0612963429901</v>
          </cell>
          <cell r="N12">
            <v>905.61751744455501</v>
          </cell>
          <cell r="O12">
            <v>838.43554435696603</v>
          </cell>
          <cell r="P12">
            <v>365.270663047075</v>
          </cell>
        </row>
        <row r="13">
          <cell r="B13" t="str">
            <v>CO2_R</v>
          </cell>
          <cell r="C13" t="str">
            <v>VAR_fout</v>
          </cell>
          <cell r="D13" t="str">
            <v>RHES-SHNGAHP</v>
          </cell>
          <cell r="G13">
            <v>0.149750576703367</v>
          </cell>
          <cell r="H13">
            <v>0.14854340799813801</v>
          </cell>
          <cell r="I13">
            <v>1.5068376726559101</v>
          </cell>
          <cell r="J13">
            <v>1.4673846410750899</v>
          </cell>
          <cell r="K13">
            <v>1.42950465217121</v>
          </cell>
          <cell r="L13">
            <v>46.807922177092898</v>
          </cell>
          <cell r="M13">
            <v>46.810108369928898</v>
          </cell>
          <cell r="N13">
            <v>46.810502868412499</v>
          </cell>
          <cell r="O13">
            <v>122.44569343628299</v>
          </cell>
          <cell r="P13">
            <v>122.450518195863</v>
          </cell>
        </row>
        <row r="14">
          <cell r="B14" t="str">
            <v>CO2_R</v>
          </cell>
          <cell r="C14" t="str">
            <v>VAR_fout</v>
          </cell>
          <cell r="D14" t="str">
            <v>RHES-CHPGFC</v>
          </cell>
          <cell r="H14">
            <v>4.9678438451806299E-2</v>
          </cell>
          <cell r="I14">
            <v>0.17317360491519701</v>
          </cell>
          <cell r="J14">
            <v>0.171857020451682</v>
          </cell>
          <cell r="K14">
            <v>0.17792722182332801</v>
          </cell>
          <cell r="L14">
            <v>0.42150986271319202</v>
          </cell>
          <cell r="M14">
            <v>0.34142601228119501</v>
          </cell>
          <cell r="N14">
            <v>0.54674744196509795</v>
          </cell>
          <cell r="O14">
            <v>0.528207096220631</v>
          </cell>
          <cell r="P14">
            <v>0.98728069727606504</v>
          </cell>
        </row>
        <row r="15">
          <cell r="B15" t="str">
            <v>CO2_R</v>
          </cell>
          <cell r="C15" t="str">
            <v>VAR_fout</v>
          </cell>
          <cell r="D15" t="str">
            <v>RHNM-CHPNGA</v>
          </cell>
          <cell r="F15">
            <v>0.28410882255813102</v>
          </cell>
          <cell r="G15">
            <v>5.3838667003410396</v>
          </cell>
          <cell r="H15">
            <v>71.285023618644203</v>
          </cell>
          <cell r="I15">
            <v>74.066286970114305</v>
          </cell>
          <cell r="J15">
            <v>76.609272795874304</v>
          </cell>
          <cell r="K15">
            <v>81.668592457375397</v>
          </cell>
          <cell r="L15">
            <v>78.660873207289001</v>
          </cell>
          <cell r="M15">
            <v>77.600038803747097</v>
          </cell>
          <cell r="N15">
            <v>76.150105609263505</v>
          </cell>
          <cell r="O15">
            <v>47.205119009435698</v>
          </cell>
          <cell r="P15">
            <v>14.0647927210033</v>
          </cell>
        </row>
        <row r="16">
          <cell r="B16" t="str">
            <v>CO2_R</v>
          </cell>
          <cell r="C16" t="str">
            <v>VAR_fout</v>
          </cell>
          <cell r="D16" t="str">
            <v>RHNM-SHNGAHP</v>
          </cell>
          <cell r="G16">
            <v>0.505606405778941</v>
          </cell>
          <cell r="H16">
            <v>0.49382871721078497</v>
          </cell>
          <cell r="I16">
            <v>51.380234823161899</v>
          </cell>
          <cell r="J16">
            <v>86.474774039320806</v>
          </cell>
          <cell r="K16">
            <v>109.633069707145</v>
          </cell>
          <cell r="L16">
            <v>126.26897318524701</v>
          </cell>
          <cell r="M16">
            <v>140.480644112574</v>
          </cell>
          <cell r="N16">
            <v>150.52256655394299</v>
          </cell>
          <cell r="O16">
            <v>150.51768277418901</v>
          </cell>
          <cell r="P16">
            <v>150.51467522425401</v>
          </cell>
        </row>
        <row r="17">
          <cell r="B17" t="str">
            <v>CO2_R</v>
          </cell>
          <cell r="C17" t="str">
            <v>VAR_fout</v>
          </cell>
          <cell r="D17" t="str">
            <v>RHES-SHNGABR</v>
          </cell>
          <cell r="E17">
            <v>1043.1361067064799</v>
          </cell>
          <cell r="F17">
            <v>1211.3150182519801</v>
          </cell>
          <cell r="G17">
            <v>1085.0285095044501</v>
          </cell>
          <cell r="H17">
            <v>1180.57120886191</v>
          </cell>
          <cell r="I17">
            <v>1210.8606199367</v>
          </cell>
          <cell r="J17">
            <v>1131.25672920323</v>
          </cell>
          <cell r="K17">
            <v>1099.9561179216701</v>
          </cell>
          <cell r="L17">
            <v>1068.36214611439</v>
          </cell>
          <cell r="M17">
            <v>996.68557766240099</v>
          </cell>
          <cell r="N17">
            <v>923.20387438800697</v>
          </cell>
          <cell r="O17">
            <v>904.18428056505002</v>
          </cell>
          <cell r="P17">
            <v>752.26662529143198</v>
          </cell>
        </row>
        <row r="18">
          <cell r="B18" t="str">
            <v>CO2_R</v>
          </cell>
          <cell r="C18" t="str">
            <v>VAR_fout</v>
          </cell>
          <cell r="D18" t="str">
            <v>RHSA-WHNGABR</v>
          </cell>
          <cell r="E18">
            <v>479.81093336568603</v>
          </cell>
          <cell r="F18">
            <v>386.18656901008899</v>
          </cell>
          <cell r="G18">
            <v>673.493876837524</v>
          </cell>
          <cell r="H18">
            <v>671.12439074468602</v>
          </cell>
          <cell r="I18">
            <v>704.65151242157299</v>
          </cell>
          <cell r="J18">
            <v>684.29930131825097</v>
          </cell>
          <cell r="K18">
            <v>659.66633078344705</v>
          </cell>
          <cell r="L18">
            <v>635.53775467874095</v>
          </cell>
          <cell r="M18">
            <v>599.37607858742001</v>
          </cell>
          <cell r="N18">
            <v>558.50588839586703</v>
          </cell>
          <cell r="O18">
            <v>547.07062215500196</v>
          </cell>
          <cell r="P18">
            <v>445.375110258326</v>
          </cell>
        </row>
        <row r="19">
          <cell r="B19" t="str">
            <v>CO2_R</v>
          </cell>
          <cell r="C19" t="str">
            <v>VAR_fout</v>
          </cell>
          <cell r="D19" t="str">
            <v>RHSA-WHLFOBR</v>
          </cell>
          <cell r="E19">
            <v>726.71261268753301</v>
          </cell>
          <cell r="F19">
            <v>610.69149499693003</v>
          </cell>
          <cell r="G19">
            <v>122.928057017626</v>
          </cell>
          <cell r="H19">
            <v>195.60500614647299</v>
          </cell>
          <cell r="I19">
            <v>55.8790676903171</v>
          </cell>
          <cell r="J19">
            <v>1.3650285399439801</v>
          </cell>
          <cell r="K19">
            <v>1.40275114730426</v>
          </cell>
          <cell r="L19">
            <v>1.3288441752245199</v>
          </cell>
          <cell r="M19">
            <v>1.7755267094428</v>
          </cell>
          <cell r="N19">
            <v>2.7414354416781999</v>
          </cell>
          <cell r="O19">
            <v>2.2801366561974401</v>
          </cell>
          <cell r="P19">
            <v>5.9801656000142396</v>
          </cell>
        </row>
        <row r="20">
          <cell r="B20" t="str">
            <v>CO2_R</v>
          </cell>
          <cell r="C20" t="str">
            <v>VAR_fout</v>
          </cell>
          <cell r="D20" t="str">
            <v>RHES-SHLFOBR</v>
          </cell>
          <cell r="E20">
            <v>1783.6632477432299</v>
          </cell>
          <cell r="F20">
            <v>1640.9689885268499</v>
          </cell>
          <cell r="G20">
            <v>1689.27316175649</v>
          </cell>
          <cell r="H20">
            <v>1599.49002863181</v>
          </cell>
          <cell r="I20">
            <v>1312.8628941929201</v>
          </cell>
          <cell r="J20">
            <v>1283.50346926316</v>
          </cell>
          <cell r="K20">
            <v>1196.75163139748</v>
          </cell>
          <cell r="L20">
            <v>940.32912626171003</v>
          </cell>
          <cell r="M20">
            <v>838.93279597445201</v>
          </cell>
          <cell r="N20">
            <v>703.45426185113695</v>
          </cell>
          <cell r="O20">
            <v>384.66074624903001</v>
          </cell>
          <cell r="P20">
            <v>112.72468754466701</v>
          </cell>
        </row>
        <row r="21">
          <cell r="B21" t="str">
            <v>CO2_R</v>
          </cell>
          <cell r="C21" t="str">
            <v>VAR_fout</v>
          </cell>
          <cell r="D21" t="str">
            <v>RHNS-CHPNGA</v>
          </cell>
          <cell r="F21">
            <v>0.14139208081492699</v>
          </cell>
          <cell r="G21">
            <v>1.19522681326074</v>
          </cell>
          <cell r="H21">
            <v>1.0643993610729701</v>
          </cell>
          <cell r="I21">
            <v>2.70605383957863</v>
          </cell>
          <cell r="J21">
            <v>2.6059171826363001</v>
          </cell>
          <cell r="K21">
            <v>3.75931929033649</v>
          </cell>
          <cell r="L21">
            <v>6.0586379694122803</v>
          </cell>
          <cell r="M21">
            <v>4.7302478053396397</v>
          </cell>
          <cell r="N21">
            <v>5.9087871635796398</v>
          </cell>
          <cell r="O21">
            <v>3.8060625045666701</v>
          </cell>
          <cell r="P21">
            <v>4.7069337759477703</v>
          </cell>
        </row>
        <row r="22">
          <cell r="B22" t="str">
            <v>CO2_R</v>
          </cell>
          <cell r="C22" t="str">
            <v>VAR_fout</v>
          </cell>
          <cell r="D22" t="str">
            <v>RHNM-CHPGFC</v>
          </cell>
          <cell r="H22">
            <v>0.21154486339447101</v>
          </cell>
          <cell r="I22">
            <v>0.80396709129229105</v>
          </cell>
          <cell r="J22">
            <v>0.80095855650665304</v>
          </cell>
          <cell r="K22">
            <v>0.89520519018888001</v>
          </cell>
          <cell r="L22">
            <v>2.37658355185751</v>
          </cell>
          <cell r="M22">
            <v>2.0498707466222101</v>
          </cell>
          <cell r="N22">
            <v>4.0391270405141997</v>
          </cell>
          <cell r="O22">
            <v>3.9068933848742602</v>
          </cell>
          <cell r="P22">
            <v>6.4396942462854199</v>
          </cell>
        </row>
        <row r="23">
          <cell r="B23" t="str">
            <v>CO2_R</v>
          </cell>
          <cell r="C23" t="str">
            <v>VAR_fout</v>
          </cell>
          <cell r="D23" t="str">
            <v>RHEM-CHPNGA</v>
          </cell>
          <cell r="E23">
            <v>7.5819845560829302</v>
          </cell>
          <cell r="F23">
            <v>4.6369473901371396</v>
          </cell>
          <cell r="G23">
            <v>19.352028589213401</v>
          </cell>
          <cell r="H23">
            <v>47.215674272058699</v>
          </cell>
          <cell r="I23">
            <v>52.073658741925698</v>
          </cell>
          <cell r="J23">
            <v>63.850001956847699</v>
          </cell>
          <cell r="K23">
            <v>55.629952298390897</v>
          </cell>
          <cell r="L23">
            <v>55.814461132071898</v>
          </cell>
          <cell r="M23">
            <v>52.892574309471399</v>
          </cell>
          <cell r="N23">
            <v>51.272831110285701</v>
          </cell>
          <cell r="O23">
            <v>63.944994473504799</v>
          </cell>
          <cell r="P23">
            <v>87.247715997863907</v>
          </cell>
        </row>
        <row r="24">
          <cell r="B24" t="str">
            <v>CO2_R</v>
          </cell>
          <cell r="C24" t="str">
            <v>VAR_fout</v>
          </cell>
          <cell r="D24" t="str">
            <v>RHES-SHCOABR</v>
          </cell>
          <cell r="E24">
            <v>9.2700950489061604</v>
          </cell>
          <cell r="F24">
            <v>9.2700633362314608</v>
          </cell>
          <cell r="G24">
            <v>0.52747082177212001</v>
          </cell>
          <cell r="H24">
            <v>0.44507791756814702</v>
          </cell>
          <cell r="I24">
            <v>0.18061800400389999</v>
          </cell>
        </row>
        <row r="25">
          <cell r="B25" t="str">
            <v>CO2_R</v>
          </cell>
          <cell r="C25" t="str">
            <v>VAR_fout</v>
          </cell>
          <cell r="D25" t="str">
            <v>RHEM-SHNGAHP</v>
          </cell>
          <cell r="G25">
            <v>0.20941833558547299</v>
          </cell>
          <cell r="H25">
            <v>0.22614927165684401</v>
          </cell>
          <cell r="I25">
            <v>0.248581674174541</v>
          </cell>
          <cell r="J25">
            <v>0.17386028019051999</v>
          </cell>
          <cell r="K25">
            <v>0.17079060180960901</v>
          </cell>
          <cell r="L25">
            <v>0.28541662524564998</v>
          </cell>
          <cell r="M25">
            <v>0.287781977123716</v>
          </cell>
          <cell r="N25">
            <v>0.288831598647247</v>
          </cell>
          <cell r="O25">
            <v>0.22190429534881301</v>
          </cell>
          <cell r="P25">
            <v>0.87063172491140295</v>
          </cell>
        </row>
        <row r="26">
          <cell r="B26" t="str">
            <v>CO2_R</v>
          </cell>
          <cell r="C26" t="str">
            <v>VAR_comnet</v>
          </cell>
          <cell r="D26" t="str">
            <v>-</v>
          </cell>
          <cell r="E26">
            <v>7112.3605343978597</v>
          </cell>
          <cell r="F26">
            <v>6514.7149548470497</v>
          </cell>
          <cell r="G26">
            <v>6225.4318106256196</v>
          </cell>
          <cell r="H26">
            <v>6471.6904081375096</v>
          </cell>
          <cell r="I26">
            <v>5924.2974031765298</v>
          </cell>
          <cell r="J26">
            <v>5661.6322098223</v>
          </cell>
          <cell r="K26">
            <v>5471.5972705847898</v>
          </cell>
          <cell r="L26">
            <v>5176.0151431305003</v>
          </cell>
          <cell r="M26">
            <v>4898.3628577482395</v>
          </cell>
          <cell r="N26">
            <v>4466.3783309238497</v>
          </cell>
          <cell r="O26">
            <v>4145.2847794343497</v>
          </cell>
          <cell r="P26">
            <v>2971.6489985415901</v>
          </cell>
        </row>
        <row r="27">
          <cell r="B27" t="str">
            <v>CO2_S</v>
          </cell>
          <cell r="C27" t="str">
            <v>VAR_fout</v>
          </cell>
          <cell r="D27" t="str">
            <v>SCOM-SHNGAHP</v>
          </cell>
          <cell r="G27">
            <v>0.156190658835825</v>
          </cell>
          <cell r="H27">
            <v>0.15614016524794799</v>
          </cell>
          <cell r="I27">
            <v>0.65035021136116899</v>
          </cell>
          <cell r="J27">
            <v>0.91003128724899995</v>
          </cell>
          <cell r="K27">
            <v>1.66045047535164</v>
          </cell>
          <cell r="L27">
            <v>1.49680206030452</v>
          </cell>
          <cell r="M27">
            <v>1.10730783885103</v>
          </cell>
          <cell r="N27">
            <v>3.8397326010043602</v>
          </cell>
          <cell r="O27">
            <v>3.59158483907165</v>
          </cell>
          <cell r="P27">
            <v>5.4101030960939998</v>
          </cell>
        </row>
        <row r="28">
          <cell r="B28" t="str">
            <v>CO2_S</v>
          </cell>
          <cell r="C28" t="str">
            <v>VAR_fout</v>
          </cell>
          <cell r="D28" t="str">
            <v>SCOM-CHPNGA</v>
          </cell>
          <cell r="E28">
            <v>95.378258908983796</v>
          </cell>
          <cell r="F28">
            <v>98.063942522976006</v>
          </cell>
          <cell r="G28">
            <v>83.174762411568906</v>
          </cell>
          <cell r="H28">
            <v>351.526814462282</v>
          </cell>
          <cell r="I28">
            <v>630.37606635892701</v>
          </cell>
          <cell r="J28">
            <v>604.05266674849202</v>
          </cell>
          <cell r="K28">
            <v>590.28084321341998</v>
          </cell>
          <cell r="L28">
            <v>417.41471210358299</v>
          </cell>
          <cell r="M28">
            <v>417.46316563662299</v>
          </cell>
          <cell r="N28">
            <v>427.359778099099</v>
          </cell>
          <cell r="O28">
            <v>464.27578421099503</v>
          </cell>
          <cell r="P28">
            <v>491.934290903359</v>
          </cell>
        </row>
        <row r="29">
          <cell r="B29" t="str">
            <v>CO2_S</v>
          </cell>
          <cell r="C29" t="str">
            <v>VAR_fout</v>
          </cell>
          <cell r="D29" t="str">
            <v>SCOM-SHNGABR</v>
          </cell>
          <cell r="E29">
            <v>1440.9463325765901</v>
          </cell>
          <cell r="F29">
            <v>1508.6876775604901</v>
          </cell>
          <cell r="G29">
            <v>1439.8858085132399</v>
          </cell>
          <cell r="H29">
            <v>1491.58648563818</v>
          </cell>
          <cell r="I29">
            <v>1508.51634840264</v>
          </cell>
          <cell r="J29">
            <v>1517.87952901167</v>
          </cell>
          <cell r="K29">
            <v>1418.96667159712</v>
          </cell>
          <cell r="L29">
            <v>1325.0994147809299</v>
          </cell>
          <cell r="M29">
            <v>1294.1152353684699</v>
          </cell>
          <cell r="N29">
            <v>1257.2564737658699</v>
          </cell>
          <cell r="O29">
            <v>1230.3830335596699</v>
          </cell>
          <cell r="P29">
            <v>1171.3484791133601</v>
          </cell>
        </row>
        <row r="30">
          <cell r="B30" t="str">
            <v>CO2_S</v>
          </cell>
          <cell r="C30" t="str">
            <v>VAR_fout</v>
          </cell>
          <cell r="D30" t="str">
            <v>SCOM-CHPGFC</v>
          </cell>
          <cell r="H30">
            <v>0.39111543409388799</v>
          </cell>
          <cell r="I30">
            <v>1.19093274132625</v>
          </cell>
          <cell r="J30">
            <v>1.14652812488209</v>
          </cell>
          <cell r="K30">
            <v>0.84607110471288205</v>
          </cell>
          <cell r="L30">
            <v>1.9806197275983499</v>
          </cell>
          <cell r="M30">
            <v>2.0033849232776699</v>
          </cell>
          <cell r="N30">
            <v>4.13231015742981</v>
          </cell>
          <cell r="O30">
            <v>3.1687441011372499</v>
          </cell>
          <cell r="P30">
            <v>6.8287837730874204</v>
          </cell>
        </row>
        <row r="31">
          <cell r="B31" t="str">
            <v>CO2_S</v>
          </cell>
          <cell r="C31" t="str">
            <v>VAR_fout</v>
          </cell>
          <cell r="D31" t="str">
            <v>SCOM-SHLFOBR</v>
          </cell>
          <cell r="E31">
            <v>2229.91402906643</v>
          </cell>
          <cell r="F31">
            <v>1980.52899802193</v>
          </cell>
          <cell r="G31">
            <v>1873.4941119631901</v>
          </cell>
          <cell r="H31">
            <v>1587.6690430281401</v>
          </cell>
          <cell r="I31">
            <v>1251.1637470099299</v>
          </cell>
          <cell r="J31">
            <v>1056.10606618973</v>
          </cell>
          <cell r="K31">
            <v>950.83550852058499</v>
          </cell>
          <cell r="L31">
            <v>790.43989312985605</v>
          </cell>
          <cell r="M31">
            <v>653.82701168098004</v>
          </cell>
          <cell r="N31">
            <v>543.92712779606097</v>
          </cell>
          <cell r="O31">
            <v>299.43811266889998</v>
          </cell>
          <cell r="P31">
            <v>101.16588285639</v>
          </cell>
        </row>
        <row r="32">
          <cell r="B32" t="str">
            <v>CO2_S</v>
          </cell>
          <cell r="C32" t="str">
            <v>VAR_comnet</v>
          </cell>
          <cell r="D32" t="str">
            <v>-</v>
          </cell>
          <cell r="E32">
            <v>3766.2386205520102</v>
          </cell>
          <cell r="F32">
            <v>3587.2806181053902</v>
          </cell>
          <cell r="G32">
            <v>3396.71087354683</v>
          </cell>
          <cell r="H32">
            <v>3431.3295987279498</v>
          </cell>
          <cell r="I32">
            <v>3391.8974447241899</v>
          </cell>
          <cell r="J32">
            <v>3180.09482136202</v>
          </cell>
          <cell r="K32">
            <v>2962.5895449111899</v>
          </cell>
          <cell r="L32">
            <v>2536.43144180227</v>
          </cell>
          <cell r="M32">
            <v>2368.5161054482001</v>
          </cell>
          <cell r="N32">
            <v>2236.5154224194598</v>
          </cell>
          <cell r="O32">
            <v>2000.8572593797701</v>
          </cell>
          <cell r="P32">
            <v>1776.68753974229</v>
          </cell>
        </row>
        <row r="33">
          <cell r="B33" t="str">
            <v>CO2_T</v>
          </cell>
          <cell r="C33" t="str">
            <v>VAR_fout</v>
          </cell>
          <cell r="D33" t="str">
            <v>T_B_u-ICENGAEXT</v>
          </cell>
          <cell r="E33">
            <v>1.7682595805030999E-2</v>
          </cell>
          <cell r="F33">
            <v>1.7889763462651798E-2</v>
          </cell>
          <cell r="G33">
            <v>1.7832099431674599E-2</v>
          </cell>
        </row>
        <row r="34">
          <cell r="B34" t="str">
            <v>CO2_T</v>
          </cell>
          <cell r="C34" t="str">
            <v>VAR_fout</v>
          </cell>
          <cell r="D34" t="str">
            <v>TFHGV-ICENGA</v>
          </cell>
          <cell r="E34">
            <v>2.9867206643524469</v>
          </cell>
          <cell r="F34">
            <v>0.32944139688772778</v>
          </cell>
          <cell r="G34">
            <v>0.41881042429826398</v>
          </cell>
          <cell r="H34">
            <v>0.41457344082793413</v>
          </cell>
          <cell r="I34">
            <v>0.38480311349650731</v>
          </cell>
          <cell r="J34">
            <v>0.37460600874177802</v>
          </cell>
          <cell r="K34">
            <v>0.35783271224540353</v>
          </cell>
          <cell r="L34">
            <v>0.339269951506456</v>
          </cell>
          <cell r="M34">
            <v>0.33013030127958098</v>
          </cell>
          <cell r="N34">
            <v>0.32900813841337595</v>
          </cell>
          <cell r="O34">
            <v>0.33029323419456103</v>
          </cell>
          <cell r="P34">
            <v>0.32791058838879283</v>
          </cell>
        </row>
        <row r="35">
          <cell r="B35" t="str">
            <v>CO2_T</v>
          </cell>
          <cell r="C35" t="str">
            <v>VAR_fout</v>
          </cell>
          <cell r="D35" t="str">
            <v>T-Plg-GSL-mix_S1</v>
          </cell>
          <cell r="E35">
            <v>2.2377178508338699E-2</v>
          </cell>
          <cell r="F35">
            <v>0.12545396556747002</v>
          </cell>
          <cell r="G35">
            <v>0.17063382315996489</v>
          </cell>
          <cell r="H35">
            <v>0.17923354875362835</v>
          </cell>
          <cell r="I35">
            <v>0.16292268889672029</v>
          </cell>
          <cell r="J35">
            <v>0.14819824542776289</v>
          </cell>
          <cell r="K35">
            <v>0.1682883856355222</v>
          </cell>
          <cell r="L35">
            <v>0.13141580529655889</v>
          </cell>
          <cell r="M35">
            <v>0.23497378468242741</v>
          </cell>
          <cell r="N35">
            <v>0.41255665751292103</v>
          </cell>
          <cell r="O35">
            <v>0.59821490494674601</v>
          </cell>
          <cell r="P35">
            <v>0.90202501733501061</v>
          </cell>
        </row>
        <row r="36">
          <cell r="B36" t="str">
            <v>CO2_T</v>
          </cell>
          <cell r="C36" t="str">
            <v>VAR_fout</v>
          </cell>
          <cell r="D36" t="str">
            <v>T-Plg-GSL-mix_S2</v>
          </cell>
          <cell r="E36">
            <v>6.2930588456824603</v>
          </cell>
          <cell r="F36">
            <v>12.22036950892681</v>
          </cell>
          <cell r="G36">
            <v>11.849846941739909</v>
          </cell>
          <cell r="H36">
            <v>9.6463560671258186</v>
          </cell>
          <cell r="I36">
            <v>1.4511061896320503</v>
          </cell>
          <cell r="J36">
            <v>0.61829363305034601</v>
          </cell>
          <cell r="K36">
            <v>0.54236162928707499</v>
          </cell>
          <cell r="L36">
            <v>0.34722985985021698</v>
          </cell>
          <cell r="M36">
            <v>0.58607819439153208</v>
          </cell>
          <cell r="N36">
            <v>5.703099961714293</v>
          </cell>
          <cell r="O36">
            <v>13.294930436000513</v>
          </cell>
          <cell r="P36">
            <v>17.896177394485022</v>
          </cell>
        </row>
        <row r="37">
          <cell r="B37" t="str">
            <v>CO2_T</v>
          </cell>
          <cell r="C37" t="str">
            <v>VAR_fout</v>
          </cell>
          <cell r="D37" t="str">
            <v>T-Plg-GSL-mix_S3</v>
          </cell>
          <cell r="E37">
            <v>6.7507047807666103</v>
          </cell>
          <cell r="F37">
            <v>18.911530340722422</v>
          </cell>
          <cell r="G37">
            <v>69.499551913461801</v>
          </cell>
          <cell r="H37">
            <v>69.215306656342705</v>
          </cell>
          <cell r="I37">
            <v>74.173081484870494</v>
          </cell>
          <cell r="J37">
            <v>36.223717894966576</v>
          </cell>
          <cell r="K37">
            <v>25.962916803376054</v>
          </cell>
          <cell r="L37">
            <v>7.6146426968867482</v>
          </cell>
          <cell r="M37">
            <v>20.435223285458527</v>
          </cell>
          <cell r="N37">
            <v>18.189409658819411</v>
          </cell>
          <cell r="O37">
            <v>14.125892684722675</v>
          </cell>
          <cell r="P37">
            <v>4.2722793954786686</v>
          </cell>
        </row>
        <row r="38">
          <cell r="B38" t="str">
            <v>CO2_T</v>
          </cell>
          <cell r="C38" t="str">
            <v>VAR_fout</v>
          </cell>
          <cell r="D38" t="str">
            <v>T-Plg-GSL-mix_S4</v>
          </cell>
          <cell r="E38">
            <v>12.2230701367784</v>
          </cell>
          <cell r="F38">
            <v>22.630167666907401</v>
          </cell>
          <cell r="G38">
            <v>21.851542273770541</v>
          </cell>
          <cell r="H38">
            <v>17.549412217090854</v>
          </cell>
          <cell r="I38">
            <v>3.4161254989111924</v>
          </cell>
          <cell r="J38">
            <v>1.5513169141941849</v>
          </cell>
          <cell r="K38">
            <v>2.1320644908051971</v>
          </cell>
          <cell r="L38">
            <v>1.169657619643957</v>
          </cell>
          <cell r="M38">
            <v>8.4757692439565808</v>
          </cell>
          <cell r="N38">
            <v>7.664571264771106</v>
          </cell>
          <cell r="O38">
            <v>5.2662496981050442</v>
          </cell>
          <cell r="P38">
            <v>36.162611247749254</v>
          </cell>
        </row>
        <row r="39">
          <cell r="B39" t="str">
            <v>CO2_T</v>
          </cell>
          <cell r="C39" t="str">
            <v>VAR_fout</v>
          </cell>
          <cell r="D39" t="str">
            <v>TFLGV-HYBDSL</v>
          </cell>
          <cell r="F39">
            <v>32.187108001476297</v>
          </cell>
          <cell r="G39">
            <v>96.931492953100303</v>
          </cell>
          <cell r="H39">
            <v>275.55559013397237</v>
          </cell>
          <cell r="I39">
            <v>330.09756837774211</v>
          </cell>
          <cell r="J39">
            <v>162.68999268658672</v>
          </cell>
          <cell r="K39">
            <v>177.18610330537845</v>
          </cell>
          <cell r="L39">
            <v>187.54615045263429</v>
          </cell>
          <cell r="M39">
            <v>192.67840234558543</v>
          </cell>
          <cell r="N39">
            <v>192.87126589787701</v>
          </cell>
          <cell r="O39">
            <v>192.00906443138689</v>
          </cell>
          <cell r="P39">
            <v>194.1108986675348</v>
          </cell>
        </row>
        <row r="40">
          <cell r="B40" t="str">
            <v>CO2_T</v>
          </cell>
          <cell r="C40" t="str">
            <v>VAR_fout</v>
          </cell>
          <cell r="D40" t="str">
            <v>TFLGV-ICEGSLExt</v>
          </cell>
          <cell r="E40">
            <v>53.596290787821999</v>
          </cell>
          <cell r="F40">
            <v>89.843310812221205</v>
          </cell>
          <cell r="G40">
            <v>43.908170545987602</v>
          </cell>
          <cell r="H40">
            <v>20.067729012829901</v>
          </cell>
        </row>
        <row r="41">
          <cell r="B41" t="str">
            <v>CO2_T</v>
          </cell>
          <cell r="C41" t="str">
            <v>VAR_fout</v>
          </cell>
          <cell r="D41" t="str">
            <v>TFLGV-ICEDSLExt</v>
          </cell>
          <cell r="E41">
            <v>811.38554369917495</v>
          </cell>
          <cell r="F41">
            <v>590.83392007970394</v>
          </cell>
          <cell r="G41">
            <v>414.44791665890898</v>
          </cell>
          <cell r="H41">
            <v>199.83851329401401</v>
          </cell>
        </row>
        <row r="42">
          <cell r="B42" t="str">
            <v>CO2_T</v>
          </cell>
          <cell r="C42" t="str">
            <v>VAR_fout</v>
          </cell>
          <cell r="D42" t="str">
            <v>T_C-ICE-NGA-S1</v>
          </cell>
          <cell r="E42">
            <v>0.19710693549798872</v>
          </cell>
          <cell r="F42">
            <v>0.16920959317228601</v>
          </cell>
          <cell r="G42">
            <v>0.17210195940581094</v>
          </cell>
          <cell r="H42">
            <v>9.3434168871150431E-3</v>
          </cell>
          <cell r="I42">
            <v>4.8204446974828207E-3</v>
          </cell>
          <cell r="J42">
            <v>4.1496504954306969E-3</v>
          </cell>
          <cell r="K42">
            <v>3.8441281039635795E-3</v>
          </cell>
          <cell r="L42">
            <v>3.8199570663102903E-3</v>
          </cell>
          <cell r="M42">
            <v>3.2684986263869171E-3</v>
          </cell>
          <cell r="N42">
            <v>3.3237659755209854E-3</v>
          </cell>
          <cell r="O42">
            <v>3.156716609238368E-3</v>
          </cell>
          <cell r="P42">
            <v>3.3347552534774899E-3</v>
          </cell>
        </row>
        <row r="43">
          <cell r="B43" t="str">
            <v>CO2_T</v>
          </cell>
          <cell r="C43" t="str">
            <v>VAR_fout</v>
          </cell>
          <cell r="D43" t="str">
            <v>T_C-ICE-NGA-S2</v>
          </cell>
          <cell r="E43">
            <v>3.0402762826611509</v>
          </cell>
          <cell r="F43">
            <v>1.9854615651774052</v>
          </cell>
          <cell r="G43">
            <v>2.6692964887325554</v>
          </cell>
          <cell r="H43">
            <v>6.4841421504260952E-3</v>
          </cell>
          <cell r="I43">
            <v>8.1528283584096084E-3</v>
          </cell>
          <cell r="J43">
            <v>8.5268154387393245E-3</v>
          </cell>
          <cell r="K43">
            <v>8.3724021410436396E-3</v>
          </cell>
          <cell r="L43">
            <v>7.8485186697268006E-3</v>
          </cell>
          <cell r="M43">
            <v>6.8879745818830624E-3</v>
          </cell>
          <cell r="N43">
            <v>6.7239652979672396E-3</v>
          </cell>
          <cell r="O43">
            <v>6.365802476375363E-3</v>
          </cell>
          <cell r="P43">
            <v>6.5918771973859603E-3</v>
          </cell>
        </row>
        <row r="44">
          <cell r="B44" t="str">
            <v>CO2_T</v>
          </cell>
          <cell r="C44" t="str">
            <v>VAR_fout</v>
          </cell>
          <cell r="D44" t="str">
            <v>TFLGV-ICEDSL</v>
          </cell>
          <cell r="E44">
            <v>325.14905080060424</v>
          </cell>
          <cell r="F44">
            <v>384.70429701121316</v>
          </cell>
          <cell r="G44">
            <v>384.62050576247549</v>
          </cell>
          <cell r="H44">
            <v>155.49618046091524</v>
          </cell>
          <cell r="I44">
            <v>21.579025146645641</v>
          </cell>
          <cell r="J44">
            <v>21.180840712187099</v>
          </cell>
          <cell r="K44">
            <v>12.121278886384196</v>
          </cell>
          <cell r="L44">
            <v>2.1940867404659721</v>
          </cell>
          <cell r="M44">
            <v>2.075110816426109</v>
          </cell>
          <cell r="N44">
            <v>1.8331105374167902</v>
          </cell>
          <cell r="O44">
            <v>1.4894921389253661</v>
          </cell>
          <cell r="P44">
            <v>2.0911148756753062</v>
          </cell>
        </row>
        <row r="45">
          <cell r="B45" t="str">
            <v>CO2_T</v>
          </cell>
          <cell r="C45" t="str">
            <v>VAR_fout</v>
          </cell>
          <cell r="D45" t="str">
            <v>T_C-ICE-NGA-S3</v>
          </cell>
          <cell r="E45">
            <v>0.23709331059988487</v>
          </cell>
          <cell r="F45">
            <v>0.21574461790620572</v>
          </cell>
          <cell r="G45">
            <v>0.27342639869708646</v>
          </cell>
          <cell r="H45">
            <v>2.8287666649661748E-2</v>
          </cell>
          <cell r="I45">
            <v>1.2461281273263557E-2</v>
          </cell>
          <cell r="J45">
            <v>1.0227232498108075E-2</v>
          </cell>
          <cell r="K45">
            <v>1.01383480877765E-2</v>
          </cell>
          <cell r="L45">
            <v>9.6319667427845496E-3</v>
          </cell>
          <cell r="M45">
            <v>8.4909465544450585E-3</v>
          </cell>
          <cell r="N45">
            <v>8.16409557060278E-3</v>
          </cell>
          <cell r="O45">
            <v>7.5840425479830696E-3</v>
          </cell>
          <cell r="P45">
            <v>7.7661549957625895E-3</v>
          </cell>
        </row>
        <row r="46">
          <cell r="B46" t="str">
            <v>CO2_T</v>
          </cell>
          <cell r="C46" t="str">
            <v>VAR_fout</v>
          </cell>
          <cell r="D46" t="str">
            <v>T_C-ICE-NGA-S4</v>
          </cell>
          <cell r="E46">
            <v>2.7002953632240501</v>
          </cell>
          <cell r="F46">
            <v>2.6537955753348053</v>
          </cell>
          <cell r="G46">
            <v>2.4767367100531099</v>
          </cell>
          <cell r="H46">
            <v>4.4053876681396827E-3</v>
          </cell>
          <cell r="I46">
            <v>7.9157303336690136E-3</v>
          </cell>
          <cell r="J46">
            <v>9.086669984908799E-3</v>
          </cell>
          <cell r="K46">
            <v>9.0512265333669711E-3</v>
          </cell>
          <cell r="L46">
            <v>8.4517555184838791E-3</v>
          </cell>
          <cell r="M46">
            <v>7.5649339837564541E-3</v>
          </cell>
          <cell r="N46">
            <v>7.2096619948528702E-3</v>
          </cell>
          <cell r="O46">
            <v>6.5166371671037601E-3</v>
          </cell>
          <cell r="P46">
            <v>6.6244503498527202E-3</v>
          </cell>
        </row>
        <row r="47">
          <cell r="B47" t="str">
            <v>CO2_T</v>
          </cell>
          <cell r="C47" t="str">
            <v>VAR_fout</v>
          </cell>
          <cell r="D47" t="str">
            <v>T_C-MHY-GSL-S1</v>
          </cell>
          <cell r="F47">
            <v>0.106309377826231</v>
          </cell>
          <cell r="G47">
            <v>15.066273009755173</v>
          </cell>
          <cell r="H47">
            <v>14.926536189374016</v>
          </cell>
          <cell r="I47">
            <v>10.905299605463563</v>
          </cell>
          <cell r="J47">
            <v>2.5292376875509541</v>
          </cell>
          <cell r="K47">
            <v>0.21478854727069918</v>
          </cell>
          <cell r="L47">
            <v>0.16324533177144809</v>
          </cell>
          <cell r="M47">
            <v>0.12331294728263281</v>
          </cell>
          <cell r="N47">
            <v>0.1838274540570021</v>
          </cell>
          <cell r="O47">
            <v>0.41058064960134433</v>
          </cell>
          <cell r="P47">
            <v>0.54253140570529301</v>
          </cell>
        </row>
        <row r="48">
          <cell r="B48" t="str">
            <v>CO2_T</v>
          </cell>
          <cell r="C48" t="str">
            <v>VAR_fout</v>
          </cell>
          <cell r="D48" t="str">
            <v>T_C-MHY-GSL-S2</v>
          </cell>
          <cell r="F48">
            <v>9.4655834486804494E-2</v>
          </cell>
          <cell r="G48">
            <v>0.9922907514168422</v>
          </cell>
          <cell r="H48">
            <v>1.2730403166245257</v>
          </cell>
          <cell r="I48">
            <v>1.138197637979768</v>
          </cell>
          <cell r="J48">
            <v>0.67502682017012394</v>
          </cell>
          <cell r="K48">
            <v>0.37710954205324898</v>
          </cell>
          <cell r="L48">
            <v>0.30237795555206237</v>
          </cell>
          <cell r="M48">
            <v>0.24199405966558413</v>
          </cell>
          <cell r="N48">
            <v>0.32220655436000833</v>
          </cell>
          <cell r="O48">
            <v>0.47983426099873649</v>
          </cell>
          <cell r="P48">
            <v>0.53827195970125097</v>
          </cell>
        </row>
        <row r="49">
          <cell r="B49" t="str">
            <v>CO2_T</v>
          </cell>
          <cell r="C49" t="str">
            <v>VAR_fout</v>
          </cell>
          <cell r="D49" t="str">
            <v>T_C-MHY-DSL-S1</v>
          </cell>
          <cell r="F49">
            <v>0.108551238795006</v>
          </cell>
          <cell r="G49">
            <v>60.986039213676555</v>
          </cell>
          <cell r="H49">
            <v>155.37261772575101</v>
          </cell>
          <cell r="I49">
            <v>138.5404322230811</v>
          </cell>
          <cell r="J49">
            <v>83.606143514124668</v>
          </cell>
          <cell r="K49">
            <v>22.300107307615328</v>
          </cell>
          <cell r="L49">
            <v>8.2943119635966216</v>
          </cell>
          <cell r="M49">
            <v>1.2279242794038838</v>
          </cell>
          <cell r="N49">
            <v>0.21614532513333609</v>
          </cell>
          <cell r="O49">
            <v>0.24044268023570164</v>
          </cell>
          <cell r="P49">
            <v>0.25109832544084176</v>
          </cell>
        </row>
        <row r="50">
          <cell r="B50" t="str">
            <v>CO2_T</v>
          </cell>
          <cell r="C50" t="str">
            <v>VAR_fout</v>
          </cell>
          <cell r="D50" t="str">
            <v>T_C-MHY-GSL-S3</v>
          </cell>
          <cell r="F50">
            <v>0.14839596806882999</v>
          </cell>
          <cell r="G50">
            <v>0.75215495078008798</v>
          </cell>
          <cell r="H50">
            <v>1.0805890655189039</v>
          </cell>
          <cell r="I50">
            <v>0.96876800847032474</v>
          </cell>
          <cell r="J50">
            <v>0.66229643263551197</v>
          </cell>
          <cell r="K50">
            <v>0.49596341533196997</v>
          </cell>
          <cell r="L50">
            <v>0.46549269483688804</v>
          </cell>
          <cell r="M50">
            <v>0.3973539788820098</v>
          </cell>
          <cell r="N50">
            <v>0.52343673755800202</v>
          </cell>
          <cell r="O50">
            <v>0.74335815412814699</v>
          </cell>
          <cell r="P50">
            <v>0.73571385464156702</v>
          </cell>
        </row>
        <row r="51">
          <cell r="B51" t="str">
            <v>CO2_T</v>
          </cell>
          <cell r="C51" t="str">
            <v>VAR_fout</v>
          </cell>
          <cell r="D51" t="str">
            <v>T_C-MHY-DSL-S2</v>
          </cell>
          <cell r="F51">
            <v>9.0203441667872294E-2</v>
          </cell>
          <cell r="G51">
            <v>0.62834812923270222</v>
          </cell>
          <cell r="H51">
            <v>1.3229618152284299</v>
          </cell>
          <cell r="I51">
            <v>2.9260759772368337</v>
          </cell>
          <cell r="J51">
            <v>3.0857024043101422</v>
          </cell>
          <cell r="K51">
            <v>1.805119658796154</v>
          </cell>
          <cell r="L51">
            <v>0.85725835939916106</v>
          </cell>
          <cell r="M51">
            <v>0.5430699467718747</v>
          </cell>
          <cell r="N51">
            <v>0.64854120123383607</v>
          </cell>
          <cell r="O51">
            <v>0.88645562909836984</v>
          </cell>
          <cell r="P51">
            <v>1.186845412909626</v>
          </cell>
        </row>
        <row r="52">
          <cell r="B52" t="str">
            <v>CO2_T</v>
          </cell>
          <cell r="C52" t="str">
            <v>VAR_fout</v>
          </cell>
          <cell r="D52" t="str">
            <v>T_C-MHY-GSL-S4</v>
          </cell>
          <cell r="F52">
            <v>0.19360216402827299</v>
          </cell>
          <cell r="G52">
            <v>74.786527140296585</v>
          </cell>
          <cell r="H52">
            <v>292.08300765370569</v>
          </cell>
          <cell r="I52">
            <v>273.70541766018334</v>
          </cell>
          <cell r="J52">
            <v>278.98777156091705</v>
          </cell>
          <cell r="K52">
            <v>263.90542749055794</v>
          </cell>
          <cell r="L52">
            <v>252.83049965331702</v>
          </cell>
          <cell r="M52">
            <v>241.15838227237796</v>
          </cell>
          <cell r="N52">
            <v>232.71998727227481</v>
          </cell>
          <cell r="O52">
            <v>225.40864108484297</v>
          </cell>
          <cell r="P52">
            <v>222.0734525416953</v>
          </cell>
        </row>
        <row r="53">
          <cell r="B53" t="str">
            <v>CO2_T</v>
          </cell>
          <cell r="C53" t="str">
            <v>VAR_fout</v>
          </cell>
          <cell r="D53" t="str">
            <v>T_C-MHY-DSL-S3</v>
          </cell>
          <cell r="F53">
            <v>0.135610814863483</v>
          </cell>
          <cell r="G53">
            <v>0.54574783812387595</v>
          </cell>
          <cell r="H53">
            <v>1.0459141049650311</v>
          </cell>
          <cell r="I53">
            <v>9.4347064054493757</v>
          </cell>
          <cell r="J53">
            <v>77.218630968859742</v>
          </cell>
          <cell r="K53">
            <v>147.86477372138381</v>
          </cell>
          <cell r="L53">
            <v>160.8431091171467</v>
          </cell>
          <cell r="M53">
            <v>162.04978802836675</v>
          </cell>
          <cell r="N53">
            <v>158.5204912454353</v>
          </cell>
          <cell r="O53">
            <v>154.36460620762165</v>
          </cell>
          <cell r="P53">
            <v>151.84750678719979</v>
          </cell>
        </row>
        <row r="54">
          <cell r="B54" t="str">
            <v>CO2_T</v>
          </cell>
          <cell r="C54" t="str">
            <v>VAR_fout</v>
          </cell>
          <cell r="D54" t="str">
            <v>T_B_c-HYBDSL-S1</v>
          </cell>
          <cell r="F54">
            <v>0.25348402433564698</v>
          </cell>
          <cell r="G54">
            <v>0.32472271359102639</v>
          </cell>
          <cell r="H54">
            <v>0.1833087275103967</v>
          </cell>
          <cell r="I54">
            <v>0.90341224267799736</v>
          </cell>
          <cell r="J54">
            <v>1.1025353991109559</v>
          </cell>
          <cell r="K54">
            <v>1.8116732361280401</v>
          </cell>
          <cell r="L54">
            <v>2.7741011962152275</v>
          </cell>
          <cell r="M54">
            <v>3.54137301219746</v>
          </cell>
          <cell r="N54">
            <v>4.5554297603464962</v>
          </cell>
          <cell r="O54">
            <v>4.6410727001399454</v>
          </cell>
          <cell r="P54">
            <v>6.2563272998921002</v>
          </cell>
        </row>
        <row r="55">
          <cell r="B55" t="str">
            <v>CO2_T</v>
          </cell>
          <cell r="C55" t="str">
            <v>VAR_fout</v>
          </cell>
          <cell r="D55" t="str">
            <v>T_C-MHY-DSL-S4</v>
          </cell>
          <cell r="F55">
            <v>8.7036753565633701E-2</v>
          </cell>
          <cell r="G55">
            <v>0.22859779664476959</v>
          </cell>
          <cell r="H55">
            <v>0.34187428000632419</v>
          </cell>
          <cell r="I55">
            <v>0.50107284968869203</v>
          </cell>
          <cell r="J55">
            <v>0.97412339705292572</v>
          </cell>
          <cell r="K55">
            <v>1.2913144182886152</v>
          </cell>
          <cell r="L55">
            <v>1.9146165349157018</v>
          </cell>
          <cell r="M55">
            <v>2.0219878972425467</v>
          </cell>
          <cell r="N55">
            <v>1.56962527605197</v>
          </cell>
          <cell r="O55">
            <v>0.83340071071598576</v>
          </cell>
          <cell r="P55">
            <v>0.87853191006237596</v>
          </cell>
        </row>
        <row r="56">
          <cell r="B56" t="str">
            <v>CO2_T</v>
          </cell>
          <cell r="C56" t="str">
            <v>VAR_fout</v>
          </cell>
          <cell r="D56" t="str">
            <v>T_B_c-HYBDSL-S2</v>
          </cell>
          <cell r="F56">
            <v>7.8721407443377203E-2</v>
          </cell>
          <cell r="G56">
            <v>3.1057097229513033</v>
          </cell>
          <cell r="H56">
            <v>16.681353598013239</v>
          </cell>
          <cell r="I56">
            <v>15.670393172259693</v>
          </cell>
          <cell r="J56">
            <v>14.346752091415482</v>
          </cell>
          <cell r="K56">
            <v>13.30464524804087</v>
          </cell>
          <cell r="L56">
            <v>11.862079710111669</v>
          </cell>
          <cell r="M56">
            <v>12.231675107289403</v>
          </cell>
          <cell r="N56">
            <v>13.05507273442249</v>
          </cell>
          <cell r="O56">
            <v>15.182151500615465</v>
          </cell>
          <cell r="P56">
            <v>16.11924989942807</v>
          </cell>
        </row>
        <row r="57">
          <cell r="B57" t="str">
            <v>CO2_T</v>
          </cell>
          <cell r="C57" t="str">
            <v>VAR_fout</v>
          </cell>
          <cell r="D57" t="str">
            <v>T_B_c-HYBDSL-S3</v>
          </cell>
          <cell r="F57">
            <v>5.0285427202183798E-2</v>
          </cell>
          <cell r="G57">
            <v>0.55856111806336706</v>
          </cell>
          <cell r="H57">
            <v>9.9162032674487328</v>
          </cell>
          <cell r="I57">
            <v>9.4444067048647202</v>
          </cell>
          <cell r="J57">
            <v>8.404491103785741</v>
          </cell>
          <cell r="K57">
            <v>7.8762595376381999</v>
          </cell>
          <cell r="L57">
            <v>6.9098325148311197</v>
          </cell>
          <cell r="M57">
            <v>6.8445391336060588</v>
          </cell>
          <cell r="N57">
            <v>6.2912771644649697</v>
          </cell>
          <cell r="O57">
            <v>5.602259185390313</v>
          </cell>
          <cell r="P57">
            <v>3.5500432712669836</v>
          </cell>
        </row>
        <row r="58">
          <cell r="B58" t="str">
            <v>CO2_T</v>
          </cell>
          <cell r="C58" t="str">
            <v>VAR_fout</v>
          </cell>
          <cell r="D58" t="str">
            <v>T_B_c-HYBDSL-S4</v>
          </cell>
          <cell r="F58">
            <v>1.40413259436923E-2</v>
          </cell>
          <cell r="G58">
            <v>2.6060652847742803E-2</v>
          </cell>
          <cell r="H58">
            <v>2.3926795615674852E-2</v>
          </cell>
          <cell r="I58">
            <v>1.7531039943016771E-2</v>
          </cell>
          <cell r="J58">
            <v>2.84962341096274E-2</v>
          </cell>
          <cell r="K58">
            <v>2.5950178154465056E-2</v>
          </cell>
          <cell r="L58">
            <v>3.2242067210644598E-2</v>
          </cell>
          <cell r="M58">
            <v>3.5910743504282298E-2</v>
          </cell>
          <cell r="N58">
            <v>3.1178773192262709E-2</v>
          </cell>
          <cell r="O58">
            <v>4.5932375517002799E-2</v>
          </cell>
          <cell r="P58">
            <v>5.7445009496110803E-2</v>
          </cell>
        </row>
        <row r="59">
          <cell r="B59" t="str">
            <v>CO2_T</v>
          </cell>
          <cell r="C59" t="str">
            <v>VAR_fout</v>
          </cell>
          <cell r="D59" t="str">
            <v>TFHGV-ICEDSLExt</v>
          </cell>
          <cell r="E59">
            <v>1409.8856801084701</v>
          </cell>
          <cell r="F59">
            <v>865.52753762085695</v>
          </cell>
          <cell r="G59">
            <v>842.49950165229495</v>
          </cell>
          <cell r="H59">
            <v>362.79351017758199</v>
          </cell>
        </row>
        <row r="60">
          <cell r="B60" t="str">
            <v>CO2_T</v>
          </cell>
          <cell r="C60" t="str">
            <v>VAR_fout</v>
          </cell>
          <cell r="D60" t="str">
            <v>TPSHPGSLEXT</v>
          </cell>
          <cell r="E60">
            <v>129.873812963153</v>
          </cell>
          <cell r="F60">
            <v>58.766478811485001</v>
          </cell>
          <cell r="G60">
            <v>117.82372533784999</v>
          </cell>
          <cell r="H60">
            <v>155.174695387383</v>
          </cell>
          <cell r="I60">
            <v>198.520169256293</v>
          </cell>
          <cell r="J60">
            <v>122.54368766271</v>
          </cell>
          <cell r="K60">
            <v>60.638054703396698</v>
          </cell>
        </row>
        <row r="61">
          <cell r="B61" t="str">
            <v>CO2_T</v>
          </cell>
          <cell r="C61" t="str">
            <v>VAR_fout</v>
          </cell>
          <cell r="D61" t="str">
            <v>T_TW-ICEGSL-S1</v>
          </cell>
          <cell r="E61">
            <v>3.2351751787002332</v>
          </cell>
          <cell r="F61">
            <v>36.325401394417327</v>
          </cell>
          <cell r="G61">
            <v>36.671064948493346</v>
          </cell>
          <cell r="H61">
            <v>45.33878648619006</v>
          </cell>
          <cell r="I61">
            <v>61.86087654505458</v>
          </cell>
          <cell r="J61">
            <v>65.228134207597265</v>
          </cell>
          <cell r="K61">
            <v>66.347561076448997</v>
          </cell>
          <cell r="L61">
            <v>63.541777704735253</v>
          </cell>
          <cell r="M61">
            <v>60.638953597563699</v>
          </cell>
          <cell r="N61">
            <v>58.203282803213597</v>
          </cell>
          <cell r="O61">
            <v>57.214023996118968</v>
          </cell>
          <cell r="P61">
            <v>54.949855058116697</v>
          </cell>
        </row>
        <row r="62">
          <cell r="B62" t="str">
            <v>CO2_T</v>
          </cell>
          <cell r="C62" t="str">
            <v>VAR_fout</v>
          </cell>
          <cell r="D62" t="str">
            <v>TPSHPDSLEXT</v>
          </cell>
          <cell r="E62">
            <v>1273.9831592043399</v>
          </cell>
          <cell r="F62">
            <v>1273.9860139887201</v>
          </cell>
          <cell r="G62">
            <v>1155.4098794214301</v>
          </cell>
          <cell r="H62">
            <v>1056.6060480235999</v>
          </cell>
          <cell r="I62">
            <v>1017.07156709439</v>
          </cell>
          <cell r="J62">
            <v>977.54020615130105</v>
          </cell>
          <cell r="K62">
            <v>898.36887681969597</v>
          </cell>
          <cell r="L62">
            <v>898.35240660638101</v>
          </cell>
          <cell r="M62">
            <v>898.30186592595999</v>
          </cell>
          <cell r="N62">
            <v>416.68062402473902</v>
          </cell>
          <cell r="O62">
            <v>149.766098417232</v>
          </cell>
          <cell r="P62">
            <v>149.758427571716</v>
          </cell>
        </row>
        <row r="63">
          <cell r="B63" t="str">
            <v>CO2_T</v>
          </cell>
          <cell r="C63" t="str">
            <v>VAR_fout</v>
          </cell>
          <cell r="D63" t="str">
            <v>T_TW-ICEGSL-S2</v>
          </cell>
          <cell r="E63">
            <v>8.1529179733946613</v>
          </cell>
          <cell r="F63">
            <v>12.047334243403913</v>
          </cell>
          <cell r="G63">
            <v>11.224917624205263</v>
          </cell>
          <cell r="H63">
            <v>7.7101675471585649</v>
          </cell>
          <cell r="I63">
            <v>0.88750629164562633</v>
          </cell>
          <cell r="J63">
            <v>0.1543916778029846</v>
          </cell>
          <cell r="K63">
            <v>0.18458406860945531</v>
          </cell>
          <cell r="L63">
            <v>0.21522259560157231</v>
          </cell>
          <cell r="M63">
            <v>0.21276721283979771</v>
          </cell>
          <cell r="N63">
            <v>0.26451232035534883</v>
          </cell>
          <cell r="O63">
            <v>0.2498078810916734</v>
          </cell>
          <cell r="P63">
            <v>0.35241758584772698</v>
          </cell>
        </row>
        <row r="64">
          <cell r="B64" t="str">
            <v>CO2_T</v>
          </cell>
          <cell r="C64" t="str">
            <v>VAR_fout</v>
          </cell>
          <cell r="D64" t="str">
            <v>T_TW-ICEGSL-S3</v>
          </cell>
          <cell r="E64">
            <v>12.709188880075899</v>
          </cell>
          <cell r="F64">
            <v>14.611718210892739</v>
          </cell>
          <cell r="G64">
            <v>14.881311740949959</v>
          </cell>
          <cell r="H64">
            <v>14.712414833160686</v>
          </cell>
          <cell r="I64">
            <v>14.197023245384477</v>
          </cell>
          <cell r="J64">
            <v>4.2361646582084793</v>
          </cell>
          <cell r="K64">
            <v>0.17218745650039091</v>
          </cell>
          <cell r="L64">
            <v>0.20033975831687459</v>
          </cell>
          <cell r="M64">
            <v>0.21320574505134068</v>
          </cell>
          <cell r="N64">
            <v>0.23311172561551299</v>
          </cell>
          <cell r="O64">
            <v>0.25669385380380111</v>
          </cell>
          <cell r="P64">
            <v>0.30703408860413478</v>
          </cell>
        </row>
        <row r="65">
          <cell r="B65" t="str">
            <v>CO2_T</v>
          </cell>
          <cell r="C65" t="str">
            <v>VAR_fout</v>
          </cell>
          <cell r="D65" t="str">
            <v>T_C-ICEGSLEXT</v>
          </cell>
          <cell r="E65">
            <v>4722.2892417215799</v>
          </cell>
          <cell r="F65">
            <v>4024.1257743951901</v>
          </cell>
          <cell r="G65">
            <v>3466.25980786523</v>
          </cell>
          <cell r="H65">
            <v>956.85695162099705</v>
          </cell>
        </row>
        <row r="66">
          <cell r="B66" t="str">
            <v>CO2_T</v>
          </cell>
          <cell r="C66" t="str">
            <v>VAR_fout</v>
          </cell>
          <cell r="D66" t="str">
            <v>T_TW-ICEGSL-S4</v>
          </cell>
          <cell r="E66">
            <v>8.2482151338192597</v>
          </cell>
          <cell r="F66">
            <v>9.3456489464929966</v>
          </cell>
          <cell r="G66">
            <v>9.5557106678782127</v>
          </cell>
          <cell r="H66">
            <v>9.4258693219175953</v>
          </cell>
          <cell r="I66">
            <v>9.5289598463384895</v>
          </cell>
          <cell r="J66">
            <v>9.1789325372908319</v>
          </cell>
          <cell r="K66">
            <v>2.1546619065614792</v>
          </cell>
          <cell r="L66">
            <v>0.13603606496343429</v>
          </cell>
          <cell r="M66">
            <v>0.1463078225844171</v>
          </cell>
          <cell r="N66">
            <v>0.164008369504727</v>
          </cell>
          <cell r="O66">
            <v>0.17451791498985181</v>
          </cell>
          <cell r="P66">
            <v>0.21221341598869348</v>
          </cell>
        </row>
        <row r="67">
          <cell r="B67" t="str">
            <v>CO2_T</v>
          </cell>
          <cell r="C67" t="str">
            <v>VAR_fout</v>
          </cell>
          <cell r="D67" t="str">
            <v>T_C-ICEDSLEXT</v>
          </cell>
          <cell r="E67">
            <v>3821.2823518904202</v>
          </cell>
          <cell r="F67">
            <v>3569.7772429341098</v>
          </cell>
          <cell r="G67">
            <v>2582.9121160851</v>
          </cell>
          <cell r="H67">
            <v>1126.81126698035</v>
          </cell>
        </row>
        <row r="68">
          <cell r="B68" t="str">
            <v>CO2_T</v>
          </cell>
          <cell r="C68" t="str">
            <v>VAR_fout</v>
          </cell>
          <cell r="D68" t="str">
            <v>T_TW-ICEGSLEXT</v>
          </cell>
          <cell r="E68">
            <v>145.61598447792699</v>
          </cell>
          <cell r="F68">
            <v>52.754701568990498</v>
          </cell>
          <cell r="G68">
            <v>51.220233982945402</v>
          </cell>
          <cell r="H68">
            <v>33.470284599731201</v>
          </cell>
        </row>
        <row r="69">
          <cell r="B69" t="str">
            <v>CO2_T</v>
          </cell>
          <cell r="C69" t="str">
            <v>VAR_fout</v>
          </cell>
          <cell r="D69" t="str">
            <v>TFLGV-ICENGA</v>
          </cell>
          <cell r="E69">
            <v>0.60476564200510396</v>
          </cell>
          <cell r="F69">
            <v>0.45817337149674664</v>
          </cell>
          <cell r="G69">
            <v>0.60899052057729053</v>
          </cell>
          <cell r="H69">
            <v>7.0680597764249302E-3</v>
          </cell>
          <cell r="I69">
            <v>5.9526579400298631E-3</v>
          </cell>
          <cell r="J69">
            <v>5.6445095046437823E-3</v>
          </cell>
          <cell r="K69">
            <v>5.6962704772446299E-3</v>
          </cell>
          <cell r="L69">
            <v>5.9243084950315762E-3</v>
          </cell>
          <cell r="M69">
            <v>6.0067333858525376E-3</v>
          </cell>
          <cell r="N69">
            <v>6.2178361182028503E-3</v>
          </cell>
          <cell r="O69">
            <v>6.2970878733319968E-3</v>
          </cell>
          <cell r="P69">
            <v>6.6726547189684404E-3</v>
          </cell>
        </row>
        <row r="70">
          <cell r="B70" t="str">
            <v>CO2_T</v>
          </cell>
          <cell r="C70" t="str">
            <v>VAR_fout</v>
          </cell>
          <cell r="D70" t="str">
            <v>T_B_c-ICENGA-S1</v>
          </cell>
          <cell r="F70">
            <v>1.41379072138365E-2</v>
          </cell>
          <cell r="G70">
            <v>0.1057415604102382</v>
          </cell>
        </row>
        <row r="71">
          <cell r="B71" t="str">
            <v>CO2_T</v>
          </cell>
          <cell r="C71" t="str">
            <v>VAR_fout</v>
          </cell>
          <cell r="D71" t="str">
            <v>T_B_c-ICENGA-S2</v>
          </cell>
          <cell r="F71">
            <v>1.07843449696072E-2</v>
          </cell>
          <cell r="G71">
            <v>5.86318860732341E-2</v>
          </cell>
        </row>
        <row r="72">
          <cell r="B72" t="str">
            <v>CO2_T</v>
          </cell>
          <cell r="C72" t="str">
            <v>VAR_fout</v>
          </cell>
          <cell r="D72" t="str">
            <v>T_B_u-ICEDSL-S1</v>
          </cell>
          <cell r="E72">
            <v>2.2210490724635788E-2</v>
          </cell>
          <cell r="F72">
            <v>18.703388549294989</v>
          </cell>
          <cell r="G72">
            <v>33.208186386167242</v>
          </cell>
          <cell r="H72">
            <v>3.29213214981072E-3</v>
          </cell>
          <cell r="P72">
            <v>1.6911418646968899E-5</v>
          </cell>
        </row>
        <row r="73">
          <cell r="B73" t="str">
            <v>CO2_T</v>
          </cell>
          <cell r="C73" t="str">
            <v>VAR_fout</v>
          </cell>
          <cell r="D73" t="str">
            <v>T_B_c-ICENGA-S3</v>
          </cell>
          <cell r="F73">
            <v>9.7195193512588703E-3</v>
          </cell>
          <cell r="G73">
            <v>3.9112024519612799E-2</v>
          </cell>
        </row>
        <row r="74">
          <cell r="B74" t="str">
            <v>CO2_T</v>
          </cell>
          <cell r="C74" t="str">
            <v>VAR_fout</v>
          </cell>
          <cell r="D74" t="str">
            <v>T_B_u-ICEDSL-S2</v>
          </cell>
          <cell r="E74">
            <v>7.83035702888351</v>
          </cell>
          <cell r="F74">
            <v>9.7905614887348378</v>
          </cell>
          <cell r="G74">
            <v>16.261245530784237</v>
          </cell>
        </row>
        <row r="75">
          <cell r="B75" t="str">
            <v>CO2_T</v>
          </cell>
          <cell r="C75" t="str">
            <v>VAR_fout</v>
          </cell>
          <cell r="D75" t="str">
            <v>T_B_c-ICENGA-S4</v>
          </cell>
          <cell r="F75">
            <v>4.8755853313028003E-3</v>
          </cell>
          <cell r="G75">
            <v>1.4264170775121762E-2</v>
          </cell>
        </row>
        <row r="76">
          <cell r="B76" t="str">
            <v>CO2_T</v>
          </cell>
          <cell r="C76" t="str">
            <v>VAR_fout</v>
          </cell>
          <cell r="D76" t="str">
            <v>T_B_u-ICEDSL-S3</v>
          </cell>
          <cell r="E76">
            <v>45.60411320122688</v>
          </cell>
          <cell r="F76">
            <v>64.032755515700032</v>
          </cell>
          <cell r="G76">
            <v>64.189747860564353</v>
          </cell>
        </row>
        <row r="77">
          <cell r="B77" t="str">
            <v>CO2_T</v>
          </cell>
          <cell r="C77" t="str">
            <v>VAR_fout</v>
          </cell>
          <cell r="D77" t="str">
            <v>T_B_u-ICEDSL-S4</v>
          </cell>
          <cell r="E77">
            <v>0.48671410180392261</v>
          </cell>
          <cell r="F77">
            <v>0.11120409091351469</v>
          </cell>
          <cell r="G77">
            <v>0.11587405054237533</v>
          </cell>
        </row>
        <row r="78">
          <cell r="B78" t="str">
            <v>CO2_T</v>
          </cell>
          <cell r="C78" t="str">
            <v>VAR_fout</v>
          </cell>
          <cell r="D78" t="str">
            <v>T_B_c-ICENGAEXT</v>
          </cell>
          <cell r="E78">
            <v>7.7523843564532499E-3</v>
          </cell>
          <cell r="F78">
            <v>7.7638769313382004E-3</v>
          </cell>
          <cell r="G78">
            <v>7.7134478806946596E-3</v>
          </cell>
        </row>
        <row r="79">
          <cell r="B79" t="str">
            <v>CO2_T</v>
          </cell>
          <cell r="C79" t="str">
            <v>VAR_fout</v>
          </cell>
          <cell r="D79" t="str">
            <v>T_B_u-ICEDSLEXT</v>
          </cell>
          <cell r="E79">
            <v>1.27060891165297</v>
          </cell>
          <cell r="F79">
            <v>1.2693511008714999</v>
          </cell>
          <cell r="G79">
            <v>1.2640792457469401</v>
          </cell>
        </row>
        <row r="80">
          <cell r="B80" t="str">
            <v>CO2_T</v>
          </cell>
          <cell r="C80" t="str">
            <v>VAR_fout</v>
          </cell>
          <cell r="D80" t="str">
            <v>T_C-HYBGSLEXT</v>
          </cell>
          <cell r="E80">
            <v>92.554109016280904</v>
          </cell>
          <cell r="F80">
            <v>91.725127378424503</v>
          </cell>
          <cell r="G80">
            <v>68.277342147579802</v>
          </cell>
          <cell r="H80">
            <v>32.395651147195998</v>
          </cell>
        </row>
        <row r="81">
          <cell r="B81" t="str">
            <v>CO2_T</v>
          </cell>
          <cell r="C81" t="str">
            <v>VAR_fout</v>
          </cell>
          <cell r="D81" t="str">
            <v>TPAVDKEREXT</v>
          </cell>
          <cell r="E81">
            <v>79.576349423418094</v>
          </cell>
          <cell r="F81">
            <v>100.796237247683</v>
          </cell>
          <cell r="G81">
            <v>132.626068984081</v>
          </cell>
          <cell r="H81">
            <v>185.675788544743</v>
          </cell>
          <cell r="I81">
            <v>170.02894982493601</v>
          </cell>
          <cell r="J81">
            <v>154.38211110512901</v>
          </cell>
          <cell r="K81">
            <v>138.735272385321</v>
          </cell>
          <cell r="L81">
            <v>123.088433665514</v>
          </cell>
          <cell r="M81">
            <v>109.90751284479499</v>
          </cell>
          <cell r="N81">
            <v>98.138070491291401</v>
          </cell>
          <cell r="O81">
            <v>87.628958480337403</v>
          </cell>
          <cell r="P81">
            <v>78.245214379164594</v>
          </cell>
        </row>
        <row r="82">
          <cell r="B82" t="str">
            <v>CO2_T</v>
          </cell>
          <cell r="C82" t="str">
            <v>VAR_fout</v>
          </cell>
          <cell r="D82" t="str">
            <v>T_C-ICE-GSL-S1</v>
          </cell>
          <cell r="E82">
            <v>36.525403591976627</v>
          </cell>
          <cell r="F82">
            <v>40.707322384071063</v>
          </cell>
          <cell r="G82">
            <v>28.536053708202758</v>
          </cell>
          <cell r="H82">
            <v>21.90082840220315</v>
          </cell>
          <cell r="I82">
            <v>1.6600064345275363</v>
          </cell>
          <cell r="J82">
            <v>0.50390097865557215</v>
          </cell>
          <cell r="K82">
            <v>0.32183773784535163</v>
          </cell>
          <cell r="L82">
            <v>0.21112075453543072</v>
          </cell>
          <cell r="M82">
            <v>0.11908754567531561</v>
          </cell>
          <cell r="N82">
            <v>0.11162910578620919</v>
          </cell>
          <cell r="O82">
            <v>0.1225000545989617</v>
          </cell>
          <cell r="P82">
            <v>0.15741685947949668</v>
          </cell>
        </row>
        <row r="83">
          <cell r="B83" t="str">
            <v>CO2_T</v>
          </cell>
          <cell r="C83" t="str">
            <v>VAR_fout</v>
          </cell>
          <cell r="D83" t="str">
            <v>TFLGV-ICEGSL</v>
          </cell>
          <cell r="E83">
            <v>28.879004610412032</v>
          </cell>
          <cell r="F83">
            <v>42.788847460507206</v>
          </cell>
          <cell r="G83">
            <v>68.660905526333963</v>
          </cell>
          <cell r="H83">
            <v>108.86229784475958</v>
          </cell>
          <cell r="I83">
            <v>146.76646095993951</v>
          </cell>
          <cell r="J83">
            <v>88.348895822722852</v>
          </cell>
          <cell r="K83">
            <v>97.032553301204217</v>
          </cell>
          <cell r="L83">
            <v>106.9913470071448</v>
          </cell>
          <cell r="M83">
            <v>107.4631672613031</v>
          </cell>
          <cell r="N83">
            <v>109.06888449838868</v>
          </cell>
          <cell r="O83">
            <v>109.15360124458513</v>
          </cell>
          <cell r="P83">
            <v>109.6096024194637</v>
          </cell>
        </row>
        <row r="84">
          <cell r="B84" t="str">
            <v>CO2_T</v>
          </cell>
          <cell r="C84" t="str">
            <v>VAR_fout</v>
          </cell>
          <cell r="D84" t="str">
            <v>T_C-ICE-GSL-S2</v>
          </cell>
          <cell r="E84">
            <v>277.94540839391829</v>
          </cell>
          <cell r="F84">
            <v>391.75047099226538</v>
          </cell>
          <cell r="G84">
            <v>390.61772453682431</v>
          </cell>
          <cell r="H84">
            <v>306.38704044289744</v>
          </cell>
          <cell r="I84">
            <v>15.680459780599165</v>
          </cell>
          <cell r="J84">
            <v>2.2530673875182412</v>
          </cell>
          <cell r="K84">
            <v>1.013903060937986</v>
          </cell>
          <cell r="L84">
            <v>0.52815303114021095</v>
          </cell>
          <cell r="M84">
            <v>0.29209155645845608</v>
          </cell>
          <cell r="N84">
            <v>0.27933757131634462</v>
          </cell>
          <cell r="O84">
            <v>0.31172559937080802</v>
          </cell>
          <cell r="P84">
            <v>0.38532510266543701</v>
          </cell>
        </row>
        <row r="85">
          <cell r="B85" t="str">
            <v>CO2_T</v>
          </cell>
          <cell r="C85" t="str">
            <v>VAR_fout</v>
          </cell>
          <cell r="D85" t="str">
            <v>T_C-ICE-DSL-S1</v>
          </cell>
          <cell r="E85">
            <v>0.3664028396541355</v>
          </cell>
          <cell r="F85">
            <v>0.49221033316187379</v>
          </cell>
          <cell r="G85">
            <v>0.46632585757170075</v>
          </cell>
          <cell r="H85">
            <v>0.50674683869071135</v>
          </cell>
          <cell r="I85">
            <v>0.50429039123130925</v>
          </cell>
          <cell r="J85">
            <v>3.0580870866424523</v>
          </cell>
          <cell r="K85">
            <v>2.5085811595255785</v>
          </cell>
          <cell r="L85">
            <v>1.7686721385345991</v>
          </cell>
          <cell r="M85">
            <v>0.31580223283451203</v>
          </cell>
          <cell r="N85">
            <v>8.1238556695829106E-2</v>
          </cell>
          <cell r="O85">
            <v>4.89623582878543E-2</v>
          </cell>
          <cell r="P85">
            <v>4.4159270203699801E-2</v>
          </cell>
        </row>
        <row r="86">
          <cell r="B86" t="str">
            <v>CO2_T</v>
          </cell>
          <cell r="C86" t="str">
            <v>VAR_fout</v>
          </cell>
          <cell r="D86" t="str">
            <v>T_C-ICE-GSL-S3</v>
          </cell>
          <cell r="E86">
            <v>280.43082612220036</v>
          </cell>
          <cell r="F86">
            <v>423.86891140328254</v>
          </cell>
          <cell r="G86">
            <v>555.31912765864024</v>
          </cell>
          <cell r="H86">
            <v>464.56492294376358</v>
          </cell>
          <cell r="I86">
            <v>170.09058738319484</v>
          </cell>
          <cell r="J86">
            <v>73.246965858516262</v>
          </cell>
          <cell r="K86">
            <v>40.486150548706</v>
          </cell>
          <cell r="L86">
            <v>2.6853414812762231</v>
          </cell>
          <cell r="M86">
            <v>0.68971398774252601</v>
          </cell>
          <cell r="N86">
            <v>0.49736761924226397</v>
          </cell>
          <cell r="O86">
            <v>0.52486484839474778</v>
          </cell>
          <cell r="P86">
            <v>0.56724857669951101</v>
          </cell>
        </row>
        <row r="87">
          <cell r="B87" t="str">
            <v>CO2_T</v>
          </cell>
          <cell r="C87" t="str">
            <v>VAR_fout</v>
          </cell>
          <cell r="D87" t="str">
            <v>T_C-ICE-DSL-S2</v>
          </cell>
          <cell r="E87">
            <v>89.067324298235931</v>
          </cell>
          <cell r="F87">
            <v>94.122745215253119</v>
          </cell>
          <cell r="G87">
            <v>93.482660255767527</v>
          </cell>
          <cell r="H87">
            <v>56.732813871620607</v>
          </cell>
          <cell r="I87">
            <v>2.131764662424966</v>
          </cell>
          <cell r="J87">
            <v>0.58639342235487235</v>
          </cell>
          <cell r="K87">
            <v>0.46809383361172635</v>
          </cell>
          <cell r="L87">
            <v>0.39394557587802942</v>
          </cell>
          <cell r="M87">
            <v>0.24134666686904238</v>
          </cell>
          <cell r="N87">
            <v>0.16791063389619179</v>
          </cell>
          <cell r="O87">
            <v>0.1017299889106478</v>
          </cell>
          <cell r="P87">
            <v>8.835379799567139E-2</v>
          </cell>
        </row>
        <row r="88">
          <cell r="B88" t="str">
            <v>CO2_T</v>
          </cell>
          <cell r="C88" t="str">
            <v>VAR_fout</v>
          </cell>
          <cell r="D88" t="str">
            <v>T_C-ICE-GSL-S4</v>
          </cell>
          <cell r="E88">
            <v>289.9993758775916</v>
          </cell>
          <cell r="F88">
            <v>387.93166282638384</v>
          </cell>
          <cell r="G88">
            <v>978.91105947591075</v>
          </cell>
          <cell r="H88">
            <v>1869.1854754761002</v>
          </cell>
          <cell r="I88">
            <v>2356.6298077866845</v>
          </cell>
          <cell r="J88">
            <v>2166.4355225582995</v>
          </cell>
          <cell r="K88">
            <v>1904.7801782474348</v>
          </cell>
          <cell r="L88">
            <v>1670.167671842921</v>
          </cell>
          <cell r="M88">
            <v>1491.3819884905442</v>
          </cell>
          <cell r="N88">
            <v>1324.386016088539</v>
          </cell>
          <cell r="O88">
            <v>1209.8001471717721</v>
          </cell>
          <cell r="P88">
            <v>1123.8709046422641</v>
          </cell>
        </row>
        <row r="89">
          <cell r="B89" t="str">
            <v>CO2_T</v>
          </cell>
          <cell r="C89" t="str">
            <v>VAR_fout</v>
          </cell>
          <cell r="D89" t="str">
            <v>T_C-ICE-DSL-S3</v>
          </cell>
          <cell r="E89">
            <v>367.48918012927697</v>
          </cell>
          <cell r="F89">
            <v>390.54870150870835</v>
          </cell>
          <cell r="G89">
            <v>386.89617936690894</v>
          </cell>
          <cell r="H89">
            <v>295.68255422554643</v>
          </cell>
          <cell r="I89">
            <v>10.617844675601177</v>
          </cell>
          <cell r="J89">
            <v>0.55942493981805086</v>
          </cell>
          <cell r="K89">
            <v>0.50141023060905698</v>
          </cell>
          <cell r="L89">
            <v>0.55574664071013902</v>
          </cell>
          <cell r="M89">
            <v>0.37319290058576643</v>
          </cell>
          <cell r="N89">
            <v>0.26235288806312962</v>
          </cell>
          <cell r="O89">
            <v>0.13961497819578811</v>
          </cell>
          <cell r="P89">
            <v>0.10869591634747469</v>
          </cell>
        </row>
        <row r="90">
          <cell r="B90" t="str">
            <v>CO2_T</v>
          </cell>
          <cell r="C90" t="str">
            <v>VAR_fout</v>
          </cell>
          <cell r="D90" t="str">
            <v>T_C-ICE-DSL-S4</v>
          </cell>
          <cell r="E90">
            <v>141.02406796402229</v>
          </cell>
          <cell r="F90">
            <v>162.07127028229624</v>
          </cell>
          <cell r="G90">
            <v>159.18852455887844</v>
          </cell>
          <cell r="H90">
            <v>121.33894333600658</v>
          </cell>
          <cell r="I90">
            <v>8.125604145433531</v>
          </cell>
          <cell r="J90">
            <v>0.43374360644569709</v>
          </cell>
          <cell r="K90">
            <v>0.42022297641549738</v>
          </cell>
          <cell r="L90">
            <v>0.50814037630114206</v>
          </cell>
          <cell r="M90">
            <v>0.3602194832053342</v>
          </cell>
          <cell r="N90">
            <v>0.2456833305097367</v>
          </cell>
          <cell r="O90">
            <v>0.1192277065845533</v>
          </cell>
          <cell r="P90">
            <v>9.4660708243542391E-2</v>
          </cell>
        </row>
        <row r="91">
          <cell r="B91" t="str">
            <v>CO2_T</v>
          </cell>
          <cell r="C91" t="str">
            <v>VAR_fout</v>
          </cell>
          <cell r="D91" t="str">
            <v>TFLGV-ICENGAExt</v>
          </cell>
          <cell r="E91">
            <v>6.0092709885506901</v>
          </cell>
          <cell r="F91">
            <v>1.8293455987026801</v>
          </cell>
          <cell r="G91">
            <v>3.93495284730857</v>
          </cell>
          <cell r="H91">
            <v>5.9399543308428105E-4</v>
          </cell>
        </row>
        <row r="92">
          <cell r="B92" t="str">
            <v>CO2_T</v>
          </cell>
          <cell r="C92" t="str">
            <v>VAR_fout</v>
          </cell>
          <cell r="D92" t="str">
            <v>T_B_u-HYBDSL-S1</v>
          </cell>
          <cell r="F92">
            <v>0.55095811617280399</v>
          </cell>
          <cell r="G92">
            <v>0.62966192521565623</v>
          </cell>
          <cell r="H92">
            <v>7.5224931769440201E-2</v>
          </cell>
          <cell r="I92">
            <v>0.17595247024656011</v>
          </cell>
          <cell r="J92">
            <v>0.23991663822087622</v>
          </cell>
          <cell r="K92">
            <v>0.43640121207652321</v>
          </cell>
          <cell r="L92">
            <v>0.94436637715923211</v>
          </cell>
          <cell r="M92">
            <v>1.6030558610704828</v>
          </cell>
          <cell r="N92">
            <v>4.1494202246118945</v>
          </cell>
          <cell r="O92">
            <v>16.21219809573018</v>
          </cell>
          <cell r="P92">
            <v>21.37578680917758</v>
          </cell>
        </row>
        <row r="93">
          <cell r="B93" t="str">
            <v>CO2_T</v>
          </cell>
          <cell r="C93" t="str">
            <v>VAR_fout</v>
          </cell>
          <cell r="D93" t="str">
            <v>T_B_u-HYBDSL-S2</v>
          </cell>
          <cell r="F93">
            <v>7.3122168036105203E-2</v>
          </cell>
          <cell r="G93">
            <v>0.12893671363484849</v>
          </cell>
          <cell r="H93">
            <v>0.12072145520612559</v>
          </cell>
          <cell r="I93">
            <v>0.172805240957742</v>
          </cell>
          <cell r="J93">
            <v>0.21431657822570327</v>
          </cell>
          <cell r="K93">
            <v>0.3305572383827205</v>
          </cell>
          <cell r="L93">
            <v>0.50057664637819488</v>
          </cell>
          <cell r="M93">
            <v>0.70195411400599816</v>
          </cell>
          <cell r="N93">
            <v>1.0301516079055109</v>
          </cell>
          <cell r="O93">
            <v>1.353447706834662</v>
          </cell>
          <cell r="P93">
            <v>2.0390951174929661</v>
          </cell>
        </row>
        <row r="94">
          <cell r="B94" t="str">
            <v>CO2_T</v>
          </cell>
          <cell r="C94" t="str">
            <v>VAR_fout</v>
          </cell>
          <cell r="D94" t="str">
            <v>T_B_u-HYBDSL-S3</v>
          </cell>
          <cell r="F94">
            <v>2.7627419833544899</v>
          </cell>
          <cell r="G94">
            <v>42.24747670786472</v>
          </cell>
          <cell r="H94">
            <v>60.231600654693224</v>
          </cell>
          <cell r="I94">
            <v>64.114581779614099</v>
          </cell>
          <cell r="J94">
            <v>72.324099603309094</v>
          </cell>
          <cell r="K94">
            <v>77.595624986065602</v>
          </cell>
          <cell r="L94">
            <v>82.74012037181771</v>
          </cell>
          <cell r="M94">
            <v>87.855454094407662</v>
          </cell>
          <cell r="N94">
            <v>91.521131498546708</v>
          </cell>
          <cell r="O94">
            <v>75.349113053070198</v>
          </cell>
          <cell r="P94">
            <v>69.190667828202493</v>
          </cell>
        </row>
        <row r="95">
          <cell r="B95" t="str">
            <v>CO2_T</v>
          </cell>
          <cell r="C95" t="str">
            <v>VAR_fout</v>
          </cell>
          <cell r="D95" t="str">
            <v>T_C-HY-GSL-S1</v>
          </cell>
          <cell r="E95">
            <v>3.3237958820891569</v>
          </cell>
          <cell r="F95">
            <v>4.0250006066750394</v>
          </cell>
          <cell r="G95">
            <v>2.9010391345820827</v>
          </cell>
          <cell r="H95">
            <v>2.3007948826993152</v>
          </cell>
          <cell r="I95">
            <v>21.544274083835781</v>
          </cell>
          <cell r="J95">
            <v>39.326009821983526</v>
          </cell>
          <cell r="K95">
            <v>30.64205883791379</v>
          </cell>
          <cell r="L95">
            <v>12.578733379676715</v>
          </cell>
          <cell r="M95">
            <v>2.3326396624979964</v>
          </cell>
          <cell r="N95">
            <v>9.6595408485335525</v>
          </cell>
          <cell r="O95">
            <v>32.873119676117021</v>
          </cell>
          <cell r="P95">
            <v>43.914878574182005</v>
          </cell>
        </row>
        <row r="96">
          <cell r="B96" t="str">
            <v>CO2_T</v>
          </cell>
          <cell r="C96" t="str">
            <v>VAR_fout</v>
          </cell>
          <cell r="D96" t="str">
            <v>T_B_u-HYBDSL-S4</v>
          </cell>
          <cell r="F96">
            <v>1.2549994444900001E-2</v>
          </cell>
          <cell r="G96">
            <v>2.3641262053316701E-2</v>
          </cell>
          <cell r="H96">
            <v>2.007404467426626E-2</v>
          </cell>
          <cell r="I96">
            <v>1.8135816264630792E-2</v>
          </cell>
          <cell r="J96">
            <v>2.9486610280360599E-2</v>
          </cell>
          <cell r="K96">
            <v>2.6415737954686401E-2</v>
          </cell>
          <cell r="L96">
            <v>3.4325184761650501E-2</v>
          </cell>
          <cell r="M96">
            <v>3.6194086476326298E-2</v>
          </cell>
          <cell r="N96">
            <v>3.3390442046626591E-2</v>
          </cell>
          <cell r="O96">
            <v>4.9357957359857096E-2</v>
          </cell>
          <cell r="P96">
            <v>6.3563107406236191E-2</v>
          </cell>
        </row>
        <row r="97">
          <cell r="B97" t="str">
            <v>CO2_T</v>
          </cell>
          <cell r="C97" t="str">
            <v>VAR_fout</v>
          </cell>
          <cell r="D97" t="str">
            <v>TFRLFDSLEXT</v>
          </cell>
          <cell r="E97">
            <v>29.033457938444499</v>
          </cell>
          <cell r="F97">
            <v>0.18632640383587001</v>
          </cell>
          <cell r="G97">
            <v>0.19351949902995799</v>
          </cell>
          <cell r="H97">
            <v>0.20142900233047001</v>
          </cell>
          <cell r="I97">
            <v>0.19626813886567601</v>
          </cell>
          <cell r="J97">
            <v>0.19581244531391401</v>
          </cell>
          <cell r="K97">
            <v>0.19634639168456</v>
          </cell>
          <cell r="L97">
            <v>0.16405163360286201</v>
          </cell>
          <cell r="M97">
            <v>8.5602110098644102E-2</v>
          </cell>
          <cell r="N97">
            <v>0.166875870821316</v>
          </cell>
          <cell r="O97">
            <v>0.169886051717871</v>
          </cell>
          <cell r="P97">
            <v>0.31964777810769401</v>
          </cell>
        </row>
        <row r="98">
          <cell r="B98" t="str">
            <v>CO2_T</v>
          </cell>
          <cell r="C98" t="str">
            <v>VAR_fout</v>
          </cell>
          <cell r="D98" t="str">
            <v>T_C-HY-GSL-S2</v>
          </cell>
          <cell r="E98">
            <v>10.30335657519932</v>
          </cell>
          <cell r="F98">
            <v>15.320070013408396</v>
          </cell>
          <cell r="G98">
            <v>19.252278175495182</v>
          </cell>
          <cell r="H98">
            <v>15.497694292926168</v>
          </cell>
          <cell r="I98">
            <v>77.746946887549882</v>
          </cell>
          <cell r="J98">
            <v>66.63216401078239</v>
          </cell>
          <cell r="K98">
            <v>47.298919902724933</v>
          </cell>
          <cell r="L98">
            <v>0.97231347166084003</v>
          </cell>
          <cell r="M98">
            <v>0.63207809013561822</v>
          </cell>
          <cell r="N98">
            <v>0.84341750807782401</v>
          </cell>
          <cell r="O98">
            <v>1.155567924065668</v>
          </cell>
          <cell r="P98">
            <v>1.1572813303025291</v>
          </cell>
        </row>
        <row r="99">
          <cell r="B99" t="str">
            <v>CO2_T</v>
          </cell>
          <cell r="C99" t="str">
            <v>VAR_fout</v>
          </cell>
          <cell r="D99" t="str">
            <v>T_C-HY-DSL-S1</v>
          </cell>
          <cell r="E99">
            <v>2.4245560097785799E-3</v>
          </cell>
          <cell r="F99">
            <v>10.731371542562048</v>
          </cell>
          <cell r="G99">
            <v>7.2252512661532569</v>
          </cell>
          <cell r="H99">
            <v>5.870890050847331</v>
          </cell>
          <cell r="I99">
            <v>55.421828183512375</v>
          </cell>
          <cell r="J99">
            <v>61.824037575800816</v>
          </cell>
          <cell r="K99">
            <v>74.872240538046299</v>
          </cell>
          <cell r="L99">
            <v>34.228969875693934</v>
          </cell>
          <cell r="M99">
            <v>36.19438631872589</v>
          </cell>
          <cell r="N99">
            <v>26.180504349525808</v>
          </cell>
          <cell r="O99">
            <v>0.19546382807270568</v>
          </cell>
          <cell r="P99">
            <v>0.19693370106081221</v>
          </cell>
        </row>
        <row r="100">
          <cell r="B100" t="str">
            <v>CO2_T</v>
          </cell>
          <cell r="C100" t="str">
            <v>VAR_fout</v>
          </cell>
          <cell r="D100" t="str">
            <v>T_C-HY-GSL-S3</v>
          </cell>
          <cell r="E100">
            <v>7.6364299203588857</v>
          </cell>
          <cell r="F100">
            <v>82.543512967877433</v>
          </cell>
          <cell r="G100">
            <v>78.107934851572409</v>
          </cell>
          <cell r="H100">
            <v>62.523281078578663</v>
          </cell>
          <cell r="I100">
            <v>19.968621115313166</v>
          </cell>
          <cell r="J100">
            <v>0.35689847158288934</v>
          </cell>
          <cell r="K100">
            <v>0.3883624642252248</v>
          </cell>
          <cell r="L100">
            <v>0.464982228276628</v>
          </cell>
          <cell r="M100">
            <v>0.4301301613189944</v>
          </cell>
          <cell r="N100">
            <v>0.47830611669955697</v>
          </cell>
          <cell r="O100">
            <v>0.47065762207216538</v>
          </cell>
          <cell r="P100">
            <v>0.42204994485791497</v>
          </cell>
        </row>
        <row r="101">
          <cell r="B101" t="str">
            <v>CO2_T</v>
          </cell>
          <cell r="C101" t="str">
            <v>VAR_fout</v>
          </cell>
          <cell r="D101" t="str">
            <v>T_C-HY-DSL-S2</v>
          </cell>
          <cell r="E101">
            <v>0.19518341000259931</v>
          </cell>
          <cell r="F101">
            <v>42.568562964130152</v>
          </cell>
          <cell r="G101">
            <v>60.061161300978213</v>
          </cell>
          <cell r="H101">
            <v>49.878699806581146</v>
          </cell>
          <cell r="I101">
            <v>24.621584704945743</v>
          </cell>
          <cell r="J101">
            <v>2.8240650098521214</v>
          </cell>
          <cell r="K101">
            <v>1.8800653426629479</v>
          </cell>
          <cell r="L101">
            <v>1.3394847624298252</v>
          </cell>
          <cell r="M101">
            <v>0.98710750975054162</v>
          </cell>
          <cell r="N101">
            <v>1.1389002502710059</v>
          </cell>
          <cell r="O101">
            <v>29.039695722356157</v>
          </cell>
          <cell r="P101">
            <v>32.7253627504383</v>
          </cell>
        </row>
        <row r="102">
          <cell r="B102" t="str">
            <v>CO2_T</v>
          </cell>
          <cell r="C102" t="str">
            <v>VAR_fout</v>
          </cell>
          <cell r="D102" t="str">
            <v>T_C-HY-GSL-S4</v>
          </cell>
          <cell r="E102">
            <v>6.6645734360021223</v>
          </cell>
          <cell r="F102">
            <v>10.088634252080215</v>
          </cell>
          <cell r="G102">
            <v>9.6976693883695582</v>
          </cell>
          <cell r="H102">
            <v>8.1195601965972273</v>
          </cell>
          <cell r="I102">
            <v>1.5667771338951033</v>
          </cell>
          <cell r="J102">
            <v>1.0655669441055191</v>
          </cell>
          <cell r="K102">
            <v>1.3660464825873411</v>
          </cell>
          <cell r="L102">
            <v>82.789546446520063</v>
          </cell>
          <cell r="M102">
            <v>78.014076959337331</v>
          </cell>
          <cell r="N102">
            <v>61.656769886085364</v>
          </cell>
          <cell r="O102">
            <v>20.097069292758466</v>
          </cell>
          <cell r="P102">
            <v>0.904474944484294</v>
          </cell>
        </row>
        <row r="103">
          <cell r="B103" t="str">
            <v>CO2_T</v>
          </cell>
          <cell r="C103" t="str">
            <v>VAR_fout</v>
          </cell>
          <cell r="D103" t="str">
            <v>T_C-HY-DSL-S3</v>
          </cell>
          <cell r="E103">
            <v>2.0746284142883589</v>
          </cell>
          <cell r="F103">
            <v>3.5291146601611567</v>
          </cell>
          <cell r="G103">
            <v>3.4175292527837606</v>
          </cell>
          <cell r="H103">
            <v>2.6454011879110495</v>
          </cell>
          <cell r="I103">
            <v>0.7064087861367746</v>
          </cell>
          <cell r="J103">
            <v>0.29065341531872091</v>
          </cell>
          <cell r="K103">
            <v>0.35476952633782372</v>
          </cell>
          <cell r="L103">
            <v>0.45424307503569739</v>
          </cell>
          <cell r="M103">
            <v>0.44277480557891102</v>
          </cell>
          <cell r="N103">
            <v>0.53718507496321899</v>
          </cell>
          <cell r="O103">
            <v>0.667724901302718</v>
          </cell>
          <cell r="P103">
            <v>0.99413725389095298</v>
          </cell>
        </row>
        <row r="104">
          <cell r="B104" t="str">
            <v>CO2_T</v>
          </cell>
          <cell r="C104" t="str">
            <v>VAR_fout</v>
          </cell>
          <cell r="D104" t="str">
            <v>T_C-HY-DSL-S4</v>
          </cell>
          <cell r="E104">
            <v>2.5461110508408797</v>
          </cell>
          <cell r="F104">
            <v>5.403931447785097</v>
          </cell>
          <cell r="G104">
            <v>5.1634014449326369</v>
          </cell>
          <cell r="H104">
            <v>4.2994381638868555</v>
          </cell>
          <cell r="I104">
            <v>1.2635830238028793</v>
          </cell>
          <cell r="J104">
            <v>0.62774612288737908</v>
          </cell>
          <cell r="K104">
            <v>10.257591850239711</v>
          </cell>
          <cell r="L104">
            <v>83.776677020130435</v>
          </cell>
          <cell r="M104">
            <v>79.37328433621829</v>
          </cell>
          <cell r="N104">
            <v>55.259528326719575</v>
          </cell>
          <cell r="O104">
            <v>12.235852410948867</v>
          </cell>
          <cell r="P104">
            <v>4.774549817030401</v>
          </cell>
        </row>
        <row r="105">
          <cell r="B105" t="str">
            <v>CO2_T</v>
          </cell>
          <cell r="C105" t="str">
            <v>VAR_fout</v>
          </cell>
          <cell r="D105" t="str">
            <v>TFHGV-HYBDSL</v>
          </cell>
          <cell r="F105">
            <v>226.457771021436</v>
          </cell>
          <cell r="G105">
            <v>308.29173979674891</v>
          </cell>
          <cell r="H105">
            <v>821.42060771857905</v>
          </cell>
          <cell r="I105">
            <v>1083.5328244415791</v>
          </cell>
          <cell r="J105">
            <v>1128.4508735466611</v>
          </cell>
          <cell r="K105">
            <v>1174.1512473017519</v>
          </cell>
          <cell r="L105">
            <v>1219.2239550173681</v>
          </cell>
          <cell r="M105">
            <v>1258.123064288259</v>
          </cell>
          <cell r="N105">
            <v>1301.6704248393901</v>
          </cell>
          <cell r="O105">
            <v>1345.7042556925139</v>
          </cell>
          <cell r="P105">
            <v>1389.8081553792881</v>
          </cell>
        </row>
        <row r="106">
          <cell r="B106" t="str">
            <v>CO2_T</v>
          </cell>
          <cell r="C106" t="str">
            <v>VAR_fout</v>
          </cell>
          <cell r="D106" t="str">
            <v>TFHGV-ICEDSL</v>
          </cell>
          <cell r="E106">
            <v>382.50426398997746</v>
          </cell>
          <cell r="F106">
            <v>448.51041240423456</v>
          </cell>
          <cell r="G106">
            <v>351.39712291910701</v>
          </cell>
          <cell r="H106">
            <v>32.987929136647068</v>
          </cell>
          <cell r="I106">
            <v>0.66938475571176292</v>
          </cell>
          <cell r="J106">
            <v>0.94993094346981699</v>
          </cell>
          <cell r="K106">
            <v>0.812339001401156</v>
          </cell>
          <cell r="L106">
            <v>0.96764106526571603</v>
          </cell>
          <cell r="M106">
            <v>1.0252514038286999</v>
          </cell>
          <cell r="N106">
            <v>0.91376488377941001</v>
          </cell>
          <cell r="O106">
            <v>1.2729316222834539</v>
          </cell>
          <cell r="P106">
            <v>1.6920901252098282</v>
          </cell>
        </row>
        <row r="107">
          <cell r="B107" t="str">
            <v>CO2_T</v>
          </cell>
          <cell r="C107" t="str">
            <v>VAR_fout</v>
          </cell>
          <cell r="D107" t="str">
            <v>T-Plg-DSL-mix_S1</v>
          </cell>
          <cell r="E107">
            <v>1.3258138680644399E-3</v>
          </cell>
          <cell r="F107">
            <v>0.1193847333340752</v>
          </cell>
          <cell r="G107">
            <v>0.17253137599684021</v>
          </cell>
          <cell r="H107">
            <v>0.20388115888408101</v>
          </cell>
          <cell r="I107">
            <v>0.25367690944414062</v>
          </cell>
          <cell r="J107">
            <v>0.36200893573150228</v>
          </cell>
          <cell r="K107">
            <v>0.35319742469570203</v>
          </cell>
          <cell r="L107">
            <v>0.49230583673136297</v>
          </cell>
          <cell r="M107">
            <v>0.36214710512538878</v>
          </cell>
          <cell r="N107">
            <v>0.13289741463861748</v>
          </cell>
          <cell r="O107">
            <v>6.1562873228665396E-2</v>
          </cell>
          <cell r="P107">
            <v>4.6147939808902708E-2</v>
          </cell>
        </row>
        <row r="108">
          <cell r="B108" t="str">
            <v>CO2_T</v>
          </cell>
          <cell r="C108" t="str">
            <v>VAR_fout</v>
          </cell>
          <cell r="D108" t="str">
            <v>T-Plg-DSL-mix_S2</v>
          </cell>
          <cell r="E108">
            <v>8.0725568178771298E-4</v>
          </cell>
          <cell r="F108">
            <v>0.14677458731523729</v>
          </cell>
          <cell r="G108">
            <v>0.72263050718532407</v>
          </cell>
          <cell r="H108">
            <v>0.86952982169246895</v>
          </cell>
          <cell r="I108">
            <v>1.8618210003200846</v>
          </cell>
          <cell r="J108">
            <v>2.1274906859977492</v>
          </cell>
          <cell r="K108">
            <v>1.7273378211758033</v>
          </cell>
          <cell r="L108">
            <v>1.4406325954248151</v>
          </cell>
          <cell r="M108">
            <v>0.92246505548171909</v>
          </cell>
          <cell r="N108">
            <v>0.51936476404880605</v>
          </cell>
          <cell r="O108">
            <v>0.15523713060888789</v>
          </cell>
          <cell r="P108">
            <v>8.3107021217285693E-2</v>
          </cell>
        </row>
        <row r="109">
          <cell r="B109" t="str">
            <v>CO2_T</v>
          </cell>
          <cell r="C109" t="str">
            <v>VAR_fout</v>
          </cell>
          <cell r="D109" t="str">
            <v>T-Plg-DSL-mix_S3</v>
          </cell>
          <cell r="E109">
            <v>8.3140956712706299E-3</v>
          </cell>
          <cell r="F109">
            <v>58.834675813634504</v>
          </cell>
          <cell r="G109">
            <v>161.97061389601021</v>
          </cell>
          <cell r="H109">
            <v>523.06977571230664</v>
          </cell>
          <cell r="I109">
            <v>744.53215740238579</v>
          </cell>
          <cell r="J109">
            <v>471.9431136943183</v>
          </cell>
          <cell r="K109">
            <v>234.71417260273296</v>
          </cell>
          <cell r="L109">
            <v>158.51971492845294</v>
          </cell>
          <cell r="M109">
            <v>87.983961608998385</v>
          </cell>
          <cell r="N109">
            <v>42.707689947595384</v>
          </cell>
          <cell r="O109">
            <v>5.977245955280952</v>
          </cell>
          <cell r="P109">
            <v>9.4771266509227098E-2</v>
          </cell>
        </row>
        <row r="110">
          <cell r="B110" t="str">
            <v>CO2_T</v>
          </cell>
          <cell r="C110" t="str">
            <v>VAR_fout</v>
          </cell>
          <cell r="D110" t="str">
            <v>T_B_c-ICEDSL-S1</v>
          </cell>
          <cell r="E110">
            <v>8.2833981301480506</v>
          </cell>
          <cell r="F110">
            <v>22.440441805870798</v>
          </cell>
          <cell r="G110">
            <v>27.15881397782001</v>
          </cell>
        </row>
        <row r="111">
          <cell r="B111" t="str">
            <v>CO2_T</v>
          </cell>
          <cell r="C111" t="str">
            <v>VAR_fout</v>
          </cell>
          <cell r="D111" t="str">
            <v>T-Plg-DSL-mix_S4</v>
          </cell>
          <cell r="E111">
            <v>0.40532893165191902</v>
          </cell>
          <cell r="F111">
            <v>1.8592921305388801</v>
          </cell>
          <cell r="G111">
            <v>2.4150714993466265</v>
          </cell>
          <cell r="H111">
            <v>2.794592081222977</v>
          </cell>
          <cell r="I111">
            <v>163.00669038504503</v>
          </cell>
          <cell r="J111">
            <v>322.26959126435645</v>
          </cell>
          <cell r="K111">
            <v>281.48798667921636</v>
          </cell>
          <cell r="L111">
            <v>163.55171583595313</v>
          </cell>
          <cell r="M111">
            <v>153.45697585446166</v>
          </cell>
          <cell r="N111">
            <v>186.37868400421044</v>
          </cell>
          <cell r="O111">
            <v>238.01074461074865</v>
          </cell>
          <cell r="P111">
            <v>232.4437448223608</v>
          </cell>
        </row>
        <row r="112">
          <cell r="B112" t="str">
            <v>CO2_T</v>
          </cell>
          <cell r="C112" t="str">
            <v>VAR_fout</v>
          </cell>
          <cell r="D112" t="str">
            <v>T_B_c-ICEDSL-S2</v>
          </cell>
          <cell r="E112">
            <v>38.017822230320697</v>
          </cell>
          <cell r="F112">
            <v>29.0941481334205</v>
          </cell>
          <cell r="G112">
            <v>31.601868440506966</v>
          </cell>
        </row>
        <row r="113">
          <cell r="B113" t="str">
            <v>CO2_T</v>
          </cell>
          <cell r="C113" t="str">
            <v>VAR_fout</v>
          </cell>
          <cell r="D113" t="str">
            <v>T_B_c-ICEDSL-S3</v>
          </cell>
          <cell r="E113">
            <v>11.5687088935373</v>
          </cell>
          <cell r="F113">
            <v>9.2443420921377069</v>
          </cell>
          <cell r="G113">
            <v>10.652880724667094</v>
          </cell>
        </row>
        <row r="114">
          <cell r="B114" t="str">
            <v>CO2_T</v>
          </cell>
          <cell r="C114" t="str">
            <v>VAR_fout</v>
          </cell>
          <cell r="D114" t="str">
            <v>T_B_c-ICEDSL-S4</v>
          </cell>
          <cell r="E114">
            <v>1.2793972711787971</v>
          </cell>
          <cell r="F114">
            <v>0.10966931898389749</v>
          </cell>
          <cell r="G114">
            <v>0.12312204945451372</v>
          </cell>
        </row>
        <row r="115">
          <cell r="B115" t="str">
            <v>CO2_T</v>
          </cell>
          <cell r="C115" t="str">
            <v>VAR_fout</v>
          </cell>
          <cell r="D115" t="str">
            <v>T_B_u-ICENGA-S1</v>
          </cell>
          <cell r="F115">
            <v>1.4911067763807099E-2</v>
          </cell>
          <cell r="G115">
            <v>0.1531426495370426</v>
          </cell>
          <cell r="K115">
            <v>3.02083611720333E-5</v>
          </cell>
          <cell r="L115">
            <v>1.4482389141396E-5</v>
          </cell>
          <cell r="M115">
            <v>1.50246444022698E-5</v>
          </cell>
          <cell r="N115">
            <v>1.44190981897033E-5</v>
          </cell>
          <cell r="P115">
            <v>6.6795557613948003E-5</v>
          </cell>
        </row>
        <row r="116">
          <cell r="B116" t="str">
            <v>CO2_T</v>
          </cell>
          <cell r="C116" t="str">
            <v>VAR_fout</v>
          </cell>
          <cell r="D116" t="str">
            <v>T_B_u-ICENGA-S2</v>
          </cell>
          <cell r="F116">
            <v>1.16141812519915E-2</v>
          </cell>
          <cell r="G116">
            <v>0.68149517360464695</v>
          </cell>
        </row>
        <row r="117">
          <cell r="B117" t="str">
            <v>CO2_T</v>
          </cell>
          <cell r="C117" t="str">
            <v>VAR_fout</v>
          </cell>
          <cell r="D117" t="str">
            <v>T_B_c-ICEDSLEXT</v>
          </cell>
          <cell r="E117">
            <v>0.44179848865367799</v>
          </cell>
          <cell r="F117">
            <v>0.44078675608173401</v>
          </cell>
          <cell r="G117">
            <v>0.43742782183943502</v>
          </cell>
        </row>
        <row r="118">
          <cell r="B118" t="str">
            <v>CO2_T</v>
          </cell>
          <cell r="C118" t="str">
            <v>VAR_fout</v>
          </cell>
          <cell r="D118" t="str">
            <v>T_B_u-ICENGA-S3</v>
          </cell>
          <cell r="F118">
            <v>1.05546147476654E-2</v>
          </cell>
          <cell r="G118">
            <v>5.3541187671256402E-2</v>
          </cell>
        </row>
        <row r="119">
          <cell r="B119" t="str">
            <v>CO2_T</v>
          </cell>
          <cell r="C119" t="str">
            <v>VAR_fout</v>
          </cell>
          <cell r="D119" t="str">
            <v>T_B_u-ICENGA-S4</v>
          </cell>
          <cell r="F119">
            <v>2.7014859705140502E-3</v>
          </cell>
          <cell r="G119">
            <v>1.200850746555116E-2</v>
          </cell>
        </row>
        <row r="120">
          <cell r="B120" t="str">
            <v>CO2_T</v>
          </cell>
          <cell r="C120" t="str">
            <v>VAR_comnet</v>
          </cell>
          <cell r="D120" t="str">
            <v>-</v>
          </cell>
          <cell r="E120">
            <v>15009.8593702135</v>
          </cell>
          <cell r="F120">
            <v>14273.5953950403</v>
          </cell>
          <cell r="G120">
            <v>13603.451190374701</v>
          </cell>
          <cell r="H120">
            <v>10067.537886602</v>
          </cell>
          <cell r="I120">
            <v>7341.1358495532004</v>
          </cell>
          <cell r="J120">
            <v>6535.1892205663298</v>
          </cell>
          <cell r="K120">
            <v>5832.8069219527797</v>
          </cell>
          <cell r="L120">
            <v>5361.1560222103599</v>
          </cell>
          <cell r="M120">
            <v>5116.4850601899398</v>
          </cell>
          <cell r="N120">
            <v>4439.4338732447304</v>
          </cell>
          <cell r="O120">
            <v>4032.6463995752101</v>
          </cell>
          <cell r="P120">
            <v>3980.82908336741</v>
          </cell>
        </row>
        <row r="121">
          <cell r="B121" t="str">
            <v>CO2</v>
          </cell>
          <cell r="C121" t="str">
            <v>VAR_fout</v>
          </cell>
          <cell r="D121" t="str">
            <v>D-ICOA</v>
          </cell>
          <cell r="E121">
            <v>330.01243258972602</v>
          </cell>
          <cell r="F121">
            <v>321.17925959187301</v>
          </cell>
          <cell r="G121">
            <v>299.77047035987403</v>
          </cell>
          <cell r="H121">
            <v>0.333787503535876</v>
          </cell>
          <cell r="I121">
            <v>0.36188575572507398</v>
          </cell>
          <cell r="J121">
            <v>0.33841371983364898</v>
          </cell>
          <cell r="K121">
            <v>0.51979344345932499</v>
          </cell>
          <cell r="L121">
            <v>1.11893038549932</v>
          </cell>
          <cell r="M121">
            <v>0.69998610205962797</v>
          </cell>
          <cell r="N121">
            <v>1.0565395081269799</v>
          </cell>
          <cell r="O121">
            <v>0.60052618560797699</v>
          </cell>
          <cell r="P121">
            <v>1.1146354831060601</v>
          </cell>
        </row>
        <row r="122">
          <cell r="B122" t="str">
            <v>CO2</v>
          </cell>
          <cell r="C122" t="str">
            <v>VAR_fout</v>
          </cell>
          <cell r="D122" t="str">
            <v>D-ENGA</v>
          </cell>
          <cell r="E122">
            <v>312.15824419238902</v>
          </cell>
          <cell r="F122">
            <v>131.09775497339999</v>
          </cell>
          <cell r="G122">
            <v>91.543459975708998</v>
          </cell>
          <cell r="H122">
            <v>169.70698596993</v>
          </cell>
          <cell r="I122">
            <v>135.90700710464299</v>
          </cell>
          <cell r="J122">
            <v>311.48868766260603</v>
          </cell>
          <cell r="K122">
            <v>736.876523829093</v>
          </cell>
          <cell r="L122">
            <v>997.03013023734104</v>
          </cell>
          <cell r="M122">
            <v>1071.10675059254</v>
          </cell>
          <cell r="N122">
            <v>1136.95187463824</v>
          </cell>
          <cell r="O122">
            <v>1105.60917580162</v>
          </cell>
          <cell r="P122">
            <v>1018.57604274857</v>
          </cell>
        </row>
        <row r="123">
          <cell r="B123" t="str">
            <v>CO2</v>
          </cell>
          <cell r="C123" t="str">
            <v>VAR_fout</v>
          </cell>
          <cell r="D123" t="str">
            <v>D-ILFO</v>
          </cell>
          <cell r="E123">
            <v>689.86864910362999</v>
          </cell>
          <cell r="F123">
            <v>659.57491758625997</v>
          </cell>
          <cell r="G123">
            <v>600.83486332758798</v>
          </cell>
          <cell r="H123">
            <v>534.56430268014606</v>
          </cell>
          <cell r="I123">
            <v>417.97601708459598</v>
          </cell>
          <cell r="J123">
            <v>259.75476355462303</v>
          </cell>
          <cell r="K123">
            <v>143.08561650221301</v>
          </cell>
          <cell r="L123">
            <v>28.0470864726285</v>
          </cell>
          <cell r="M123">
            <v>27.3931084776038</v>
          </cell>
          <cell r="N123">
            <v>27.6729966357729</v>
          </cell>
          <cell r="O123">
            <v>26.7790268810766</v>
          </cell>
          <cell r="P123">
            <v>26.9531786901385</v>
          </cell>
        </row>
        <row r="124">
          <cell r="B124" t="str">
            <v>CO2</v>
          </cell>
          <cell r="C124" t="str">
            <v>VAR_fout</v>
          </cell>
          <cell r="D124" t="str">
            <v>D-TDSL</v>
          </cell>
          <cell r="E124">
            <v>8680.6836084291608</v>
          </cell>
          <cell r="F124">
            <v>8225.1508898635493</v>
          </cell>
          <cell r="G124">
            <v>7088.6989469028204</v>
          </cell>
          <cell r="H124">
            <v>5242.6425955383902</v>
          </cell>
          <cell r="I124">
            <v>3630.7622282725401</v>
          </cell>
          <cell r="J124">
            <v>3334.98138598382</v>
          </cell>
          <cell r="K124">
            <v>3067.9296159513401</v>
          </cell>
          <cell r="L124">
            <v>2955.0650497512202</v>
          </cell>
          <cell r="M124">
            <v>2913.6834751336301</v>
          </cell>
          <cell r="N124">
            <v>2425.7949678499999</v>
          </cell>
          <cell r="O124">
            <v>2153.8392273606401</v>
          </cell>
          <cell r="P124">
            <v>2174.8246197625999</v>
          </cell>
        </row>
        <row r="125">
          <cell r="B125" t="str">
            <v>CO2</v>
          </cell>
          <cell r="C125" t="str">
            <v>VAR_fout</v>
          </cell>
          <cell r="D125" t="str">
            <v>ITOT-PROCESSCO2</v>
          </cell>
          <cell r="E125">
            <v>2089.34680048464</v>
          </cell>
          <cell r="F125">
            <v>2111.0131698740802</v>
          </cell>
          <cell r="G125">
            <v>2102.26947106126</v>
          </cell>
          <cell r="H125">
            <v>2093.6570624126398</v>
          </cell>
          <cell r="I125">
            <v>2085.53495476948</v>
          </cell>
          <cell r="J125">
            <v>2077.4128471263102</v>
          </cell>
          <cell r="K125">
            <v>2070.5807016906501</v>
          </cell>
          <cell r="L125">
            <v>2063.74855625499</v>
          </cell>
          <cell r="M125">
            <v>2063.74855625499</v>
          </cell>
          <cell r="N125">
            <v>2063.74855625499</v>
          </cell>
          <cell r="O125">
            <v>2063.74855625499</v>
          </cell>
          <cell r="P125">
            <v>2063.74855625499</v>
          </cell>
        </row>
        <row r="126">
          <cell r="B126" t="str">
            <v>CO2</v>
          </cell>
          <cell r="C126" t="str">
            <v>VAR_fout</v>
          </cell>
          <cell r="D126" t="str">
            <v>D-ELFO</v>
          </cell>
          <cell r="E126">
            <v>28.537911530570501</v>
          </cell>
          <cell r="F126">
            <v>16.4222739899465</v>
          </cell>
          <cell r="G126">
            <v>4.8954521915518496</v>
          </cell>
          <cell r="H126">
            <v>2.7681198255876498</v>
          </cell>
          <cell r="I126">
            <v>3.4147621717880301</v>
          </cell>
          <cell r="J126">
            <v>3.8775398924287301</v>
          </cell>
          <cell r="K126">
            <v>7.2590218802311197</v>
          </cell>
          <cell r="L126">
            <v>12.8630198112883</v>
          </cell>
          <cell r="M126">
            <v>7.8121413148603596</v>
          </cell>
          <cell r="N126">
            <v>12.0594247381197</v>
          </cell>
          <cell r="O126">
            <v>8.8007985419048094</v>
          </cell>
          <cell r="P126">
            <v>16.690621440660902</v>
          </cell>
        </row>
        <row r="127">
          <cell r="B127" t="str">
            <v>CO2</v>
          </cell>
          <cell r="C127" t="str">
            <v>VAR_fout</v>
          </cell>
          <cell r="D127" t="str">
            <v>D-TNGA</v>
          </cell>
          <cell r="E127">
            <v>14.6242956606382</v>
          </cell>
          <cell r="F127">
            <v>6.7313684826420799</v>
          </cell>
          <cell r="G127">
            <v>11.090202977507801</v>
          </cell>
          <cell r="H127">
            <v>0.31784684778906502</v>
          </cell>
          <cell r="I127">
            <v>0.27870431878566898</v>
          </cell>
          <cell r="J127">
            <v>0.39345097413943098</v>
          </cell>
          <cell r="K127">
            <v>0.37259806617278701</v>
          </cell>
          <cell r="L127">
            <v>0.33464901277720199</v>
          </cell>
          <cell r="M127">
            <v>0.33620080571503502</v>
          </cell>
          <cell r="N127">
            <v>0.31910010172450698</v>
          </cell>
          <cell r="O127">
            <v>0.32581070661399197</v>
          </cell>
          <cell r="P127">
            <v>0.29849093902524199</v>
          </cell>
        </row>
        <row r="128">
          <cell r="B128" t="str">
            <v>CO2</v>
          </cell>
          <cell r="C128" t="str">
            <v>VAR_fout</v>
          </cell>
          <cell r="D128" t="str">
            <v>D-SNGA</v>
          </cell>
          <cell r="E128">
            <v>1524.15919213196</v>
          </cell>
          <cell r="F128">
            <v>1432.7620448882701</v>
          </cell>
          <cell r="G128">
            <v>1524.54496100598</v>
          </cell>
          <cell r="H128">
            <v>1849.4435701331399</v>
          </cell>
          <cell r="I128">
            <v>2147.46611237762</v>
          </cell>
          <cell r="J128">
            <v>2130.6666376345502</v>
          </cell>
          <cell r="K128">
            <v>2018.0712924880199</v>
          </cell>
          <cell r="L128">
            <v>1751.4615225247401</v>
          </cell>
          <cell r="M128">
            <v>1720.05876336798</v>
          </cell>
          <cell r="N128">
            <v>1697.88831491825</v>
          </cell>
          <cell r="O128">
            <v>1706.7495052457</v>
          </cell>
          <cell r="P128">
            <v>1680.6940304197799</v>
          </cell>
        </row>
        <row r="129">
          <cell r="B129" t="str">
            <v>CO2</v>
          </cell>
          <cell r="C129" t="str">
            <v>VAR_fout</v>
          </cell>
          <cell r="D129" t="str">
            <v>D-RNGA</v>
          </cell>
          <cell r="E129">
            <v>2655.0635603993201</v>
          </cell>
          <cell r="F129">
            <v>2731.66438525696</v>
          </cell>
          <cell r="G129">
            <v>2924.34639522928</v>
          </cell>
          <cell r="H129">
            <v>3103.7638984180098</v>
          </cell>
          <cell r="I129">
            <v>3239.6494288143299</v>
          </cell>
          <cell r="J129">
            <v>3197.3259253267302</v>
          </cell>
          <cell r="K129">
            <v>3140.8170712577198</v>
          </cell>
          <cell r="L129">
            <v>3160.6090997005999</v>
          </cell>
          <cell r="M129">
            <v>3020.0156225065198</v>
          </cell>
          <cell r="N129">
            <v>2863.4965914775098</v>
          </cell>
          <cell r="O129">
            <v>2929.0560391988702</v>
          </cell>
          <cell r="P129">
            <v>2495.4146971642699</v>
          </cell>
        </row>
        <row r="130">
          <cell r="B130" t="str">
            <v>CO2</v>
          </cell>
          <cell r="C130" t="str">
            <v>VAR_fout</v>
          </cell>
          <cell r="D130" t="str">
            <v>D-IHFO</v>
          </cell>
          <cell r="E130">
            <v>213.78070443707099</v>
          </cell>
          <cell r="F130">
            <v>175.881617246052</v>
          </cell>
          <cell r="G130">
            <v>0.677350909262182</v>
          </cell>
          <cell r="H130">
            <v>0.198943828986028</v>
          </cell>
          <cell r="I130">
            <v>0.294765891488112</v>
          </cell>
          <cell r="J130">
            <v>0.27638339370577403</v>
          </cell>
          <cell r="K130">
            <v>0.34438710103901399</v>
          </cell>
        </row>
        <row r="131">
          <cell r="B131" t="str">
            <v>CO2</v>
          </cell>
          <cell r="C131" t="str">
            <v>VAR_fout</v>
          </cell>
          <cell r="D131" t="str">
            <v>D-SLFO</v>
          </cell>
          <cell r="E131">
            <v>2267.78874396118</v>
          </cell>
          <cell r="F131">
            <v>2014.16795009053</v>
          </cell>
          <cell r="G131">
            <v>1905.2960348070401</v>
          </cell>
          <cell r="H131">
            <v>1614.5926267339601</v>
          </cell>
          <cell r="I131">
            <v>1272.3265587865601</v>
          </cell>
          <cell r="J131">
            <v>1073.9992601290601</v>
          </cell>
          <cell r="K131">
            <v>966.94041350769203</v>
          </cell>
          <cell r="L131">
            <v>803.77275028589702</v>
          </cell>
          <cell r="M131">
            <v>664.88667127292103</v>
          </cell>
          <cell r="N131">
            <v>553.07324500763502</v>
          </cell>
          <cell r="O131">
            <v>304.45334880915198</v>
          </cell>
          <cell r="P131">
            <v>102.728304181929</v>
          </cell>
        </row>
        <row r="132">
          <cell r="B132" t="str">
            <v>CO2</v>
          </cell>
          <cell r="C132" t="str">
            <v>VAR_fout</v>
          </cell>
          <cell r="D132" t="str">
            <v>D-RCOA</v>
          </cell>
          <cell r="E132">
            <v>9.2700950489061604</v>
          </cell>
          <cell r="F132">
            <v>9.2700633362314608</v>
          </cell>
          <cell r="G132">
            <v>0.52747082177212001</v>
          </cell>
          <cell r="H132">
            <v>0.44507791756814702</v>
          </cell>
          <cell r="I132">
            <v>0.18061800400389999</v>
          </cell>
        </row>
        <row r="133">
          <cell r="B133" t="str">
            <v>CO2</v>
          </cell>
          <cell r="C133" t="str">
            <v>VAR_fout</v>
          </cell>
          <cell r="D133" t="str">
            <v>D-RLFO</v>
          </cell>
          <cell r="E133">
            <v>4514.4840784235103</v>
          </cell>
          <cell r="F133">
            <v>3846.5243655877698</v>
          </cell>
          <cell r="G133">
            <v>3365.8635163869899</v>
          </cell>
          <cell r="H133">
            <v>3434.4869039677401</v>
          </cell>
          <cell r="I133">
            <v>2740.26597509256</v>
          </cell>
          <cell r="J133">
            <v>2516.2717325983499</v>
          </cell>
          <cell r="K133">
            <v>2380.2887812859899</v>
          </cell>
          <cell r="L133">
            <v>2059.5751711889402</v>
          </cell>
          <cell r="M133">
            <v>1919.7866091452399</v>
          </cell>
          <cell r="N133">
            <v>1639.0927941739899</v>
          </cell>
          <cell r="O133">
            <v>1246.1168177479301</v>
          </cell>
          <cell r="P133">
            <v>492.031060339227</v>
          </cell>
        </row>
        <row r="134">
          <cell r="B134" t="str">
            <v>CO2</v>
          </cell>
          <cell r="C134" t="str">
            <v>VAR_fout</v>
          </cell>
          <cell r="D134" t="str">
            <v>D-TGSL</v>
          </cell>
          <cell r="E134">
            <v>5893.5619464332704</v>
          </cell>
          <cell r="F134">
            <v>5605.5112775220196</v>
          </cell>
          <cell r="G134">
            <v>5896.9389534254597</v>
          </cell>
          <cell r="H134">
            <v>4304.49493999284</v>
          </cell>
          <cell r="I134">
            <v>3300.8621558607001</v>
          </cell>
          <cell r="J134">
            <v>2840.4641482192701</v>
          </cell>
          <cell r="K134">
            <v>2443.0184799549002</v>
          </cell>
          <cell r="L134">
            <v>2114.7016492278999</v>
          </cell>
          <cell r="M134">
            <v>1932.2534389079899</v>
          </cell>
          <cell r="N134">
            <v>1756.91700044653</v>
          </cell>
          <cell r="O134">
            <v>1623.77898823896</v>
          </cell>
          <cell r="P134">
            <v>1553.7303542008999</v>
          </cell>
        </row>
        <row r="135">
          <cell r="B135" t="str">
            <v>CO2</v>
          </cell>
          <cell r="C135" t="str">
            <v>VAR_fout</v>
          </cell>
          <cell r="D135" t="str">
            <v>D-IWST</v>
          </cell>
          <cell r="E135">
            <v>1068.1290358364399</v>
          </cell>
          <cell r="F135">
            <v>1094.48182552247</v>
          </cell>
          <cell r="G135">
            <v>1024.64147438076</v>
          </cell>
          <cell r="H135">
            <v>1013.19812144335</v>
          </cell>
          <cell r="I135">
            <v>1001.75504366445</v>
          </cell>
          <cell r="J135">
            <v>996.69846554331798</v>
          </cell>
          <cell r="K135">
            <v>991.64203710912102</v>
          </cell>
          <cell r="L135">
            <v>986.58594142142499</v>
          </cell>
          <cell r="M135">
            <v>986.58554841506498</v>
          </cell>
          <cell r="N135">
            <v>986.58590670346496</v>
          </cell>
          <cell r="O135">
            <v>986.58561879310196</v>
          </cell>
          <cell r="P135">
            <v>986.58624396292396</v>
          </cell>
        </row>
        <row r="136">
          <cell r="B136" t="str">
            <v>CO2</v>
          </cell>
          <cell r="C136" t="str">
            <v>VAR_fout</v>
          </cell>
          <cell r="D136" t="str">
            <v>D-TKER</v>
          </cell>
          <cell r="E136">
            <v>80.509639932364394</v>
          </cell>
          <cell r="F136">
            <v>102.2962274028</v>
          </cell>
          <cell r="G136">
            <v>134.18201611343099</v>
          </cell>
          <cell r="H136">
            <v>120.49865065924</v>
          </cell>
          <cell r="I136">
            <v>84.485790858289604</v>
          </cell>
          <cell r="J136">
            <v>71.635626164319902</v>
          </cell>
          <cell r="K136">
            <v>46.369387086414498</v>
          </cell>
          <cell r="L136">
            <v>27.6791952282964</v>
          </cell>
          <cell r="M136">
            <v>14.034865416277</v>
          </cell>
          <cell r="N136">
            <v>2.1164510356976501E-2</v>
          </cell>
          <cell r="O136">
            <v>1.3409404774917699E-2</v>
          </cell>
          <cell r="P136">
            <v>2.3087346794628101E-2</v>
          </cell>
        </row>
        <row r="137">
          <cell r="B137" t="str">
            <v>CO2</v>
          </cell>
          <cell r="C137" t="str">
            <v>VAR_fout</v>
          </cell>
          <cell r="D137" t="str">
            <v>D-INGA</v>
          </cell>
          <cell r="E137">
            <v>2102.7706906106901</v>
          </cell>
          <cell r="F137">
            <v>1716.7425986866699</v>
          </cell>
          <cell r="G137">
            <v>1756.98201541504</v>
          </cell>
          <cell r="H137">
            <v>1603.6988614782299</v>
          </cell>
          <cell r="I137">
            <v>1425.01745377674</v>
          </cell>
          <cell r="J137">
            <v>1274.4536323902701</v>
          </cell>
          <cell r="K137">
            <v>1041.4716304963699</v>
          </cell>
          <cell r="L137">
            <v>923.78564615103801</v>
          </cell>
          <cell r="M137">
            <v>855.83260679889099</v>
          </cell>
          <cell r="N137">
            <v>730.28777708127404</v>
          </cell>
          <cell r="O137">
            <v>657.75626089131401</v>
          </cell>
          <cell r="P137">
            <v>576.39529060307302</v>
          </cell>
        </row>
        <row r="138">
          <cell r="B138" t="str">
            <v>CO2</v>
          </cell>
          <cell r="C138" t="str">
            <v>VAR_fout</v>
          </cell>
          <cell r="D138" t="str">
            <v>D-EWST</v>
          </cell>
          <cell r="E138">
            <v>2253.02322235068</v>
          </cell>
          <cell r="F138">
            <v>2235.4032838266799</v>
          </cell>
          <cell r="G138">
            <v>2268.77779333735</v>
          </cell>
          <cell r="H138">
            <v>2238.5117963432299</v>
          </cell>
          <cell r="I138">
            <v>2240.4532511266898</v>
          </cell>
          <cell r="J138">
            <v>2266.0988600312498</v>
          </cell>
          <cell r="K138">
            <v>2291.7446470048199</v>
          </cell>
          <cell r="L138">
            <v>2317.3908641866701</v>
          </cell>
          <cell r="M138">
            <v>2317.3904282083799</v>
          </cell>
          <cell r="N138">
            <v>2317.3910812114</v>
          </cell>
          <cell r="O138">
            <v>2317.3902819903801</v>
          </cell>
          <cell r="P138">
            <v>2317.3910528873598</v>
          </cell>
        </row>
        <row r="139">
          <cell r="B139" t="str">
            <v>CO2_SECTOR</v>
          </cell>
          <cell r="C139" t="str">
            <v>VAR_fout</v>
          </cell>
          <cell r="D139" t="str">
            <v>CO2_IND</v>
          </cell>
          <cell r="E139">
            <v>6493.9083130621884</v>
          </cell>
          <cell r="F139">
            <v>6078.8733885073971</v>
          </cell>
          <cell r="G139">
            <v>5785.1756454537908</v>
          </cell>
          <cell r="H139">
            <v>5245.6510793468969</v>
          </cell>
          <cell r="I139">
            <v>4930.9401209424823</v>
          </cell>
          <cell r="J139">
            <v>4608.9345057280634</v>
          </cell>
          <cell r="K139">
            <v>4247.6441663428523</v>
          </cell>
          <cell r="L139">
            <v>4003.2861606855795</v>
          </cell>
          <cell r="M139">
            <v>3934.2598060486125</v>
          </cell>
          <cell r="N139">
            <v>3809.3517761836251</v>
          </cell>
          <cell r="O139">
            <v>3735.4699890060929</v>
          </cell>
          <cell r="P139">
            <v>3654.7979049942296</v>
          </cell>
        </row>
        <row r="140">
          <cell r="B140" t="str">
            <v>CO2_SECTOR</v>
          </cell>
          <cell r="C140" t="str">
            <v>VAR_fout</v>
          </cell>
          <cell r="D140" t="str">
            <v>CO2_RES</v>
          </cell>
          <cell r="E140">
            <v>7178.817733871736</v>
          </cell>
          <cell r="F140">
            <v>6587.4588141809609</v>
          </cell>
          <cell r="G140">
            <v>6290.7373824380456</v>
          </cell>
          <cell r="H140">
            <v>6538.6958803033249</v>
          </cell>
          <cell r="I140">
            <v>5980.0960219108965</v>
          </cell>
          <cell r="J140">
            <v>5713.5976579250828</v>
          </cell>
          <cell r="K140">
            <v>5521.105852543702</v>
          </cell>
          <cell r="L140">
            <v>5220.1842708895419</v>
          </cell>
          <cell r="M140">
            <v>4939.8022316517527</v>
          </cell>
          <cell r="N140">
            <v>4502.5893856514977</v>
          </cell>
          <cell r="O140">
            <v>4175.1728569468041</v>
          </cell>
          <cell r="P140">
            <v>2987.4457575034944</v>
          </cell>
        </row>
        <row r="141">
          <cell r="B141" t="str">
            <v>CO2_SECTOR</v>
          </cell>
          <cell r="C141" t="str">
            <v>VAR_fout</v>
          </cell>
          <cell r="D141" t="str">
            <v>CO2_TRA</v>
          </cell>
          <cell r="E141">
            <v>14668.196312355229</v>
          </cell>
          <cell r="F141">
            <v>13938.186407199639</v>
          </cell>
          <cell r="G141">
            <v>13128.938166457579</v>
          </cell>
          <cell r="H141">
            <v>9666.183172248373</v>
          </cell>
          <cell r="I141">
            <v>7015.1472672796845</v>
          </cell>
          <cell r="J141">
            <v>6246.4218528330348</v>
          </cell>
          <cell r="K141">
            <v>5557.0086316899406</v>
          </cell>
          <cell r="L141">
            <v>5097.3737668682816</v>
          </cell>
          <cell r="M141">
            <v>4860.101727154828</v>
          </cell>
          <cell r="N141">
            <v>4183.0519218727468</v>
          </cell>
          <cell r="O141">
            <v>3777.9572433154226</v>
          </cell>
          <cell r="P141">
            <v>3728.876212955252</v>
          </cell>
        </row>
        <row r="142">
          <cell r="B142" t="str">
            <v>CO2_SECTOR</v>
          </cell>
          <cell r="C142" t="str">
            <v>VAR_fout</v>
          </cell>
          <cell r="D142" t="str">
            <v>CO2_ELC</v>
          </cell>
          <cell r="E142">
            <v>2593.7193780736361</v>
          </cell>
          <cell r="F142">
            <v>2382.9233127900234</v>
          </cell>
          <cell r="G142">
            <v>2365.2167055046084</v>
          </cell>
          <cell r="H142">
            <v>2410.9869021387512</v>
          </cell>
          <cell r="I142">
            <v>2379.7750204031227</v>
          </cell>
          <cell r="J142">
            <v>2581.4650875862822</v>
          </cell>
          <cell r="K142">
            <v>3035.8801927141453</v>
          </cell>
          <cell r="L142">
            <v>3327.2840142353029</v>
          </cell>
          <cell r="M142">
            <v>3396.3093201157749</v>
          </cell>
          <cell r="N142">
            <v>3466.4023805877573</v>
          </cell>
          <cell r="O142">
            <v>3431.8002563338973</v>
          </cell>
          <cell r="P142">
            <v>3352.6577170765863</v>
          </cell>
        </row>
        <row r="143">
          <cell r="B143" t="str">
            <v>CO2_SECTOR</v>
          </cell>
          <cell r="C143" t="str">
            <v>VAR_fout</v>
          </cell>
          <cell r="D143" t="str">
            <v>CO2_SER</v>
          </cell>
          <cell r="E143">
            <v>3791.94793609314</v>
          </cell>
          <cell r="F143">
            <v>3446.9299949787924</v>
          </cell>
          <cell r="G143">
            <v>3429.8409958130151</v>
          </cell>
          <cell r="H143">
            <v>3464.0361968670913</v>
          </cell>
          <cell r="I143">
            <v>3419.7926711641721</v>
          </cell>
          <cell r="J143">
            <v>3204.665897763613</v>
          </cell>
          <cell r="K143">
            <v>2985.0117059957138</v>
          </cell>
          <cell r="L143">
            <v>2555.2342728106382</v>
          </cell>
          <cell r="M143">
            <v>2384.9454346409043</v>
          </cell>
          <cell r="N143">
            <v>2250.9615599258918</v>
          </cell>
          <cell r="O143">
            <v>2011.2028540548529</v>
          </cell>
          <cell r="P143">
            <v>1783.4223346017034</v>
          </cell>
        </row>
        <row r="144">
          <cell r="B144" t="str">
            <v>CO2_SECTOR</v>
          </cell>
          <cell r="C144" t="str">
            <v>VAR_fout</v>
          </cell>
          <cell r="D144" t="str">
            <v>CO2_ELCCCS</v>
          </cell>
          <cell r="E144">
            <v>2593.7193780736361</v>
          </cell>
          <cell r="F144">
            <v>2382.9233127900234</v>
          </cell>
          <cell r="G144">
            <v>2365.2167055046084</v>
          </cell>
          <cell r="H144">
            <v>2410.9869021387512</v>
          </cell>
          <cell r="I144">
            <v>2379.7750204031227</v>
          </cell>
          <cell r="J144">
            <v>2581.4650875862822</v>
          </cell>
          <cell r="K144">
            <v>3035.8801927141453</v>
          </cell>
          <cell r="L144">
            <v>3327.2840142353029</v>
          </cell>
          <cell r="M144">
            <v>3396.3093201157749</v>
          </cell>
          <cell r="N144">
            <v>3466.4023805877573</v>
          </cell>
          <cell r="O144">
            <v>3431.8002563338973</v>
          </cell>
          <cell r="P144">
            <v>3352.6577170765863</v>
          </cell>
        </row>
        <row r="145">
          <cell r="B145" t="str">
            <v>CO2_SECTOR</v>
          </cell>
          <cell r="C145" t="str">
            <v>VAR_fout</v>
          </cell>
          <cell r="D145" t="str">
            <v>CO2_INDCCS</v>
          </cell>
          <cell r="E145">
            <v>6493.9083130621884</v>
          </cell>
          <cell r="F145">
            <v>6078.873388507398</v>
          </cell>
          <cell r="G145">
            <v>5785.1756454537908</v>
          </cell>
          <cell r="H145">
            <v>5245.6510793468969</v>
          </cell>
          <cell r="I145">
            <v>4930.9401209424823</v>
          </cell>
          <cell r="J145">
            <v>4608.9345057280634</v>
          </cell>
          <cell r="K145">
            <v>4247.6441663428523</v>
          </cell>
          <cell r="L145">
            <v>4003.2861606855795</v>
          </cell>
          <cell r="M145">
            <v>3934.2598060486125</v>
          </cell>
          <cell r="N145">
            <v>3809.3517761836251</v>
          </cell>
          <cell r="O145">
            <v>3735.4699890060929</v>
          </cell>
          <cell r="P145">
            <v>3654.7979049942296</v>
          </cell>
        </row>
        <row r="146">
          <cell r="B146" t="str">
            <v>CO2_SECTOR</v>
          </cell>
          <cell r="C146" t="str">
            <v>VAR_comnet</v>
          </cell>
          <cell r="D146" t="str">
            <v>-</v>
          </cell>
          <cell r="E146">
            <v>43814.217364591757</v>
          </cell>
          <cell r="F146">
            <v>40896.168618954252</v>
          </cell>
          <cell r="G146">
            <v>39150.301246625437</v>
          </cell>
          <cell r="H146">
            <v>34982.191212390091</v>
          </cell>
          <cell r="I146">
            <v>31036.466243045936</v>
          </cell>
          <cell r="J146">
            <v>29545.484595150425</v>
          </cell>
          <cell r="K146">
            <v>28630.174908343346</v>
          </cell>
          <cell r="L146">
            <v>27533.932660410239</v>
          </cell>
          <cell r="M146">
            <v>26845.987645776251</v>
          </cell>
          <cell r="N146">
            <v>25488.111180992903</v>
          </cell>
          <cell r="O146">
            <v>24298.873444997073</v>
          </cell>
          <cell r="P146">
            <v>22514.655549202071</v>
          </cell>
        </row>
        <row r="147">
          <cell r="B147" t="str">
            <v>CO2SC</v>
          </cell>
          <cell r="C147" t="str">
            <v>VAR_fout</v>
          </cell>
          <cell r="D147" t="str">
            <v>CO2S1</v>
          </cell>
          <cell r="E147">
            <v>6307.1990227535098</v>
          </cell>
          <cell r="F147">
            <v>6307.1990227535098</v>
          </cell>
          <cell r="G147">
            <v>6307.1990227535098</v>
          </cell>
          <cell r="H147">
            <v>6307.1990227535098</v>
          </cell>
          <cell r="I147">
            <v>6307.1990227535098</v>
          </cell>
          <cell r="J147">
            <v>6307.1990227535098</v>
          </cell>
          <cell r="K147">
            <v>6307.1990227535098</v>
          </cell>
          <cell r="L147">
            <v>6307.1990227535098</v>
          </cell>
          <cell r="M147">
            <v>6307.1990227535098</v>
          </cell>
          <cell r="N147">
            <v>6307.1990227535098</v>
          </cell>
          <cell r="O147">
            <v>6307.1990227535098</v>
          </cell>
          <cell r="P147">
            <v>6307.1990227535098</v>
          </cell>
        </row>
        <row r="148">
          <cell r="B148" t="str">
            <v>CO2P</v>
          </cell>
          <cell r="C148" t="str">
            <v>VAR_fout</v>
          </cell>
          <cell r="D148" t="str">
            <v>ITOT-PROCESSCO2</v>
          </cell>
          <cell r="E148">
            <v>2089.34680048464</v>
          </cell>
          <cell r="F148">
            <v>2111.0131698740802</v>
          </cell>
          <cell r="G148">
            <v>2102.26947106126</v>
          </cell>
          <cell r="H148">
            <v>2093.6570624126398</v>
          </cell>
          <cell r="I148">
            <v>2085.53495476948</v>
          </cell>
          <cell r="J148">
            <v>2077.4128471263102</v>
          </cell>
          <cell r="K148">
            <v>2070.5807016906501</v>
          </cell>
          <cell r="L148">
            <v>2063.74855625499</v>
          </cell>
          <cell r="M148">
            <v>2063.74855625499</v>
          </cell>
          <cell r="N148">
            <v>2063.74855625499</v>
          </cell>
          <cell r="O148">
            <v>2063.74855625499</v>
          </cell>
          <cell r="P148">
            <v>2063.74855625499</v>
          </cell>
        </row>
        <row r="149">
          <cell r="B149" t="str">
            <v>CO2P</v>
          </cell>
          <cell r="C149" t="str">
            <v>VAR_comnet</v>
          </cell>
          <cell r="D149" t="str">
            <v>-</v>
          </cell>
          <cell r="E149">
            <v>2089.34680048464</v>
          </cell>
          <cell r="F149">
            <v>2111.0131698740802</v>
          </cell>
          <cell r="G149">
            <v>2102.26947106126</v>
          </cell>
          <cell r="H149">
            <v>2093.6570624126398</v>
          </cell>
          <cell r="I149">
            <v>2085.53495476948</v>
          </cell>
          <cell r="J149">
            <v>2077.4128471263102</v>
          </cell>
          <cell r="K149">
            <v>2070.5807016906501</v>
          </cell>
          <cell r="L149">
            <v>2063.74855625499</v>
          </cell>
          <cell r="M149">
            <v>2063.74855625499</v>
          </cell>
          <cell r="N149">
            <v>2063.74855625499</v>
          </cell>
          <cell r="O149">
            <v>2063.74855625499</v>
          </cell>
          <cell r="P149">
            <v>2063.74855625499</v>
          </cell>
        </row>
        <row r="150">
          <cell r="B150" t="str">
            <v>CO2_E</v>
          </cell>
          <cell r="C150" t="str">
            <v>VAR_fout</v>
          </cell>
          <cell r="D150" t="str">
            <v>ENGA-CCS</v>
          </cell>
          <cell r="J150">
            <v>4.9819887735623798E-2</v>
          </cell>
          <cell r="K150">
            <v>7.8564456611751293E-2</v>
          </cell>
          <cell r="L150">
            <v>0.18010728927585901</v>
          </cell>
          <cell r="M150">
            <v>9.3483250570171095E-2</v>
          </cell>
          <cell r="N150">
            <v>0.155515085646863</v>
          </cell>
          <cell r="O150">
            <v>0.117196783244087</v>
          </cell>
          <cell r="P150">
            <v>0.234386239795395</v>
          </cell>
        </row>
        <row r="151">
          <cell r="B151" t="str">
            <v>CO2_E</v>
          </cell>
          <cell r="C151" t="str">
            <v>VAR_fout</v>
          </cell>
          <cell r="D151" t="str">
            <v>HPLNGA</v>
          </cell>
          <cell r="E151">
            <v>114.38429015427501</v>
          </cell>
          <cell r="F151">
            <v>130.59034268448201</v>
          </cell>
          <cell r="G151">
            <v>104.528070462177</v>
          </cell>
          <cell r="H151">
            <v>35.293419600928601</v>
          </cell>
          <cell r="I151">
            <v>99.947476009121701</v>
          </cell>
          <cell r="J151">
            <v>102.304311630947</v>
          </cell>
          <cell r="K151">
            <v>0.28552825303787399</v>
          </cell>
          <cell r="L151">
            <v>0.89669194737406499</v>
          </cell>
          <cell r="M151">
            <v>0.66260630918309305</v>
          </cell>
          <cell r="N151">
            <v>0.84532912917374603</v>
          </cell>
          <cell r="O151">
            <v>0.20170776011971001</v>
          </cell>
          <cell r="P151">
            <v>0.31331337925144298</v>
          </cell>
        </row>
        <row r="152">
          <cell r="B152" t="str">
            <v>CO2_E</v>
          </cell>
          <cell r="C152" t="str">
            <v>VAR_fout</v>
          </cell>
          <cell r="D152" t="str">
            <v>CHPWST</v>
          </cell>
          <cell r="E152">
            <v>2816.7531641656601</v>
          </cell>
          <cell r="F152">
            <v>2574.9231049728301</v>
          </cell>
          <cell r="G152">
            <v>2409.3479373832301</v>
          </cell>
          <cell r="H152">
            <v>2556.3775585734402</v>
          </cell>
          <cell r="I152">
            <v>2535.9300228905499</v>
          </cell>
          <cell r="J152">
            <v>2541.48775041416</v>
          </cell>
          <cell r="K152">
            <v>2545.9351187143998</v>
          </cell>
          <cell r="L152">
            <v>2549.2389430686399</v>
          </cell>
          <cell r="M152">
            <v>2549.2432248162499</v>
          </cell>
          <cell r="N152">
            <v>2549.2411124442601</v>
          </cell>
          <cell r="O152">
            <v>2549.2364764874001</v>
          </cell>
          <cell r="P152">
            <v>2549.2045031310399</v>
          </cell>
        </row>
        <row r="153">
          <cell r="B153" t="str">
            <v>CO2_E</v>
          </cell>
          <cell r="C153" t="str">
            <v>VAR_fout</v>
          </cell>
          <cell r="D153" t="str">
            <v>CHPNGA</v>
          </cell>
          <cell r="E153">
            <v>209.08284588292</v>
          </cell>
          <cell r="F153">
            <v>0.108456734576043</v>
          </cell>
          <cell r="G153">
            <v>5.1770152724039198</v>
          </cell>
          <cell r="H153">
            <v>156.08755325260501</v>
          </cell>
          <cell r="I153">
            <v>54.902803531783199</v>
          </cell>
          <cell r="J153">
            <v>143.51605256132601</v>
          </cell>
          <cell r="K153">
            <v>59.931116351992898</v>
          </cell>
          <cell r="L153">
            <v>27.569420781633799</v>
          </cell>
          <cell r="M153">
            <v>24.916198209242499</v>
          </cell>
          <cell r="N153">
            <v>9.1158027806556206</v>
          </cell>
          <cell r="O153">
            <v>2.9271129314120401</v>
          </cell>
          <cell r="P153">
            <v>4.2395402028490299</v>
          </cell>
        </row>
        <row r="154">
          <cell r="B154" t="str">
            <v>CO2_E</v>
          </cell>
          <cell r="C154" t="str">
            <v>VAR_fout</v>
          </cell>
          <cell r="D154" t="str">
            <v>EWSTINC</v>
          </cell>
          <cell r="E154">
            <v>1689.2932805357</v>
          </cell>
          <cell r="F154">
            <v>1895.88408497727</v>
          </cell>
          <cell r="G154">
            <v>2128.20894620334</v>
          </cell>
          <cell r="H154">
            <v>1920.64600553678</v>
          </cell>
          <cell r="I154">
            <v>1944.97676859734</v>
          </cell>
          <cell r="J154">
            <v>1990.7110999307499</v>
          </cell>
          <cell r="K154">
            <v>2037.55455864071</v>
          </cell>
          <cell r="L154">
            <v>2085.5456716926701</v>
          </cell>
          <cell r="M154">
            <v>2085.5387952677502</v>
          </cell>
          <cell r="N154">
            <v>2085.5438479386498</v>
          </cell>
          <cell r="O154">
            <v>2085.5453410268001</v>
          </cell>
          <cell r="P154">
            <v>2085.58049036598</v>
          </cell>
        </row>
        <row r="155">
          <cell r="B155" t="str">
            <v>CO2_E</v>
          </cell>
          <cell r="C155" t="str">
            <v>VAR_fout</v>
          </cell>
          <cell r="D155" t="str">
            <v>ENGA-GTCC</v>
          </cell>
          <cell r="J155">
            <v>21.146915608737199</v>
          </cell>
          <cell r="K155">
            <v>495.04098760099799</v>
          </cell>
          <cell r="L155">
            <v>827.86336599407696</v>
          </cell>
          <cell r="M155">
            <v>885.45571863177702</v>
          </cell>
          <cell r="N155">
            <v>1035.37203515478</v>
          </cell>
          <cell r="O155">
            <v>1092.47091430619</v>
          </cell>
          <cell r="P155">
            <v>993.15063825305197</v>
          </cell>
        </row>
        <row r="156">
          <cell r="B156" t="str">
            <v>CO2_E</v>
          </cell>
          <cell r="C156" t="str">
            <v>VAR_fout</v>
          </cell>
          <cell r="D156" t="str">
            <v>HPLOIL</v>
          </cell>
          <cell r="E156">
            <v>15.878331093156699</v>
          </cell>
          <cell r="F156">
            <v>16.026471245870901</v>
          </cell>
          <cell r="G156">
            <v>0.31294714155905001</v>
          </cell>
          <cell r="H156">
            <v>0.31132738231373602</v>
          </cell>
          <cell r="I156">
            <v>0.25616332892240301</v>
          </cell>
          <cell r="J156">
            <v>0.22679447088198201</v>
          </cell>
          <cell r="K156">
            <v>0.22988122459969301</v>
          </cell>
          <cell r="L156">
            <v>0.100751565043058</v>
          </cell>
          <cell r="M156">
            <v>0.181802726525263</v>
          </cell>
          <cell r="N156">
            <v>9.7578775464961007E-2</v>
          </cell>
          <cell r="O156">
            <v>0.19136540027760299</v>
          </cell>
          <cell r="P156">
            <v>9.6960161764671704E-2</v>
          </cell>
        </row>
        <row r="157">
          <cell r="B157" t="str">
            <v>CO2_E</v>
          </cell>
          <cell r="C157" t="str">
            <v>VAR_fout</v>
          </cell>
          <cell r="D157" t="str">
            <v>CHPGFC</v>
          </cell>
          <cell r="J157">
            <v>55.7789743835325</v>
          </cell>
          <cell r="K157">
            <v>101.919749419372</v>
          </cell>
          <cell r="L157">
            <v>124.30373117048499</v>
          </cell>
          <cell r="M157">
            <v>117.10361827967699</v>
          </cell>
          <cell r="N157">
            <v>68.478165427072597</v>
          </cell>
          <cell r="O157">
            <v>17.578134489410601</v>
          </cell>
          <cell r="P157">
            <v>6.1833176811229897</v>
          </cell>
        </row>
        <row r="158">
          <cell r="B158" t="str">
            <v>CO2_E</v>
          </cell>
          <cell r="C158" t="str">
            <v>VAR_fout</v>
          </cell>
          <cell r="D158" t="str">
            <v>EOIL-ENG</v>
          </cell>
          <cell r="E158">
            <v>9.9093982407424193</v>
          </cell>
          <cell r="F158">
            <v>4.7646414345758302E-2</v>
          </cell>
          <cell r="G158">
            <v>2.42234875605509</v>
          </cell>
          <cell r="H158">
            <v>1.0768195492669499</v>
          </cell>
          <cell r="I158">
            <v>1.3233732026107701</v>
          </cell>
          <cell r="J158">
            <v>1.6403087076833001</v>
          </cell>
          <cell r="K158">
            <v>4.9219529902221399</v>
          </cell>
          <cell r="L158">
            <v>9.3815339376338702</v>
          </cell>
          <cell r="M158">
            <v>5.1147892082527502</v>
          </cell>
          <cell r="N158">
            <v>8.5940902108540396</v>
          </cell>
          <cell r="O158">
            <v>6.0912515141540604</v>
          </cell>
          <cell r="P158">
            <v>12.9694868023852</v>
          </cell>
        </row>
        <row r="159">
          <cell r="B159" t="str">
            <v>CO2_E</v>
          </cell>
          <cell r="C159" t="str">
            <v>VAR_fout</v>
          </cell>
          <cell r="D159" t="str">
            <v>ENGA-GTOC</v>
          </cell>
          <cell r="I159">
            <v>2.8423884815620299</v>
          </cell>
          <cell r="J159">
            <v>9.9249005131540908</v>
          </cell>
          <cell r="K159">
            <v>99.498885637477898</v>
          </cell>
          <cell r="L159">
            <v>35.266028875116902</v>
          </cell>
          <cell r="M159">
            <v>61.687966032599903</v>
          </cell>
          <cell r="N159">
            <v>41.5834059010743</v>
          </cell>
          <cell r="O159">
            <v>11.0154520858112</v>
          </cell>
          <cell r="P159">
            <v>33.443306742002903</v>
          </cell>
        </row>
        <row r="160">
          <cell r="B160" t="str">
            <v>CO2_E</v>
          </cell>
          <cell r="C160" t="str">
            <v>VAR_fout</v>
          </cell>
          <cell r="D160" t="str">
            <v>CHPOIL</v>
          </cell>
          <cell r="E160">
            <v>2.2735658161596701</v>
          </cell>
          <cell r="F160">
            <v>7.5126019800779306E-2</v>
          </cell>
          <cell r="G160">
            <v>2.0841775298632799</v>
          </cell>
          <cell r="H160">
            <v>1.3366880872084601</v>
          </cell>
          <cell r="I160">
            <v>1.78594150725858</v>
          </cell>
          <cell r="J160">
            <v>1.9563133888797599</v>
          </cell>
          <cell r="K160">
            <v>1.9954148584801701</v>
          </cell>
          <cell r="L160">
            <v>3.1731455533186201</v>
          </cell>
          <cell r="M160">
            <v>2.3946255757866401</v>
          </cell>
          <cell r="N160">
            <v>3.1735248647464598</v>
          </cell>
          <cell r="O160">
            <v>2.3778482350451799</v>
          </cell>
          <cell r="P160">
            <v>3.3553173920619801</v>
          </cell>
        </row>
        <row r="161">
          <cell r="B161" t="str">
            <v>CO2_E</v>
          </cell>
          <cell r="C161" t="str">
            <v>VAR_comnet</v>
          </cell>
          <cell r="D161" t="str">
            <v>-</v>
          </cell>
          <cell r="E161">
            <v>4857.5748758886102</v>
          </cell>
          <cell r="F161">
            <v>4617.6552330491804</v>
          </cell>
          <cell r="G161">
            <v>4652.0814427486303</v>
          </cell>
          <cell r="H161">
            <v>4671.1293719825399</v>
          </cell>
          <cell r="I161">
            <v>4641.9649375491499</v>
          </cell>
          <cell r="J161">
            <v>4868.7432414977902</v>
          </cell>
          <cell r="K161">
            <v>5347.39175814791</v>
          </cell>
          <cell r="L161">
            <v>5663.5193918752702</v>
          </cell>
          <cell r="M161">
            <v>5732.3928283076202</v>
          </cell>
          <cell r="N161">
            <v>5802.2004077123902</v>
          </cell>
          <cell r="O161">
            <v>5767.7528010198603</v>
          </cell>
          <cell r="P161">
            <v>5688.7712603513</v>
          </cell>
        </row>
        <row r="162">
          <cell r="B162" t="str">
            <v>CO2_I</v>
          </cell>
          <cell r="C162" t="str">
            <v>VAR_fout</v>
          </cell>
          <cell r="D162" t="str">
            <v>ITOT-CHPNGA</v>
          </cell>
          <cell r="E162">
            <v>109.139834960519</v>
          </cell>
          <cell r="F162">
            <v>14.6341368853441</v>
          </cell>
          <cell r="G162">
            <v>9.6620817437843396</v>
          </cell>
          <cell r="H162">
            <v>116.35666107328601</v>
          </cell>
          <cell r="I162">
            <v>87.6249179874672</v>
          </cell>
          <cell r="J162">
            <v>26.944904932910699</v>
          </cell>
          <cell r="K162">
            <v>19.205581110494801</v>
          </cell>
          <cell r="L162">
            <v>11.8853330819802</v>
          </cell>
          <cell r="M162">
            <v>7.2883714970938804</v>
          </cell>
          <cell r="N162">
            <v>10.9409336231503</v>
          </cell>
          <cell r="O162">
            <v>17.730612823935299</v>
          </cell>
          <cell r="P162">
            <v>18.484267905962898</v>
          </cell>
        </row>
        <row r="163">
          <cell r="B163" t="str">
            <v>CO2_I</v>
          </cell>
          <cell r="C163" t="str">
            <v>VAR_fout</v>
          </cell>
          <cell r="D163" t="str">
            <v>ITOT-SWHNGABR</v>
          </cell>
          <cell r="E163">
            <v>2005.153773194</v>
          </cell>
          <cell r="F163">
            <v>1696.6578847784999</v>
          </cell>
          <cell r="G163">
            <v>1895.54836604256</v>
          </cell>
          <cell r="H163">
            <v>1632.9631941940299</v>
          </cell>
          <cell r="I163">
            <v>1482.3904882060001</v>
          </cell>
          <cell r="J163">
            <v>1391.9274172722701</v>
          </cell>
          <cell r="K163">
            <v>1166.7380153696199</v>
          </cell>
          <cell r="L163">
            <v>1055.92721720226</v>
          </cell>
          <cell r="M163">
            <v>993.13959587354202</v>
          </cell>
          <cell r="N163">
            <v>780.97403131847295</v>
          </cell>
          <cell r="O163">
            <v>701.67142371546197</v>
          </cell>
          <cell r="P163">
            <v>617.63051677141198</v>
          </cell>
        </row>
        <row r="164">
          <cell r="B164" t="str">
            <v>CO2_I</v>
          </cell>
          <cell r="C164" t="str">
            <v>VAR_fout</v>
          </cell>
          <cell r="D164" t="str">
            <v>ITOT-SWHLFOBR</v>
          </cell>
          <cell r="E164">
            <v>655.76897319323405</v>
          </cell>
          <cell r="F164">
            <v>597.35323699016101</v>
          </cell>
          <cell r="G164">
            <v>589.70775528210299</v>
          </cell>
          <cell r="H164">
            <v>479.38735275552602</v>
          </cell>
          <cell r="I164">
            <v>365.24576572092298</v>
          </cell>
          <cell r="J164">
            <v>249.496532935011</v>
          </cell>
          <cell r="K164">
            <v>133.78773303854101</v>
          </cell>
          <cell r="L164">
            <v>19.150892311442799</v>
          </cell>
          <cell r="M164">
            <v>19.139959332758899</v>
          </cell>
          <cell r="N164">
            <v>19.1369121916733</v>
          </cell>
          <cell r="O164">
            <v>18.440264132355999</v>
          </cell>
          <cell r="P164">
            <v>18.282702563167799</v>
          </cell>
        </row>
        <row r="165">
          <cell r="B165" t="str">
            <v>CO2_I</v>
          </cell>
          <cell r="C165" t="str">
            <v>VAR_fout</v>
          </cell>
          <cell r="D165" t="str">
            <v>ITOT-CHPNGACCS</v>
          </cell>
          <cell r="J165">
            <v>4.20521273078453E-2</v>
          </cell>
          <cell r="K165">
            <v>5.9750892866711099E-2</v>
          </cell>
          <cell r="L165">
            <v>0.13350032019168001</v>
          </cell>
          <cell r="M165">
            <v>7.0434217679862896E-2</v>
          </cell>
          <cell r="N165">
            <v>0.115244758620055</v>
          </cell>
          <cell r="O165">
            <v>0.11728088107948299</v>
          </cell>
          <cell r="P165">
            <v>0.22583342456209099</v>
          </cell>
        </row>
        <row r="166">
          <cell r="B166" t="str">
            <v>CO2_I</v>
          </cell>
          <cell r="C166" t="str">
            <v>VAR_fout</v>
          </cell>
          <cell r="D166" t="str">
            <v>ITOT-CHPGFC</v>
          </cell>
          <cell r="H166">
            <v>0.41377743477415202</v>
          </cell>
          <cell r="I166">
            <v>0.54754481449204895</v>
          </cell>
          <cell r="J166">
            <v>0.91400793933873803</v>
          </cell>
          <cell r="K166">
            <v>1.56589754673674</v>
          </cell>
          <cell r="L166">
            <v>2.4213042008460999</v>
          </cell>
          <cell r="M166">
            <v>2.1313188213080601</v>
          </cell>
          <cell r="N166">
            <v>3.1090284444952698</v>
          </cell>
          <cell r="O166">
            <v>3.3178278369454302</v>
          </cell>
          <cell r="P166">
            <v>5.4681330045404399</v>
          </cell>
        </row>
        <row r="167">
          <cell r="B167" t="str">
            <v>CO2_I</v>
          </cell>
          <cell r="C167" t="str">
            <v>VAR_fout</v>
          </cell>
          <cell r="D167" t="str">
            <v>ITOT-SWHCOABR</v>
          </cell>
          <cell r="E167">
            <v>330.01243258972602</v>
          </cell>
          <cell r="F167">
            <v>321.17925959187301</v>
          </cell>
          <cell r="G167">
            <v>299.77047035987403</v>
          </cell>
          <cell r="H167">
            <v>0.333787503535876</v>
          </cell>
          <cell r="I167">
            <v>0.36188575572507398</v>
          </cell>
          <cell r="J167">
            <v>0.33841371983364898</v>
          </cell>
          <cell r="K167">
            <v>0.51979344345932499</v>
          </cell>
          <cell r="L167">
            <v>1.11893038549932</v>
          </cell>
          <cell r="M167">
            <v>0.69998610205962797</v>
          </cell>
          <cell r="N167">
            <v>1.0565395081269799</v>
          </cell>
          <cell r="O167">
            <v>0.60052618560797699</v>
          </cell>
          <cell r="P167">
            <v>1.1146354831060601</v>
          </cell>
        </row>
        <row r="168">
          <cell r="B168" t="str">
            <v>CO2_I</v>
          </cell>
          <cell r="C168" t="str">
            <v>VAR_fout</v>
          </cell>
          <cell r="D168" t="str">
            <v>ITOT-CHPOIL</v>
          </cell>
          <cell r="E168">
            <v>22.578065500607099</v>
          </cell>
          <cell r="F168">
            <v>51.2111848114818</v>
          </cell>
          <cell r="G168">
            <v>1.1213823549428501</v>
          </cell>
          <cell r="H168">
            <v>46.381145864747701</v>
          </cell>
          <cell r="I168">
            <v>45.885786344588297</v>
          </cell>
          <cell r="J168">
            <v>6.0565046836401502</v>
          </cell>
          <cell r="K168">
            <v>7.0482592891960199</v>
          </cell>
          <cell r="L168">
            <v>8.5661282686098605</v>
          </cell>
          <cell r="M168">
            <v>7.9365229239057102</v>
          </cell>
          <cell r="N168">
            <v>8.2258809116532703</v>
          </cell>
          <cell r="O168">
            <v>8.0492037384207205</v>
          </cell>
          <cell r="P168">
            <v>8.5534533060711997</v>
          </cell>
        </row>
        <row r="169">
          <cell r="B169" t="str">
            <v>CO2_I</v>
          </cell>
          <cell r="C169" t="str">
            <v>VAR_fout</v>
          </cell>
          <cell r="D169" t="str">
            <v>ITOT-SWHWSTBR</v>
          </cell>
          <cell r="E169">
            <v>723.65862574509401</v>
          </cell>
          <cell r="F169">
            <v>749.84565019283696</v>
          </cell>
          <cell r="G169">
            <v>520.45567584486105</v>
          </cell>
          <cell r="H169">
            <v>514.63604022532297</v>
          </cell>
          <cell r="I169">
            <v>508.82196134946599</v>
          </cell>
          <cell r="J169">
            <v>506.25874350868702</v>
          </cell>
          <cell r="K169">
            <v>503.68987836467801</v>
          </cell>
          <cell r="L169">
            <v>501.11707113817198</v>
          </cell>
          <cell r="M169">
            <v>501.12142409124198</v>
          </cell>
          <cell r="N169">
            <v>501.12593503212702</v>
          </cell>
          <cell r="O169">
            <v>501.11862277275702</v>
          </cell>
          <cell r="P169">
            <v>501.13110653731098</v>
          </cell>
        </row>
        <row r="170">
          <cell r="B170" t="str">
            <v>CO2_I</v>
          </cell>
          <cell r="C170" t="str">
            <v>VAR_fout</v>
          </cell>
          <cell r="D170" t="str">
            <v>ITOT-SWHNGAHP</v>
          </cell>
          <cell r="G170">
            <v>2.3674789084400198</v>
          </cell>
          <cell r="H170">
            <v>5.0604011976173604</v>
          </cell>
          <cell r="I170">
            <v>6.1153028728866898</v>
          </cell>
          <cell r="J170">
            <v>6.7644856829117703</v>
          </cell>
          <cell r="K170">
            <v>6.7857815178671697</v>
          </cell>
          <cell r="L170">
            <v>6.6641557427405003</v>
          </cell>
          <cell r="M170">
            <v>6.6596922502423102</v>
          </cell>
          <cell r="N170">
            <v>88.998553420806999</v>
          </cell>
          <cell r="O170">
            <v>88.995934051105493</v>
          </cell>
          <cell r="P170">
            <v>88.933489826855904</v>
          </cell>
        </row>
        <row r="171">
          <cell r="B171" t="str">
            <v>CO2_I</v>
          </cell>
          <cell r="C171" t="str">
            <v>VAR_fout</v>
          </cell>
          <cell r="D171" t="str">
            <v>ITOT-CHPWST</v>
          </cell>
          <cell r="E171">
            <v>344.470410091345</v>
          </cell>
          <cell r="F171">
            <v>344.64585168362203</v>
          </cell>
          <cell r="G171">
            <v>504.201668291055</v>
          </cell>
          <cell r="H171">
            <v>498.56794244052003</v>
          </cell>
          <cell r="I171">
            <v>492.939626869797</v>
          </cell>
          <cell r="J171">
            <v>490.450739684898</v>
          </cell>
          <cell r="K171">
            <v>487.96303903222201</v>
          </cell>
          <cell r="L171">
            <v>485.48196544337299</v>
          </cell>
          <cell r="M171">
            <v>485.47486519035903</v>
          </cell>
          <cell r="N171">
            <v>485.48164939469598</v>
          </cell>
          <cell r="O171">
            <v>485.47769794330901</v>
          </cell>
          <cell r="P171">
            <v>485.49855786365299</v>
          </cell>
        </row>
        <row r="172">
          <cell r="B172" t="str">
            <v>CO2_I</v>
          </cell>
          <cell r="C172" t="str">
            <v>VAR_fout</v>
          </cell>
          <cell r="D172" t="str">
            <v>ITOT-SWHHFOBR</v>
          </cell>
          <cell r="E172">
            <v>210.21031753391901</v>
          </cell>
          <cell r="F172">
            <v>172.94418926641299</v>
          </cell>
          <cell r="G172">
            <v>0.666038359695862</v>
          </cell>
          <cell r="H172">
            <v>0.195621235193736</v>
          </cell>
          <cell r="I172">
            <v>0.28984295758144302</v>
          </cell>
          <cell r="J172">
            <v>0.27176746893494902</v>
          </cell>
          <cell r="K172">
            <v>0.33863543510451499</v>
          </cell>
        </row>
        <row r="173">
          <cell r="B173" t="str">
            <v>CO2_I</v>
          </cell>
          <cell r="C173" t="str">
            <v>VAR_comnet</v>
          </cell>
          <cell r="D173" t="str">
            <v>-</v>
          </cell>
          <cell r="E173">
            <v>4400.9924328084398</v>
          </cell>
          <cell r="F173">
            <v>3948.47139420024</v>
          </cell>
          <cell r="G173">
            <v>3823.5009171873098</v>
          </cell>
          <cell r="H173">
            <v>3294.2959239245502</v>
          </cell>
          <cell r="I173">
            <v>2990.2231228789301</v>
          </cell>
          <cell r="J173">
            <v>2679.4655699557502</v>
          </cell>
          <cell r="K173">
            <v>2327.70236504079</v>
          </cell>
          <cell r="L173">
            <v>2092.4664980951202</v>
          </cell>
          <cell r="M173">
            <v>2023.6621703001899</v>
          </cell>
          <cell r="N173">
            <v>1899.1647086038199</v>
          </cell>
          <cell r="O173">
            <v>1825.51939408098</v>
          </cell>
          <cell r="P173">
            <v>1745.32269668664</v>
          </cell>
        </row>
        <row r="174">
          <cell r="B174"/>
          <cell r="C174"/>
          <cell r="D174"/>
        </row>
        <row r="175">
          <cell r="B175"/>
          <cell r="C175"/>
          <cell r="D175"/>
        </row>
        <row r="176">
          <cell r="B176"/>
          <cell r="C176"/>
          <cell r="D176"/>
        </row>
        <row r="177">
          <cell r="B177"/>
          <cell r="C177"/>
          <cell r="D177"/>
        </row>
        <row r="178">
          <cell r="B178"/>
          <cell r="C178"/>
          <cell r="D178"/>
        </row>
        <row r="179">
          <cell r="B179"/>
          <cell r="C179"/>
          <cell r="D179"/>
        </row>
        <row r="180">
          <cell r="B180"/>
          <cell r="C180"/>
          <cell r="D180"/>
        </row>
        <row r="181">
          <cell r="B181"/>
          <cell r="C181"/>
          <cell r="D181"/>
        </row>
        <row r="182">
          <cell r="B182"/>
          <cell r="C182"/>
          <cell r="D182"/>
        </row>
        <row r="183">
          <cell r="B183"/>
          <cell r="C183"/>
          <cell r="D183"/>
        </row>
        <row r="184">
          <cell r="B184"/>
          <cell r="C184"/>
          <cell r="D184"/>
        </row>
        <row r="185">
          <cell r="B185"/>
          <cell r="C185"/>
          <cell r="D185"/>
        </row>
        <row r="186">
          <cell r="B186"/>
          <cell r="C186"/>
          <cell r="D186"/>
        </row>
        <row r="187">
          <cell r="B187"/>
          <cell r="C187"/>
          <cell r="D187"/>
        </row>
        <row r="188">
          <cell r="B188"/>
          <cell r="C188"/>
          <cell r="D188"/>
        </row>
        <row r="189">
          <cell r="B189"/>
          <cell r="C189"/>
          <cell r="D189"/>
        </row>
        <row r="190">
          <cell r="B190"/>
          <cell r="C190"/>
          <cell r="D190"/>
        </row>
        <row r="191">
          <cell r="B191"/>
          <cell r="C191"/>
          <cell r="D191"/>
        </row>
        <row r="192">
          <cell r="B192"/>
          <cell r="C192"/>
          <cell r="D192"/>
        </row>
        <row r="193">
          <cell r="B193"/>
          <cell r="C193"/>
          <cell r="D193"/>
        </row>
        <row r="194">
          <cell r="B194"/>
          <cell r="C194"/>
          <cell r="D194"/>
        </row>
        <row r="195">
          <cell r="B195"/>
          <cell r="C195"/>
          <cell r="D195"/>
        </row>
        <row r="196">
          <cell r="B196"/>
          <cell r="C196"/>
          <cell r="D196"/>
        </row>
        <row r="197">
          <cell r="B197"/>
          <cell r="C197"/>
          <cell r="D197"/>
        </row>
        <row r="198">
          <cell r="B198"/>
          <cell r="C198"/>
          <cell r="D198"/>
        </row>
        <row r="199">
          <cell r="B199"/>
          <cell r="C199"/>
          <cell r="D199"/>
        </row>
        <row r="200">
          <cell r="B200"/>
          <cell r="C200"/>
          <cell r="D200"/>
        </row>
        <row r="201">
          <cell r="B201"/>
          <cell r="C201"/>
          <cell r="D201"/>
        </row>
        <row r="202">
          <cell r="B202"/>
          <cell r="C202"/>
          <cell r="D202"/>
        </row>
        <row r="203">
          <cell r="B203"/>
          <cell r="C203"/>
          <cell r="D203"/>
        </row>
        <row r="204">
          <cell r="B204"/>
          <cell r="C204"/>
          <cell r="D204"/>
        </row>
        <row r="205">
          <cell r="B205"/>
          <cell r="C205"/>
          <cell r="D205"/>
        </row>
        <row r="206">
          <cell r="B206"/>
          <cell r="C206"/>
          <cell r="D206"/>
        </row>
        <row r="207">
          <cell r="B207"/>
          <cell r="C207"/>
          <cell r="D207"/>
        </row>
        <row r="208">
          <cell r="B208"/>
          <cell r="C208"/>
          <cell r="D208"/>
        </row>
        <row r="209">
          <cell r="B209"/>
          <cell r="C209"/>
          <cell r="D209"/>
        </row>
        <row r="210">
          <cell r="B210"/>
          <cell r="C210"/>
          <cell r="D210"/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1.7225778488860301E-6</v>
          </cell>
          <cell r="I4">
            <v>3.0907468628897199E-6</v>
          </cell>
          <cell r="J4">
            <v>3.8393562856665003E-6</v>
          </cell>
          <cell r="K4">
            <v>6.3305034427246496E-6</v>
          </cell>
          <cell r="L4">
            <v>4.8361547441946802E-4</v>
          </cell>
          <cell r="M4">
            <v>1.06301292730717E-5</v>
          </cell>
          <cell r="N4">
            <v>2.6096175905398301E-4</v>
          </cell>
          <cell r="O4">
            <v>1.8498591932663101E-5</v>
          </cell>
          <cell r="P4">
            <v>9.21939379685291E-4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8.4623554305439107E-5</v>
          </cell>
          <cell r="K5">
            <v>3.60740095031632E-6</v>
          </cell>
          <cell r="L5">
            <v>2.0648978162064699E-5</v>
          </cell>
          <cell r="M5">
            <v>2.8522482047387499E-6</v>
          </cell>
          <cell r="N5">
            <v>1.03752499704588E-4</v>
          </cell>
          <cell r="O5">
            <v>2.1341863233995902E-6</v>
          </cell>
          <cell r="P5">
            <v>1.3921101186895E-4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1.2416771319601799E-5</v>
          </cell>
          <cell r="I6">
            <v>2.0291464080455101E-5</v>
          </cell>
          <cell r="J6">
            <v>4.4189782588908898E-6</v>
          </cell>
          <cell r="K6">
            <v>6.7080581422205599E-6</v>
          </cell>
          <cell r="L6">
            <v>3.9567580684299801E-5</v>
          </cell>
          <cell r="M6">
            <v>1.2945374539135401E-5</v>
          </cell>
          <cell r="N6">
            <v>5.0909855465608802E-5</v>
          </cell>
          <cell r="O6">
            <v>1.90586373968761E-5</v>
          </cell>
          <cell r="P6">
            <v>1.6947637212967899E-4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1.4695535864433801E-6</v>
          </cell>
          <cell r="I7">
            <v>3.39622517066166E-6</v>
          </cell>
          <cell r="J7">
            <v>3.63711143216504E-6</v>
          </cell>
          <cell r="K7">
            <v>5.0979639843277102E-6</v>
          </cell>
          <cell r="L7">
            <v>5.6546066001477601E-6</v>
          </cell>
          <cell r="M7">
            <v>4.5272497305471496E-6</v>
          </cell>
          <cell r="N7">
            <v>3.50625922597682E-6</v>
          </cell>
          <cell r="O7">
            <v>4.3813266066164596E-6</v>
          </cell>
          <cell r="P7">
            <v>1.3495496258042399E-5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2.40503040170617E-6</v>
          </cell>
          <cell r="F8">
            <v>1.3546763030747299E-6</v>
          </cell>
          <cell r="G8">
            <v>1.9854126367189601E-6</v>
          </cell>
          <cell r="H8">
            <v>2.7451466454710099E-6</v>
          </cell>
          <cell r="I8">
            <v>6.2321086819233198E-6</v>
          </cell>
          <cell r="J8">
            <v>9.3998369901217008E-6</v>
          </cell>
          <cell r="K8">
            <v>1.86621161957522E-5</v>
          </cell>
          <cell r="L8">
            <v>0.106207549514889</v>
          </cell>
          <cell r="M8">
            <v>0.76564783541534498</v>
          </cell>
          <cell r="N8">
            <v>0.30972467344117199</v>
          </cell>
          <cell r="O8">
            <v>1.63948481311758E-4</v>
          </cell>
          <cell r="P8">
            <v>1.5345262576819401E-4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4.7307276440865399E-3</v>
          </cell>
          <cell r="K9">
            <v>3.8420257877714399E-4</v>
          </cell>
          <cell r="L9">
            <v>1.05874296819602E-3</v>
          </cell>
          <cell r="M9">
            <v>1.40116948890506E-5</v>
          </cell>
          <cell r="N9">
            <v>6.7532605173103999E-4</v>
          </cell>
          <cell r="O9">
            <v>5.2371996078033E-5</v>
          </cell>
          <cell r="P9">
            <v>5.9057393794832999E-3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4.1041518270735003E-3</v>
          </cell>
          <cell r="F10">
            <v>4.16725846327999E-3</v>
          </cell>
          <cell r="G10">
            <v>3.0678029357195302E-6</v>
          </cell>
          <cell r="H10">
            <v>7.2850988698914307E-2</v>
          </cell>
          <cell r="I10">
            <v>0.116853307184847</v>
          </cell>
          <cell r="J10">
            <v>1.5547034663599199E-2</v>
          </cell>
          <cell r="K10">
            <v>2.1288374726710298E-2</v>
          </cell>
          <cell r="L10">
            <v>4.3688396225490998E-2</v>
          </cell>
          <cell r="M10">
            <v>8.3432305707779195E-2</v>
          </cell>
          <cell r="N10">
            <v>4.8951230469524203E-2</v>
          </cell>
          <cell r="O10">
            <v>2.1283522873807199E-2</v>
          </cell>
          <cell r="P10">
            <v>4.3631635012763202E-2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1.3252527673749501E-6</v>
          </cell>
          <cell r="F11">
            <v>8.71468726252765E-7</v>
          </cell>
          <cell r="G11">
            <v>8.7708958104060204E-7</v>
          </cell>
          <cell r="H11">
            <v>1.00963377384485E-6</v>
          </cell>
          <cell r="I11">
            <v>1.6060607192426901E-6</v>
          </cell>
          <cell r="J11">
            <v>2.3474393873609102E-6</v>
          </cell>
          <cell r="K11">
            <v>4.6036851293516798E-6</v>
          </cell>
          <cell r="L11">
            <v>2.12295988810325E-3</v>
          </cell>
          <cell r="M11">
            <v>1.9910085367953301E-5</v>
          </cell>
          <cell r="N11">
            <v>6.0104577447363001E-4</v>
          </cell>
          <cell r="O11">
            <v>5.5296209470501302E-5</v>
          </cell>
          <cell r="P11">
            <v>2.8151170003409701E-3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1.43335138848388E-2</v>
          </cell>
          <cell r="F12">
            <v>7.05572514877775E-2</v>
          </cell>
          <cell r="G12">
            <v>1.1269534805183501E-6</v>
          </cell>
          <cell r="H12">
            <v>1.1940581584987101E-6</v>
          </cell>
          <cell r="I12">
            <v>1.46415686360916E-2</v>
          </cell>
          <cell r="J12">
            <v>3.9948034619404701E-2</v>
          </cell>
          <cell r="K12">
            <v>4.9321689353011698E-2</v>
          </cell>
          <cell r="L12">
            <v>1.64231943409145E-4</v>
          </cell>
          <cell r="M12">
            <v>1.54788520299039E-2</v>
          </cell>
          <cell r="N12">
            <v>3.9196371911643997E-2</v>
          </cell>
          <cell r="O12">
            <v>4.9319958887258999E-2</v>
          </cell>
          <cell r="P12">
            <v>4.9274367361507899E-4</v>
          </cell>
        </row>
        <row r="13">
          <cell r="A13" t="str">
            <v>-</v>
          </cell>
          <cell r="B13" t="str">
            <v>VAR_ncap</v>
          </cell>
          <cell r="C13" t="str">
            <v>SUP_WODH2</v>
          </cell>
          <cell r="L13">
            <v>6.7355276285333801E-4</v>
          </cell>
          <cell r="M13">
            <v>4.3107492585384604E-6</v>
          </cell>
          <cell r="N13">
            <v>3.76097107664183E-4</v>
          </cell>
          <cell r="O13">
            <v>4.5493736128172002E-5</v>
          </cell>
          <cell r="P13">
            <v>2.2053049157385201E-3</v>
          </cell>
        </row>
        <row r="14">
          <cell r="A14" t="str">
            <v>-</v>
          </cell>
          <cell r="B14" t="str">
            <v>VAR_ncap</v>
          </cell>
          <cell r="C14" t="str">
            <v>ESOL-PV_A</v>
          </cell>
          <cell r="H14">
            <v>8.3355711286351504E-4</v>
          </cell>
          <cell r="I14">
            <v>2.8537277348171402E-6</v>
          </cell>
          <cell r="J14">
            <v>1.31712816288524E-6</v>
          </cell>
          <cell r="K14">
            <v>2.64430310199522E-6</v>
          </cell>
          <cell r="L14">
            <v>7.2766935973562804E-6</v>
          </cell>
          <cell r="M14">
            <v>8.32689254746321E-4</v>
          </cell>
          <cell r="N14">
            <v>4.9914221388294799E-5</v>
          </cell>
          <cell r="O14">
            <v>1.75170967473851E-3</v>
          </cell>
        </row>
        <row r="15">
          <cell r="A15" t="str">
            <v>-</v>
          </cell>
          <cell r="B15" t="str">
            <v>VAR_ncap</v>
          </cell>
          <cell r="C15" t="str">
            <v>D-TNGA</v>
          </cell>
          <cell r="E15">
            <v>4.0401585854834901E-7</v>
          </cell>
          <cell r="F15">
            <v>3.3175832036703599E-7</v>
          </cell>
          <cell r="G15">
            <v>3.2851999277769801E-7</v>
          </cell>
          <cell r="H15">
            <v>3.0701338920176998E-7</v>
          </cell>
          <cell r="I15">
            <v>7.9827128629854096E-7</v>
          </cell>
          <cell r="J15">
            <v>1.14150713317288E-6</v>
          </cell>
          <cell r="K15">
            <v>1.8422077787743799E-6</v>
          </cell>
          <cell r="L15">
            <v>9.0178695519129608E-6</v>
          </cell>
          <cell r="M15">
            <v>1.34220883272139E-3</v>
          </cell>
          <cell r="N15">
            <v>1.54880789447038E-4</v>
          </cell>
          <cell r="O15">
            <v>1.24845377022841E-5</v>
          </cell>
          <cell r="P15">
            <v>4.76725477813723E-4</v>
          </cell>
        </row>
        <row r="16">
          <cell r="A16" t="str">
            <v>-</v>
          </cell>
          <cell r="B16" t="str">
            <v>VAR_ncap</v>
          </cell>
          <cell r="C16" t="str">
            <v>SUP_ELCH2_D</v>
          </cell>
          <cell r="H16">
            <v>3.35083337468624E-5</v>
          </cell>
          <cell r="I16">
            <v>1.3654240517542001E-4</v>
          </cell>
          <cell r="J16">
            <v>2.46132260862403E-4</v>
          </cell>
          <cell r="K16">
            <v>7.0863063328712204E-5</v>
          </cell>
          <cell r="L16">
            <v>1.60783457734989E-4</v>
          </cell>
          <cell r="M16">
            <v>4.9935214204216202E-5</v>
          </cell>
          <cell r="N16">
            <v>3.5892737233741197E-4</v>
          </cell>
          <cell r="O16">
            <v>1.87202764329308E-5</v>
          </cell>
          <cell r="P16">
            <v>7.1462279937775403E-4</v>
          </cell>
        </row>
        <row r="17">
          <cell r="A17" t="str">
            <v>-</v>
          </cell>
          <cell r="B17" t="str">
            <v>VAR_ncap</v>
          </cell>
          <cell r="C17" t="str">
            <v>SUP_H2GSL</v>
          </cell>
          <cell r="H17">
            <v>1.6514454571931801E-6</v>
          </cell>
          <cell r="I17">
            <v>3.4390518459606399E-6</v>
          </cell>
          <cell r="J17">
            <v>4.2003633990629197E-6</v>
          </cell>
          <cell r="K17">
            <v>4.7196075560239901E-6</v>
          </cell>
          <cell r="L17">
            <v>6.1044663053601802E-6</v>
          </cell>
          <cell r="M17">
            <v>4.72671320760514E-6</v>
          </cell>
          <cell r="N17">
            <v>4.4766032817234297E-6</v>
          </cell>
          <cell r="O17">
            <v>5.6951505392467199E-6</v>
          </cell>
          <cell r="P17">
            <v>1.88669789986721E-5</v>
          </cell>
        </row>
        <row r="18">
          <cell r="A18" t="str">
            <v>-</v>
          </cell>
          <cell r="B18" t="str">
            <v>VAR_ncap</v>
          </cell>
          <cell r="C18" t="str">
            <v>ESOL-PV_E</v>
          </cell>
          <cell r="H18">
            <v>2.7682564103117201E-5</v>
          </cell>
          <cell r="I18">
            <v>4.1766830528056699E-4</v>
          </cell>
          <cell r="J18">
            <v>6.5473735657007605E-4</v>
          </cell>
          <cell r="K18">
            <v>1.31595378435395E-4</v>
          </cell>
          <cell r="L18">
            <v>1.37275493326104E-5</v>
          </cell>
          <cell r="M18">
            <v>8.8353054506122007E-6</v>
          </cell>
          <cell r="N18">
            <v>3.7526887040466002E-5</v>
          </cell>
          <cell r="O18">
            <v>2.0442383968530099E-4</v>
          </cell>
          <cell r="P18">
            <v>1.5817304409655E-3</v>
          </cell>
        </row>
        <row r="19">
          <cell r="A19" t="str">
            <v>-</v>
          </cell>
          <cell r="B19" t="str">
            <v>VAR_ncap</v>
          </cell>
          <cell r="C19" t="str">
            <v>D-SNGA</v>
          </cell>
          <cell r="E19">
            <v>6.9048118777049605E-7</v>
          </cell>
          <cell r="F19">
            <v>6.3919311859975097E-7</v>
          </cell>
          <cell r="G19">
            <v>8.4249781315238905E-7</v>
          </cell>
          <cell r="H19">
            <v>9.7946615750462798E-7</v>
          </cell>
          <cell r="I19">
            <v>1.3692380806549699E-6</v>
          </cell>
          <cell r="J19">
            <v>3.1678796688097801E-6</v>
          </cell>
          <cell r="K19">
            <v>4.9525938258944996E-6</v>
          </cell>
          <cell r="L19">
            <v>1.2201954148681</v>
          </cell>
          <cell r="M19">
            <v>0.44584295341476099</v>
          </cell>
          <cell r="N19">
            <v>4.2497087451886102E-5</v>
          </cell>
          <cell r="O19">
            <v>1.14460273480178E-5</v>
          </cell>
          <cell r="P19">
            <v>1.3952264000169099E-4</v>
          </cell>
        </row>
        <row r="20">
          <cell r="A20" t="str">
            <v>-</v>
          </cell>
          <cell r="B20" t="str">
            <v>VAR_ncap</v>
          </cell>
          <cell r="C20" t="str">
            <v>SUP_MNRBIO</v>
          </cell>
          <cell r="E20">
            <v>5.2479972143585497E-2</v>
          </cell>
          <cell r="F20">
            <v>0.109371842294681</v>
          </cell>
          <cell r="G20">
            <v>5.5242763726491605E-4</v>
          </cell>
          <cell r="H20">
            <v>7.5017423708575902E-6</v>
          </cell>
          <cell r="I20">
            <v>3.3679634727695398E-5</v>
          </cell>
          <cell r="J20">
            <v>7.2836501308715496E-2</v>
          </cell>
          <cell r="K20">
            <v>8.9454843291006794E-2</v>
          </cell>
          <cell r="L20">
            <v>1.5654739754156999E-4</v>
          </cell>
          <cell r="M20">
            <v>9.6333047628539108E-3</v>
          </cell>
          <cell r="N20">
            <v>6.32125304045843E-2</v>
          </cell>
          <cell r="O20">
            <v>8.9450892653630903E-2</v>
          </cell>
          <cell r="P20">
            <v>2.14979191045916E-4</v>
          </cell>
        </row>
        <row r="21">
          <cell r="A21" t="str">
            <v>-</v>
          </cell>
          <cell r="B21" t="str">
            <v>VAR_ncap</v>
          </cell>
          <cell r="C21" t="str">
            <v>D-RNGA</v>
          </cell>
          <cell r="E21">
            <v>3.4861778795352699E-6</v>
          </cell>
          <cell r="F21">
            <v>9.7811511494671791E-7</v>
          </cell>
          <cell r="G21">
            <v>6.2966534542735901E-6</v>
          </cell>
          <cell r="H21">
            <v>0.112060667080081</v>
          </cell>
          <cell r="I21">
            <v>0.14207655086082699</v>
          </cell>
          <cell r="J21">
            <v>1.49361410901854E-5</v>
          </cell>
          <cell r="K21">
            <v>6.0468900962628099E-6</v>
          </cell>
          <cell r="L21">
            <v>1.98357221741315</v>
          </cell>
          <cell r="M21">
            <v>0.87672966461725099</v>
          </cell>
          <cell r="N21">
            <v>7.1639237796555401E-6</v>
          </cell>
          <cell r="O21">
            <v>1.0259007755726901E-5</v>
          </cell>
          <cell r="P21">
            <v>2.1116921044693001E-5</v>
          </cell>
        </row>
        <row r="22">
          <cell r="A22" t="str">
            <v>-</v>
          </cell>
          <cell r="B22" t="str">
            <v>VAR_ncap</v>
          </cell>
          <cell r="C22" t="str">
            <v>SUP_WODBIO</v>
          </cell>
          <cell r="E22">
            <v>2.1105569584986899E-6</v>
          </cell>
          <cell r="F22">
            <v>6.7074339449156096E-5</v>
          </cell>
          <cell r="G22">
            <v>5.2108780792253999E-6</v>
          </cell>
          <cell r="H22">
            <v>1.4831427539964699E-6</v>
          </cell>
          <cell r="I22">
            <v>5.3264719685822998E-5</v>
          </cell>
          <cell r="J22">
            <v>1.78057313376033E-5</v>
          </cell>
          <cell r="K22">
            <v>4.27218225644497E-5</v>
          </cell>
          <cell r="L22">
            <v>6.4417908181037294E-5</v>
          </cell>
          <cell r="M22">
            <v>4.6276793063203003E-6</v>
          </cell>
          <cell r="N22">
            <v>1.0357122751952101E-4</v>
          </cell>
          <cell r="O22">
            <v>1.5643857996776999E-5</v>
          </cell>
          <cell r="P22">
            <v>2.6353780731207997E-4</v>
          </cell>
        </row>
        <row r="23">
          <cell r="A23" t="str">
            <v>-</v>
          </cell>
          <cell r="B23" t="str">
            <v>VAR_ncap</v>
          </cell>
          <cell r="C23" t="str">
            <v>SUP_ELCH2_SOEC</v>
          </cell>
          <cell r="J23">
            <v>1.28835951337613E-3</v>
          </cell>
          <cell r="K23">
            <v>5.1331367041185499E-4</v>
          </cell>
          <cell r="L23">
            <v>2.2642662297387701E-3</v>
          </cell>
          <cell r="M23">
            <v>3.80861053283014E-5</v>
          </cell>
          <cell r="N23">
            <v>3.0032447803911601E-3</v>
          </cell>
          <cell r="O23">
            <v>2.1228611497860602E-5</v>
          </cell>
          <cell r="P23">
            <v>5.6621070913531702E-3</v>
          </cell>
        </row>
        <row r="24">
          <cell r="A24" t="str">
            <v>-</v>
          </cell>
          <cell r="B24" t="str">
            <v>VAR_ncap</v>
          </cell>
          <cell r="C24" t="str">
            <v>SUP_ELCH2</v>
          </cell>
          <cell r="E24">
            <v>4.8178042680774497E-4</v>
          </cell>
          <cell r="F24">
            <v>8.9760127022405894E-6</v>
          </cell>
          <cell r="G24">
            <v>1.80401096413948E-5</v>
          </cell>
          <cell r="H24">
            <v>6.78655918921052E-4</v>
          </cell>
          <cell r="I24">
            <v>2.72055590126145E-3</v>
          </cell>
          <cell r="J24">
            <v>1.9616094934319199E-3</v>
          </cell>
          <cell r="K24">
            <v>3.4946348432365898E-4</v>
          </cell>
          <cell r="L24">
            <v>1.5822967917704201E-2</v>
          </cell>
          <cell r="M24">
            <v>5.2190223745640402E-4</v>
          </cell>
          <cell r="N24">
            <v>3.7195011788218497E-2</v>
          </cell>
          <cell r="O24">
            <v>3.7009797332069202E-3</v>
          </cell>
          <cell r="P24">
            <v>1.9993995692809401E-2</v>
          </cell>
        </row>
        <row r="25">
          <cell r="A25" t="str">
            <v>-</v>
          </cell>
          <cell r="B25" t="str">
            <v>VAR_ncap</v>
          </cell>
          <cell r="C25" t="str">
            <v>CT_CWODBDS</v>
          </cell>
          <cell r="E25">
            <v>9.33080315303741E-7</v>
          </cell>
          <cell r="F25">
            <v>5.4483157656781101E-7</v>
          </cell>
          <cell r="G25">
            <v>4.9850806953624302E-7</v>
          </cell>
          <cell r="H25">
            <v>6.0889549222411598E-7</v>
          </cell>
          <cell r="I25">
            <v>6.3925038104659505E-5</v>
          </cell>
          <cell r="J25">
            <v>7.6114028938363299E-5</v>
          </cell>
          <cell r="K25">
            <v>3.2899340786950401E-5</v>
          </cell>
          <cell r="L25">
            <v>1.8372223640617301E-3</v>
          </cell>
          <cell r="M25">
            <v>1.2639230429698301E-2</v>
          </cell>
          <cell r="N25">
            <v>8.2860184542679505E-3</v>
          </cell>
          <cell r="O25">
            <v>4.6801700090082297E-2</v>
          </cell>
          <cell r="P25">
            <v>1.290424769265E-2</v>
          </cell>
        </row>
        <row r="26">
          <cell r="A26" t="str">
            <v>-</v>
          </cell>
          <cell r="B26" t="str">
            <v>VAR_ncap</v>
          </cell>
          <cell r="C26" t="str">
            <v>CT_CWODPLT</v>
          </cell>
          <cell r="E26">
            <v>0.162057826859103</v>
          </cell>
          <cell r="F26">
            <v>5.0412625067991497E-2</v>
          </cell>
          <cell r="G26">
            <v>1.2209043640819101E-5</v>
          </cell>
          <cell r="H26">
            <v>1.0729106422587001E-3</v>
          </cell>
          <cell r="I26">
            <v>0.16982004545847401</v>
          </cell>
          <cell r="J26">
            <v>0.19679895116270299</v>
          </cell>
          <cell r="K26">
            <v>9.6891617876482705E-2</v>
          </cell>
          <cell r="L26">
            <v>7.19307604343825E-3</v>
          </cell>
          <cell r="M26">
            <v>0.14588188080423101</v>
          </cell>
          <cell r="N26">
            <v>0.22055395891528301</v>
          </cell>
          <cell r="O26">
            <v>9.1158340633304094E-2</v>
          </cell>
          <cell r="P26">
            <v>3.6999945496513401E-4</v>
          </cell>
        </row>
        <row r="27">
          <cell r="A27" t="str">
            <v>-</v>
          </cell>
          <cell r="B27" t="str">
            <v>VAR_ncap</v>
          </cell>
          <cell r="C27" t="str">
            <v>D-DH2</v>
          </cell>
          <cell r="H27">
            <v>1.0516388793413201E-4</v>
          </cell>
          <cell r="I27">
            <v>1.8870964045188701E-4</v>
          </cell>
          <cell r="J27">
            <v>5.8749298459545303E-4</v>
          </cell>
          <cell r="K27">
            <v>7.8324684439987302E-5</v>
          </cell>
          <cell r="L27">
            <v>4.1296900463363799E-4</v>
          </cell>
          <cell r="M27">
            <v>2.05400906015934E-5</v>
          </cell>
          <cell r="N27">
            <v>3.1658409926144598E-4</v>
          </cell>
          <cell r="O27">
            <v>5.0381191658369599E-5</v>
          </cell>
          <cell r="P27">
            <v>1.7052284048695899E-3</v>
          </cell>
        </row>
        <row r="28">
          <cell r="A28" t="str">
            <v>-</v>
          </cell>
          <cell r="B28" t="str">
            <v>VAR_ncap</v>
          </cell>
          <cell r="C28" t="str">
            <v>CT_CWODETH</v>
          </cell>
          <cell r="E28">
            <v>5.0779881730707004E-3</v>
          </cell>
          <cell r="F28">
            <v>5.6573985705219099E-7</v>
          </cell>
          <cell r="G28">
            <v>6.2637973807416698E-7</v>
          </cell>
          <cell r="H28">
            <v>5.5222360025788504E-7</v>
          </cell>
          <cell r="I28">
            <v>5.3734135168742197E-6</v>
          </cell>
          <cell r="J28">
            <v>2.64813407634567E-5</v>
          </cell>
          <cell r="K28">
            <v>3.4521600150141298E-5</v>
          </cell>
          <cell r="L28">
            <v>6.8034062967470803E-5</v>
          </cell>
          <cell r="M28">
            <v>3.26890093631143E-6</v>
          </cell>
          <cell r="N28">
            <v>9.1348482629846305E-5</v>
          </cell>
          <cell r="O28">
            <v>1.4051350861034099E-5</v>
          </cell>
          <cell r="P28">
            <v>2.5669853202592801E-4</v>
          </cell>
        </row>
        <row r="29">
          <cell r="A29" t="str">
            <v>-</v>
          </cell>
          <cell r="B29" t="str">
            <v>VAR_ncap</v>
          </cell>
          <cell r="C29" t="str">
            <v>D-INGA</v>
          </cell>
          <cell r="E29">
            <v>2.6223721097234301E-6</v>
          </cell>
          <cell r="F29">
            <v>1.3570788731876199E-6</v>
          </cell>
          <cell r="G29">
            <v>2.0398788645692499E-6</v>
          </cell>
          <cell r="H29">
            <v>3.19410173285069E-6</v>
          </cell>
          <cell r="I29">
            <v>5.1475229949901303E-6</v>
          </cell>
          <cell r="J29">
            <v>7.3067591598209001E-6</v>
          </cell>
          <cell r="K29">
            <v>1.3383172632960201E-5</v>
          </cell>
          <cell r="L29">
            <v>5.3758525663263397E-2</v>
          </cell>
          <cell r="M29">
            <v>0.60441176692093701</v>
          </cell>
          <cell r="N29">
            <v>1.2888927651825201E-4</v>
          </cell>
          <cell r="O29">
            <v>4.3447202996709197E-5</v>
          </cell>
          <cell r="P29">
            <v>1.9003211468923399E-4</v>
          </cell>
        </row>
        <row r="30">
          <cell r="A30" t="str">
            <v>-</v>
          </cell>
          <cell r="B30" t="str">
            <v>VAR_ncap</v>
          </cell>
          <cell r="C30" t="str">
            <v>SUP_H2DSL</v>
          </cell>
          <cell r="H30">
            <v>1.8592066029133901E-6</v>
          </cell>
          <cell r="I30">
            <v>3.7517663118503801E-6</v>
          </cell>
          <cell r="J30">
            <v>4.7334389212479802E-6</v>
          </cell>
          <cell r="K30">
            <v>5.2226443656787102E-6</v>
          </cell>
          <cell r="L30">
            <v>6.5290000915808597E-6</v>
          </cell>
          <cell r="M30">
            <v>5.4739378686305101E-6</v>
          </cell>
          <cell r="N30">
            <v>4.9456440725973297E-6</v>
          </cell>
          <cell r="O30">
            <v>6.2886032419857003E-6</v>
          </cell>
          <cell r="P30">
            <v>2.0770784704210599E-5</v>
          </cell>
        </row>
        <row r="31">
          <cell r="A31" t="str">
            <v>-</v>
          </cell>
          <cell r="B31" t="str">
            <v>VAR_cap</v>
          </cell>
          <cell r="C31" t="str">
            <v>SUP_NGAH2</v>
          </cell>
          <cell r="H31">
            <v>1.7225778488860301E-6</v>
          </cell>
          <cell r="I31">
            <v>3.9656428175510411E-6</v>
          </cell>
          <cell r="J31">
            <v>5.9940591909613107E-6</v>
          </cell>
          <cell r="K31">
            <v>1.0209758884600671E-5</v>
          </cell>
          <cell r="L31">
            <v>4.9258298552003145E-4</v>
          </cell>
          <cell r="M31">
            <v>4.9908966821476139E-4</v>
          </cell>
          <cell r="N31">
            <v>7.5351927226719319E-4</v>
          </cell>
          <cell r="O31">
            <v>7.6186401771182485E-4</v>
          </cell>
          <cell r="P31">
            <v>1.6714457911609422E-3</v>
          </cell>
        </row>
        <row r="32">
          <cell r="A32" t="str">
            <v>-</v>
          </cell>
          <cell r="B32" t="str">
            <v>VAR_cap</v>
          </cell>
          <cell r="C32" t="str">
            <v>SUP_WSTHTGBIO</v>
          </cell>
          <cell r="J32">
            <v>8.4623554305439107E-5</v>
          </cell>
          <cell r="K32">
            <v>8.8067743471254107E-5</v>
          </cell>
          <cell r="L32">
            <v>1.0818729502366752E-4</v>
          </cell>
          <cell r="M32">
            <v>9.895897138506399E-5</v>
          </cell>
          <cell r="N32">
            <v>1.2914002363215185E-4</v>
          </cell>
          <cell r="O32">
            <v>1.2733578963502426E-4</v>
          </cell>
          <cell r="P32">
            <v>2.4590662781657482E-4</v>
          </cell>
        </row>
        <row r="33">
          <cell r="A33" t="str">
            <v>-</v>
          </cell>
          <cell r="B33" t="str">
            <v>VAR_cap</v>
          </cell>
          <cell r="C33" t="str">
            <v>STG-H2</v>
          </cell>
          <cell r="H33">
            <v>1.2416771319601799E-5</v>
          </cell>
          <cell r="I33">
            <v>3.2278184384041406E-5</v>
          </cell>
          <cell r="J33">
            <v>3.5089144783390811E-5</v>
          </cell>
          <cell r="K33">
            <v>3.613722923991043E-5</v>
          </cell>
          <cell r="L33">
            <v>6.6541168245527331E-5</v>
          </cell>
          <cell r="M33">
            <v>6.3545768590187414E-5</v>
          </cell>
          <cell r="N33">
            <v>1.0458660225895376E-4</v>
          </cell>
          <cell r="O33">
            <v>1.1664028397663125E-4</v>
          </cell>
          <cell r="P33">
            <v>2.4630304935065775E-4</v>
          </cell>
        </row>
        <row r="34">
          <cell r="A34" t="str">
            <v>-</v>
          </cell>
          <cell r="B34" t="str">
            <v>VAR_cap</v>
          </cell>
          <cell r="C34" t="str">
            <v>SUP_H2NGA</v>
          </cell>
          <cell r="H34">
            <v>1.4695535864433801E-6</v>
          </cell>
          <cell r="I34">
            <v>3.62663686489837E-6</v>
          </cell>
          <cell r="J34">
            <v>4.4204766696179201E-6</v>
          </cell>
          <cell r="K34">
            <v>5.3094096809753092E-6</v>
          </cell>
          <cell r="L34">
            <v>7.888895689649902E-6</v>
          </cell>
          <cell r="M34">
            <v>8.219155165843001E-6</v>
          </cell>
          <cell r="N34">
            <v>5.8338858367596005E-6</v>
          </cell>
          <cell r="O34">
            <v>9.6841083882218994E-6</v>
          </cell>
          <cell r="P34">
            <v>2.3301583760136326E-5</v>
          </cell>
        </row>
        <row r="35">
          <cell r="A35" t="str">
            <v>-</v>
          </cell>
          <cell r="B35" t="str">
            <v>VAR_cap</v>
          </cell>
          <cell r="C35" t="str">
            <v>D-ENGA</v>
          </cell>
          <cell r="E35">
            <v>1.0275143995713818</v>
          </cell>
          <cell r="F35">
            <v>1.0275157542476849</v>
          </cell>
          <cell r="G35">
            <v>1.0275177396603217</v>
          </cell>
          <cell r="H35">
            <v>1.027520484806967</v>
          </cell>
          <cell r="I35">
            <v>1.027526716915649</v>
          </cell>
          <cell r="J35">
            <v>1.0275361167526391</v>
          </cell>
          <cell r="K35">
            <v>1.0275547788688348</v>
          </cell>
          <cell r="L35">
            <v>0.83518542896637793</v>
          </cell>
          <cell r="M35">
            <v>1.130100862846821</v>
          </cell>
          <cell r="N35">
            <v>1.18162040075995</v>
          </cell>
          <cell r="O35">
            <v>1.1817805274722699</v>
          </cell>
          <cell r="P35">
            <v>1.18193175354035</v>
          </cell>
        </row>
        <row r="36">
          <cell r="A36" t="str">
            <v>-</v>
          </cell>
          <cell r="B36" t="str">
            <v>VAR_cap</v>
          </cell>
          <cell r="C36" t="str">
            <v>D-CHEAT</v>
          </cell>
          <cell r="J36">
            <v>4.7307276440865399E-3</v>
          </cell>
          <cell r="K36">
            <v>5.1149302228636799E-3</v>
          </cell>
          <cell r="L36">
            <v>6.1736731910597004E-3</v>
          </cell>
          <cell r="M36">
            <v>6.1876848859487498E-3</v>
          </cell>
          <cell r="N36">
            <v>6.8630109376797898E-3</v>
          </cell>
          <cell r="O36">
            <v>6.91538293375783E-3</v>
          </cell>
          <cell r="P36">
            <v>1.28211223132411E-2</v>
          </cell>
        </row>
        <row r="37">
          <cell r="A37" t="str">
            <v>-</v>
          </cell>
          <cell r="B37" t="str">
            <v>VAR_cap</v>
          </cell>
          <cell r="C37" t="str">
            <v>SUP_WSTBIO</v>
          </cell>
          <cell r="E37">
            <v>0.21267373847132198</v>
          </cell>
          <cell r="F37">
            <v>0.21683963704510742</v>
          </cell>
          <cell r="G37">
            <v>0.21683617456332804</v>
          </cell>
          <cell r="H37">
            <v>0.21610369428831538</v>
          </cell>
          <cell r="I37">
            <v>0.21564505913820758</v>
          </cell>
          <cell r="J37">
            <v>0.20951301828135604</v>
          </cell>
          <cell r="K37">
            <v>0.20344213890800869</v>
          </cell>
          <cell r="L37">
            <v>0.1973727906098639</v>
          </cell>
          <cell r="M37">
            <v>0.19736281221137172</v>
          </cell>
          <cell r="N37">
            <v>0.19735494366813811</v>
          </cell>
          <cell r="O37">
            <v>0.19735002208863239</v>
          </cell>
          <cell r="P37">
            <v>0.19729166552756455</v>
          </cell>
        </row>
        <row r="38">
          <cell r="A38" t="str">
            <v>-</v>
          </cell>
          <cell r="B38" t="str">
            <v>VAR_cap</v>
          </cell>
          <cell r="C38" t="str">
            <v>D-CNGA</v>
          </cell>
          <cell r="E38">
            <v>1.3252527673749501E-6</v>
          </cell>
          <cell r="F38">
            <v>2.1967214936277099E-6</v>
          </cell>
          <cell r="G38">
            <v>3.0738110746683101E-6</v>
          </cell>
          <cell r="H38">
            <v>4.0834448485131696E-6</v>
          </cell>
          <cell r="I38">
            <v>5.6895055677558599E-6</v>
          </cell>
          <cell r="J38">
            <v>8.0369449551167701E-6</v>
          </cell>
          <cell r="K38">
            <v>1.26406300844685E-5</v>
          </cell>
          <cell r="L38">
            <v>2.1356005181877198E-3</v>
          </cell>
          <cell r="M38">
            <v>2.1555106035556801E-3</v>
          </cell>
          <cell r="N38">
            <v>2.7551498319177501E-3</v>
          </cell>
          <cell r="O38">
            <v>2.8086140604900601E-3</v>
          </cell>
          <cell r="P38">
            <v>5.6228861429922601E-3</v>
          </cell>
        </row>
        <row r="39">
          <cell r="A39" t="str">
            <v>-</v>
          </cell>
          <cell r="B39" t="str">
            <v>VAR_cap</v>
          </cell>
          <cell r="C39" t="str">
            <v>SUP_BIONGA</v>
          </cell>
          <cell r="E39">
            <v>4.2351292173225329E-2</v>
          </cell>
          <cell r="F39">
            <v>0.11290813935855565</v>
          </cell>
          <cell r="G39">
            <v>0.10988078553249619</v>
          </cell>
          <cell r="H39">
            <v>0.10430445973564222</v>
          </cell>
          <cell r="I39">
            <v>0.103979528862836</v>
          </cell>
          <cell r="J39">
            <v>0.1039075649812988</v>
          </cell>
          <cell r="K39">
            <v>0.10391011454137998</v>
          </cell>
          <cell r="L39">
            <v>0.10407032603549511</v>
          </cell>
          <cell r="M39">
            <v>0.10405615314416926</v>
          </cell>
          <cell r="N39">
            <v>0.10415331240306561</v>
          </cell>
          <cell r="O39">
            <v>0.10415238466148438</v>
          </cell>
          <cell r="P39">
            <v>0.10447950577790513</v>
          </cell>
        </row>
        <row r="40">
          <cell r="A40" t="str">
            <v>-</v>
          </cell>
          <cell r="B40" t="str">
            <v>VAR_cap</v>
          </cell>
          <cell r="C40" t="str">
            <v>SUP_WODH2</v>
          </cell>
          <cell r="L40">
            <v>6.7355276285333801E-4</v>
          </cell>
          <cell r="M40">
            <v>6.7741683704843048E-4</v>
          </cell>
          <cell r="N40">
            <v>1.0523389398611849E-3</v>
          </cell>
          <cell r="O40">
            <v>1.095942715199948E-3</v>
          </cell>
          <cell r="P40">
            <v>3.2981732155045471E-3</v>
          </cell>
        </row>
        <row r="41">
          <cell r="A41" t="str">
            <v>-</v>
          </cell>
          <cell r="B41" t="str">
            <v>VAR_cap</v>
          </cell>
          <cell r="C41" t="str">
            <v>ESOL-PV_A</v>
          </cell>
          <cell r="H41">
            <v>2.23646077500453E-4</v>
          </cell>
          <cell r="I41">
            <v>8.3355711286351504E-4</v>
          </cell>
          <cell r="J41">
            <v>8.3581156651251702E-4</v>
          </cell>
          <cell r="K41">
            <v>8.3814193433186495E-4</v>
          </cell>
          <cell r="L41">
            <v>8.4037227186321199E-4</v>
          </cell>
          <cell r="M41">
            <v>8.4520719959927098E-4</v>
          </cell>
          <cell r="N41">
            <v>8.4678110734337498E-4</v>
          </cell>
          <cell r="O41">
            <v>1.1595300560818299E-3</v>
          </cell>
          <cell r="P41">
            <v>2.6442341475724699E-3</v>
          </cell>
        </row>
        <row r="42">
          <cell r="A42" t="str">
            <v>-</v>
          </cell>
          <cell r="B42" t="str">
            <v>VAR_cap</v>
          </cell>
          <cell r="C42" t="str">
            <v>D-TNGA</v>
          </cell>
          <cell r="E42">
            <v>0.95961809709750256</v>
          </cell>
          <cell r="F42">
            <v>0.95961842885582294</v>
          </cell>
          <cell r="G42">
            <v>0.9596187573758157</v>
          </cell>
          <cell r="H42">
            <v>0.95961906438920497</v>
          </cell>
          <cell r="I42">
            <v>0.95961986266049126</v>
          </cell>
          <cell r="J42">
            <v>0.95962100416762441</v>
          </cell>
          <cell r="K42">
            <v>0.95962284637540318</v>
          </cell>
          <cell r="L42">
            <v>0.32781692410998903</v>
          </cell>
          <cell r="M42">
            <v>1.3563799960324501E-3</v>
          </cell>
          <cell r="N42">
            <v>1.51079976087564E-3</v>
          </cell>
          <cell r="O42">
            <v>1.5226418896555299E-3</v>
          </cell>
          <cell r="P42">
            <v>1.9990994934345999E-3</v>
          </cell>
        </row>
        <row r="43">
          <cell r="A43" t="str">
            <v>-</v>
          </cell>
          <cell r="B43" t="str">
            <v>VAR_cap</v>
          </cell>
          <cell r="C43" t="str">
            <v>SUP_ELCH2_D</v>
          </cell>
          <cell r="H43">
            <v>3.35083337468624E-5</v>
          </cell>
          <cell r="I43">
            <v>1.7005073892228199E-4</v>
          </cell>
          <cell r="J43">
            <v>4.16182999784686E-4</v>
          </cell>
          <cell r="K43">
            <v>4.7642346257501899E-4</v>
          </cell>
          <cell r="L43">
            <v>6.1432118710152495E-4</v>
          </cell>
          <cell r="M43">
            <v>5.3655147691138605E-4</v>
          </cell>
          <cell r="N43">
            <v>6.4050910760532996E-4</v>
          </cell>
          <cell r="O43">
            <v>5.8836632070954898E-4</v>
          </cell>
          <cell r="P43">
            <v>1.14220566235231E-3</v>
          </cell>
        </row>
        <row r="44">
          <cell r="A44" t="str">
            <v>-</v>
          </cell>
          <cell r="B44" t="str">
            <v>VAR_cap</v>
          </cell>
          <cell r="C44" t="str">
            <v>SUP_H2GSL</v>
          </cell>
          <cell r="H44">
            <v>1.6514454571931801E-6</v>
          </cell>
          <cell r="I44">
            <v>3.5152242562643104E-6</v>
          </cell>
          <cell r="J44">
            <v>4.3291364320210409E-6</v>
          </cell>
          <cell r="K44">
            <v>6.2228230675885895E-6</v>
          </cell>
          <cell r="L44">
            <v>5.6201356496141004E-6</v>
          </cell>
          <cell r="M44">
            <v>9.6109948595364006E-6</v>
          </cell>
          <cell r="N44">
            <v>8.7540814452043011E-6</v>
          </cell>
          <cell r="O44">
            <v>9.3200184580225018E-6</v>
          </cell>
          <cell r="P44">
            <v>2.5395874759238322E-5</v>
          </cell>
        </row>
        <row r="45">
          <cell r="A45" t="str">
            <v>-</v>
          </cell>
          <cell r="B45" t="str">
            <v>VAR_cap</v>
          </cell>
          <cell r="C45" t="str">
            <v>ESOL-PV_E</v>
          </cell>
          <cell r="H45">
            <v>2.7682564103117201E-5</v>
          </cell>
          <cell r="I45">
            <v>4.4535086938368398E-4</v>
          </cell>
          <cell r="J45">
            <v>1.10008822595376E-3</v>
          </cell>
          <cell r="K45">
            <v>1.2316836043891599E-3</v>
          </cell>
          <cell r="L45">
            <v>1.24541115372177E-3</v>
          </cell>
          <cell r="M45">
            <v>1.2468191374192801E-3</v>
          </cell>
          <cell r="N45">
            <v>1.2640907821097299E-3</v>
          </cell>
          <cell r="O45">
            <v>1.0223254166606701E-3</v>
          </cell>
          <cell r="P45">
            <v>1.9778394009098898E-3</v>
          </cell>
        </row>
        <row r="46">
          <cell r="A46" t="str">
            <v>-</v>
          </cell>
          <cell r="B46" t="str">
            <v>VAR_cap</v>
          </cell>
          <cell r="C46" t="str">
            <v>D-SNGA</v>
          </cell>
          <cell r="E46">
            <v>2.235052892106328</v>
          </cell>
          <cell r="F46">
            <v>2.2350535312994464</v>
          </cell>
          <cell r="G46">
            <v>2.2350543737972597</v>
          </cell>
          <cell r="H46">
            <v>2.2350553532634172</v>
          </cell>
          <cell r="I46">
            <v>2.2350567225014979</v>
          </cell>
          <cell r="J46">
            <v>2.2350598903811667</v>
          </cell>
          <cell r="K46">
            <v>2.2350648429749924</v>
          </cell>
          <cell r="L46">
            <v>1.9836957138073661</v>
          </cell>
          <cell r="M46">
            <v>1.6660510096327199</v>
          </cell>
          <cell r="N46">
            <v>1.6660926835981</v>
          </cell>
          <cell r="O46">
            <v>1.66610261929605</v>
          </cell>
          <cell r="P46">
            <v>1.6662413237492399</v>
          </cell>
        </row>
        <row r="47">
          <cell r="A47" t="str">
            <v>-</v>
          </cell>
          <cell r="B47" t="str">
            <v>VAR_cap</v>
          </cell>
          <cell r="C47" t="str">
            <v>SUP_MNRBIO</v>
          </cell>
          <cell r="E47">
            <v>5.2479972143585497E-2</v>
          </cell>
          <cell r="F47">
            <v>0.1618512245261236</v>
          </cell>
          <cell r="G47">
            <v>0.16240132518153508</v>
          </cell>
          <cell r="H47">
            <v>0.16240442865173943</v>
          </cell>
          <cell r="I47">
            <v>0.16242930706499914</v>
          </cell>
          <cell r="J47">
            <v>0.16242099673075711</v>
          </cell>
          <cell r="K47">
            <v>0.16241920159649986</v>
          </cell>
          <cell r="L47">
            <v>0.16247043097176478</v>
          </cell>
          <cell r="M47">
            <v>0.16242509722298568</v>
          </cell>
          <cell r="N47">
            <v>0.16244200692384034</v>
          </cell>
          <cell r="O47">
            <v>0.16243963170300427</v>
          </cell>
          <cell r="P47">
            <v>0.16249356438125498</v>
          </cell>
        </row>
        <row r="48">
          <cell r="A48" t="str">
            <v>-</v>
          </cell>
          <cell r="B48" t="str">
            <v>VAR_cap</v>
          </cell>
          <cell r="C48" t="str">
            <v>D-RNGA</v>
          </cell>
          <cell r="E48">
            <v>3.0972434935737998</v>
          </cell>
          <cell r="F48">
            <v>3.0972444716889145</v>
          </cell>
          <cell r="G48">
            <v>3.0972507683423687</v>
          </cell>
          <cell r="H48">
            <v>3.2093114354224501</v>
          </cell>
          <cell r="I48">
            <v>3.3513879862832772</v>
          </cell>
          <cell r="J48">
            <v>3.3514029224243673</v>
          </cell>
          <cell r="K48">
            <v>3.351408969314464</v>
          </cell>
          <cell r="L48">
            <v>3.2957498095191697</v>
          </cell>
          <cell r="M48">
            <v>3.1144708439489501</v>
          </cell>
          <cell r="N48">
            <v>3.1144749487971999</v>
          </cell>
          <cell r="O48">
            <v>3.0789538555959099</v>
          </cell>
          <cell r="P48">
            <v>3.0024379557750001</v>
          </cell>
        </row>
        <row r="49">
          <cell r="A49" t="str">
            <v>-</v>
          </cell>
          <cell r="B49" t="str">
            <v>VAR_cap</v>
          </cell>
          <cell r="C49" t="str">
            <v>SUP_WODBIO</v>
          </cell>
          <cell r="E49">
            <v>2.1105569584986899E-6</v>
          </cell>
          <cell r="F49">
            <v>6.9017608654482033E-5</v>
          </cell>
          <cell r="G49">
            <v>7.3931887290342227E-5</v>
          </cell>
          <cell r="H49">
            <v>7.4745725826399855E-5</v>
          </cell>
          <cell r="I49">
            <v>1.2672759698930666E-4</v>
          </cell>
          <cell r="J49">
            <v>1.1650695792621037E-4</v>
          </cell>
          <cell r="K49">
            <v>1.1385928874184559E-4</v>
          </cell>
          <cell r="L49">
            <v>1.7602441383398056E-4</v>
          </cell>
          <cell r="M49">
            <v>1.3987637229300845E-4</v>
          </cell>
          <cell r="N49">
            <v>2.1215284019418233E-4</v>
          </cell>
          <cell r="O49">
            <v>1.8517744530428324E-4</v>
          </cell>
          <cell r="P49">
            <v>3.8428177288441873E-4</v>
          </cell>
        </row>
        <row r="50">
          <cell r="A50" t="str">
            <v>-</v>
          </cell>
          <cell r="B50" t="str">
            <v>VAR_cap</v>
          </cell>
          <cell r="C50" t="str">
            <v>SUP_ELCH2_SOEC</v>
          </cell>
          <cell r="J50">
            <v>1.28835951337613E-3</v>
          </cell>
          <cell r="K50">
            <v>1.5992933658360493E-3</v>
          </cell>
          <cell r="L50">
            <v>2.77630255974807E-3</v>
          </cell>
          <cell r="M50">
            <v>2.3783415374805396E-3</v>
          </cell>
          <cell r="N50">
            <v>3.03052965787648E-3</v>
          </cell>
          <cell r="O50">
            <v>3.0224669833066446E-3</v>
          </cell>
          <cell r="P50">
            <v>5.6809695870091974E-3</v>
          </cell>
        </row>
        <row r="51">
          <cell r="A51" t="str">
            <v>-</v>
          </cell>
          <cell r="B51" t="str">
            <v>VAR_cap</v>
          </cell>
          <cell r="C51" t="str">
            <v>SUP_ELCH2</v>
          </cell>
          <cell r="E51">
            <v>4.8178042680774497E-4</v>
          </cell>
          <cell r="F51">
            <v>4.9030135447213996E-4</v>
          </cell>
          <cell r="G51">
            <v>5.0722671527940173E-4</v>
          </cell>
          <cell r="H51">
            <v>1.1841399340788109E-3</v>
          </cell>
          <cell r="I51">
            <v>3.900174239427782E-3</v>
          </cell>
          <cell r="J51">
            <v>5.5693836679173714E-3</v>
          </cell>
          <cell r="K51">
            <v>5.4881657540230945E-3</v>
          </cell>
          <cell r="L51">
            <v>2.084050308696192E-2</v>
          </cell>
          <cell r="M51">
            <v>1.9200543408906888E-2</v>
          </cell>
          <cell r="N51">
            <v>5.3869923458259181E-2</v>
          </cell>
          <cell r="O51">
            <v>5.7221404214215753E-2</v>
          </cell>
          <cell r="P51">
            <v>6.1390024946489E-2</v>
          </cell>
        </row>
        <row r="52">
          <cell r="A52" t="str">
            <v>-</v>
          </cell>
          <cell r="B52" t="str">
            <v>VAR_cap</v>
          </cell>
          <cell r="C52" t="str">
            <v>CT_CWODBDS</v>
          </cell>
          <cell r="E52">
            <v>3.3088240641657704E-2</v>
          </cell>
          <cell r="F52">
            <v>3.3050390421102673E-2</v>
          </cell>
          <cell r="G52">
            <v>3.2653106227877204E-2</v>
          </cell>
          <cell r="H52">
            <v>1.4168679820983354E-4</v>
          </cell>
          <cell r="I52">
            <v>9.9995033336771136E-5</v>
          </cell>
          <cell r="J52">
            <v>1.4034692486902985E-4</v>
          </cell>
          <cell r="K52">
            <v>1.7222712935361902E-4</v>
          </cell>
          <cell r="L52">
            <v>2.0071800741532897E-3</v>
          </cell>
          <cell r="M52">
            <v>1.4590155725694021E-2</v>
          </cell>
          <cell r="N52">
            <v>2.2791309522798345E-2</v>
          </cell>
          <cell r="O52">
            <v>6.9560188372131168E-2</v>
          </cell>
          <cell r="P52">
            <v>8.0626510372256543E-2</v>
          </cell>
        </row>
        <row r="53">
          <cell r="A53" t="str">
            <v>-</v>
          </cell>
          <cell r="B53" t="str">
            <v>VAR_cap</v>
          </cell>
          <cell r="C53" t="str">
            <v>CT_CWODPLT</v>
          </cell>
          <cell r="E53">
            <v>0.36435609702876065</v>
          </cell>
          <cell r="F53">
            <v>0.41476718353551278</v>
          </cell>
          <cell r="G53">
            <v>0.41477483865667014</v>
          </cell>
          <cell r="H53">
            <v>0.41584386328406991</v>
          </cell>
          <cell r="I53">
            <v>0.43582114184260201</v>
          </cell>
          <cell r="J53">
            <v>0.4659110226850165</v>
          </cell>
          <cell r="K53">
            <v>0.46423578470176929</v>
          </cell>
          <cell r="L53">
            <v>0.47069112250294565</v>
          </cell>
          <cell r="M53">
            <v>0.47222400263565933</v>
          </cell>
          <cell r="N53">
            <v>0.47050436252581856</v>
          </cell>
          <cell r="O53">
            <v>0.46477151470809042</v>
          </cell>
          <cell r="P53">
            <v>0.45794371260771993</v>
          </cell>
        </row>
        <row r="54">
          <cell r="A54" t="str">
            <v>-</v>
          </cell>
          <cell r="B54" t="str">
            <v>VAR_cap</v>
          </cell>
          <cell r="C54" t="str">
            <v>D-DH2</v>
          </cell>
          <cell r="H54">
            <v>1.0516388793413201E-4</v>
          </cell>
          <cell r="I54">
            <v>2.9387352838601902E-4</v>
          </cell>
          <cell r="J54">
            <v>8.8136651298147302E-4</v>
          </cell>
          <cell r="K54">
            <v>9.5969119742145997E-4</v>
          </cell>
          <cell r="L54">
            <v>1.3726602020551E-3</v>
          </cell>
          <cell r="M54">
            <v>1.3932002926566899E-3</v>
          </cell>
          <cell r="N54">
            <v>1.7097843919181401E-3</v>
          </cell>
          <cell r="O54">
            <v>1.7268271913715601E-3</v>
          </cell>
          <cell r="P54">
            <v>3.3602301005119699E-3</v>
          </cell>
        </row>
        <row r="55">
          <cell r="A55" t="str">
            <v>-</v>
          </cell>
          <cell r="B55" t="str">
            <v>VAR_cap</v>
          </cell>
          <cell r="C55" t="str">
            <v>CT_CWODETH</v>
          </cell>
          <cell r="E55">
            <v>7.1152650997741707E-3</v>
          </cell>
          <cell r="F55">
            <v>1.3704406820588995E-4</v>
          </cell>
          <cell r="G55">
            <v>1.3555140397070002E-4</v>
          </cell>
          <cell r="H55">
            <v>8.1877152500659835E-5</v>
          </cell>
          <cell r="I55">
            <v>8.5870077110539351E-5</v>
          </cell>
          <cell r="J55">
            <v>6.4785541865389727E-5</v>
          </cell>
          <cell r="K55">
            <v>6.5706335123950045E-5</v>
          </cell>
          <cell r="L55">
            <v>1.3204082291370966E-4</v>
          </cell>
          <cell r="M55">
            <v>1.2388665664438324E-4</v>
          </cell>
          <cell r="N55">
            <v>1.9238142366808809E-4</v>
          </cell>
          <cell r="O55">
            <v>1.7255633404057307E-4</v>
          </cell>
          <cell r="P55">
            <v>3.6204424106786657E-4</v>
          </cell>
        </row>
        <row r="56">
          <cell r="A56" t="str">
            <v>-</v>
          </cell>
          <cell r="B56" t="str">
            <v>VAR_cap</v>
          </cell>
          <cell r="C56" t="str">
            <v>D-INGA</v>
          </cell>
          <cell r="E56">
            <v>1.9844859926382097</v>
          </cell>
          <cell r="F56">
            <v>1.984487349717083</v>
          </cell>
          <cell r="G56">
            <v>1.9844893895959475</v>
          </cell>
          <cell r="H56">
            <v>1.9844925836976803</v>
          </cell>
          <cell r="I56">
            <v>1.9844977312206753</v>
          </cell>
          <cell r="J56">
            <v>1.9845050379798352</v>
          </cell>
          <cell r="K56">
            <v>1.984518421152468</v>
          </cell>
          <cell r="L56">
            <v>0.94720783175767842</v>
          </cell>
          <cell r="M56">
            <v>0.76505339266924799</v>
          </cell>
          <cell r="N56">
            <v>0.65833162865864903</v>
          </cell>
          <cell r="O56">
            <v>0.65837100935352599</v>
          </cell>
          <cell r="P56">
            <v>0.65855849863319205</v>
          </cell>
        </row>
        <row r="57">
          <cell r="A57" t="str">
            <v>-</v>
          </cell>
          <cell r="B57" t="str">
            <v>VAR_cap</v>
          </cell>
          <cell r="C57" t="str">
            <v>SUP_H2DSL</v>
          </cell>
          <cell r="H57">
            <v>1.8592066029133901E-6</v>
          </cell>
          <cell r="I57">
            <v>3.7736750524261204E-6</v>
          </cell>
          <cell r="J57">
            <v>5.3401052279273007E-6</v>
          </cell>
          <cell r="K57">
            <v>6.8829162893589199E-6</v>
          </cell>
          <cell r="L57">
            <v>4.9584700723363982E-6</v>
          </cell>
          <cell r="M57">
            <v>1.08083072823001E-5</v>
          </cell>
          <cell r="N57">
            <v>1.0123502321346598E-5</v>
          </cell>
          <cell r="O57">
            <v>1.0783300997952399E-5</v>
          </cell>
          <cell r="P57">
            <v>2.8530726385860993E-5</v>
          </cell>
        </row>
        <row r="58">
          <cell r="A58" t="str">
            <v>ELC35</v>
          </cell>
          <cell r="B58" t="str">
            <v>VAR_fout</v>
          </cell>
          <cell r="C58" t="str">
            <v>SUP_WSTBIO</v>
          </cell>
          <cell r="E58">
            <v>0.1125882502898454</v>
          </cell>
          <cell r="F58">
            <v>0.11479689865497679</v>
          </cell>
          <cell r="G58">
            <v>0.11061378902755775</v>
          </cell>
          <cell r="H58">
            <v>0.11440750519718774</v>
          </cell>
          <cell r="I58">
            <v>0.11416419956293238</v>
          </cell>
          <cell r="J58">
            <v>0.11091822420081127</v>
          </cell>
          <cell r="K58">
            <v>0.10770421276751416</v>
          </cell>
          <cell r="L58">
            <v>0.10448950106238369</v>
          </cell>
          <cell r="M58">
            <v>0.10448574873440453</v>
          </cell>
          <cell r="N58">
            <v>0.10448009296021868</v>
          </cell>
          <cell r="O58">
            <v>0.10447802366364152</v>
          </cell>
          <cell r="P58">
            <v>0.1044449994775723</v>
          </cell>
        </row>
        <row r="59">
          <cell r="A59" t="str">
            <v>ELC35</v>
          </cell>
          <cell r="B59" t="str">
            <v>VAR_fout</v>
          </cell>
          <cell r="C59" t="str">
            <v>ESOL-PV_A</v>
          </cell>
          <cell r="H59">
            <v>1.5419053390284458E-3</v>
          </cell>
          <cell r="I59">
            <v>5.7469034008938756E-3</v>
          </cell>
          <cell r="J59">
            <v>5.7603850923866997E-3</v>
          </cell>
          <cell r="K59">
            <v>5.7717851692876722E-3</v>
          </cell>
          <cell r="L59">
            <v>5.7868603956541427E-3</v>
          </cell>
          <cell r="M59">
            <v>5.8160099224802064E-3</v>
          </cell>
          <cell r="N59">
            <v>5.8251353285231847E-3</v>
          </cell>
          <cell r="O59">
            <v>7.9763544901370401E-3</v>
          </cell>
          <cell r="P59">
            <v>1.819892531519117E-2</v>
          </cell>
        </row>
        <row r="60">
          <cell r="A60" t="str">
            <v>ELC35</v>
          </cell>
          <cell r="B60" t="str">
            <v>VAR_fout</v>
          </cell>
          <cell r="C60" t="str">
            <v>SUP_WODBIO</v>
          </cell>
          <cell r="F60">
            <v>6.5411304150252728E-6</v>
          </cell>
          <cell r="G60">
            <v>1.5216614090374944E-5</v>
          </cell>
          <cell r="H60">
            <v>3.139025531356497E-5</v>
          </cell>
          <cell r="I60">
            <v>5.1026828505383137E-5</v>
          </cell>
          <cell r="J60">
            <v>5.4471027785932789E-5</v>
          </cell>
          <cell r="K60">
            <v>5.5963747272552749E-5</v>
          </cell>
          <cell r="L60">
            <v>6.6455167237340038E-5</v>
          </cell>
          <cell r="M60">
            <v>6.9074764005415312E-5</v>
          </cell>
          <cell r="N60">
            <v>8.1270611880802576E-5</v>
          </cell>
          <cell r="O60">
            <v>8.8051088109503513E-5</v>
          </cell>
          <cell r="P60">
            <v>1.6758964915679437E-4</v>
          </cell>
        </row>
        <row r="61">
          <cell r="A61" t="str">
            <v>ELC35</v>
          </cell>
          <cell r="B61" t="str">
            <v>VAR_fin</v>
          </cell>
          <cell r="C61" t="str">
            <v>D-CELC</v>
          </cell>
          <cell r="E61">
            <v>0.35941373097635526</v>
          </cell>
          <cell r="F61">
            <v>5.2936428060737846E-2</v>
          </cell>
          <cell r="G61">
            <v>5.50654692043481E-2</v>
          </cell>
          <cell r="H61">
            <v>2.8967986035641401E-2</v>
          </cell>
          <cell r="I61">
            <v>8.0230377317269827E-2</v>
          </cell>
          <cell r="J61">
            <v>0.10552779153461868</v>
          </cell>
          <cell r="K61">
            <v>0.10157544019140731</v>
          </cell>
          <cell r="L61">
            <v>0.27341811783552877</v>
          </cell>
          <cell r="M61">
            <v>0.30532908239973428</v>
          </cell>
          <cell r="N61">
            <v>0.79668425588074876</v>
          </cell>
          <cell r="O61">
            <v>0.88907363203945466</v>
          </cell>
          <cell r="P61">
            <v>0.99919324261794917</v>
          </cell>
        </row>
        <row r="62">
          <cell r="A62" t="str">
            <v>SCH2S</v>
          </cell>
          <cell r="B62" t="str">
            <v>VAR_fin</v>
          </cell>
          <cell r="C62" t="str">
            <v>SUP_NGAH2</v>
          </cell>
          <cell r="L62">
            <v>3.1533641270516553E-3</v>
          </cell>
          <cell r="M62">
            <v>3.215731084946528E-3</v>
          </cell>
          <cell r="N62">
            <v>4.8868905390840539E-3</v>
          </cell>
          <cell r="O62">
            <v>4.9941011688480518E-3</v>
          </cell>
          <cell r="P62">
            <v>1.0202023063845095E-2</v>
          </cell>
        </row>
        <row r="63">
          <cell r="A63" t="str">
            <v>SCH2S</v>
          </cell>
          <cell r="B63" t="str">
            <v>VAR_fin</v>
          </cell>
          <cell r="C63" t="str">
            <v>SUP_WODH2</v>
          </cell>
          <cell r="L63">
            <v>1.6591105728256502E-2</v>
          </cell>
          <cell r="M63">
            <v>1.5911935043358676E-2</v>
          </cell>
          <cell r="N63">
            <v>2.33110091936885E-2</v>
          </cell>
          <cell r="O63">
            <v>2.4247139417352251E-2</v>
          </cell>
          <cell r="P63">
            <v>7.7700004487894644E-2</v>
          </cell>
        </row>
        <row r="64">
          <cell r="A64" t="str">
            <v>CWST</v>
          </cell>
          <cell r="B64" t="str">
            <v>VAR_fout</v>
          </cell>
          <cell r="C64" t="str">
            <v>D-CWST</v>
          </cell>
          <cell r="E64">
            <v>9.6793727177755606</v>
          </cell>
          <cell r="F64">
            <v>9.8692533729378589</v>
          </cell>
          <cell r="G64">
            <v>9.5096254623977501</v>
          </cell>
          <cell r="H64">
            <v>9.8357766610953696</v>
          </cell>
          <cell r="I64">
            <v>9.814859328138958</v>
          </cell>
          <cell r="J64">
            <v>9.5385130418435899</v>
          </cell>
          <cell r="K64">
            <v>9.2621636984749198</v>
          </cell>
          <cell r="L64">
            <v>8.9858137428706506</v>
          </cell>
          <cell r="M64">
            <v>8.9858259827551272</v>
          </cell>
          <cell r="N64">
            <v>8.9858423656478372</v>
          </cell>
          <cell r="O64">
            <v>8.9858652445919933</v>
          </cell>
          <cell r="P64">
            <v>8.9862282369027522</v>
          </cell>
        </row>
        <row r="65">
          <cell r="A65" t="str">
            <v>CWST</v>
          </cell>
          <cell r="B65" t="str">
            <v>VAR_fin</v>
          </cell>
          <cell r="C65" t="str">
            <v>SUP_WSTHTGBIO</v>
          </cell>
          <cell r="J65">
            <v>2.741921392061703E-3</v>
          </cell>
          <cell r="K65">
            <v>2.7013045033422406E-3</v>
          </cell>
          <cell r="L65">
            <v>2.7020658217193601E-3</v>
          </cell>
          <cell r="M65">
            <v>3.0670655375801591E-3</v>
          </cell>
          <cell r="N65">
            <v>3.5395165821851095E-3</v>
          </cell>
          <cell r="O65">
            <v>3.7402959092173024E-3</v>
          </cell>
          <cell r="P65">
            <v>6.9424246737552426E-3</v>
          </cell>
        </row>
        <row r="66">
          <cell r="A66" t="str">
            <v>CWST</v>
          </cell>
          <cell r="B66" t="str">
            <v>VAR_fin</v>
          </cell>
          <cell r="C66" t="str">
            <v>SUP_WSTBIO</v>
          </cell>
          <cell r="E66">
            <v>9.6793727177755606</v>
          </cell>
          <cell r="F66">
            <v>9.8692533729378589</v>
          </cell>
          <cell r="G66">
            <v>9.5096254623977501</v>
          </cell>
          <cell r="H66">
            <v>9.8357766610953696</v>
          </cell>
          <cell r="I66">
            <v>9.814859328138958</v>
          </cell>
          <cell r="J66">
            <v>9.5357981891497374</v>
          </cell>
          <cell r="K66">
            <v>9.259485034784289</v>
          </cell>
          <cell r="L66">
            <v>8.9831116770489334</v>
          </cell>
          <cell r="M66">
            <v>8.9827890840520936</v>
          </cell>
          <cell r="N66">
            <v>8.9823028490656576</v>
          </cell>
          <cell r="O66">
            <v>8.9821249486827739</v>
          </cell>
          <cell r="P66">
            <v>8.979285812228996</v>
          </cell>
        </row>
        <row r="67">
          <cell r="A67" t="str">
            <v>NGA</v>
          </cell>
          <cell r="B67" t="str">
            <v>VAR_fout</v>
          </cell>
          <cell r="C67" t="str">
            <v>D-LNGA</v>
          </cell>
          <cell r="H67">
            <v>2.1960112611528197E-3</v>
          </cell>
          <cell r="I67">
            <v>3.5391390117416785E-3</v>
          </cell>
          <cell r="J67">
            <v>3.405332785674303E-3</v>
          </cell>
          <cell r="K67">
            <v>3.9115191744544349E-3</v>
          </cell>
          <cell r="L67">
            <v>8.6660284756661481E-3</v>
          </cell>
          <cell r="M67">
            <v>4.3155604212184702E-3</v>
          </cell>
          <cell r="N67">
            <v>8.3426450428090767E-3</v>
          </cell>
          <cell r="O67">
            <v>6.472968667244324E-3</v>
          </cell>
          <cell r="P67">
            <v>1.4072986426710449E-2</v>
          </cell>
        </row>
        <row r="68">
          <cell r="A68" t="str">
            <v>NGA</v>
          </cell>
          <cell r="B68" t="str">
            <v>VAR_fin</v>
          </cell>
          <cell r="C68" t="str">
            <v>D-ENGA</v>
          </cell>
          <cell r="E68">
            <v>5.5347206417090247</v>
          </cell>
          <cell r="F68">
            <v>2.324428279670208</v>
          </cell>
          <cell r="G68">
            <v>1.6231109924771097</v>
          </cell>
          <cell r="H68">
            <v>3.0089891129420243</v>
          </cell>
          <cell r="I68">
            <v>2.4096987075291372</v>
          </cell>
          <cell r="J68">
            <v>5.5228490720320282</v>
          </cell>
          <cell r="K68">
            <v>13.065186592714413</v>
          </cell>
          <cell r="L68">
            <v>17.677839188605333</v>
          </cell>
          <cell r="M68">
            <v>18.991254443130057</v>
          </cell>
          <cell r="N68">
            <v>20.158721181529071</v>
          </cell>
          <cell r="O68">
            <v>19.602999570950708</v>
          </cell>
          <cell r="P68">
            <v>18.059858913981675</v>
          </cell>
        </row>
        <row r="69">
          <cell r="A69" t="str">
            <v>NGA</v>
          </cell>
          <cell r="B69" t="str">
            <v>VAR_fin</v>
          </cell>
          <cell r="C69" t="str">
            <v>D-TNGA</v>
          </cell>
          <cell r="E69">
            <v>0.25929602235174193</v>
          </cell>
          <cell r="F69">
            <v>0.11935050501138435</v>
          </cell>
          <cell r="G69">
            <v>0.1966348045657417</v>
          </cell>
          <cell r="H69">
            <v>5.6355824076075329E-3</v>
          </cell>
          <cell r="I69">
            <v>4.9415659359161148E-3</v>
          </cell>
          <cell r="J69">
            <v>6.9760811017629621E-3</v>
          </cell>
          <cell r="K69">
            <v>6.6063486910068634E-3</v>
          </cell>
          <cell r="L69">
            <v>5.9334931343475519E-3</v>
          </cell>
          <cell r="M69">
            <v>5.9610071935289949E-3</v>
          </cell>
          <cell r="N69">
            <v>5.6578032220657246E-3</v>
          </cell>
          <cell r="O69">
            <v>5.7767855782622675E-3</v>
          </cell>
          <cell r="P69">
            <v>5.2923925359085492E-3</v>
          </cell>
        </row>
        <row r="70">
          <cell r="A70" t="str">
            <v>NGA</v>
          </cell>
          <cell r="B70" t="str">
            <v>VAR_fin</v>
          </cell>
          <cell r="C70" t="str">
            <v>D-SNGA</v>
          </cell>
          <cell r="E70">
            <v>27.02409915127587</v>
          </cell>
          <cell r="F70">
            <v>25.403582356174955</v>
          </cell>
          <cell r="G70">
            <v>27.030939024928649</v>
          </cell>
          <cell r="H70">
            <v>32.791552661935043</v>
          </cell>
          <cell r="I70">
            <v>38.075640290383241</v>
          </cell>
          <cell r="J70">
            <v>37.777777263023914</v>
          </cell>
          <cell r="K70">
            <v>35.781405895177734</v>
          </cell>
          <cell r="L70">
            <v>31.054282314268477</v>
          </cell>
          <cell r="M70">
            <v>30.497495804396888</v>
          </cell>
          <cell r="N70">
            <v>30.104402746777588</v>
          </cell>
          <cell r="O70">
            <v>30.261516050455725</v>
          </cell>
          <cell r="P70">
            <v>29.799539546449918</v>
          </cell>
        </row>
        <row r="71">
          <cell r="A71" t="str">
            <v>NGA</v>
          </cell>
          <cell r="B71" t="str">
            <v>VAR_fin</v>
          </cell>
          <cell r="C71" t="str">
            <v>D-RNGA</v>
          </cell>
          <cell r="E71">
            <v>47.07559504254116</v>
          </cell>
          <cell r="F71">
            <v>48.43376569604532</v>
          </cell>
          <cell r="G71">
            <v>51.850113390590131</v>
          </cell>
          <cell r="H71">
            <v>55.031274794645654</v>
          </cell>
          <cell r="I71">
            <v>57.440592709473989</v>
          </cell>
          <cell r="J71">
            <v>56.690175980970487</v>
          </cell>
          <cell r="K71">
            <v>55.688245944285818</v>
          </cell>
          <cell r="L71">
            <v>56.039168434407877</v>
          </cell>
          <cell r="M71">
            <v>53.546376285576549</v>
          </cell>
          <cell r="N71">
            <v>50.771216160948732</v>
          </cell>
          <cell r="O71">
            <v>51.933617716292112</v>
          </cell>
          <cell r="P71">
            <v>44.244941439082808</v>
          </cell>
        </row>
        <row r="72">
          <cell r="A72" t="str">
            <v>NGA</v>
          </cell>
          <cell r="B72" t="str">
            <v>VAR_fin</v>
          </cell>
          <cell r="C72" t="str">
            <v>D-INGA</v>
          </cell>
          <cell r="E72">
            <v>37.283168273239134</v>
          </cell>
          <cell r="F72">
            <v>30.438698558274258</v>
          </cell>
          <cell r="G72">
            <v>31.152163393883701</v>
          </cell>
          <cell r="H72">
            <v>28.434376976564419</v>
          </cell>
          <cell r="I72">
            <v>25.266266910935197</v>
          </cell>
          <cell r="J72">
            <v>22.596695609756576</v>
          </cell>
          <cell r="K72">
            <v>18.465809051354057</v>
          </cell>
          <cell r="L72">
            <v>16.37917812324536</v>
          </cell>
          <cell r="M72">
            <v>15.174336999980344</v>
          </cell>
          <cell r="N72">
            <v>12.948364841866562</v>
          </cell>
          <cell r="O72">
            <v>11.662345051264428</v>
          </cell>
          <cell r="P72">
            <v>10.21977465608285</v>
          </cell>
        </row>
        <row r="73">
          <cell r="A73" t="str">
            <v>CO2</v>
          </cell>
          <cell r="B73" t="str">
            <v>VAR_fout</v>
          </cell>
          <cell r="C73" t="str">
            <v>D-ENGA</v>
          </cell>
          <cell r="E73">
            <v>312.15824419238902</v>
          </cell>
          <cell r="F73">
            <v>131.09775497339999</v>
          </cell>
          <cell r="G73">
            <v>91.543459975708998</v>
          </cell>
          <cell r="H73">
            <v>169.70698596993</v>
          </cell>
          <cell r="I73">
            <v>135.90700710464299</v>
          </cell>
          <cell r="J73">
            <v>311.48868766260603</v>
          </cell>
          <cell r="K73">
            <v>736.876523829093</v>
          </cell>
          <cell r="L73">
            <v>997.03013023734104</v>
          </cell>
          <cell r="M73">
            <v>1071.10675059254</v>
          </cell>
          <cell r="N73">
            <v>1136.95187463824</v>
          </cell>
          <cell r="O73">
            <v>1105.60917580162</v>
          </cell>
          <cell r="P73">
            <v>1018.57604274857</v>
          </cell>
        </row>
        <row r="74">
          <cell r="A74" t="str">
            <v>CO2</v>
          </cell>
          <cell r="B74" t="str">
            <v>VAR_fout</v>
          </cell>
          <cell r="C74" t="str">
            <v>D-ILFO</v>
          </cell>
          <cell r="E74">
            <v>689.86864910362999</v>
          </cell>
          <cell r="F74">
            <v>659.57491758625997</v>
          </cell>
          <cell r="G74">
            <v>600.83486332758798</v>
          </cell>
          <cell r="H74">
            <v>534.56430268014606</v>
          </cell>
          <cell r="I74">
            <v>417.97601708459598</v>
          </cell>
          <cell r="J74">
            <v>259.75476355462303</v>
          </cell>
          <cell r="K74">
            <v>143.08561650221301</v>
          </cell>
          <cell r="L74">
            <v>28.0470864726285</v>
          </cell>
          <cell r="M74">
            <v>27.3931084776038</v>
          </cell>
          <cell r="N74">
            <v>27.6729966357729</v>
          </cell>
          <cell r="O74">
            <v>26.7790268810766</v>
          </cell>
          <cell r="P74">
            <v>26.9531786901385</v>
          </cell>
        </row>
        <row r="75">
          <cell r="A75" t="str">
            <v>CO2</v>
          </cell>
          <cell r="B75" t="str">
            <v>VAR_fout</v>
          </cell>
          <cell r="C75" t="str">
            <v>D-TNGA</v>
          </cell>
          <cell r="E75">
            <v>14.6242956606382</v>
          </cell>
          <cell r="F75">
            <v>6.7313684826420799</v>
          </cell>
          <cell r="G75">
            <v>11.090202977507801</v>
          </cell>
          <cell r="H75">
            <v>0.31784684778906502</v>
          </cell>
          <cell r="I75">
            <v>0.27870431878566898</v>
          </cell>
          <cell r="J75">
            <v>0.39345097413943098</v>
          </cell>
          <cell r="K75">
            <v>0.37259806617278701</v>
          </cell>
          <cell r="L75">
            <v>0.33464901277720199</v>
          </cell>
          <cell r="M75">
            <v>0.33620080571503502</v>
          </cell>
          <cell r="N75">
            <v>0.31910010172450698</v>
          </cell>
          <cell r="O75">
            <v>0.32581070661399197</v>
          </cell>
          <cell r="P75">
            <v>0.29849093902524199</v>
          </cell>
        </row>
        <row r="76">
          <cell r="A76" t="str">
            <v>CO2</v>
          </cell>
          <cell r="B76" t="str">
            <v>VAR_fout</v>
          </cell>
          <cell r="C76" t="str">
            <v>D-SNGA</v>
          </cell>
          <cell r="E76">
            <v>1524.15919213196</v>
          </cell>
          <cell r="F76">
            <v>1432.7620448882701</v>
          </cell>
          <cell r="G76">
            <v>1524.54496100598</v>
          </cell>
          <cell r="H76">
            <v>1849.4435701331399</v>
          </cell>
          <cell r="I76">
            <v>2147.46611237762</v>
          </cell>
          <cell r="J76">
            <v>2130.6666376345502</v>
          </cell>
          <cell r="K76">
            <v>2018.0712924880199</v>
          </cell>
          <cell r="L76">
            <v>1751.4615225247401</v>
          </cell>
          <cell r="M76">
            <v>1720.05876336798</v>
          </cell>
          <cell r="N76">
            <v>1697.88831491825</v>
          </cell>
          <cell r="O76">
            <v>1706.7495052457</v>
          </cell>
          <cell r="P76">
            <v>1680.6940304197799</v>
          </cell>
        </row>
        <row r="77">
          <cell r="A77" t="str">
            <v>CO2</v>
          </cell>
          <cell r="B77" t="str">
            <v>VAR_fout</v>
          </cell>
          <cell r="C77" t="str">
            <v>D-RNGA</v>
          </cell>
          <cell r="E77">
            <v>2655.0635603993201</v>
          </cell>
          <cell r="F77">
            <v>2731.66438525696</v>
          </cell>
          <cell r="G77">
            <v>2924.34639522928</v>
          </cell>
          <cell r="H77">
            <v>3103.7638984180098</v>
          </cell>
          <cell r="I77">
            <v>3239.6494288143299</v>
          </cell>
          <cell r="J77">
            <v>3197.3259253267302</v>
          </cell>
          <cell r="K77">
            <v>3140.8170712577198</v>
          </cell>
          <cell r="L77">
            <v>3160.6090997005999</v>
          </cell>
          <cell r="M77">
            <v>3020.0156225065198</v>
          </cell>
          <cell r="N77">
            <v>2863.4965914775098</v>
          </cell>
          <cell r="O77">
            <v>2929.0560391988702</v>
          </cell>
          <cell r="P77">
            <v>2495.4146971642699</v>
          </cell>
        </row>
        <row r="78">
          <cell r="A78" t="str">
            <v>CO2</v>
          </cell>
          <cell r="B78" t="str">
            <v>VAR_fout</v>
          </cell>
          <cell r="C78" t="str">
            <v>D-SLFO</v>
          </cell>
          <cell r="E78">
            <v>2267.78874396118</v>
          </cell>
          <cell r="F78">
            <v>2014.16795009053</v>
          </cell>
          <cell r="G78">
            <v>1905.2960348070401</v>
          </cell>
          <cell r="H78">
            <v>1614.5926267339601</v>
          </cell>
          <cell r="I78">
            <v>1272.3265587865601</v>
          </cell>
          <cell r="J78">
            <v>1073.9992601290601</v>
          </cell>
          <cell r="K78">
            <v>966.94041350769203</v>
          </cell>
          <cell r="L78">
            <v>803.77275028589702</v>
          </cell>
          <cell r="M78">
            <v>664.88667127292103</v>
          </cell>
          <cell r="N78">
            <v>553.07324500763502</v>
          </cell>
          <cell r="O78">
            <v>304.45334880915198</v>
          </cell>
          <cell r="P78">
            <v>102.728304181929</v>
          </cell>
        </row>
        <row r="79">
          <cell r="A79" t="str">
            <v>CO2</v>
          </cell>
          <cell r="B79" t="str">
            <v>VAR_fout</v>
          </cell>
          <cell r="C79" t="str">
            <v>D-RLFO</v>
          </cell>
          <cell r="E79">
            <v>4514.4840784235103</v>
          </cell>
          <cell r="F79">
            <v>3846.5243655877698</v>
          </cell>
          <cell r="G79">
            <v>3365.8635163869899</v>
          </cell>
          <cell r="H79">
            <v>3434.4869039677401</v>
          </cell>
          <cell r="I79">
            <v>2740.26597509256</v>
          </cell>
          <cell r="J79">
            <v>2516.2717325983499</v>
          </cell>
          <cell r="K79">
            <v>2380.2887812859899</v>
          </cell>
          <cell r="L79">
            <v>2059.5751711889402</v>
          </cell>
          <cell r="M79">
            <v>1919.7866091452399</v>
          </cell>
          <cell r="N79">
            <v>1639.0927941739899</v>
          </cell>
          <cell r="O79">
            <v>1246.1168177479301</v>
          </cell>
          <cell r="P79">
            <v>492.031060339227</v>
          </cell>
        </row>
        <row r="80">
          <cell r="A80" t="str">
            <v>CO2</v>
          </cell>
          <cell r="B80" t="str">
            <v>VAR_fout</v>
          </cell>
          <cell r="C80" t="str">
            <v>D-TGSL</v>
          </cell>
          <cell r="E80">
            <v>5893.5619464332704</v>
          </cell>
          <cell r="F80">
            <v>5605.5112775220196</v>
          </cell>
          <cell r="G80">
            <v>5896.9389534254597</v>
          </cell>
          <cell r="H80">
            <v>4304.49493999284</v>
          </cell>
          <cell r="I80">
            <v>3300.8621558607001</v>
          </cell>
          <cell r="J80">
            <v>2840.4641482192701</v>
          </cell>
          <cell r="K80">
            <v>2443.0184799549002</v>
          </cell>
          <cell r="L80">
            <v>2114.7016492278999</v>
          </cell>
          <cell r="M80">
            <v>1932.2534389079899</v>
          </cell>
          <cell r="N80">
            <v>1756.91700044653</v>
          </cell>
          <cell r="O80">
            <v>1623.77898823896</v>
          </cell>
          <cell r="P80">
            <v>1553.7303542008999</v>
          </cell>
        </row>
        <row r="81">
          <cell r="A81" t="str">
            <v>CO2</v>
          </cell>
          <cell r="B81" t="str">
            <v>VAR_fout</v>
          </cell>
          <cell r="C81" t="str">
            <v>D-INGA</v>
          </cell>
          <cell r="E81">
            <v>2102.7706906106901</v>
          </cell>
          <cell r="F81">
            <v>1716.7425986866699</v>
          </cell>
          <cell r="G81">
            <v>1756.98201541504</v>
          </cell>
          <cell r="H81">
            <v>1603.6988614782299</v>
          </cell>
          <cell r="I81">
            <v>1425.01745377674</v>
          </cell>
          <cell r="J81">
            <v>1274.4536323902701</v>
          </cell>
          <cell r="K81">
            <v>1041.4716304963699</v>
          </cell>
          <cell r="L81">
            <v>923.78564615103801</v>
          </cell>
          <cell r="M81">
            <v>855.83260679889099</v>
          </cell>
          <cell r="N81">
            <v>730.28777708127404</v>
          </cell>
          <cell r="O81">
            <v>657.75626089131401</v>
          </cell>
          <cell r="P81">
            <v>576.39529060307302</v>
          </cell>
        </row>
        <row r="82">
          <cell r="A82" t="str">
            <v>ENGA</v>
          </cell>
          <cell r="B82" t="str">
            <v>VAR_fout</v>
          </cell>
          <cell r="C82" t="str">
            <v>D-ENGA</v>
          </cell>
          <cell r="E82">
            <v>5.7352329084609028</v>
          </cell>
          <cell r="F82">
            <v>2.3173545996286955</v>
          </cell>
          <cell r="G82">
            <v>1.9451256335918625</v>
          </cell>
          <cell r="H82">
            <v>3.3932748209387062</v>
          </cell>
          <cell r="I82">
            <v>2.7959133602182584</v>
          </cell>
          <cell r="J82">
            <v>5.8992358497766624</v>
          </cell>
          <cell r="K82">
            <v>13.417572369235202</v>
          </cell>
          <cell r="L82">
            <v>18.015512887732612</v>
          </cell>
          <cell r="M82">
            <v>19.324745963413907</v>
          </cell>
          <cell r="N82">
            <v>20.488399537805261</v>
          </cell>
          <cell r="O82">
            <v>19.934506384752229</v>
          </cell>
          <cell r="P82">
            <v>18.396439534231423</v>
          </cell>
        </row>
        <row r="83">
          <cell r="A83" t="str">
            <v>ILFO</v>
          </cell>
          <cell r="B83" t="str">
            <v>VAR_fout</v>
          </cell>
          <cell r="C83" t="str">
            <v>D-ILFO</v>
          </cell>
          <cell r="E83">
            <v>9.2041660609747851</v>
          </cell>
          <cell r="F83">
            <v>8.7999897937175913</v>
          </cell>
          <cell r="G83">
            <v>8.0166775798785022</v>
          </cell>
          <cell r="H83">
            <v>7.1338780100183197</v>
          </cell>
          <cell r="I83">
            <v>5.5784471107939178</v>
          </cell>
          <cell r="J83">
            <v>3.467476765517655</v>
          </cell>
          <cell r="K83">
            <v>1.9108943047246356</v>
          </cell>
          <cell r="L83">
            <v>0.37607897666285878</v>
          </cell>
          <cell r="M83">
            <v>0.36735917421432862</v>
          </cell>
          <cell r="N83">
            <v>0.37127263369506802</v>
          </cell>
          <cell r="O83">
            <v>0.3594229019101321</v>
          </cell>
          <cell r="P83">
            <v>0.36412694530853507</v>
          </cell>
        </row>
        <row r="84">
          <cell r="A84" t="str">
            <v>CHEAT</v>
          </cell>
          <cell r="B84" t="str">
            <v>VAR_fout</v>
          </cell>
          <cell r="C84" t="str">
            <v>D-CHEAT</v>
          </cell>
          <cell r="J84">
            <v>3.4675275623659886E-3</v>
          </cell>
          <cell r="K84">
            <v>3.7746172230215809E-3</v>
          </cell>
          <cell r="L84">
            <v>4.580938360866379E-3</v>
          </cell>
          <cell r="M84">
            <v>4.1318760777625009E-3</v>
          </cell>
          <cell r="N84">
            <v>4.5041963418018631E-3</v>
          </cell>
          <cell r="O84">
            <v>4.5284447078811655E-3</v>
          </cell>
          <cell r="P84">
            <v>8.2872783287535352E-3</v>
          </cell>
        </row>
        <row r="85">
          <cell r="A85" t="str">
            <v>CHEAT</v>
          </cell>
          <cell r="B85" t="str">
            <v>VAR_fin</v>
          </cell>
          <cell r="C85" t="str">
            <v>SUP_ELCH2_SOEC</v>
          </cell>
          <cell r="J85">
            <v>3.4675275623659886E-3</v>
          </cell>
          <cell r="K85">
            <v>3.7746172230215809E-3</v>
          </cell>
          <cell r="L85">
            <v>4.580938360866379E-3</v>
          </cell>
          <cell r="M85">
            <v>4.1318760777625009E-3</v>
          </cell>
          <cell r="N85">
            <v>4.5041963418018631E-3</v>
          </cell>
          <cell r="O85">
            <v>4.5284447078811655E-3</v>
          </cell>
          <cell r="P85">
            <v>8.2872783287535352E-3</v>
          </cell>
        </row>
        <row r="86">
          <cell r="A86" t="str">
            <v>EH2</v>
          </cell>
          <cell r="B86" t="str">
            <v>VAR_fout</v>
          </cell>
          <cell r="C86" t="str">
            <v>D-ENGA</v>
          </cell>
          <cell r="J86">
            <v>6.080654277485175E-3</v>
          </cell>
          <cell r="K86">
            <v>6.2511843231187721E-3</v>
          </cell>
          <cell r="L86">
            <v>1.5447724062503517E-2</v>
          </cell>
          <cell r="M86">
            <v>1.6547705724240198E-2</v>
          </cell>
          <cell r="N86">
            <v>5.6000275031426884E-2</v>
          </cell>
          <cell r="O86">
            <v>4.4568188514293117E-2</v>
          </cell>
          <cell r="P86">
            <v>4.3953782170524522E-2</v>
          </cell>
        </row>
        <row r="87">
          <cell r="A87" t="str">
            <v>TDSL</v>
          </cell>
          <cell r="B87" t="str">
            <v>VAR_fout</v>
          </cell>
          <cell r="C87" t="str">
            <v>D-TBDS1</v>
          </cell>
          <cell r="E87">
            <v>2.9743233402459959</v>
          </cell>
          <cell r="F87">
            <v>2.9709757547358127</v>
          </cell>
          <cell r="G87">
            <v>4.4720284107619808</v>
          </cell>
          <cell r="H87">
            <v>2.392042185507623</v>
          </cell>
          <cell r="I87">
            <v>1.7831901011656277</v>
          </cell>
          <cell r="J87">
            <v>1.8214766407652205</v>
          </cell>
          <cell r="K87">
            <v>1.6944375402760046</v>
          </cell>
          <cell r="L87">
            <v>1.6580934563622405</v>
          </cell>
          <cell r="M87">
            <v>1.6527864837285189</v>
          </cell>
          <cell r="N87">
            <v>1.6264424543790301</v>
          </cell>
          <cell r="O87">
            <v>1.7699214190681343</v>
          </cell>
          <cell r="P87">
            <v>1.90202121470828</v>
          </cell>
        </row>
        <row r="88">
          <cell r="A88" t="str">
            <v>CNGA</v>
          </cell>
          <cell r="B88" t="str">
            <v>VAR_fout</v>
          </cell>
          <cell r="C88" t="str">
            <v>D-CNGA</v>
          </cell>
          <cell r="L88">
            <v>4.1491633250679717E-3</v>
          </cell>
          <cell r="M88">
            <v>4.2312251117717446E-3</v>
          </cell>
          <cell r="N88">
            <v>6.4301191303737532E-3</v>
          </cell>
          <cell r="O88">
            <v>6.5711857484842843E-3</v>
          </cell>
          <cell r="P88">
            <v>1.3423714557690919E-2</v>
          </cell>
        </row>
        <row r="89">
          <cell r="A89" t="str">
            <v>CNGA</v>
          </cell>
          <cell r="B89" t="str">
            <v>VAR_fin</v>
          </cell>
          <cell r="C89" t="str">
            <v>SUP_NGAH2</v>
          </cell>
          <cell r="L89">
            <v>4.1491633250679717E-3</v>
          </cell>
          <cell r="M89">
            <v>4.2312251117717446E-3</v>
          </cell>
          <cell r="N89">
            <v>6.4301191303737532E-3</v>
          </cell>
          <cell r="O89">
            <v>6.5711857484842843E-3</v>
          </cell>
          <cell r="P89">
            <v>1.3423714557690919E-2</v>
          </cell>
        </row>
        <row r="90">
          <cell r="A90" t="str">
            <v>LBIO</v>
          </cell>
          <cell r="B90" t="str">
            <v>VAR_fin</v>
          </cell>
          <cell r="C90" t="str">
            <v>D-LBIO</v>
          </cell>
          <cell r="H90">
            <v>4.8980288584286663E-3</v>
          </cell>
          <cell r="I90">
            <v>5.3252486207931847E-2</v>
          </cell>
          <cell r="J90">
            <v>5.1025944657955208E-2</v>
          </cell>
          <cell r="K90">
            <v>4.9383053212534748E-3</v>
          </cell>
          <cell r="L90">
            <v>1.2030226601909182E-2</v>
          </cell>
          <cell r="M90">
            <v>5.9374248677621904E-3</v>
          </cell>
          <cell r="N90">
            <v>1.080903520460186E-2</v>
          </cell>
          <cell r="O90">
            <v>7.7748237782330233E-3</v>
          </cell>
          <cell r="P90">
            <v>1.8404971388566772E-2</v>
          </cell>
        </row>
        <row r="91">
          <cell r="A91" t="str">
            <v>H2_E</v>
          </cell>
          <cell r="B91" t="str">
            <v>VAR_fout</v>
          </cell>
          <cell r="C91" t="str">
            <v>SUP_ELCH2_D</v>
          </cell>
          <cell r="H91">
            <v>7.0079354875676606E-5</v>
          </cell>
          <cell r="I91">
            <v>1.1625405247725612E-3</v>
          </cell>
          <cell r="J91">
            <v>2.9517128393154431E-3</v>
          </cell>
          <cell r="K91">
            <v>3.4011937446101893E-3</v>
          </cell>
          <cell r="L91">
            <v>3.533682605802941E-3</v>
          </cell>
          <cell r="M91">
            <v>3.5345709183155216E-3</v>
          </cell>
          <cell r="N91">
            <v>3.5840711505878173E-3</v>
          </cell>
          <cell r="O91">
            <v>2.8923419006574125E-3</v>
          </cell>
          <cell r="P91">
            <v>5.599919252407457E-3</v>
          </cell>
        </row>
        <row r="92">
          <cell r="A92" t="str">
            <v>H2_E</v>
          </cell>
          <cell r="B92" t="str">
            <v>VAR_fin</v>
          </cell>
          <cell r="C92" t="str">
            <v>D-DH2</v>
          </cell>
          <cell r="H92">
            <v>7.0079354875676606E-5</v>
          </cell>
          <cell r="I92">
            <v>1.1625405247725612E-3</v>
          </cell>
          <cell r="J92">
            <v>2.9517128393154431E-3</v>
          </cell>
          <cell r="K92">
            <v>3.4011937446101893E-3</v>
          </cell>
          <cell r="L92">
            <v>3.533682605802941E-3</v>
          </cell>
          <cell r="M92">
            <v>3.5345709183155216E-3</v>
          </cell>
          <cell r="N92">
            <v>3.5840711505878173E-3</v>
          </cell>
          <cell r="O92">
            <v>2.8923419006574125E-3</v>
          </cell>
          <cell r="P92">
            <v>5.599919252407457E-3</v>
          </cell>
        </row>
        <row r="93">
          <cell r="A93" t="str">
            <v>BNGA</v>
          </cell>
          <cell r="B93" t="str">
            <v>VAR_fout</v>
          </cell>
          <cell r="C93" t="str">
            <v>SUP_BIONGA</v>
          </cell>
          <cell r="E93">
            <v>1.1764725215335543</v>
          </cell>
          <cell r="F93">
            <v>3.1966946716914917</v>
          </cell>
          <cell r="G93">
            <v>3.1817842368810791</v>
          </cell>
          <cell r="H93">
            <v>3.1816545669577141</v>
          </cell>
          <cell r="I93">
            <v>3.181659684249889</v>
          </cell>
          <cell r="J93">
            <v>3.1794711798527691</v>
          </cell>
          <cell r="K93">
            <v>3.1795518437793042</v>
          </cell>
          <cell r="L93">
            <v>3.1841823725636567</v>
          </cell>
          <cell r="M93">
            <v>3.1839593972181381</v>
          </cell>
          <cell r="N93">
            <v>3.1866992186239971</v>
          </cell>
          <cell r="O93">
            <v>3.1867759520490995</v>
          </cell>
          <cell r="P93">
            <v>3.1963525135417319</v>
          </cell>
        </row>
        <row r="94">
          <cell r="A94" t="str">
            <v>BNGA</v>
          </cell>
          <cell r="B94" t="str">
            <v>VAR_fin</v>
          </cell>
          <cell r="C94" t="str">
            <v>D-ENGA</v>
          </cell>
          <cell r="E94">
            <v>0.21883415414334575</v>
          </cell>
          <cell r="F94">
            <v>3.1078447037811497E-4</v>
          </cell>
          <cell r="G94">
            <v>0.32813181558248655</v>
          </cell>
          <cell r="H94">
            <v>0.39515052100852449</v>
          </cell>
          <cell r="I94">
            <v>0.39516120976468366</v>
          </cell>
          <cell r="J94">
            <v>0.3952556398834135</v>
          </cell>
          <cell r="K94">
            <v>0.39526671783880019</v>
          </cell>
          <cell r="L94">
            <v>0.39528412316536499</v>
          </cell>
          <cell r="M94">
            <v>0.39529372494563197</v>
          </cell>
          <cell r="N94">
            <v>0.39530792694285821</v>
          </cell>
          <cell r="O94">
            <v>0.39533115355227916</v>
          </cell>
          <cell r="P94">
            <v>0.39552742287883508</v>
          </cell>
        </row>
        <row r="95">
          <cell r="A95" t="str">
            <v>BNGA</v>
          </cell>
          <cell r="B95" t="str">
            <v>VAR_fin</v>
          </cell>
          <cell r="C95" t="str">
            <v>D-CNGA</v>
          </cell>
          <cell r="L95">
            <v>4.1624183235002979E-3</v>
          </cell>
          <cell r="M95">
            <v>4.2447422663953105E-3</v>
          </cell>
          <cell r="N95">
            <v>6.450660914901216E-3</v>
          </cell>
          <cell r="O95">
            <v>6.5921781871931913E-3</v>
          </cell>
          <cell r="P95">
            <v>1.3466598219161486E-2</v>
          </cell>
        </row>
        <row r="96">
          <cell r="A96" t="str">
            <v>BNGA</v>
          </cell>
          <cell r="B96" t="str">
            <v>VAR_fin</v>
          </cell>
          <cell r="C96" t="str">
            <v>D-TNGA</v>
          </cell>
          <cell r="E96">
            <v>2.1576908636634983E-2</v>
          </cell>
          <cell r="F96">
            <v>1.6728784738016193E-2</v>
          </cell>
          <cell r="G96">
            <v>9.535598841475687E-3</v>
          </cell>
          <cell r="H96">
            <v>2.6397850692593101E-3</v>
          </cell>
          <cell r="I96">
            <v>2.5513417210951237E-3</v>
          </cell>
          <cell r="J96">
            <v>3.1010595855024165E-4</v>
          </cell>
          <cell r="K96">
            <v>3.5693919323286153E-4</v>
          </cell>
          <cell r="L96">
            <v>6.594043849695798E-4</v>
          </cell>
          <cell r="M96">
            <v>4.3212850521525314E-4</v>
          </cell>
          <cell r="N96">
            <v>6.9375463831116129E-4</v>
          </cell>
          <cell r="O96">
            <v>5.7902597944781587E-4</v>
          </cell>
          <cell r="P96">
            <v>1.0403618301873961E-3</v>
          </cell>
        </row>
        <row r="97">
          <cell r="A97" t="str">
            <v>BNGA</v>
          </cell>
          <cell r="B97" t="str">
            <v>VAR_fin</v>
          </cell>
          <cell r="C97" t="str">
            <v>D-SNGA</v>
          </cell>
          <cell r="E97">
            <v>0.30271936147516754</v>
          </cell>
          <cell r="F97">
            <v>3.1759314786146451</v>
          </cell>
          <cell r="G97">
            <v>6.2691339757528358E-2</v>
          </cell>
          <cell r="H97">
            <v>1.9247272588335104E-3</v>
          </cell>
          <cell r="I97">
            <v>1.931454118199007E-3</v>
          </cell>
          <cell r="J97">
            <v>1.9434390779299946E-3</v>
          </cell>
          <cell r="K97">
            <v>1.9557848005509063E-3</v>
          </cell>
          <cell r="L97">
            <v>1.9848517369181595E-3</v>
          </cell>
          <cell r="M97">
            <v>1.9908995693442293E-3</v>
          </cell>
          <cell r="N97">
            <v>2.0721815649323004E-3</v>
          </cell>
          <cell r="O97">
            <v>2.1019161777058931E-3</v>
          </cell>
          <cell r="P97">
            <v>3.4472845627768456E-3</v>
          </cell>
        </row>
        <row r="98">
          <cell r="A98" t="str">
            <v>BNGA</v>
          </cell>
          <cell r="B98" t="str">
            <v>VAR_fin</v>
          </cell>
          <cell r="C98" t="str">
            <v>D-RNGA</v>
          </cell>
          <cell r="E98">
            <v>0.30933691487034354</v>
          </cell>
          <cell r="F98">
            <v>3.4526792701548088E-3</v>
          </cell>
          <cell r="G98">
            <v>3.4537514637976428E-3</v>
          </cell>
          <cell r="H98">
            <v>3.4577426236367657E-3</v>
          </cell>
          <cell r="I98">
            <v>3.4605000995950601E-3</v>
          </cell>
          <cell r="J98">
            <v>3.4677451911584974E-3</v>
          </cell>
          <cell r="K98">
            <v>3.4742208687164877E-3</v>
          </cell>
          <cell r="L98">
            <v>3.4918567818726931E-3</v>
          </cell>
          <cell r="M98">
            <v>3.4905165494399201E-3</v>
          </cell>
          <cell r="N98">
            <v>3.5220870033230906E-3</v>
          </cell>
          <cell r="O98">
            <v>3.5384454486796124E-3</v>
          </cell>
          <cell r="P98">
            <v>3.9036985778925755E-3</v>
          </cell>
        </row>
        <row r="99">
          <cell r="A99" t="str">
            <v>BNGA</v>
          </cell>
          <cell r="B99" t="str">
            <v>VAR_fin</v>
          </cell>
          <cell r="C99" t="str">
            <v>D-INGA</v>
          </cell>
          <cell r="E99">
            <v>0.32406527161980048</v>
          </cell>
          <cell r="F99">
            <v>3.1317859664122097E-4</v>
          </cell>
          <cell r="G99">
            <v>2.7780105886767079</v>
          </cell>
          <cell r="H99">
            <v>2.7783835122334306</v>
          </cell>
          <cell r="I99">
            <v>2.7783902610504594</v>
          </cell>
          <cell r="J99">
            <v>2.7783953817630631</v>
          </cell>
          <cell r="K99">
            <v>2.7784048986285632</v>
          </cell>
          <cell r="L99">
            <v>2.7784205021789559</v>
          </cell>
          <cell r="M99">
            <v>2.7784187274872636</v>
          </cell>
          <cell r="N99">
            <v>2.7784374986919085</v>
          </cell>
          <cell r="O99">
            <v>2.7784558336121714</v>
          </cell>
          <cell r="P99">
            <v>2.7786157004512209</v>
          </cell>
        </row>
        <row r="100">
          <cell r="A100" t="str">
            <v>LFO</v>
          </cell>
          <cell r="B100" t="str">
            <v>VAR_fin</v>
          </cell>
          <cell r="C100" t="str">
            <v>D-ILFO</v>
          </cell>
          <cell r="E100">
            <v>9.3604972741333849</v>
          </cell>
          <cell r="F100">
            <v>8.9494561409261859</v>
          </cell>
          <cell r="G100">
            <v>8.1524404793431238</v>
          </cell>
          <cell r="H100">
            <v>7.253246983448383</v>
          </cell>
          <cell r="I100">
            <v>5.6713163783527287</v>
          </cell>
          <cell r="J100">
            <v>3.5244879722472611</v>
          </cell>
          <cell r="K100">
            <v>1.9414601967735898</v>
          </cell>
          <cell r="L100">
            <v>0.38055748266795797</v>
          </cell>
          <cell r="M100">
            <v>0.3716839684885182</v>
          </cell>
          <cell r="N100">
            <v>0.37548163684902258</v>
          </cell>
          <cell r="O100">
            <v>0.36335178943116214</v>
          </cell>
          <cell r="P100">
            <v>0.36571477191504032</v>
          </cell>
        </row>
        <row r="101">
          <cell r="A101" t="str">
            <v>LFO</v>
          </cell>
          <cell r="B101" t="str">
            <v>VAR_fin</v>
          </cell>
          <cell r="C101" t="str">
            <v>D-SLFO</v>
          </cell>
          <cell r="E101">
            <v>30.770539266773181</v>
          </cell>
          <cell r="F101">
            <v>27.3292801911876</v>
          </cell>
          <cell r="G101">
            <v>25.852049318955743</v>
          </cell>
          <cell r="H101">
            <v>21.907634012672386</v>
          </cell>
          <cell r="I101">
            <v>17.26358967145941</v>
          </cell>
          <cell r="J101">
            <v>14.572581548562608</v>
          </cell>
          <cell r="K101">
            <v>13.119951336603673</v>
          </cell>
          <cell r="L101">
            <v>10.906007466565775</v>
          </cell>
          <cell r="M101">
            <v>9.0215287825362562</v>
          </cell>
          <cell r="N101">
            <v>7.5043859566843203</v>
          </cell>
          <cell r="O101">
            <v>4.1309816663385694</v>
          </cell>
          <cell r="P101">
            <v>1.3938711557927901</v>
          </cell>
        </row>
        <row r="102">
          <cell r="A102" t="str">
            <v>LFO</v>
          </cell>
          <cell r="B102" t="str">
            <v>VAR_fin</v>
          </cell>
          <cell r="C102" t="str">
            <v>D-RLFO</v>
          </cell>
          <cell r="E102">
            <v>61.254872163141258</v>
          </cell>
          <cell r="F102">
            <v>52.191646751530065</v>
          </cell>
          <cell r="G102">
            <v>45.669789910271234</v>
          </cell>
          <cell r="H102">
            <v>46.600907787893355</v>
          </cell>
          <cell r="I102">
            <v>37.181356514146046</v>
          </cell>
          <cell r="J102">
            <v>34.142085923993925</v>
          </cell>
          <cell r="K102">
            <v>32.29699838922641</v>
          </cell>
          <cell r="L102">
            <v>27.945389025630089</v>
          </cell>
          <cell r="M102">
            <v>26.048664981617897</v>
          </cell>
          <cell r="N102">
            <v>22.240065049850557</v>
          </cell>
          <cell r="O102">
            <v>16.90796224895427</v>
          </cell>
          <cell r="P102">
            <v>6.6761337902201721</v>
          </cell>
        </row>
        <row r="103">
          <cell r="A103" t="str">
            <v>MNR</v>
          </cell>
          <cell r="B103" t="str">
            <v>VAR_fin</v>
          </cell>
          <cell r="C103" t="str">
            <v>SUP_MNRBIO</v>
          </cell>
          <cell r="E103">
            <v>3.7980888731937248</v>
          </cell>
          <cell r="F103">
            <v>12.497411645686592</v>
          </cell>
          <cell r="G103">
            <v>12.540057068460483</v>
          </cell>
          <cell r="H103">
            <v>12.540417199970127</v>
          </cell>
          <cell r="I103">
            <v>12.540424281870546</v>
          </cell>
          <cell r="J103">
            <v>12.541408450430788</v>
          </cell>
          <cell r="K103">
            <v>12.541461200056258</v>
          </cell>
          <cell r="L103">
            <v>12.541619058748488</v>
          </cell>
          <cell r="M103">
            <v>12.541669585654484</v>
          </cell>
          <cell r="N103">
            <v>12.541925651393687</v>
          </cell>
          <cell r="O103">
            <v>12.542353564765696</v>
          </cell>
          <cell r="P103">
            <v>12.543434848576995</v>
          </cell>
        </row>
        <row r="104">
          <cell r="A104" t="str">
            <v>TNGA</v>
          </cell>
          <cell r="B104" t="str">
            <v>VAR_fout</v>
          </cell>
          <cell r="C104" t="str">
            <v>D-TNGA</v>
          </cell>
          <cell r="E104">
            <v>0.27997985330637881</v>
          </cell>
          <cell r="F104">
            <v>0.13725096812298695</v>
          </cell>
          <cell r="G104">
            <v>0.20726075289279586</v>
          </cell>
          <cell r="H104">
            <v>8.3157365425245572E-3</v>
          </cell>
          <cell r="I104">
            <v>7.5508137725400024E-3</v>
          </cell>
          <cell r="J104">
            <v>7.3439909755026438E-3</v>
          </cell>
          <cell r="K104">
            <v>7.0236376127300907E-3</v>
          </cell>
          <cell r="L104">
            <v>6.6639600022308206E-3</v>
          </cell>
          <cell r="M104">
            <v>6.4557282258082471E-3</v>
          </cell>
          <cell r="N104">
            <v>6.4210172748993639E-3</v>
          </cell>
          <cell r="O104">
            <v>6.4228775022646982E-3</v>
          </cell>
          <cell r="P104">
            <v>6.4066412392841275E-3</v>
          </cell>
        </row>
        <row r="105">
          <cell r="A105" t="str">
            <v>WOD</v>
          </cell>
          <cell r="B105" t="str">
            <v>VAR_fin</v>
          </cell>
          <cell r="C105" t="str">
            <v>D-CWOD</v>
          </cell>
          <cell r="E105">
            <v>9.1887217648296264</v>
          </cell>
          <cell r="F105">
            <v>10.113686692716435</v>
          </cell>
          <cell r="G105">
            <v>9.875557964870584</v>
          </cell>
          <cell r="H105">
            <v>8.5177710414422716</v>
          </cell>
          <cell r="I105">
            <v>8.8568808016811964</v>
          </cell>
          <cell r="J105">
            <v>9.3844741290867812</v>
          </cell>
          <cell r="K105">
            <v>9.3235242225955428</v>
          </cell>
          <cell r="L105">
            <v>9.6046840477918263</v>
          </cell>
          <cell r="M105">
            <v>10.269474089509359</v>
          </cell>
          <cell r="N105">
            <v>10.706780642568805</v>
          </cell>
          <cell r="O105">
            <v>13.20647915721436</v>
          </cell>
          <cell r="P105">
            <v>13.766742065617343</v>
          </cell>
        </row>
        <row r="106">
          <cell r="A106" t="str">
            <v>GSL</v>
          </cell>
          <cell r="B106" t="str">
            <v>VAR_fin</v>
          </cell>
          <cell r="C106" t="str">
            <v>D-TGSL</v>
          </cell>
          <cell r="E106">
            <v>79.858562959800452</v>
          </cell>
          <cell r="F106">
            <v>75.955437364796921</v>
          </cell>
          <cell r="G106">
            <v>79.904321862133671</v>
          </cell>
          <cell r="H106">
            <v>58.326489701799971</v>
          </cell>
          <cell r="I106">
            <v>44.727129483207371</v>
          </cell>
          <cell r="J106">
            <v>38.488674095112096</v>
          </cell>
          <cell r="K106">
            <v>33.103231435703201</v>
          </cell>
          <cell r="L106">
            <v>28.65449389197704</v>
          </cell>
          <cell r="M106">
            <v>26.182295920162538</v>
          </cell>
          <cell r="N106">
            <v>23.806463420684633</v>
          </cell>
          <cell r="O106">
            <v>22.002425314891092</v>
          </cell>
          <cell r="P106">
            <v>21.053256831990549</v>
          </cell>
        </row>
        <row r="107">
          <cell r="A107" t="str">
            <v>IBIO</v>
          </cell>
          <cell r="B107" t="str">
            <v>VAR_fout</v>
          </cell>
          <cell r="C107" t="str">
            <v>D-IBIO</v>
          </cell>
          <cell r="E107">
            <v>0.43673250724134999</v>
          </cell>
          <cell r="F107">
            <v>0.55206681675810632</v>
          </cell>
          <cell r="G107">
            <v>0.94316394259104497</v>
          </cell>
          <cell r="H107">
            <v>2.213304513261495</v>
          </cell>
          <cell r="I107">
            <v>3.6998932688499142</v>
          </cell>
          <cell r="J107">
            <v>5.7402395984733579</v>
          </cell>
          <cell r="K107">
            <v>5.7784905950642838</v>
          </cell>
          <cell r="L107">
            <v>5.7790548681008715</v>
          </cell>
          <cell r="M107">
            <v>5.8435577045222322</v>
          </cell>
          <cell r="N107">
            <v>6.1410178062606571</v>
          </cell>
          <cell r="O107">
            <v>6.141182430819244</v>
          </cell>
          <cell r="P107">
            <v>6.1533309885965624</v>
          </cell>
        </row>
        <row r="108">
          <cell r="A108" t="str">
            <v>SNGA</v>
          </cell>
          <cell r="B108" t="str">
            <v>VAR_fout</v>
          </cell>
          <cell r="C108" t="str">
            <v>D-SNGA</v>
          </cell>
          <cell r="E108">
            <v>27.239797721375464</v>
          </cell>
          <cell r="F108">
            <v>28.488503902189063</v>
          </cell>
          <cell r="G108">
            <v>27.007352148490895</v>
          </cell>
          <cell r="H108">
            <v>32.689011644219519</v>
          </cell>
          <cell r="I108">
            <v>37.956265342708761</v>
          </cell>
          <cell r="J108">
            <v>37.659358450478237</v>
          </cell>
          <cell r="K108">
            <v>35.669369272847298</v>
          </cell>
          <cell r="L108">
            <v>30.957260583202551</v>
          </cell>
          <cell r="M108">
            <v>30.402270094950214</v>
          </cell>
          <cell r="N108">
            <v>30.010376597130993</v>
          </cell>
          <cell r="O108">
            <v>30.166980733432077</v>
          </cell>
          <cell r="P108">
            <v>29.707776923959532</v>
          </cell>
        </row>
        <row r="109">
          <cell r="A109" t="str">
            <v>AUX_H2STG_IN</v>
          </cell>
          <cell r="B109" t="str">
            <v>VAR_fin</v>
          </cell>
          <cell r="C109" t="str">
            <v>STG-H2</v>
          </cell>
          <cell r="H109">
            <v>2.3411961295963827E-5</v>
          </cell>
          <cell r="I109">
            <v>6.1230933918916494E-5</v>
          </cell>
          <cell r="J109">
            <v>6.6338814590815754E-5</v>
          </cell>
          <cell r="K109">
            <v>6.8703619147741156E-5</v>
          </cell>
          <cell r="L109">
            <v>1.6966246732629469E-4</v>
          </cell>
          <cell r="M109">
            <v>1.4075644220395582E-4</v>
          </cell>
          <cell r="N109">
            <v>2.7357251376043375E-4</v>
          </cell>
          <cell r="O109">
            <v>2.3482494551275041E-4</v>
          </cell>
          <cell r="P109">
            <v>5.6834282688120706E-4</v>
          </cell>
        </row>
        <row r="110">
          <cell r="A110" t="str">
            <v>AUX_H2STG_IN</v>
          </cell>
          <cell r="B110" t="str">
            <v>VAR_fin</v>
          </cell>
          <cell r="C110" t="str">
            <v>STG-H2</v>
          </cell>
          <cell r="H110">
            <v>1.085597098555929E-4</v>
          </cell>
          <cell r="I110">
            <v>2.730390208010784E-4</v>
          </cell>
          <cell r="J110">
            <v>2.9300196415216548E-4</v>
          </cell>
          <cell r="K110">
            <v>3.1311517853090749E-4</v>
          </cell>
          <cell r="L110">
            <v>7.3597213047577341E-4</v>
          </cell>
          <cell r="M110">
            <v>5.6907684953686735E-4</v>
          </cell>
          <cell r="N110">
            <v>1.0600201261408734E-3</v>
          </cell>
          <cell r="O110">
            <v>9.9616958265505689E-4</v>
          </cell>
          <cell r="P110">
            <v>2.2408595740541978E-3</v>
          </cell>
        </row>
        <row r="111">
          <cell r="A111" t="str">
            <v>AUX_H2STG_IN</v>
          </cell>
          <cell r="B111" t="str">
            <v>VAR_fin</v>
          </cell>
          <cell r="C111" t="str">
            <v>STG-H2</v>
          </cell>
          <cell r="H111">
            <v>1.8770569830073001E-5</v>
          </cell>
          <cell r="I111">
            <v>3.4072031762147683E-5</v>
          </cell>
          <cell r="J111">
            <v>4.5301010618709544E-5</v>
          </cell>
          <cell r="K111">
            <v>4.3012274562904741E-5</v>
          </cell>
          <cell r="L111">
            <v>1.1725787224927798E-4</v>
          </cell>
          <cell r="M111">
            <v>5.6130648012104005E-5</v>
          </cell>
          <cell r="N111">
            <v>1.2005407730851477E-4</v>
          </cell>
          <cell r="O111">
            <v>9.4699668601196376E-5</v>
          </cell>
          <cell r="P111">
            <v>2.109589772233985E-4</v>
          </cell>
        </row>
        <row r="112">
          <cell r="A112" t="str">
            <v>AUX_H2STG_IN</v>
          </cell>
          <cell r="B112" t="str">
            <v>VAR_fin</v>
          </cell>
          <cell r="C112" t="str">
            <v>STG-H2</v>
          </cell>
          <cell r="H112">
            <v>2.3815876232767925E-5</v>
          </cell>
          <cell r="I112">
            <v>5.911645887739729E-5</v>
          </cell>
          <cell r="J112">
            <v>5.7188838698745587E-5</v>
          </cell>
          <cell r="K112">
            <v>6.0291765642301271E-5</v>
          </cell>
          <cell r="L112">
            <v>1.6481731355359191E-4</v>
          </cell>
          <cell r="M112">
            <v>1.0361468217449838E-4</v>
          </cell>
          <cell r="N112">
            <v>2.0923153980262666E-4</v>
          </cell>
          <cell r="O112">
            <v>1.5531251449514533E-4</v>
          </cell>
          <cell r="P112">
            <v>3.8155535942889767E-4</v>
          </cell>
        </row>
        <row r="113">
          <cell r="A113" t="str">
            <v>AUX_H2STG_IN</v>
          </cell>
          <cell r="B113" t="str">
            <v>VAR_fin</v>
          </cell>
          <cell r="C113" t="str">
            <v>STG-H2</v>
          </cell>
          <cell r="H113">
            <v>4.2561302496787792E-5</v>
          </cell>
          <cell r="I113">
            <v>1.1861959624261639E-4</v>
          </cell>
          <cell r="J113">
            <v>1.2417330024389479E-4</v>
          </cell>
          <cell r="K113">
            <v>1.4110751917796024E-4</v>
          </cell>
          <cell r="L113">
            <v>2.8423447734660768E-4</v>
          </cell>
          <cell r="M113">
            <v>2.6857507714631029E-4</v>
          </cell>
          <cell r="N113">
            <v>4.5716199526930044E-4</v>
          </cell>
          <cell r="O113">
            <v>5.1133245404596768E-4</v>
          </cell>
          <cell r="P113">
            <v>1.0800024105206967E-3</v>
          </cell>
        </row>
        <row r="114">
          <cell r="A114" t="str">
            <v>H2</v>
          </cell>
          <cell r="B114" t="str">
            <v>VAR_fout</v>
          </cell>
          <cell r="C114" t="str">
            <v>SUP_NGAH2</v>
          </cell>
          <cell r="L114">
            <v>3.1533641270516553E-3</v>
          </cell>
          <cell r="M114">
            <v>3.215731084946528E-3</v>
          </cell>
          <cell r="N114">
            <v>4.8868905390840539E-3</v>
          </cell>
          <cell r="O114">
            <v>4.9941011688480518E-3</v>
          </cell>
          <cell r="P114">
            <v>1.0202023063845095E-2</v>
          </cell>
        </row>
        <row r="115">
          <cell r="A115" t="str">
            <v>H2</v>
          </cell>
          <cell r="B115" t="str">
            <v>VAR_fout</v>
          </cell>
          <cell r="C115" t="str">
            <v>STG-H2</v>
          </cell>
          <cell r="H115">
            <v>2.4761968596241261E-5</v>
          </cell>
          <cell r="I115">
            <v>5.8063673482652239E-5</v>
          </cell>
          <cell r="J115">
            <v>6.4636709954388853E-5</v>
          </cell>
          <cell r="K115">
            <v>6.5777031287022822E-5</v>
          </cell>
          <cell r="L115">
            <v>1.8361175852453352E-4</v>
          </cell>
          <cell r="M115">
            <v>1.3221063269809437E-4</v>
          </cell>
          <cell r="N115">
            <v>2.6743682110820635E-4</v>
          </cell>
          <cell r="O115">
            <v>2.297267732620312E-4</v>
          </cell>
          <cell r="P115">
            <v>5.6107121058432646E-4</v>
          </cell>
        </row>
        <row r="116">
          <cell r="A116" t="str">
            <v>H2</v>
          </cell>
          <cell r="B116" t="str">
            <v>VAR_fout</v>
          </cell>
          <cell r="C116" t="str">
            <v>STG-H2</v>
          </cell>
          <cell r="H116">
            <v>1.074737542858194E-4</v>
          </cell>
          <cell r="I116">
            <v>2.7054830619295956E-4</v>
          </cell>
          <cell r="J116">
            <v>2.9007426418149924E-4</v>
          </cell>
          <cell r="K116">
            <v>3.0998223298771299E-4</v>
          </cell>
          <cell r="L116">
            <v>7.2864721666865905E-4</v>
          </cell>
          <cell r="M116">
            <v>5.6339699600059534E-4</v>
          </cell>
          <cell r="N116">
            <v>1.0494397639654108E-3</v>
          </cell>
          <cell r="O116">
            <v>9.8621647724127367E-4</v>
          </cell>
          <cell r="P116">
            <v>2.2185308852296147E-3</v>
          </cell>
        </row>
        <row r="117">
          <cell r="A117" t="str">
            <v>H2</v>
          </cell>
          <cell r="B117" t="str">
            <v>VAR_fout</v>
          </cell>
          <cell r="C117" t="str">
            <v>STG-H2</v>
          </cell>
          <cell r="H117">
            <v>3.6523828943803122E-5</v>
          </cell>
          <cell r="I117">
            <v>9.9307066372590329E-5</v>
          </cell>
          <cell r="J117">
            <v>1.003664804969541E-4</v>
          </cell>
          <cell r="K117">
            <v>1.0838011472759316E-4</v>
          </cell>
          <cell r="L117">
            <v>2.5495536392530489E-4</v>
          </cell>
          <cell r="M117">
            <v>2.2151533606209735E-4</v>
          </cell>
          <cell r="N117">
            <v>3.9261182234986741E-4</v>
          </cell>
          <cell r="O117">
            <v>4.0383209692499935E-4</v>
          </cell>
          <cell r="P117">
            <v>8.6152378275942834E-4</v>
          </cell>
        </row>
        <row r="118">
          <cell r="A118" t="str">
            <v>H2</v>
          </cell>
          <cell r="B118" t="str">
            <v>VAR_fout</v>
          </cell>
          <cell r="C118" t="str">
            <v>STG-H2</v>
          </cell>
          <cell r="H118">
            <v>2.2455283712232138E-5</v>
          </cell>
          <cell r="I118">
            <v>5.5213996507866006E-5</v>
          </cell>
          <cell r="J118">
            <v>7.5420805382408245E-5</v>
          </cell>
          <cell r="K118">
            <v>7.8038763478417437E-5</v>
          </cell>
          <cell r="L118">
            <v>1.8869289265707032E-4</v>
          </cell>
          <cell r="M118">
            <v>1.1799285254853398E-4</v>
          </cell>
          <cell r="N118">
            <v>2.4240765510247445E-4</v>
          </cell>
          <cell r="O118">
            <v>1.9547107872780654E-4</v>
          </cell>
          <cell r="P118">
            <v>4.6429375558398704E-4</v>
          </cell>
        </row>
        <row r="119">
          <cell r="A119" t="str">
            <v>H2</v>
          </cell>
          <cell r="B119" t="str">
            <v>VAR_fout</v>
          </cell>
          <cell r="C119" t="str">
            <v>STG-H2</v>
          </cell>
          <cell r="H119">
            <v>2.3732673033543067E-5</v>
          </cell>
          <cell r="I119">
            <v>5.7963569829850881E-5</v>
          </cell>
          <cell r="J119">
            <v>4.9650268347747534E-5</v>
          </cell>
          <cell r="K119">
            <v>5.7786323494680071E-5</v>
          </cell>
          <cell r="L119">
            <v>1.0138720156175247E-4</v>
          </cell>
          <cell r="M119">
            <v>9.1678174691869855E-5</v>
          </cell>
          <cell r="N119">
            <v>1.4698346540486238E-4</v>
          </cell>
          <cell r="O119">
            <v>1.5718652832643593E-4</v>
          </cell>
          <cell r="P119">
            <v>3.3164213630187256E-4</v>
          </cell>
        </row>
        <row r="120">
          <cell r="A120" t="str">
            <v>H2</v>
          </cell>
          <cell r="B120" t="str">
            <v>VAR_fout</v>
          </cell>
          <cell r="C120" t="str">
            <v>IMPH2</v>
          </cell>
          <cell r="J120">
            <v>6.722848364722111E-3</v>
          </cell>
          <cell r="K120">
            <v>6.7417177187377095E-3</v>
          </cell>
          <cell r="L120">
            <v>3.533835097255072E-3</v>
          </cell>
          <cell r="M120">
            <v>1.6291161246134197E-3</v>
          </cell>
          <cell r="N120">
            <v>5.6838985485762068E-3</v>
          </cell>
          <cell r="O120">
            <v>3.0959858094557558E-3</v>
          </cell>
          <cell r="P120">
            <v>6.8110791386313098E-3</v>
          </cell>
        </row>
        <row r="121">
          <cell r="A121" t="str">
            <v>H2</v>
          </cell>
          <cell r="B121" t="str">
            <v>VAR_fout</v>
          </cell>
          <cell r="C121" t="str">
            <v>SUP_WODH2</v>
          </cell>
          <cell r="L121">
            <v>1.6591105728256502E-2</v>
          </cell>
          <cell r="M121">
            <v>1.5911935043358676E-2</v>
          </cell>
          <cell r="N121">
            <v>2.33110091936885E-2</v>
          </cell>
          <cell r="O121">
            <v>2.4247139417352251E-2</v>
          </cell>
          <cell r="P121">
            <v>7.7700004487894644E-2</v>
          </cell>
        </row>
        <row r="122">
          <cell r="A122" t="str">
            <v>H2</v>
          </cell>
          <cell r="B122" t="str">
            <v>VAR_fout</v>
          </cell>
          <cell r="C122" t="str">
            <v>SUP_ELCH2_SOEC</v>
          </cell>
          <cell r="J122">
            <v>2.3205761378910821E-2</v>
          </cell>
          <cell r="K122">
            <v>2.8975738094371539E-2</v>
          </cell>
          <cell r="L122">
            <v>4.1228445247797424E-2</v>
          </cell>
          <cell r="M122">
            <v>3.7186884699862525E-2</v>
          </cell>
          <cell r="N122">
            <v>4.0537767076216848E-2</v>
          </cell>
          <cell r="O122">
            <v>4.0756002370930577E-2</v>
          </cell>
          <cell r="P122">
            <v>7.4585504958781926E-2</v>
          </cell>
        </row>
        <row r="123">
          <cell r="A123" t="str">
            <v>H2</v>
          </cell>
          <cell r="B123" t="str">
            <v>VAR_fout</v>
          </cell>
          <cell r="C123" t="str">
            <v>SUP_ELCH2</v>
          </cell>
          <cell r="E123">
            <v>4.0159056985320076E-3</v>
          </cell>
          <cell r="F123">
            <v>5.8854629502050259E-3</v>
          </cell>
          <cell r="G123">
            <v>5.9822842623426719E-3</v>
          </cell>
          <cell r="H123">
            <v>2.0851514170396809E-2</v>
          </cell>
          <cell r="I123">
            <v>5.9977506858904128E-2</v>
          </cell>
          <cell r="J123">
            <v>6.3257269198409405E-2</v>
          </cell>
          <cell r="K123">
            <v>5.7219951627738116E-2</v>
          </cell>
          <cell r="L123">
            <v>0.18675780457132787</v>
          </cell>
          <cell r="M123">
            <v>0.20280366725775226</v>
          </cell>
          <cell r="N123">
            <v>0.59317081825033557</v>
          </cell>
          <cell r="O123">
            <v>0.61726693909382346</v>
          </cell>
          <cell r="P123">
            <v>0.66569766617567561</v>
          </cell>
        </row>
        <row r="124">
          <cell r="A124" t="str">
            <v>H2</v>
          </cell>
          <cell r="B124" t="str">
            <v>VAR_fout</v>
          </cell>
          <cell r="C124" t="str">
            <v>D-DH2</v>
          </cell>
          <cell r="H124">
            <v>6.9378561326919813E-5</v>
          </cell>
          <cell r="I124">
            <v>1.1509151195248355E-3</v>
          </cell>
          <cell r="J124">
            <v>2.9221957109222896E-3</v>
          </cell>
          <cell r="K124">
            <v>3.3671818071640881E-3</v>
          </cell>
          <cell r="L124">
            <v>3.4983457797449127E-3</v>
          </cell>
          <cell r="M124">
            <v>3.4992252091323667E-3</v>
          </cell>
          <cell r="N124">
            <v>3.5482304390819378E-3</v>
          </cell>
          <cell r="O124">
            <v>2.8634184816508394E-3</v>
          </cell>
          <cell r="P124">
            <v>5.5439200598833846E-3</v>
          </cell>
        </row>
        <row r="125">
          <cell r="A125" t="str">
            <v>H2</v>
          </cell>
          <cell r="B125" t="str">
            <v>VAR_fin</v>
          </cell>
          <cell r="C125" t="str">
            <v>STG-H2</v>
          </cell>
          <cell r="H125">
            <v>2.3411961295963827E-5</v>
          </cell>
          <cell r="I125">
            <v>6.1230933918916494E-5</v>
          </cell>
          <cell r="J125">
            <v>6.6338814590815754E-5</v>
          </cell>
          <cell r="K125">
            <v>6.8703619147741156E-5</v>
          </cell>
          <cell r="L125">
            <v>1.6966246732629469E-4</v>
          </cell>
          <cell r="M125">
            <v>1.4075644220395582E-4</v>
          </cell>
          <cell r="N125">
            <v>2.7357251376043375E-4</v>
          </cell>
          <cell r="O125">
            <v>2.3482494551275041E-4</v>
          </cell>
          <cell r="P125">
            <v>5.6834282688120706E-4</v>
          </cell>
        </row>
        <row r="126">
          <cell r="A126" t="str">
            <v>H2</v>
          </cell>
          <cell r="B126" t="str">
            <v>VAR_fin</v>
          </cell>
          <cell r="C126" t="str">
            <v>STG-H2</v>
          </cell>
          <cell r="H126">
            <v>1.085597098555929E-4</v>
          </cell>
          <cell r="I126">
            <v>2.730390208010784E-4</v>
          </cell>
          <cell r="J126">
            <v>2.9300196415216548E-4</v>
          </cell>
          <cell r="K126">
            <v>3.1311517853090749E-4</v>
          </cell>
          <cell r="L126">
            <v>7.3597213047577341E-4</v>
          </cell>
          <cell r="M126">
            <v>5.6907684953686735E-4</v>
          </cell>
          <cell r="N126">
            <v>1.0600201261408734E-3</v>
          </cell>
          <cell r="O126">
            <v>9.9616958265505689E-4</v>
          </cell>
          <cell r="P126">
            <v>2.2408595740541978E-3</v>
          </cell>
        </row>
        <row r="127">
          <cell r="A127" t="str">
            <v>H2</v>
          </cell>
          <cell r="B127" t="str">
            <v>VAR_fin</v>
          </cell>
          <cell r="C127" t="str">
            <v>STG-H2</v>
          </cell>
          <cell r="H127">
            <v>1.8770569830073001E-5</v>
          </cell>
          <cell r="I127">
            <v>3.4072031762147683E-5</v>
          </cell>
          <cell r="J127">
            <v>4.5301010618709544E-5</v>
          </cell>
          <cell r="K127">
            <v>4.3012274562904741E-5</v>
          </cell>
          <cell r="L127">
            <v>1.1725787224927798E-4</v>
          </cell>
          <cell r="M127">
            <v>5.6130648012104005E-5</v>
          </cell>
          <cell r="N127">
            <v>1.2005407730851477E-4</v>
          </cell>
          <cell r="O127">
            <v>9.4699668601196376E-5</v>
          </cell>
          <cell r="P127">
            <v>2.109589772233985E-4</v>
          </cell>
        </row>
        <row r="128">
          <cell r="A128" t="str">
            <v>H2</v>
          </cell>
          <cell r="B128" t="str">
            <v>VAR_fin</v>
          </cell>
          <cell r="C128" t="str">
            <v>STG-H2</v>
          </cell>
          <cell r="H128">
            <v>2.3815876232767925E-5</v>
          </cell>
          <cell r="I128">
            <v>5.911645887739729E-5</v>
          </cell>
          <cell r="J128">
            <v>5.7188838698745587E-5</v>
          </cell>
          <cell r="K128">
            <v>6.0291765642301271E-5</v>
          </cell>
          <cell r="L128">
            <v>1.6481731355359191E-4</v>
          </cell>
          <cell r="M128">
            <v>1.0361468217449838E-4</v>
          </cell>
          <cell r="N128">
            <v>2.0923153980262666E-4</v>
          </cell>
          <cell r="O128">
            <v>1.5531251449514533E-4</v>
          </cell>
          <cell r="P128">
            <v>3.8155535942889767E-4</v>
          </cell>
        </row>
        <row r="129">
          <cell r="A129" t="str">
            <v>H2</v>
          </cell>
          <cell r="B129" t="str">
            <v>VAR_fin</v>
          </cell>
          <cell r="C129" t="str">
            <v>STG-H2</v>
          </cell>
          <cell r="H129">
            <v>4.2561302496787792E-5</v>
          </cell>
          <cell r="I129">
            <v>1.1861959624261639E-4</v>
          </cell>
          <cell r="J129">
            <v>1.2417330024389479E-4</v>
          </cell>
          <cell r="K129">
            <v>1.4110751917796024E-4</v>
          </cell>
          <cell r="L129">
            <v>2.8423447734660768E-4</v>
          </cell>
          <cell r="M129">
            <v>2.6857507714631029E-4</v>
          </cell>
          <cell r="N129">
            <v>4.5716199526930044E-4</v>
          </cell>
          <cell r="O129">
            <v>5.1133245404596768E-4</v>
          </cell>
          <cell r="P129">
            <v>1.0800024105206967E-3</v>
          </cell>
        </row>
        <row r="130">
          <cell r="A130" t="str">
            <v>H2</v>
          </cell>
          <cell r="B130" t="str">
            <v>VAR_fin</v>
          </cell>
          <cell r="C130" t="str">
            <v>D-ENGA</v>
          </cell>
          <cell r="J130">
            <v>6.0693957323108751E-3</v>
          </cell>
          <cell r="K130">
            <v>6.2401410242811286E-3</v>
          </cell>
          <cell r="L130">
            <v>1.5436203690697137E-2</v>
          </cell>
          <cell r="M130">
            <v>1.6536439522772423E-2</v>
          </cell>
          <cell r="N130">
            <v>5.5996085805315059E-2</v>
          </cell>
          <cell r="O130">
            <v>4.4564522941445417E-2</v>
          </cell>
          <cell r="P130">
            <v>4.3926901302976128E-2</v>
          </cell>
        </row>
        <row r="131">
          <cell r="A131" t="str">
            <v>H2</v>
          </cell>
          <cell r="B131" t="str">
            <v>VAR_fin</v>
          </cell>
          <cell r="C131" t="str">
            <v>D-TNGA</v>
          </cell>
          <cell r="F131">
            <v>1.6094805047602594E-3</v>
          </cell>
          <cell r="G131">
            <v>1.7514596188570395E-3</v>
          </cell>
          <cell r="H131">
            <v>6.6595283359583053E-5</v>
          </cell>
          <cell r="I131">
            <v>8.1629656043688559E-5</v>
          </cell>
          <cell r="J131">
            <v>8.0779100902328871E-5</v>
          </cell>
          <cell r="K131">
            <v>8.2447672432070385E-5</v>
          </cell>
          <cell r="L131">
            <v>9.200521660339948E-5</v>
          </cell>
          <cell r="M131">
            <v>8.2786184957934808E-5</v>
          </cell>
          <cell r="N131">
            <v>8.9672638670597031E-5</v>
          </cell>
          <cell r="O131">
            <v>8.7118706199435059E-5</v>
          </cell>
          <cell r="P131">
            <v>9.4111069115685459E-5</v>
          </cell>
        </row>
        <row r="132">
          <cell r="A132" t="str">
            <v>H2</v>
          </cell>
          <cell r="B132" t="str">
            <v>VAR_fin</v>
          </cell>
          <cell r="C132" t="str">
            <v>D-SNGA</v>
          </cell>
          <cell r="H132">
            <v>3.6425610885852497E-3</v>
          </cell>
          <cell r="I132">
            <v>8.2767844990257744E-3</v>
          </cell>
          <cell r="J132">
            <v>9.1142345062576353E-3</v>
          </cell>
          <cell r="K132">
            <v>9.0395105199929313E-3</v>
          </cell>
          <cell r="L132">
            <v>2.5950137215013203E-2</v>
          </cell>
          <cell r="M132">
            <v>2.3329712907238752E-2</v>
          </cell>
          <cell r="N132">
            <v>6.3637673720918261E-2</v>
          </cell>
          <cell r="O132">
            <v>7.2635246831333419E-2</v>
          </cell>
          <cell r="P132">
            <v>8.7001799950717218E-2</v>
          </cell>
        </row>
        <row r="133">
          <cell r="A133" t="str">
            <v>H2</v>
          </cell>
          <cell r="B133" t="str">
            <v>VAR_fin</v>
          </cell>
          <cell r="C133" t="str">
            <v>D-RNGA</v>
          </cell>
          <cell r="H133">
            <v>3.188931615382991E-3</v>
          </cell>
          <cell r="I133">
            <v>7.7784442250135189E-3</v>
          </cell>
          <cell r="J133">
            <v>9.2246461292328254E-3</v>
          </cell>
          <cell r="K133">
            <v>1.0878782962497099E-2</v>
          </cell>
          <cell r="L133">
            <v>2.9993207673771557E-2</v>
          </cell>
          <cell r="M133">
            <v>2.7650543621600462E-2</v>
          </cell>
          <cell r="N133">
            <v>0.10386252416654032</v>
          </cell>
          <cell r="O133">
            <v>0.12289136811363319</v>
          </cell>
          <cell r="P133">
            <v>0.13195987138663776</v>
          </cell>
        </row>
        <row r="134">
          <cell r="A134" t="str">
            <v>H2</v>
          </cell>
          <cell r="B134" t="str">
            <v>VAR_fin</v>
          </cell>
          <cell r="C134" t="str">
            <v>D-INGA</v>
          </cell>
          <cell r="H134">
            <v>7.5559030303419521E-3</v>
          </cell>
          <cell r="I134">
            <v>2.4093040931592175E-2</v>
          </cell>
          <cell r="J134">
            <v>3.7131100078305071E-2</v>
          </cell>
          <cell r="K134">
            <v>3.4218061195860398E-2</v>
          </cell>
          <cell r="L134">
            <v>0.11470713773612072</v>
          </cell>
          <cell r="M134">
            <v>0.13070266310550327</v>
          </cell>
          <cell r="N134">
            <v>0.19585819925824199</v>
          </cell>
          <cell r="O134">
            <v>0.20349411173524631</v>
          </cell>
          <cell r="P134">
            <v>0.20195456477517107</v>
          </cell>
        </row>
        <row r="135">
          <cell r="A135" t="str">
            <v>AUX_H2STG_OUT</v>
          </cell>
          <cell r="B135" t="str">
            <v>VAR_fout</v>
          </cell>
          <cell r="C135" t="str">
            <v>STG-H2</v>
          </cell>
          <cell r="H135">
            <v>2.4761968596241261E-5</v>
          </cell>
          <cell r="I135">
            <v>5.8063673482652239E-5</v>
          </cell>
          <cell r="J135">
            <v>6.4636709954388853E-5</v>
          </cell>
          <cell r="K135">
            <v>6.5777031287022822E-5</v>
          </cell>
          <cell r="L135">
            <v>1.8361175852453352E-4</v>
          </cell>
          <cell r="M135">
            <v>1.3221063269809437E-4</v>
          </cell>
          <cell r="N135">
            <v>2.6743682110820635E-4</v>
          </cell>
          <cell r="O135">
            <v>2.297267732620312E-4</v>
          </cell>
          <cell r="P135">
            <v>5.6107121058432646E-4</v>
          </cell>
        </row>
        <row r="136">
          <cell r="A136" t="str">
            <v>AUX_H2STG_OUT</v>
          </cell>
          <cell r="B136" t="str">
            <v>VAR_fout</v>
          </cell>
          <cell r="C136" t="str">
            <v>STG-H2</v>
          </cell>
          <cell r="H136">
            <v>1.0747375428581941E-4</v>
          </cell>
          <cell r="I136">
            <v>2.7054830619295956E-4</v>
          </cell>
          <cell r="J136">
            <v>2.9007426418149924E-4</v>
          </cell>
          <cell r="K136">
            <v>3.0998223298771299E-4</v>
          </cell>
          <cell r="L136">
            <v>7.2864721666865905E-4</v>
          </cell>
          <cell r="M136">
            <v>5.6339699600059534E-4</v>
          </cell>
          <cell r="N136">
            <v>1.0494397639654108E-3</v>
          </cell>
          <cell r="O136">
            <v>9.8621647724127367E-4</v>
          </cell>
          <cell r="P136">
            <v>2.2185308852296147E-3</v>
          </cell>
        </row>
        <row r="137">
          <cell r="A137" t="str">
            <v>AUX_H2STG_OUT</v>
          </cell>
          <cell r="B137" t="str">
            <v>VAR_fout</v>
          </cell>
          <cell r="C137" t="str">
            <v>STG-H2</v>
          </cell>
          <cell r="H137">
            <v>3.6523828943803122E-5</v>
          </cell>
          <cell r="I137">
            <v>9.9307066372590329E-5</v>
          </cell>
          <cell r="J137">
            <v>1.003664804969541E-4</v>
          </cell>
          <cell r="K137">
            <v>1.0838011472759316E-4</v>
          </cell>
          <cell r="L137">
            <v>2.5495536392530489E-4</v>
          </cell>
          <cell r="M137">
            <v>2.2151533606209735E-4</v>
          </cell>
          <cell r="N137">
            <v>3.9261182234986741E-4</v>
          </cell>
          <cell r="O137">
            <v>4.0383209692499935E-4</v>
          </cell>
          <cell r="P137">
            <v>8.6152378275942834E-4</v>
          </cell>
        </row>
        <row r="138">
          <cell r="A138" t="str">
            <v>AUX_H2STG_OUT</v>
          </cell>
          <cell r="B138" t="str">
            <v>VAR_fout</v>
          </cell>
          <cell r="C138" t="str">
            <v>STG-H2</v>
          </cell>
          <cell r="H138">
            <v>2.2455283712232138E-5</v>
          </cell>
          <cell r="I138">
            <v>5.5213996507866006E-5</v>
          </cell>
          <cell r="J138">
            <v>7.5420805382408245E-5</v>
          </cell>
          <cell r="K138">
            <v>7.8038763478417437E-5</v>
          </cell>
          <cell r="L138">
            <v>1.8869289265707032E-4</v>
          </cell>
          <cell r="M138">
            <v>1.1799285254853398E-4</v>
          </cell>
          <cell r="N138">
            <v>2.4240765510247445E-4</v>
          </cell>
          <cell r="O138">
            <v>1.9547107872780654E-4</v>
          </cell>
          <cell r="P138">
            <v>4.6429375558398704E-4</v>
          </cell>
        </row>
        <row r="139">
          <cell r="A139" t="str">
            <v>AUX_H2STG_OUT</v>
          </cell>
          <cell r="B139" t="str">
            <v>VAR_fout</v>
          </cell>
          <cell r="C139" t="str">
            <v>STG-H2</v>
          </cell>
          <cell r="H139">
            <v>2.3732673033543115E-5</v>
          </cell>
          <cell r="I139">
            <v>5.7963569829850881E-5</v>
          </cell>
          <cell r="J139">
            <v>4.9650268347747534E-5</v>
          </cell>
          <cell r="K139">
            <v>5.7786323494680071E-5</v>
          </cell>
          <cell r="L139">
            <v>1.0138720156175247E-4</v>
          </cell>
          <cell r="M139">
            <v>9.1678174691869855E-5</v>
          </cell>
          <cell r="N139">
            <v>1.4698346540486238E-4</v>
          </cell>
          <cell r="O139">
            <v>1.5718652832643593E-4</v>
          </cell>
          <cell r="P139">
            <v>3.3164213630187256E-4</v>
          </cell>
        </row>
        <row r="140">
          <cell r="A140" t="str">
            <v>RNGA</v>
          </cell>
          <cell r="B140" t="str">
            <v>VAR_fout</v>
          </cell>
          <cell r="C140" t="str">
            <v>D-RNGA</v>
          </cell>
          <cell r="E140">
            <v>47.234037177022444</v>
          </cell>
          <cell r="F140">
            <v>48.282972645133455</v>
          </cell>
          <cell r="G140">
            <v>51.68844223202305</v>
          </cell>
          <cell r="H140">
            <v>54.85944384303685</v>
          </cell>
          <cell r="I140">
            <v>57.26107447107735</v>
          </cell>
          <cell r="J140">
            <v>56.513043105434555</v>
          </cell>
          <cell r="K140">
            <v>55.514312852667928</v>
          </cell>
          <cell r="L140">
            <v>55.864058204233054</v>
          </cell>
          <cell r="M140">
            <v>53.379226698291106</v>
          </cell>
          <cell r="N140">
            <v>50.612674249374265</v>
          </cell>
          <cell r="O140">
            <v>51.771329467519394</v>
          </cell>
          <cell r="P140">
            <v>44.107466801539644</v>
          </cell>
        </row>
        <row r="141">
          <cell r="A141" t="str">
            <v>CWOD</v>
          </cell>
          <cell r="B141" t="str">
            <v>VAR_fout</v>
          </cell>
          <cell r="C141" t="str">
            <v>D-CWOD</v>
          </cell>
          <cell r="E141">
            <v>9.1887217648296264</v>
          </cell>
          <cell r="F141">
            <v>10.113686692716435</v>
          </cell>
          <cell r="G141">
            <v>9.875557964870584</v>
          </cell>
          <cell r="H141">
            <v>8.5177710414422716</v>
          </cell>
          <cell r="I141">
            <v>8.8568808016811964</v>
          </cell>
          <cell r="J141">
            <v>9.3844741290867812</v>
          </cell>
          <cell r="K141">
            <v>9.3235242225955428</v>
          </cell>
          <cell r="L141">
            <v>9.6046840477918263</v>
          </cell>
          <cell r="M141">
            <v>10.269474089509359</v>
          </cell>
          <cell r="N141">
            <v>10.706780642568805</v>
          </cell>
          <cell r="O141">
            <v>13.20647915721436</v>
          </cell>
          <cell r="P141">
            <v>13.766742065617343</v>
          </cell>
        </row>
        <row r="142">
          <cell r="A142" t="str">
            <v>CWOD</v>
          </cell>
          <cell r="B142" t="str">
            <v>VAR_fin</v>
          </cell>
          <cell r="C142" t="str">
            <v>SUP_WODH2</v>
          </cell>
          <cell r="L142">
            <v>2.7651842880427491E-2</v>
          </cell>
          <cell r="M142">
            <v>2.6519891738931097E-2</v>
          </cell>
          <cell r="N142">
            <v>3.8851681989480795E-2</v>
          </cell>
          <cell r="O142">
            <v>4.0411899028920416E-2</v>
          </cell>
          <cell r="P142">
            <v>0.12950000747982454</v>
          </cell>
        </row>
        <row r="143">
          <cell r="A143" t="str">
            <v>CWOD</v>
          </cell>
          <cell r="B143" t="str">
            <v>VAR_fin</v>
          </cell>
          <cell r="C143" t="str">
            <v>SUP_WODBIO</v>
          </cell>
          <cell r="F143">
            <v>2.2076315150710267E-4</v>
          </cell>
          <cell r="G143">
            <v>5.1356072555015374E-4</v>
          </cell>
          <cell r="H143">
            <v>1.0594211168328156E-3</v>
          </cell>
          <cell r="I143">
            <v>1.7221554620566808E-3</v>
          </cell>
          <cell r="J143">
            <v>1.8383971877752301E-3</v>
          </cell>
          <cell r="K143">
            <v>1.8887764704486529E-3</v>
          </cell>
          <cell r="L143">
            <v>2.2428618942602237E-3</v>
          </cell>
          <cell r="M143">
            <v>2.3312732851827633E-3</v>
          </cell>
          <cell r="N143">
            <v>2.7428831509770861E-3</v>
          </cell>
          <cell r="O143">
            <v>2.9717242236957401E-3</v>
          </cell>
          <cell r="P143">
            <v>5.6561506590418007E-3</v>
          </cell>
        </row>
        <row r="144">
          <cell r="A144" t="str">
            <v>CWOD</v>
          </cell>
          <cell r="B144" t="str">
            <v>VAR_fin</v>
          </cell>
          <cell r="C144" t="str">
            <v>CT_CWODBDS</v>
          </cell>
          <cell r="E144">
            <v>1.6714818834432545</v>
          </cell>
          <cell r="F144">
            <v>1.8160503637651355</v>
          </cell>
          <cell r="G144">
            <v>1.7941550131384651</v>
          </cell>
          <cell r="H144">
            <v>2.794418836173295E-3</v>
          </cell>
          <cell r="I144">
            <v>2.2617644238033608E-3</v>
          </cell>
          <cell r="J144">
            <v>5.9151575647739211E-3</v>
          </cell>
          <cell r="K144">
            <v>7.7950760748614597E-3</v>
          </cell>
          <cell r="L144">
            <v>0.10994505169528648</v>
          </cell>
          <cell r="M144">
            <v>0.80162464110426612</v>
          </cell>
          <cell r="N144">
            <v>1.2521205916282032</v>
          </cell>
          <cell r="O144">
            <v>3.8222766544242281</v>
          </cell>
          <cell r="P144">
            <v>4.4301097313666</v>
          </cell>
        </row>
        <row r="145">
          <cell r="A145" t="str">
            <v>CWOD</v>
          </cell>
          <cell r="B145" t="str">
            <v>VAR_fin</v>
          </cell>
          <cell r="C145" t="str">
            <v>CT_CWODPLT</v>
          </cell>
          <cell r="E145">
            <v>7.1186319666435489</v>
          </cell>
          <cell r="F145">
            <v>8.297209151604342</v>
          </cell>
          <cell r="G145">
            <v>8.0772573134050258</v>
          </cell>
          <cell r="H145">
            <v>8.5134888643530626</v>
          </cell>
          <cell r="I145">
            <v>8.8522967914633774</v>
          </cell>
          <cell r="J145">
            <v>9.3760126821798657</v>
          </cell>
          <cell r="K145">
            <v>9.3129987338755313</v>
          </cell>
          <cell r="L145">
            <v>9.462608162406088</v>
          </cell>
          <cell r="M145">
            <v>9.4373812965790744</v>
          </cell>
          <cell r="N145">
            <v>9.410226251981026</v>
          </cell>
          <cell r="O145">
            <v>9.3378536156581919</v>
          </cell>
          <cell r="P145">
            <v>9.1954484904173501</v>
          </cell>
        </row>
        <row r="146">
          <cell r="A146" t="str">
            <v>CWOD</v>
          </cell>
          <cell r="B146" t="str">
            <v>VAR_fin</v>
          </cell>
          <cell r="C146" t="str">
            <v>CT_CWODETH</v>
          </cell>
          <cell r="E146">
            <v>0.39860791474282109</v>
          </cell>
          <cell r="F146">
            <v>2.064141954514753E-4</v>
          </cell>
          <cell r="G146">
            <v>3.6320776015341129E-3</v>
          </cell>
          <cell r="H146">
            <v>4.2833713620496564E-4</v>
          </cell>
          <cell r="I146">
            <v>6.0009033195941672E-4</v>
          </cell>
          <cell r="J146">
            <v>7.0789215435868339E-4</v>
          </cell>
          <cell r="K146">
            <v>8.4163617470384546E-4</v>
          </cell>
          <cell r="L146">
            <v>2.236128915760863E-3</v>
          </cell>
          <cell r="M146">
            <v>1.6169868018882949E-3</v>
          </cell>
          <cell r="N146">
            <v>2.8392338191155267E-3</v>
          </cell>
          <cell r="O146">
            <v>2.9652638793069238E-3</v>
          </cell>
          <cell r="P146">
            <v>6.0276856945230377E-3</v>
          </cell>
        </row>
        <row r="147">
          <cell r="A147" t="str">
            <v>BDS</v>
          </cell>
          <cell r="B147" t="str">
            <v>VAR_fout</v>
          </cell>
          <cell r="C147" t="str">
            <v>IMPBDS</v>
          </cell>
          <cell r="E147">
            <v>2.4355820140057216</v>
          </cell>
          <cell r="F147">
            <v>2.3780125207662666</v>
          </cell>
          <cell r="G147">
            <v>3.9158000338644987</v>
          </cell>
          <cell r="H147">
            <v>3.3630323993957458</v>
          </cell>
          <cell r="I147">
            <v>3.0231374382015934</v>
          </cell>
          <cell r="J147">
            <v>3.0179174428162927</v>
          </cell>
          <cell r="K147">
            <v>3.0172716583916523</v>
          </cell>
          <cell r="L147">
            <v>2.98444488658687</v>
          </cell>
          <cell r="M147">
            <v>2.7387203878309885</v>
          </cell>
          <cell r="N147">
            <v>2.5837662177545839</v>
          </cell>
          <cell r="O147">
            <v>1.6805019923934901</v>
          </cell>
          <cell r="P147">
            <v>1.4750871523180351</v>
          </cell>
        </row>
        <row r="148">
          <cell r="A148" t="str">
            <v>BDS</v>
          </cell>
          <cell r="B148" t="str">
            <v>VAR_fout</v>
          </cell>
          <cell r="C148" t="str">
            <v>CT_CWODBDS</v>
          </cell>
          <cell r="E148">
            <v>0.5865877815207079</v>
          </cell>
          <cell r="F148">
            <v>0.63732246491143663</v>
          </cell>
          <cell r="G148">
            <v>0.62963853768677547</v>
          </cell>
          <cell r="H148">
            <v>9.8066988460196458E-4</v>
          </cell>
          <cell r="I148">
            <v>7.9374080498451072E-4</v>
          </cell>
          <cell r="J148">
            <v>2.0758580680027812E-3</v>
          </cell>
          <cell r="K148">
            <v>2.7355943410638595E-3</v>
          </cell>
          <cell r="L148">
            <v>3.8583980240493622E-2</v>
          </cell>
          <cell r="M148">
            <v>0.2813211584854417</v>
          </cell>
          <cell r="N148">
            <v>0.43941764928169968</v>
          </cell>
          <cell r="O148">
            <v>1.3413850340144695</v>
          </cell>
          <cell r="P148">
            <v>1.5546972210446051</v>
          </cell>
        </row>
        <row r="149">
          <cell r="A149" t="str">
            <v>BDS</v>
          </cell>
          <cell r="B149" t="str">
            <v>VAR_fin</v>
          </cell>
          <cell r="C149" t="str">
            <v>D-ILFO</v>
          </cell>
          <cell r="G149">
            <v>3.9902148088558304E-4</v>
          </cell>
          <cell r="H149">
            <v>1.802912942384238E-3</v>
          </cell>
          <cell r="I149">
            <v>1.8797187800128851E-3</v>
          </cell>
          <cell r="J149">
            <v>1.8833031870489757E-3</v>
          </cell>
          <cell r="K149">
            <v>1.8942027064114985E-3</v>
          </cell>
          <cell r="L149">
            <v>1.9091321878306612E-3</v>
          </cell>
          <cell r="M149">
            <v>1.9169517704589452E-3</v>
          </cell>
          <cell r="N149">
            <v>2.0970001117011578E-3</v>
          </cell>
          <cell r="O149">
            <v>2.1768241617935104E-3</v>
          </cell>
          <cell r="P149">
            <v>4.6014255327558639E-3</v>
          </cell>
        </row>
        <row r="150">
          <cell r="A150" t="str">
            <v>BDS</v>
          </cell>
          <cell r="B150" t="str">
            <v>VAR_fin</v>
          </cell>
          <cell r="C150" t="str">
            <v>D-SLFO</v>
          </cell>
          <cell r="G150">
            <v>2.5845009794413253E-4</v>
          </cell>
          <cell r="H150">
            <v>5.7948540148550437E-4</v>
          </cell>
          <cell r="I150">
            <v>1.194671715489993E-3</v>
          </cell>
          <cell r="J150">
            <v>6.0502095435004425E-4</v>
          </cell>
          <cell r="K150">
            <v>6.0882979968245076E-4</v>
          </cell>
          <cell r="L150">
            <v>1.2565113925373317E-3</v>
          </cell>
          <cell r="M150">
            <v>6.1805067713719655E-4</v>
          </cell>
          <cell r="N150">
            <v>1.2532456113074364E-3</v>
          </cell>
          <cell r="O150">
            <v>9.5995734723345314E-4</v>
          </cell>
          <cell r="P150">
            <v>2.1127704848307189E-3</v>
          </cell>
        </row>
        <row r="151">
          <cell r="A151" t="str">
            <v>BDS</v>
          </cell>
          <cell r="B151" t="str">
            <v>VAR_fin</v>
          </cell>
          <cell r="C151" t="str">
            <v>D-RLFO</v>
          </cell>
          <cell r="G151">
            <v>2.5866606909970329E-4</v>
          </cell>
          <cell r="H151">
            <v>5.8583186036264786E-4</v>
          </cell>
          <cell r="I151">
            <v>1.1952032708317372E-3</v>
          </cell>
          <cell r="J151">
            <v>6.066390381731521E-4</v>
          </cell>
          <cell r="K151">
            <v>6.107023949368718E-4</v>
          </cell>
          <cell r="L151">
            <v>1.2602511161521365E-3</v>
          </cell>
          <cell r="M151">
            <v>6.2275711436016309E-4</v>
          </cell>
          <cell r="N151">
            <v>1.2726245444069193E-3</v>
          </cell>
          <cell r="O151">
            <v>9.7291137729692214E-4</v>
          </cell>
          <cell r="P151">
            <v>2.1820142225964395E-3</v>
          </cell>
        </row>
        <row r="152">
          <cell r="A152" t="str">
            <v>BDS</v>
          </cell>
          <cell r="B152" t="str">
            <v>VAR_fin</v>
          </cell>
          <cell r="C152" t="str">
            <v>D-TBDS1</v>
          </cell>
          <cell r="E152">
            <v>3.0221697955264286</v>
          </cell>
          <cell r="F152">
            <v>3.0153349856777028</v>
          </cell>
          <cell r="G152">
            <v>4.5445307772707197</v>
          </cell>
          <cell r="H152">
            <v>3.3610477505446879</v>
          </cell>
          <cell r="I152">
            <v>3.0196668350455038</v>
          </cell>
          <cell r="J152">
            <v>3.0169029250066375</v>
          </cell>
          <cell r="K152">
            <v>3.0168979233046707</v>
          </cell>
          <cell r="L152">
            <v>3.0186114758903844</v>
          </cell>
          <cell r="M152">
            <v>3.0168892926569155</v>
          </cell>
          <cell r="N152">
            <v>3.0185698355353789</v>
          </cell>
          <cell r="O152">
            <v>3.0177861583396499</v>
          </cell>
          <cell r="P152">
            <v>3.0209052446294837</v>
          </cell>
        </row>
        <row r="153">
          <cell r="A153" t="str">
            <v>BIO</v>
          </cell>
          <cell r="B153" t="str">
            <v>VAR_fout</v>
          </cell>
          <cell r="C153" t="str">
            <v>SUP_WSTHTGBIO</v>
          </cell>
          <cell r="J153">
            <v>1.9193449744431916E-3</v>
          </cell>
          <cell r="K153">
            <v>1.8909131523395673E-3</v>
          </cell>
          <cell r="L153">
            <v>1.8914460752035519E-3</v>
          </cell>
          <cell r="M153">
            <v>2.1469458763061109E-3</v>
          </cell>
          <cell r="N153">
            <v>2.4776616075295756E-3</v>
          </cell>
          <cell r="O153">
            <v>2.6182071364521105E-3</v>
          </cell>
          <cell r="P153">
            <v>4.8596972716286706E-3</v>
          </cell>
        </row>
        <row r="154">
          <cell r="A154" t="str">
            <v>BIO</v>
          </cell>
          <cell r="B154" t="str">
            <v>VAR_fout</v>
          </cell>
          <cell r="C154" t="str">
            <v>SUP_WSTBIO</v>
          </cell>
          <cell r="E154">
            <v>5.6294125144922695</v>
          </cell>
          <cell r="F154">
            <v>5.739844932748837</v>
          </cell>
          <cell r="G154">
            <v>5.5306894513778895</v>
          </cell>
          <cell r="H154">
            <v>5.7203752598593853</v>
          </cell>
          <cell r="I154">
            <v>5.7082099781466269</v>
          </cell>
          <cell r="J154">
            <v>5.5459112100405621</v>
          </cell>
          <cell r="K154">
            <v>5.3852106383757103</v>
          </cell>
          <cell r="L154">
            <v>5.2244750531191873</v>
          </cell>
          <cell r="M154">
            <v>5.2242874367202283</v>
          </cell>
          <cell r="N154">
            <v>5.2240046480109399</v>
          </cell>
          <cell r="O154">
            <v>5.2239011831820719</v>
          </cell>
          <cell r="P154">
            <v>5.222249973878613</v>
          </cell>
        </row>
        <row r="155">
          <cell r="A155" t="str">
            <v>BIO</v>
          </cell>
          <cell r="B155" t="str">
            <v>VAR_fout</v>
          </cell>
          <cell r="C155" t="str">
            <v>D-LBIO</v>
          </cell>
          <cell r="H155">
            <v>4.8980288584286663E-3</v>
          </cell>
          <cell r="I155">
            <v>5.3252486207931847E-2</v>
          </cell>
          <cell r="J155">
            <v>5.1025944657955208E-2</v>
          </cell>
          <cell r="K155">
            <v>4.9383053212534748E-3</v>
          </cell>
          <cell r="L155">
            <v>1.2030226601909182E-2</v>
          </cell>
          <cell r="M155">
            <v>5.9374248677621904E-3</v>
          </cell>
          <cell r="N155">
            <v>1.080903520460186E-2</v>
          </cell>
          <cell r="O155">
            <v>7.7748237782330233E-3</v>
          </cell>
          <cell r="P155">
            <v>1.8404971388566772E-2</v>
          </cell>
        </row>
        <row r="156">
          <cell r="A156" t="str">
            <v>BIO</v>
          </cell>
          <cell r="B156" t="str">
            <v>VAR_fout</v>
          </cell>
          <cell r="C156" t="str">
            <v>SUP_MNRBIO</v>
          </cell>
          <cell r="E156">
            <v>1.3280031025152899</v>
          </cell>
          <cell r="F156">
            <v>4.3697243516386735</v>
          </cell>
          <cell r="G156">
            <v>4.384635338622549</v>
          </cell>
          <cell r="H156">
            <v>4.3847612587308147</v>
          </cell>
          <cell r="I156">
            <v>4.3847637349197717</v>
          </cell>
          <cell r="J156">
            <v>4.3851078498009759</v>
          </cell>
          <cell r="K156">
            <v>4.3851262937259685</v>
          </cell>
          <cell r="L156">
            <v>4.3851814890729006</v>
          </cell>
          <cell r="M156">
            <v>4.3851991558232486</v>
          </cell>
          <cell r="N156">
            <v>4.3852886892984984</v>
          </cell>
          <cell r="O156">
            <v>4.3854383093586415</v>
          </cell>
          <cell r="P156">
            <v>4.3858163806213302</v>
          </cell>
        </row>
        <row r="157">
          <cell r="A157" t="str">
            <v>BIO</v>
          </cell>
          <cell r="B157" t="str">
            <v>VAR_fout</v>
          </cell>
          <cell r="C157" t="str">
            <v>SUP_WODBIO</v>
          </cell>
          <cell r="F157">
            <v>1.6352826037563151E-4</v>
          </cell>
          <cell r="G157">
            <v>3.8041535225937303E-4</v>
          </cell>
          <cell r="H157">
            <v>7.8475638283912233E-4</v>
          </cell>
          <cell r="I157">
            <v>1.2756707126345772E-3</v>
          </cell>
          <cell r="J157">
            <v>1.3617756946483178E-3</v>
          </cell>
          <cell r="K157">
            <v>1.3990936818138163E-3</v>
          </cell>
          <cell r="L157">
            <v>1.6613791809334986E-3</v>
          </cell>
          <cell r="M157">
            <v>1.726869100135379E-3</v>
          </cell>
          <cell r="N157">
            <v>2.0317652970200614E-3</v>
          </cell>
          <cell r="O157">
            <v>2.2012772027375843E-3</v>
          </cell>
          <cell r="P157">
            <v>4.189741228919853E-3</v>
          </cell>
        </row>
        <row r="158">
          <cell r="A158" t="str">
            <v>BIO</v>
          </cell>
          <cell r="B158" t="str">
            <v>VAR_fin</v>
          </cell>
          <cell r="C158" t="str">
            <v>D-IBIO</v>
          </cell>
          <cell r="E158">
            <v>0.43673250724134999</v>
          </cell>
          <cell r="F158">
            <v>0.55206681675810632</v>
          </cell>
          <cell r="G158">
            <v>0.94316394259104497</v>
          </cell>
          <cell r="H158">
            <v>2.213304513261495</v>
          </cell>
          <cell r="I158">
            <v>3.6998932688499142</v>
          </cell>
          <cell r="J158">
            <v>5.7402395984733579</v>
          </cell>
          <cell r="K158">
            <v>5.7784905950642838</v>
          </cell>
          <cell r="L158">
            <v>5.7790548681008715</v>
          </cell>
          <cell r="M158">
            <v>5.8435577045222322</v>
          </cell>
          <cell r="N158">
            <v>6.1410178062606571</v>
          </cell>
          <cell r="O158">
            <v>6.141182430819244</v>
          </cell>
          <cell r="P158">
            <v>6.1533309885965624</v>
          </cell>
        </row>
        <row r="159">
          <cell r="A159" t="str">
            <v>BIO</v>
          </cell>
          <cell r="B159" t="str">
            <v>VAR_fin</v>
          </cell>
          <cell r="C159" t="str">
            <v>D-EBIO</v>
          </cell>
          <cell r="E159">
            <v>1.1839529842623817</v>
          </cell>
          <cell r="F159">
            <v>1.9875677472452287</v>
          </cell>
          <cell r="G159">
            <v>1.9875689380313097</v>
          </cell>
          <cell r="H159">
            <v>1.9875689036516504</v>
          </cell>
          <cell r="I159">
            <v>1.9875734495849273</v>
          </cell>
          <cell r="J159">
            <v>1.9875801207447232</v>
          </cell>
          <cell r="K159">
            <v>1.9875875088118393</v>
          </cell>
          <cell r="L159">
            <v>1.9875993816380391</v>
          </cell>
          <cell r="M159">
            <v>1.9876082222979172</v>
          </cell>
          <cell r="N159">
            <v>1.9876301414718436</v>
          </cell>
          <cell r="O159">
            <v>1.9876537500819786</v>
          </cell>
          <cell r="P159">
            <v>1.9877693136458383</v>
          </cell>
        </row>
        <row r="160">
          <cell r="A160" t="str">
            <v>BIO</v>
          </cell>
          <cell r="B160" t="str">
            <v>VAR_fin</v>
          </cell>
          <cell r="C160" t="str">
            <v>D-CBIO</v>
          </cell>
          <cell r="E160">
            <v>1.2890722776472576</v>
          </cell>
          <cell r="F160">
            <v>3.5026491532574848</v>
          </cell>
          <cell r="G160">
            <v>3.4863116461674624</v>
          </cell>
          <cell r="H160">
            <v>3.4861695655830087</v>
          </cell>
          <cell r="I160">
            <v>3.4861751726493533</v>
          </cell>
          <cell r="J160">
            <v>3.483777207294275</v>
          </cell>
          <cell r="K160">
            <v>3.4838655915358063</v>
          </cell>
          <cell r="L160">
            <v>3.4889393065419005</v>
          </cell>
          <cell r="M160">
            <v>3.4886949903073523</v>
          </cell>
          <cell r="N160">
            <v>3.4916970390210773</v>
          </cell>
          <cell r="O160">
            <v>3.4917811165743187</v>
          </cell>
          <cell r="P160">
            <v>3.5022742472759587</v>
          </cell>
        </row>
        <row r="161">
          <cell r="A161" t="str">
            <v>BIO</v>
          </cell>
          <cell r="B161" t="str">
            <v>VAR_fin</v>
          </cell>
          <cell r="C161" t="str">
            <v>D-SBIO</v>
          </cell>
          <cell r="E161">
            <v>4.0477015392536391</v>
          </cell>
          <cell r="F161">
            <v>4.5839585651782047</v>
          </cell>
          <cell r="G161">
            <v>4.6658133423712913</v>
          </cell>
          <cell r="H161">
            <v>4.6550513786620131</v>
          </cell>
          <cell r="I161">
            <v>4.7687999214695571</v>
          </cell>
          <cell r="J161">
            <v>4.8663128880334749</v>
          </cell>
          <cell r="K161">
            <v>4.938786922699733</v>
          </cell>
          <cell r="L161">
            <v>5.0695399287313521</v>
          </cell>
          <cell r="M161">
            <v>5.3897826338438719</v>
          </cell>
          <cell r="N161">
            <v>5.3907205854671245</v>
          </cell>
          <cell r="O161">
            <v>6.3966531176069594</v>
          </cell>
          <cell r="P161">
            <v>6.6465399333731225</v>
          </cell>
        </row>
        <row r="162">
          <cell r="A162" t="str">
            <v>TKERintl_SAF</v>
          </cell>
          <cell r="B162" t="str">
            <v>VAR_fout</v>
          </cell>
          <cell r="C162" t="str">
            <v>D-TBDS1intl</v>
          </cell>
          <cell r="H162">
            <v>5.4446387396720901</v>
          </cell>
          <cell r="I162">
            <v>5.7422129967833202</v>
          </cell>
          <cell r="J162">
            <v>5.9416090587901298</v>
          </cell>
          <cell r="K162">
            <v>6.0831644496032702</v>
          </cell>
          <cell r="L162">
            <v>6.2037200557221803</v>
          </cell>
          <cell r="M162">
            <v>6.2037209740578296</v>
          </cell>
          <cell r="N162">
            <v>6.2037233635737596</v>
          </cell>
          <cell r="O162">
            <v>6.2037271920558004</v>
          </cell>
          <cell r="P162">
            <v>6.3100048836334004</v>
          </cell>
        </row>
        <row r="163">
          <cell r="A163" t="str">
            <v>EBIO</v>
          </cell>
          <cell r="B163" t="str">
            <v>VAR_fout</v>
          </cell>
          <cell r="C163" t="str">
            <v>D-EBIO</v>
          </cell>
          <cell r="E163">
            <v>1.1839529842623817</v>
          </cell>
          <cell r="F163">
            <v>1.9875677472452287</v>
          </cell>
          <cell r="G163">
            <v>1.9875689380313097</v>
          </cell>
          <cell r="H163">
            <v>1.9875689036516504</v>
          </cell>
          <cell r="I163">
            <v>1.9875734495849273</v>
          </cell>
          <cell r="J163">
            <v>1.9875801207447232</v>
          </cell>
          <cell r="K163">
            <v>1.9875875088118393</v>
          </cell>
          <cell r="L163">
            <v>1.9875993816380391</v>
          </cell>
          <cell r="M163">
            <v>1.9876082222979172</v>
          </cell>
          <cell r="N163">
            <v>1.9876301414718436</v>
          </cell>
          <cell r="O163">
            <v>1.9876537500819786</v>
          </cell>
          <cell r="P163">
            <v>1.9877693136458383</v>
          </cell>
        </row>
        <row r="164">
          <cell r="A164" t="str">
            <v>PLT</v>
          </cell>
          <cell r="B164" t="str">
            <v>VAR_fout</v>
          </cell>
          <cell r="C164" t="str">
            <v>CT_CWODPLT</v>
          </cell>
          <cell r="E164">
            <v>5.9796508519805887</v>
          </cell>
          <cell r="F164">
            <v>6.9696556873476512</v>
          </cell>
          <cell r="G164">
            <v>6.7848961432602248</v>
          </cell>
          <cell r="H164">
            <v>7.1513306460565733</v>
          </cell>
          <cell r="I164">
            <v>7.4359293048292372</v>
          </cell>
          <cell r="J164">
            <v>7.8758506530310903</v>
          </cell>
          <cell r="K164">
            <v>7.8229189364554417</v>
          </cell>
          <cell r="L164">
            <v>7.9485908564211245</v>
          </cell>
          <cell r="M164">
            <v>7.9274002891264335</v>
          </cell>
          <cell r="N164">
            <v>7.9045900516640657</v>
          </cell>
          <cell r="O164">
            <v>7.8437970371528918</v>
          </cell>
          <cell r="P164">
            <v>7.7241767319505819</v>
          </cell>
        </row>
        <row r="165">
          <cell r="A165" t="str">
            <v>SLFO</v>
          </cell>
          <cell r="B165" t="str">
            <v>VAR_fout</v>
          </cell>
          <cell r="C165" t="str">
            <v>D-SLFO</v>
          </cell>
          <cell r="E165">
            <v>30.256635401172776</v>
          </cell>
          <cell r="F165">
            <v>26.872849362577067</v>
          </cell>
          <cell r="G165">
            <v>25.420544260016158</v>
          </cell>
          <cell r="H165">
            <v>21.542320800924575</v>
          </cell>
          <cell r="I165">
            <v>16.976441614788758</v>
          </cell>
          <cell r="J165">
            <v>14.32979737028127</v>
          </cell>
          <cell r="K165">
            <v>12.901431594580515</v>
          </cell>
          <cell r="L165">
            <v>10.725100313837938</v>
          </cell>
          <cell r="M165">
            <v>8.8714655587649904</v>
          </cell>
          <cell r="N165">
            <v>7.3802866729451795</v>
          </cell>
          <cell r="O165">
            <v>4.0629323292930852</v>
          </cell>
          <cell r="P165">
            <v>1.3726714091776095</v>
          </cell>
        </row>
        <row r="166">
          <cell r="A166" t="str">
            <v>ETH</v>
          </cell>
          <cell r="B166" t="str">
            <v>VAR_fout</v>
          </cell>
          <cell r="C166" t="str">
            <v>IMPETH</v>
          </cell>
          <cell r="E166">
            <v>4.4341508675696826</v>
          </cell>
          <cell r="F166">
            <v>4.3986160636745861</v>
          </cell>
          <cell r="G166">
            <v>4.6258881887018788</v>
          </cell>
          <cell r="H166">
            <v>4.1143929104563126</v>
          </cell>
          <cell r="I166">
            <v>2.8905583615125456</v>
          </cell>
          <cell r="J166">
            <v>2.2299778603467404</v>
          </cell>
          <cell r="K166">
            <v>1.9180447064694783</v>
          </cell>
          <cell r="L166">
            <v>1.6611769136905679</v>
          </cell>
          <cell r="M166">
            <v>1.5168747001162441</v>
          </cell>
          <cell r="N166">
            <v>1.3801752893643946</v>
          </cell>
          <cell r="O166">
            <v>1.2749358334689969</v>
          </cell>
          <cell r="P166">
            <v>1.2214440415688272</v>
          </cell>
        </row>
        <row r="167">
          <cell r="A167" t="str">
            <v>ETH</v>
          </cell>
          <cell r="B167" t="str">
            <v>VAR_fout</v>
          </cell>
          <cell r="C167" t="str">
            <v>CT_CWODETH</v>
          </cell>
          <cell r="E167">
            <v>0.19072149030757013</v>
          </cell>
          <cell r="F167">
            <v>9.8762772943289682E-5</v>
          </cell>
          <cell r="G167">
            <v>1.7378361729828299E-3</v>
          </cell>
          <cell r="H167">
            <v>2.0494599818419391E-4</v>
          </cell>
          <cell r="I167">
            <v>2.8712456074613235E-4</v>
          </cell>
          <cell r="J167">
            <v>3.3870438007592522E-4</v>
          </cell>
          <cell r="K167">
            <v>4.0269673430806002E-4</v>
          </cell>
          <cell r="L167">
            <v>1.0699181415123756E-3</v>
          </cell>
          <cell r="M167">
            <v>7.7367789564033302E-4</v>
          </cell>
          <cell r="N167">
            <v>1.3584850809165207E-3</v>
          </cell>
          <cell r="O167">
            <v>1.4187865451229292E-3</v>
          </cell>
          <cell r="P167">
            <v>2.8840601409201166E-3</v>
          </cell>
        </row>
        <row r="168">
          <cell r="A168" t="str">
            <v>ETH</v>
          </cell>
          <cell r="B168" t="str">
            <v>VAR_fin</v>
          </cell>
          <cell r="C168" t="str">
            <v>D-TGSL</v>
          </cell>
          <cell r="E168">
            <v>4.6248723578772539</v>
          </cell>
          <cell r="F168">
            <v>4.3987148264475247</v>
          </cell>
          <cell r="G168">
            <v>4.6276260248748589</v>
          </cell>
          <cell r="H168">
            <v>4.1145978564545</v>
          </cell>
          <cell r="I168">
            <v>2.8908454860732924</v>
          </cell>
          <cell r="J168">
            <v>2.2303165647268166</v>
          </cell>
          <cell r="K168">
            <v>1.9184474032037848</v>
          </cell>
          <cell r="L168">
            <v>1.6622468318320807</v>
          </cell>
          <cell r="M168">
            <v>1.5176483780118855</v>
          </cell>
          <cell r="N168">
            <v>1.3815337744453107</v>
          </cell>
          <cell r="O168">
            <v>1.27635462001412</v>
          </cell>
          <cell r="P168">
            <v>1.2243281017097454</v>
          </cell>
        </row>
        <row r="169">
          <cell r="A169" t="str">
            <v>TGSL</v>
          </cell>
          <cell r="B169" t="str">
            <v>VAR_fout</v>
          </cell>
          <cell r="C169" t="str">
            <v>D-TGSL</v>
          </cell>
          <cell r="E169">
            <v>83.241857842708271</v>
          </cell>
          <cell r="F169">
            <v>79.173259155167102</v>
          </cell>
          <cell r="G169">
            <v>83.289657527846586</v>
          </cell>
          <cell r="H169">
            <v>61.523445266879037</v>
          </cell>
          <cell r="I169">
            <v>46.91817622211078</v>
          </cell>
          <cell r="J169">
            <v>40.120580108609886</v>
          </cell>
          <cell r="K169">
            <v>34.506996578876759</v>
          </cell>
          <cell r="L169">
            <v>29.871202727065622</v>
          </cell>
          <cell r="M169">
            <v>27.292863015758645</v>
          </cell>
          <cell r="N169">
            <v>24.817831750416239</v>
          </cell>
          <cell r="O169">
            <v>22.936672546999731</v>
          </cell>
          <cell r="P169">
            <v>21.950191212387466</v>
          </cell>
        </row>
        <row r="170">
          <cell r="A170" t="str">
            <v>RLFO</v>
          </cell>
          <cell r="B170" t="str">
            <v>VAR_fout</v>
          </cell>
          <cell r="C170" t="str">
            <v>D-RLFO</v>
          </cell>
          <cell r="E170">
            <v>60.231844411869858</v>
          </cell>
          <cell r="F170">
            <v>51.319985426873835</v>
          </cell>
          <cell r="G170">
            <v>44.907305484420213</v>
          </cell>
          <cell r="H170">
            <v>45.823194367136971</v>
          </cell>
          <cell r="I170">
            <v>36.56155975905228</v>
          </cell>
          <cell r="J170">
            <v>33.572469807492212</v>
          </cell>
          <cell r="K170">
            <v>31.758201354691881</v>
          </cell>
          <cell r="L170">
            <v>27.479907693040879</v>
          </cell>
          <cell r="M170">
            <v>25.614234240568198</v>
          </cell>
          <cell r="N170">
            <v>21.869881443392849</v>
          </cell>
          <cell r="O170">
            <v>16.626536229137763</v>
          </cell>
          <cell r="P170">
            <v>6.5667801795003129</v>
          </cell>
        </row>
        <row r="171">
          <cell r="A171" t="str">
            <v>CELC_E</v>
          </cell>
          <cell r="B171" t="str">
            <v>VAR_fout</v>
          </cell>
          <cell r="C171" t="str">
            <v>ESOL-PV_E</v>
          </cell>
          <cell r="H171">
            <v>9.5999116268050133E-5</v>
          </cell>
          <cell r="I171">
            <v>1.5449043518572245E-3</v>
          </cell>
          <cell r="J171">
            <v>3.8086617281489579E-3</v>
          </cell>
          <cell r="K171">
            <v>4.2648197424579194E-3</v>
          </cell>
          <cell r="L171">
            <v>4.3093690314670056E-3</v>
          </cell>
          <cell r="M171">
            <v>4.3104523394091746E-3</v>
          </cell>
          <cell r="N171">
            <v>4.3708184763266052E-3</v>
          </cell>
          <cell r="O171">
            <v>3.527246220313919E-3</v>
          </cell>
          <cell r="P171">
            <v>6.8291698200090923E-3</v>
          </cell>
        </row>
        <row r="172">
          <cell r="A172" t="str">
            <v>CELC_E</v>
          </cell>
          <cell r="B172" t="str">
            <v>VAR_fin</v>
          </cell>
          <cell r="C172" t="str">
            <v>SUP_ELCH2_D</v>
          </cell>
          <cell r="H172">
            <v>9.5999116268050133E-5</v>
          </cell>
          <cell r="I172">
            <v>1.5449043518572245E-3</v>
          </cell>
          <cell r="J172">
            <v>3.8086617281489579E-3</v>
          </cell>
          <cell r="K172">
            <v>4.2648197424579194E-3</v>
          </cell>
          <cell r="L172">
            <v>4.3093690314670056E-3</v>
          </cell>
          <cell r="M172">
            <v>4.3104523394091746E-3</v>
          </cell>
          <cell r="N172">
            <v>4.3708184763266052E-3</v>
          </cell>
          <cell r="O172">
            <v>3.527246220313919E-3</v>
          </cell>
          <cell r="P172">
            <v>6.8291698200090923E-3</v>
          </cell>
        </row>
        <row r="173">
          <cell r="A173" t="str">
            <v>CBIO</v>
          </cell>
          <cell r="B173" t="str">
            <v>VAR_fout</v>
          </cell>
          <cell r="C173" t="str">
            <v>D-CBIO</v>
          </cell>
          <cell r="E173">
            <v>1.2890722776472576</v>
          </cell>
          <cell r="F173">
            <v>3.5026491532574848</v>
          </cell>
          <cell r="G173">
            <v>3.4863116461674624</v>
          </cell>
          <cell r="H173">
            <v>3.4861695655830087</v>
          </cell>
          <cell r="I173">
            <v>3.4861751726493533</v>
          </cell>
          <cell r="J173">
            <v>3.483777207294275</v>
          </cell>
          <cell r="K173">
            <v>3.4838655915358063</v>
          </cell>
          <cell r="L173">
            <v>3.4889393065419005</v>
          </cell>
          <cell r="M173">
            <v>3.4886949903073523</v>
          </cell>
          <cell r="N173">
            <v>3.4916970390210773</v>
          </cell>
          <cell r="O173">
            <v>3.4917811165743187</v>
          </cell>
          <cell r="P173">
            <v>3.5022742472759587</v>
          </cell>
        </row>
        <row r="174">
          <cell r="A174" t="str">
            <v>CBIO</v>
          </cell>
          <cell r="B174" t="str">
            <v>VAR_fin</v>
          </cell>
          <cell r="C174" t="str">
            <v>SUP_BIONGA</v>
          </cell>
          <cell r="E174">
            <v>1.2890722776472576</v>
          </cell>
          <cell r="F174">
            <v>3.5026491532574848</v>
          </cell>
          <cell r="G174">
            <v>3.4863116461674624</v>
          </cell>
          <cell r="H174">
            <v>3.4861695655830087</v>
          </cell>
          <cell r="I174">
            <v>3.4861751726493533</v>
          </cell>
          <cell r="J174">
            <v>3.483777207294275</v>
          </cell>
          <cell r="K174">
            <v>3.4838655915358063</v>
          </cell>
          <cell r="L174">
            <v>3.4889393065419005</v>
          </cell>
          <cell r="M174">
            <v>3.4886949903073523</v>
          </cell>
          <cell r="N174">
            <v>3.4916970390210773</v>
          </cell>
          <cell r="O174">
            <v>3.4917811165743187</v>
          </cell>
          <cell r="P174">
            <v>3.5022742472759587</v>
          </cell>
        </row>
        <row r="175">
          <cell r="A175" t="str">
            <v>RSH2</v>
          </cell>
          <cell r="B175" t="str">
            <v>VAR_fout</v>
          </cell>
          <cell r="C175" t="str">
            <v>D-SNGA</v>
          </cell>
          <cell r="H175">
            <v>3.6451807185851862E-3</v>
          </cell>
          <cell r="I175">
            <v>8.2801105154599146E-3</v>
          </cell>
          <cell r="J175">
            <v>9.1215656519528423E-3</v>
          </cell>
          <cell r="K175">
            <v>9.0468416656881157E-3</v>
          </cell>
          <cell r="L175">
            <v>2.5961657586819537E-2</v>
          </cell>
          <cell r="M175">
            <v>2.3337044052933777E-2</v>
          </cell>
          <cell r="N175">
            <v>6.3641862947029421E-2</v>
          </cell>
          <cell r="O175">
            <v>7.2639436057445328E-2</v>
          </cell>
          <cell r="P175">
            <v>8.7024840694329919E-2</v>
          </cell>
        </row>
        <row r="176">
          <cell r="A176" t="str">
            <v>RSH2</v>
          </cell>
          <cell r="B176" t="str">
            <v>VAR_fout</v>
          </cell>
          <cell r="C176" t="str">
            <v>D-RNGA</v>
          </cell>
          <cell r="H176">
            <v>3.1915512453828819E-3</v>
          </cell>
          <cell r="I176">
            <v>7.7817702414476773E-3</v>
          </cell>
          <cell r="J176">
            <v>9.2298826618722237E-3</v>
          </cell>
          <cell r="K176">
            <v>1.0884019495137004E-2</v>
          </cell>
          <cell r="L176">
            <v>2.9998444206411481E-2</v>
          </cell>
          <cell r="M176">
            <v>2.7655780154239459E-2</v>
          </cell>
          <cell r="N176">
            <v>0.10386566608612439</v>
          </cell>
          <cell r="O176">
            <v>0.12289241542016009</v>
          </cell>
          <cell r="P176">
            <v>0.1319703444519148</v>
          </cell>
        </row>
        <row r="177">
          <cell r="A177" t="str">
            <v>LTH</v>
          </cell>
          <cell r="B177" t="str">
            <v>VAR_fout</v>
          </cell>
          <cell r="C177" t="str">
            <v>SUP_WODBIO</v>
          </cell>
          <cell r="F177">
            <v>1.9623391245075788E-5</v>
          </cell>
          <cell r="G177">
            <v>4.5649842271124783E-5</v>
          </cell>
          <cell r="H177">
            <v>9.4170765940694687E-5</v>
          </cell>
          <cell r="I177">
            <v>1.5308048551614925E-4</v>
          </cell>
          <cell r="J177">
            <v>1.6341308335779802E-4</v>
          </cell>
          <cell r="K177">
            <v>1.6789124181765792E-4</v>
          </cell>
          <cell r="L177">
            <v>1.9936550171202006E-4</v>
          </cell>
          <cell r="M177">
            <v>2.0722429201624584E-4</v>
          </cell>
          <cell r="N177">
            <v>2.4381183564240748E-4</v>
          </cell>
          <cell r="O177">
            <v>2.6415326432851013E-4</v>
          </cell>
          <cell r="P177">
            <v>5.0276894747038254E-4</v>
          </cell>
        </row>
        <row r="178">
          <cell r="A178" t="str">
            <v>LTH</v>
          </cell>
          <cell r="B178" t="str">
            <v>VAR_fout</v>
          </cell>
          <cell r="C178" t="str">
            <v>CT_CWODBDS</v>
          </cell>
          <cell r="E178">
            <v>0.22876923479307545</v>
          </cell>
          <cell r="F178">
            <v>0.24855576131545984</v>
          </cell>
          <cell r="G178">
            <v>0.24555902969784205</v>
          </cell>
          <cell r="H178">
            <v>3.824612549947656E-4</v>
          </cell>
          <cell r="I178">
            <v>3.095589139439588E-4</v>
          </cell>
          <cell r="J178">
            <v>8.0958464652108408E-4</v>
          </cell>
          <cell r="K178">
            <v>1.0668817930149033E-3</v>
          </cell>
          <cell r="L178">
            <v>1.5047752293792507E-2</v>
          </cell>
          <cell r="M178">
            <v>0.10971525180932221</v>
          </cell>
          <cell r="N178">
            <v>0.17137288321986283</v>
          </cell>
          <cell r="O178">
            <v>0.52314016326564261</v>
          </cell>
          <cell r="P178">
            <v>0.60633191620739457</v>
          </cell>
        </row>
        <row r="179">
          <cell r="A179" t="str">
            <v>LTH</v>
          </cell>
          <cell r="B179" t="str">
            <v>VAR_fin</v>
          </cell>
          <cell r="C179" t="str">
            <v>D-CHEAT</v>
          </cell>
          <cell r="J179">
            <v>4.7336345051243972E-4</v>
          </cell>
          <cell r="K179">
            <v>9.3026457134234234E-4</v>
          </cell>
          <cell r="L179">
            <v>1.4061472952407474E-3</v>
          </cell>
          <cell r="M179">
            <v>1.0755259194642442E-3</v>
          </cell>
          <cell r="N179">
            <v>1.3452978803348903E-3</v>
          </cell>
          <cell r="O179">
            <v>1.5097589134949727E-3</v>
          </cell>
          <cell r="P179">
            <v>3.44045209176936E-3</v>
          </cell>
        </row>
        <row r="180">
          <cell r="A180" t="str">
            <v>LNGA</v>
          </cell>
          <cell r="B180" t="str">
            <v>VAR_fin</v>
          </cell>
          <cell r="C180" t="str">
            <v>D-LNGA</v>
          </cell>
          <cell r="H180">
            <v>2.1960112611528197E-3</v>
          </cell>
          <cell r="I180">
            <v>3.5391390117416785E-3</v>
          </cell>
          <cell r="J180">
            <v>3.405332785674303E-3</v>
          </cell>
          <cell r="K180">
            <v>3.9115191744544349E-3</v>
          </cell>
          <cell r="L180">
            <v>8.6660284756661481E-3</v>
          </cell>
          <cell r="M180">
            <v>4.3155604212184702E-3</v>
          </cell>
          <cell r="N180">
            <v>8.3426450428090767E-3</v>
          </cell>
          <cell r="O180">
            <v>6.472968667244324E-3</v>
          </cell>
          <cell r="P180">
            <v>1.4072986426710449E-2</v>
          </cell>
        </row>
        <row r="181">
          <cell r="A181" t="str">
            <v>IH2</v>
          </cell>
          <cell r="B181" t="str">
            <v>VAR_fout</v>
          </cell>
          <cell r="C181" t="str">
            <v>D-INGA</v>
          </cell>
          <cell r="H181">
            <v>7.5561880395401378E-3</v>
          </cell>
          <cell r="I181">
            <v>2.4096222919171278E-2</v>
          </cell>
          <cell r="J181">
            <v>3.7138431223997501E-2</v>
          </cell>
          <cell r="K181">
            <v>3.4225392341553806E-2</v>
          </cell>
          <cell r="L181">
            <v>0.1147228473340374</v>
          </cell>
          <cell r="M181">
            <v>0.13070999372570699</v>
          </cell>
          <cell r="N181">
            <v>0.19586867232351898</v>
          </cell>
          <cell r="O181">
            <v>0.20349826660381667</v>
          </cell>
          <cell r="P181">
            <v>0.20198598397100356</v>
          </cell>
        </row>
        <row r="182">
          <cell r="A182" t="str">
            <v>WHEAT</v>
          </cell>
          <cell r="B182" t="str">
            <v>VAR_fin</v>
          </cell>
          <cell r="C182" t="str">
            <v>D-CHEAT</v>
          </cell>
          <cell r="J182">
            <v>3.0187490426150871E-3</v>
          </cell>
          <cell r="K182">
            <v>2.8644208068501504E-3</v>
          </cell>
          <cell r="L182">
            <v>3.195038991830428E-3</v>
          </cell>
          <cell r="M182">
            <v>3.0681529301828147E-3</v>
          </cell>
          <cell r="N182">
            <v>3.1791461438027417E-3</v>
          </cell>
          <cell r="O182">
            <v>3.029253916922223E-3</v>
          </cell>
          <cell r="P182">
            <v>4.8645116562447141E-3</v>
          </cell>
        </row>
        <row r="183">
          <cell r="A183" t="str">
            <v>SOL</v>
          </cell>
          <cell r="B183" t="str">
            <v>VAR_fin</v>
          </cell>
          <cell r="C183" t="str">
            <v>ESOL-PV_A</v>
          </cell>
          <cell r="H183">
            <v>1.5419053390284458E-3</v>
          </cell>
          <cell r="I183">
            <v>5.7469034008938756E-3</v>
          </cell>
          <cell r="J183">
            <v>5.7603850923866997E-3</v>
          </cell>
          <cell r="K183">
            <v>5.7717851692876722E-3</v>
          </cell>
          <cell r="L183">
            <v>5.7868603956541427E-3</v>
          </cell>
          <cell r="M183">
            <v>5.8160099224802064E-3</v>
          </cell>
          <cell r="N183">
            <v>5.8251353285231847E-3</v>
          </cell>
          <cell r="O183">
            <v>7.9763544901370401E-3</v>
          </cell>
          <cell r="P183">
            <v>1.819892531519117E-2</v>
          </cell>
        </row>
        <row r="184">
          <cell r="A184" t="str">
            <v>SOL</v>
          </cell>
          <cell r="B184" t="str">
            <v>VAR_fin</v>
          </cell>
          <cell r="C184" t="str">
            <v>ESOL-PV_E</v>
          </cell>
          <cell r="H184">
            <v>9.5999116268050133E-5</v>
          </cell>
          <cell r="I184">
            <v>1.5449043518572245E-3</v>
          </cell>
          <cell r="J184">
            <v>3.8086617281489579E-3</v>
          </cell>
          <cell r="K184">
            <v>4.2648197424579194E-3</v>
          </cell>
          <cell r="L184">
            <v>4.3093690314670056E-3</v>
          </cell>
          <cell r="M184">
            <v>4.3104523394091746E-3</v>
          </cell>
          <cell r="N184">
            <v>4.3708184763266052E-3</v>
          </cell>
          <cell r="O184">
            <v>3.527246220313919E-3</v>
          </cell>
          <cell r="P184">
            <v>6.8291698200090923E-3</v>
          </cell>
        </row>
        <row r="185">
          <cell r="A185" t="str">
            <v>TKER</v>
          </cell>
          <cell r="B185" t="str">
            <v>VAR_fout</v>
          </cell>
          <cell r="C185" t="str">
            <v>D-TBDS1</v>
          </cell>
          <cell r="E185">
            <v>3.4344208278865398E-3</v>
          </cell>
          <cell r="F185">
            <v>4.7058561587977702E-5</v>
          </cell>
          <cell r="G185">
            <v>5.7154662581354798E-3</v>
          </cell>
          <cell r="H185">
            <v>0.91961857944553704</v>
          </cell>
          <cell r="I185">
            <v>1.1920993504786801</v>
          </cell>
          <cell r="J185">
            <v>1.15108951963578</v>
          </cell>
          <cell r="K185">
            <v>1.2781236928988799</v>
          </cell>
          <cell r="L185">
            <v>1.31615614922364</v>
          </cell>
          <cell r="M185">
            <v>1.31976624943052</v>
          </cell>
          <cell r="N185">
            <v>1.3477661233587099</v>
          </cell>
          <cell r="O185">
            <v>1.2035149758258801</v>
          </cell>
          <cell r="P185">
            <v>1.0744884255298801</v>
          </cell>
        </row>
        <row r="186">
          <cell r="A186" t="str">
            <v>BDS1</v>
          </cell>
          <cell r="B186" t="str">
            <v>VAR_fout</v>
          </cell>
          <cell r="C186" t="str">
            <v>IMPBDS1</v>
          </cell>
          <cell r="H186">
            <v>5.4446387396720901</v>
          </cell>
          <cell r="I186">
            <v>5.7422129967833202</v>
          </cell>
          <cell r="J186">
            <v>5.9416090587901298</v>
          </cell>
          <cell r="K186">
            <v>6.0831644496032702</v>
          </cell>
          <cell r="L186">
            <v>6.2037200557221803</v>
          </cell>
          <cell r="M186">
            <v>6.2037209740578296</v>
          </cell>
          <cell r="N186">
            <v>6.2037233635737596</v>
          </cell>
          <cell r="O186">
            <v>6.2037271920558004</v>
          </cell>
          <cell r="P186">
            <v>6.3100048836334004</v>
          </cell>
        </row>
        <row r="187">
          <cell r="A187" t="str">
            <v>BDS1</v>
          </cell>
          <cell r="B187" t="str">
            <v>VAR_fin</v>
          </cell>
          <cell r="C187" t="str">
            <v>D-TBDS1intl</v>
          </cell>
          <cell r="H187">
            <v>5.4446387396720901</v>
          </cell>
          <cell r="I187">
            <v>5.7422129967833202</v>
          </cell>
          <cell r="J187">
            <v>5.9416090587901298</v>
          </cell>
          <cell r="K187">
            <v>6.0831644496032702</v>
          </cell>
          <cell r="L187">
            <v>6.2037200557221803</v>
          </cell>
          <cell r="M187">
            <v>6.2037209740578296</v>
          </cell>
          <cell r="N187">
            <v>6.2037233635737596</v>
          </cell>
          <cell r="O187">
            <v>6.2037271920558004</v>
          </cell>
          <cell r="P187">
            <v>6.3100048836334004</v>
          </cell>
        </row>
        <row r="188">
          <cell r="A188" t="str">
            <v>CELC</v>
          </cell>
          <cell r="B188" t="str">
            <v>VAR_fout</v>
          </cell>
          <cell r="C188" t="str">
            <v>D-CELC</v>
          </cell>
          <cell r="E188">
            <v>0.35941373097635526</v>
          </cell>
          <cell r="F188">
            <v>5.2936428060737846E-2</v>
          </cell>
          <cell r="G188">
            <v>5.50654692043481E-2</v>
          </cell>
          <cell r="H188">
            <v>2.8967986035641401E-2</v>
          </cell>
          <cell r="I188">
            <v>8.0230377317269827E-2</v>
          </cell>
          <cell r="J188">
            <v>0.10552779153461868</v>
          </cell>
          <cell r="K188">
            <v>0.10157544019140731</v>
          </cell>
          <cell r="L188">
            <v>0.27341811783552877</v>
          </cell>
          <cell r="M188">
            <v>0.30532908239973428</v>
          </cell>
          <cell r="N188">
            <v>0.79668425588074876</v>
          </cell>
          <cell r="O188">
            <v>0.88907363203945466</v>
          </cell>
          <cell r="P188">
            <v>0.99919324261794917</v>
          </cell>
        </row>
        <row r="189">
          <cell r="A189" t="str">
            <v>CELC</v>
          </cell>
          <cell r="B189" t="str">
            <v>VAR_fin</v>
          </cell>
          <cell r="C189" t="str">
            <v>SUP_ELCH2_SOEC</v>
          </cell>
          <cell r="J189">
            <v>2.3205761378910821E-2</v>
          </cell>
          <cell r="K189">
            <v>2.8975738094371539E-2</v>
          </cell>
          <cell r="L189">
            <v>4.1228445247797424E-2</v>
          </cell>
          <cell r="M189">
            <v>3.7186884699862525E-2</v>
          </cell>
          <cell r="N189">
            <v>4.0537767076216848E-2</v>
          </cell>
          <cell r="O189">
            <v>4.0756002370930577E-2</v>
          </cell>
          <cell r="P189">
            <v>7.4585504958781926E-2</v>
          </cell>
        </row>
        <row r="190">
          <cell r="A190" t="str">
            <v>CELC</v>
          </cell>
          <cell r="B190" t="str">
            <v>VAR_fin</v>
          </cell>
          <cell r="C190" t="str">
            <v>SUP_ELCH2</v>
          </cell>
          <cell r="E190">
            <v>5.8626360562511071E-3</v>
          </cell>
          <cell r="F190">
            <v>8.4804941645605578E-3</v>
          </cell>
          <cell r="G190">
            <v>8.4555254591415913E-3</v>
          </cell>
          <cell r="H190">
            <v>2.8563718041639485E-2</v>
          </cell>
          <cell r="I190">
            <v>7.970432805169976E-2</v>
          </cell>
          <cell r="J190">
            <v>8.1622282836657289E-2</v>
          </cell>
          <cell r="K190">
            <v>7.1749155646066529E-2</v>
          </cell>
          <cell r="L190">
            <v>0.22775342020893655</v>
          </cell>
          <cell r="M190">
            <v>0.24732154543628312</v>
          </cell>
          <cell r="N190">
            <v>0.72337904664675123</v>
          </cell>
          <cell r="O190">
            <v>0.75276455987051694</v>
          </cell>
          <cell r="P190">
            <v>0.81182642216545808</v>
          </cell>
        </row>
        <row r="191">
          <cell r="A191" t="str">
            <v>CELC</v>
          </cell>
          <cell r="B191" t="str">
            <v>VAR_fin</v>
          </cell>
          <cell r="C191" t="str">
            <v>CT_CWODBDS</v>
          </cell>
          <cell r="E191">
            <v>4.0767850815689115E-2</v>
          </cell>
          <cell r="F191">
            <v>4.429391131134483E-2</v>
          </cell>
          <cell r="G191">
            <v>4.3759878369230877E-2</v>
          </cell>
          <cell r="H191">
            <v>6.8156556979836563E-5</v>
          </cell>
          <cell r="I191">
            <v>5.5164985946423492E-5</v>
          </cell>
          <cell r="J191">
            <v>1.4427213572619336E-4</v>
          </cell>
          <cell r="K191">
            <v>1.9012380670393832E-4</v>
          </cell>
          <cell r="L191">
            <v>2.6815866267143073E-3</v>
          </cell>
          <cell r="M191">
            <v>1.9551820514738194E-2</v>
          </cell>
          <cell r="N191">
            <v>3.0539526625078136E-2</v>
          </cell>
          <cell r="O191">
            <v>9.3226259864005623E-2</v>
          </cell>
          <cell r="P191">
            <v>0.10805145686260008</v>
          </cell>
        </row>
        <row r="192">
          <cell r="A192" t="str">
            <v>CELC</v>
          </cell>
          <cell r="B192" t="str">
            <v>VAR_fin</v>
          </cell>
          <cell r="C192" t="str">
            <v>CT_CWODETH</v>
          </cell>
          <cell r="E192">
            <v>0.31278324410441471</v>
          </cell>
          <cell r="F192">
            <v>1.6197094762699499E-4</v>
          </cell>
          <cell r="G192">
            <v>2.8500513236918378E-3</v>
          </cell>
          <cell r="H192">
            <v>3.3611143702207808E-4</v>
          </cell>
          <cell r="I192">
            <v>4.7088427962365732E-4</v>
          </cell>
          <cell r="J192">
            <v>5.5547518332451718E-4</v>
          </cell>
          <cell r="K192">
            <v>6.6042264426521846E-4</v>
          </cell>
          <cell r="L192">
            <v>1.7546657520802948E-3</v>
          </cell>
          <cell r="M192">
            <v>1.2688317488501455E-3</v>
          </cell>
          <cell r="N192">
            <v>2.2279155327030935E-3</v>
          </cell>
          <cell r="O192">
            <v>2.3268099340016017E-3</v>
          </cell>
          <cell r="P192">
            <v>4.7298586311089828E-3</v>
          </cell>
        </row>
        <row r="193">
          <cell r="A193" t="str">
            <v>SBIO</v>
          </cell>
          <cell r="B193" t="str">
            <v>VAR_fout</v>
          </cell>
          <cell r="C193" t="str">
            <v>D-SBIO</v>
          </cell>
          <cell r="E193">
            <v>4.0477015392536391</v>
          </cell>
          <cell r="F193">
            <v>4.5839585651782047</v>
          </cell>
          <cell r="G193">
            <v>4.6658133423712913</v>
          </cell>
          <cell r="H193">
            <v>4.6550513786620131</v>
          </cell>
          <cell r="I193">
            <v>4.7687999214695571</v>
          </cell>
          <cell r="J193">
            <v>4.8663128880334749</v>
          </cell>
          <cell r="K193">
            <v>4.938786922699733</v>
          </cell>
          <cell r="L193">
            <v>5.0695399287313521</v>
          </cell>
          <cell r="M193">
            <v>5.3897826338438719</v>
          </cell>
          <cell r="N193">
            <v>5.3907205854671245</v>
          </cell>
          <cell r="O193">
            <v>6.3966531176069594</v>
          </cell>
          <cell r="P193">
            <v>6.6465399333731225</v>
          </cell>
        </row>
        <row r="194">
          <cell r="A194" t="str">
            <v>INGA</v>
          </cell>
          <cell r="B194" t="str">
            <v>VAR_fout</v>
          </cell>
          <cell r="C194" t="str">
            <v>D-INGA</v>
          </cell>
          <cell r="E194">
            <v>37.487475321888624</v>
          </cell>
          <cell r="F194">
            <v>30.342057121699415</v>
          </cell>
          <cell r="G194">
            <v>33.822125159017496</v>
          </cell>
          <cell r="H194">
            <v>31.113309898087049</v>
          </cell>
          <cell r="I194">
            <v>27.955246051487148</v>
          </cell>
          <cell r="J194">
            <v>25.294134886773083</v>
          </cell>
          <cell r="K194">
            <v>21.17642897990314</v>
          </cell>
          <cell r="L194">
            <v>19.096185904504622</v>
          </cell>
          <cell r="M194">
            <v>17.895140672775888</v>
          </cell>
          <cell r="N194">
            <v>15.676072609209527</v>
          </cell>
          <cell r="O194">
            <v>14.394140656304753</v>
          </cell>
          <cell r="P194">
            <v>12.956271702565253</v>
          </cell>
        </row>
        <row r="195">
          <cell r="A195" t="str">
            <v>WSTREN</v>
          </cell>
          <cell r="B195" t="str">
            <v>VAR_fin</v>
          </cell>
          <cell r="C195" t="str">
            <v>D-CWST</v>
          </cell>
          <cell r="E195">
            <v>9.6793727177755606</v>
          </cell>
          <cell r="F195">
            <v>9.8692533729378589</v>
          </cell>
          <cell r="G195">
            <v>9.5096254623977501</v>
          </cell>
          <cell r="H195">
            <v>9.8357766610953696</v>
          </cell>
          <cell r="I195">
            <v>9.814859328138958</v>
          </cell>
          <cell r="J195">
            <v>9.5385130418435899</v>
          </cell>
          <cell r="K195">
            <v>9.2621636984749198</v>
          </cell>
          <cell r="L195">
            <v>8.9858137428706506</v>
          </cell>
          <cell r="M195">
            <v>8.9858259827551272</v>
          </cell>
          <cell r="N195">
            <v>8.9858423656478372</v>
          </cell>
          <cell r="O195">
            <v>8.9858652445919933</v>
          </cell>
          <cell r="P195">
            <v>8.9862282369027522</v>
          </cell>
        </row>
        <row r="196">
          <cell r="A196" t="str">
            <v>SOLPVC</v>
          </cell>
          <cell r="B196" t="str">
            <v>VAR_fin</v>
          </cell>
          <cell r="C196" t="str">
            <v>ESOL-PV_A</v>
          </cell>
          <cell r="H196">
            <v>1.5419053390284499E-3</v>
          </cell>
          <cell r="I196">
            <v>5.7469034008938696E-3</v>
          </cell>
          <cell r="J196">
            <v>5.7603850923866997E-3</v>
          </cell>
          <cell r="K196">
            <v>5.7717851692876696E-3</v>
          </cell>
          <cell r="L196">
            <v>5.7868603956541401E-3</v>
          </cell>
          <cell r="M196">
            <v>5.8160099224802099E-3</v>
          </cell>
          <cell r="N196">
            <v>5.8251353285231804E-3</v>
          </cell>
          <cell r="O196">
            <v>7.9763544901370401E-3</v>
          </cell>
          <cell r="P196">
            <v>1.8198925315191201E-2</v>
          </cell>
        </row>
        <row r="197">
          <cell r="A197" t="str">
            <v>SOLPVC</v>
          </cell>
          <cell r="B197" t="str">
            <v>VAR_fin</v>
          </cell>
          <cell r="C197" t="str">
            <v>ESOL-PV_E</v>
          </cell>
          <cell r="H197">
            <v>9.5999116268050106E-5</v>
          </cell>
          <cell r="I197">
            <v>1.5449043518572199E-3</v>
          </cell>
          <cell r="J197">
            <v>3.80866172814896E-3</v>
          </cell>
          <cell r="K197">
            <v>4.2648197424579202E-3</v>
          </cell>
          <cell r="L197">
            <v>4.3093690314670004E-3</v>
          </cell>
          <cell r="M197">
            <v>4.3104523394091702E-3</v>
          </cell>
          <cell r="N197">
            <v>4.3708184763266104E-3</v>
          </cell>
          <cell r="O197">
            <v>3.5272462203139198E-3</v>
          </cell>
          <cell r="P197">
            <v>6.8291698200091001E-3</v>
          </cell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2045</v>
          </cell>
          <cell r="K3" t="str">
            <v>2050</v>
          </cell>
          <cell r="L3" t="str">
            <v>2055</v>
          </cell>
          <cell r="M3" t="str">
            <v>2060</v>
          </cell>
          <cell r="N3" t="str">
            <v>2065</v>
          </cell>
          <cell r="O3" t="str">
            <v>2070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1.7682595805030999E-2</v>
          </cell>
          <cell r="E4">
            <v>1.7889763462651798E-2</v>
          </cell>
          <cell r="F4">
            <v>1.7832099431674599E-2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4.3794775711148001E-3</v>
          </cell>
          <cell r="E5">
            <v>3.5484523699804505E-3</v>
          </cell>
          <cell r="F5">
            <v>2.217778560119333E-3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3.1352120221686194E-4</v>
          </cell>
          <cell r="E6">
            <v>3.171943876356699E-4</v>
          </cell>
          <cell r="F6">
            <v>3.161719757389108E-4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8.3534363411806727E-5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2.9867206643524469</v>
          </cell>
          <cell r="E8">
            <v>0.32944139688772778</v>
          </cell>
          <cell r="F8">
            <v>0.41881042429826398</v>
          </cell>
          <cell r="G8">
            <v>0.41457344082793413</v>
          </cell>
          <cell r="H8">
            <v>0.38480311349650731</v>
          </cell>
          <cell r="I8">
            <v>0.37460600874177802</v>
          </cell>
          <cell r="J8">
            <v>0.35783271224540353</v>
          </cell>
          <cell r="K8">
            <v>0.339269951506456</v>
          </cell>
          <cell r="L8">
            <v>0.33013030127958098</v>
          </cell>
          <cell r="M8">
            <v>0.32900813841337595</v>
          </cell>
          <cell r="N8">
            <v>0.33029323419456103</v>
          </cell>
          <cell r="O8">
            <v>0.32791058838879283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5.4663159436262624E-3</v>
          </cell>
          <cell r="E9">
            <v>6.0522089544899963E-4</v>
          </cell>
          <cell r="F9">
            <v>7.7366581370599276E-4</v>
          </cell>
          <cell r="G9">
            <v>8.0792534537199633E-4</v>
          </cell>
          <cell r="H9">
            <v>7.871999117681377E-4</v>
          </cell>
          <cell r="I9">
            <v>7.8293825103184316E-4</v>
          </cell>
          <cell r="J9">
            <v>7.8975666414816373E-4</v>
          </cell>
          <cell r="K9">
            <v>7.6421815327350391E-4</v>
          </cell>
          <cell r="L9">
            <v>7.5735412005290079E-4</v>
          </cell>
          <cell r="M9">
            <v>7.5477975875738593E-4</v>
          </cell>
          <cell r="N9">
            <v>7.577279055369161E-4</v>
          </cell>
          <cell r="O9">
            <v>7.5226186194554939E-4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5.2956040148093034E-2</v>
          </cell>
          <cell r="E10">
            <v>5.841159519285947E-3</v>
          </cell>
          <cell r="F10">
            <v>7.4257167428770122E-3</v>
          </cell>
          <cell r="G10">
            <v>7.3505929224811049E-3</v>
          </cell>
          <cell r="H10">
            <v>6.822750239299776E-3</v>
          </cell>
          <cell r="I10">
            <v>6.641950509605977E-3</v>
          </cell>
          <cell r="J10">
            <v>6.3445516355568037E-3</v>
          </cell>
          <cell r="K10">
            <v>6.0154246721002731E-3</v>
          </cell>
          <cell r="L10">
            <v>5.8533741361627908E-3</v>
          </cell>
          <cell r="M10">
            <v>5.8334776314428469E-3</v>
          </cell>
          <cell r="N10">
            <v>5.8562630176340552E-3</v>
          </cell>
          <cell r="O10">
            <v>5.8140175246239887E-3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1.1621958839150599E-6</v>
          </cell>
          <cell r="F11">
            <v>2.2506509681041799E-6</v>
          </cell>
          <cell r="G11">
            <v>1.1632772781793001E-5</v>
          </cell>
          <cell r="H11">
            <v>1.2699198232627201E-5</v>
          </cell>
          <cell r="I11">
            <v>5.4846512758851297E-6</v>
          </cell>
          <cell r="J11">
            <v>1.29002272952996E-5</v>
          </cell>
          <cell r="K11">
            <v>7.0490650251593096E-6</v>
          </cell>
          <cell r="L11">
            <v>1.06103364472097E-5</v>
          </cell>
          <cell r="M11">
            <v>1.30219356725541E-5</v>
          </cell>
          <cell r="N11">
            <v>6.9189026850485903E-6</v>
          </cell>
          <cell r="O11">
            <v>1.11146424524288E-5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1.0511731007829611E-4</v>
          </cell>
          <cell r="E12">
            <v>1.5692956604372075E-5</v>
          </cell>
          <cell r="F12">
            <v>1.5702562186379351E-5</v>
          </cell>
          <cell r="G12">
            <v>1.57101008618331E-5</v>
          </cell>
          <cell r="H12">
            <v>1.5715977725483401E-5</v>
          </cell>
          <cell r="I12">
            <v>1.5733901876387431E-5</v>
          </cell>
          <cell r="J12">
            <v>1.5744079291370799E-5</v>
          </cell>
          <cell r="K12">
            <v>1.5746065962200618E-5</v>
          </cell>
          <cell r="L12">
            <v>1.5768114458445301E-5</v>
          </cell>
          <cell r="M12">
            <v>1.5770222963952304E-5</v>
          </cell>
          <cell r="N12">
            <v>1.576966363973106E-5</v>
          </cell>
          <cell r="O12">
            <v>1.5776670907161423E-5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2.1546509943249772E-4</v>
          </cell>
          <cell r="E13">
            <v>1.3504528368163769E-3</v>
          </cell>
          <cell r="F13">
            <v>1.8856417766103118E-3</v>
          </cell>
          <cell r="G13">
            <v>2.1593691105641277E-3</v>
          </cell>
          <cell r="H13">
            <v>2.1642051972251752E-3</v>
          </cell>
          <cell r="I13">
            <v>2.3016397573023886E-3</v>
          </cell>
          <cell r="J13">
            <v>3.0991069215850478E-3</v>
          </cell>
          <cell r="K13">
            <v>3.0168268310140863E-3</v>
          </cell>
          <cell r="L13">
            <v>5.7373961667040322E-3</v>
          </cell>
          <cell r="M13">
            <v>1.0893253882673419E-2</v>
          </cell>
          <cell r="N13">
            <v>1.6087049689311076E-2</v>
          </cell>
          <cell r="O13">
            <v>2.4807863021724195E-2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2.1546509943249772E-4</v>
          </cell>
          <cell r="E14">
            <v>1.3504528368163769E-3</v>
          </cell>
          <cell r="F14">
            <v>1.8856417766103118E-3</v>
          </cell>
          <cell r="G14">
            <v>2.1593691105641277E-3</v>
          </cell>
          <cell r="H14">
            <v>2.1642051972251752E-3</v>
          </cell>
          <cell r="I14">
            <v>2.3016397573023886E-3</v>
          </cell>
          <cell r="J14">
            <v>3.0991069215850478E-3</v>
          </cell>
          <cell r="K14">
            <v>3.0168268310140863E-3</v>
          </cell>
          <cell r="L14">
            <v>5.7373961667040322E-3</v>
          </cell>
          <cell r="M14">
            <v>1.0893253882673419E-2</v>
          </cell>
          <cell r="N14">
            <v>1.6087049689311076E-2</v>
          </cell>
          <cell r="O14">
            <v>2.4807863021724195E-2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1.2640303757472301E-4</v>
          </cell>
          <cell r="F15">
            <v>1.28121368565122E-4</v>
          </cell>
          <cell r="G15">
            <v>9.6462674851081103E-5</v>
          </cell>
          <cell r="H15">
            <v>1.2751218826483399E-4</v>
          </cell>
          <cell r="I15">
            <v>1.6987494050829801E-4</v>
          </cell>
          <cell r="J15">
            <v>2.49631494655204E-4</v>
          </cell>
          <cell r="K15">
            <v>1.3383125035607401E-4</v>
          </cell>
          <cell r="L15">
            <v>5.9590166335608504E-4</v>
          </cell>
          <cell r="M15">
            <v>9.5332473988177398E-4</v>
          </cell>
          <cell r="N15">
            <v>1.05148504602431E-3</v>
          </cell>
          <cell r="O15">
            <v>1.74517325761685E-3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2.5984282823703697E-5</v>
          </cell>
          <cell r="E16">
            <v>1.505809275816099E-4</v>
          </cell>
          <cell r="F16">
            <v>2.69440323300529E-4</v>
          </cell>
          <cell r="G16">
            <v>3.1562529952130315E-4</v>
          </cell>
          <cell r="H16">
            <v>3.1145852897176426E-4</v>
          </cell>
          <cell r="I16">
            <v>3.3210726260143723E-4</v>
          </cell>
          <cell r="J16">
            <v>4.5653462569489106E-4</v>
          </cell>
          <cell r="K16">
            <v>4.4090025987612321E-4</v>
          </cell>
          <cell r="L16">
            <v>8.581253925181862E-4</v>
          </cell>
          <cell r="M16">
            <v>1.6317505643571248E-3</v>
          </cell>
          <cell r="N16">
            <v>2.4227788969178651E-3</v>
          </cell>
          <cell r="O16">
            <v>3.7496561870076733E-3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1.6347097634425128E-3</v>
          </cell>
          <cell r="E17">
            <v>2.2321867902306324E-3</v>
          </cell>
          <cell r="F17">
            <v>2.4217305176071052E-3</v>
          </cell>
          <cell r="G17">
            <v>1.0890819365911328E-3</v>
          </cell>
          <cell r="H17">
            <v>6.1539502327611479E-4</v>
          </cell>
          <cell r="I17">
            <v>1.1924917177701278E-3</v>
          </cell>
          <cell r="J17">
            <v>1.7282013905516433E-3</v>
          </cell>
          <cell r="K17">
            <v>3.2228357978822688E-3</v>
          </cell>
          <cell r="L17">
            <v>4.7814260756725343E-3</v>
          </cell>
          <cell r="M17">
            <v>5.8781052237039128E-3</v>
          </cell>
          <cell r="N17">
            <v>1.0763291633450918E-2</v>
          </cell>
          <cell r="O17">
            <v>2.9743351252104866E-2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6.0831442873774139E-3</v>
          </cell>
          <cell r="E18">
            <v>8.2516471588938104E-3</v>
          </cell>
          <cell r="F18">
            <v>8.9104428303716579E-3</v>
          </cell>
          <cell r="G18">
            <v>3.8861752343509388E-3</v>
          </cell>
          <cell r="H18">
            <v>2.030641042123403E-3</v>
          </cell>
          <cell r="I18">
            <v>3.8129465442502159E-3</v>
          </cell>
          <cell r="J18">
            <v>5.3060105056610615E-3</v>
          </cell>
          <cell r="K18">
            <v>9.5825269429106116E-3</v>
          </cell>
          <cell r="L18">
            <v>1.4087283768729142E-2</v>
          </cell>
          <cell r="M18">
            <v>1.7318376358483992E-2</v>
          </cell>
          <cell r="N18">
            <v>3.1711364167579303E-2</v>
          </cell>
          <cell r="O18">
            <v>8.7631393373043223E-2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4.0458837174640603E-6</v>
          </cell>
          <cell r="F19">
            <v>5.9796450299422497E-6</v>
          </cell>
          <cell r="G19">
            <v>7.6534260305658104E-6</v>
          </cell>
          <cell r="H19">
            <v>1.10576649274563E-5</v>
          </cell>
          <cell r="I19">
            <v>1.60342093195916E-5</v>
          </cell>
          <cell r="J19">
            <v>2.70343412206922E-5</v>
          </cell>
          <cell r="K19">
            <v>4.7343373023586199E-5</v>
          </cell>
          <cell r="L19">
            <v>6.0990379478671797E-5</v>
          </cell>
          <cell r="M19">
            <v>1.03072498892565E-4</v>
          </cell>
          <cell r="N19">
            <v>1.4727751027249599E-4</v>
          </cell>
          <cell r="O19">
            <v>5.1946178204074795E-4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3.6777810325957095E-5</v>
          </cell>
          <cell r="E20">
            <v>4.4156901293188861E-5</v>
          </cell>
          <cell r="F20">
            <v>4.8193594289164908E-5</v>
          </cell>
          <cell r="G20">
            <v>2.1986250300642201E-5</v>
          </cell>
          <cell r="H20">
            <v>1.30424624587241E-5</v>
          </cell>
          <cell r="I20">
            <v>2.4977659374787242E-5</v>
          </cell>
          <cell r="J20">
            <v>3.5343005553172197E-5</v>
          </cell>
          <cell r="K20">
            <v>6.5571374688558445E-5</v>
          </cell>
          <cell r="L20">
            <v>9.5621384318208969E-5</v>
          </cell>
          <cell r="M20">
            <v>1.1888219640289283E-4</v>
          </cell>
          <cell r="N20">
            <v>2.1765705961779381E-4</v>
          </cell>
          <cell r="O20">
            <v>6.1882275103346208E-4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5.3191561915259956E-2</v>
          </cell>
          <cell r="E21">
            <v>9.9358654440764263E-2</v>
          </cell>
          <cell r="F21">
            <v>9.8296674217347599E-2</v>
          </cell>
          <cell r="G21">
            <v>8.1890722903180155E-2</v>
          </cell>
          <cell r="H21">
            <v>1.6430264762754599E-2</v>
          </cell>
          <cell r="I21">
            <v>8.467649869080135E-3</v>
          </cell>
          <cell r="J21">
            <v>9.1241537849854615E-3</v>
          </cell>
          <cell r="K21">
            <v>7.556704051495125E-3</v>
          </cell>
          <cell r="L21">
            <v>1.3624292267513728E-2</v>
          </cell>
          <cell r="M21">
            <v>0.13316494328089909</v>
          </cell>
          <cell r="N21">
            <v>0.3066202393897246</v>
          </cell>
          <cell r="O21">
            <v>0.41179146427327362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5.3191561915259956E-2</v>
          </cell>
          <cell r="E22">
            <v>9.9358654440764263E-2</v>
          </cell>
          <cell r="F22">
            <v>9.8296674217347599E-2</v>
          </cell>
          <cell r="G22">
            <v>8.1890722903180155E-2</v>
          </cell>
          <cell r="H22">
            <v>1.6430264762754599E-2</v>
          </cell>
          <cell r="I22">
            <v>8.467649869080135E-3</v>
          </cell>
          <cell r="J22">
            <v>9.1241537849854615E-3</v>
          </cell>
          <cell r="K22">
            <v>7.556704051495125E-3</v>
          </cell>
          <cell r="L22">
            <v>1.3624292267513728E-2</v>
          </cell>
          <cell r="M22">
            <v>0.13316494328089909</v>
          </cell>
          <cell r="N22">
            <v>0.3066202393897246</v>
          </cell>
          <cell r="O22">
            <v>0.41179146427327362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7.3917846934038706E-5</v>
          </cell>
          <cell r="F23">
            <v>2.9560826782347297E-4</v>
          </cell>
          <cell r="G23">
            <v>2.07412132297004E-4</v>
          </cell>
          <cell r="H23">
            <v>3.0341371951759599E-4</v>
          </cell>
          <cell r="I23">
            <v>3.2444959670993698E-4</v>
          </cell>
          <cell r="J23">
            <v>4.6209085072292197E-4</v>
          </cell>
          <cell r="K23">
            <v>1.6524944248317699E-4</v>
          </cell>
          <cell r="L23">
            <v>9.8930651480366705E-4</v>
          </cell>
          <cell r="M23">
            <v>1.28973158836704E-2</v>
          </cell>
          <cell r="N23">
            <v>1.8699482066165701E-2</v>
          </cell>
          <cell r="O23">
            <v>1.18041330183297E-2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4.8855533380301316E-3</v>
          </cell>
          <cell r="E24">
            <v>7.5418931414546666E-3</v>
          </cell>
          <cell r="F24">
            <v>7.5547272998113101E-3</v>
          </cell>
          <cell r="G24">
            <v>6.3536266626293266E-3</v>
          </cell>
          <cell r="H24">
            <v>1.5690763077569763E-3</v>
          </cell>
          <cell r="I24">
            <v>7.0214452362996288E-4</v>
          </cell>
          <cell r="J24">
            <v>8.9505034398452185E-4</v>
          </cell>
          <cell r="K24">
            <v>7.4087418859424209E-4</v>
          </cell>
          <cell r="L24">
            <v>1.4040830296118065E-3</v>
          </cell>
          <cell r="M24">
            <v>1.3988689838155691E-2</v>
          </cell>
          <cell r="N24">
            <v>3.2286195960934932E-2</v>
          </cell>
          <cell r="O24">
            <v>4.3400850344729833E-2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10.907330208123645</v>
          </cell>
          <cell r="E25">
            <v>12.178495499052811</v>
          </cell>
          <cell r="F25">
            <v>15.550549466733314</v>
          </cell>
          <cell r="G25">
            <v>28.468086354728449</v>
          </cell>
          <cell r="H25">
            <v>39.908975571126987</v>
          </cell>
          <cell r="I25">
            <v>44.674649536874568</v>
          </cell>
          <cell r="J25">
            <v>45.891986201609427</v>
          </cell>
          <cell r="K25">
            <v>46.922556806991594</v>
          </cell>
          <cell r="L25">
            <v>48.332798006419253</v>
          </cell>
          <cell r="M25">
            <v>51.790826847169974</v>
          </cell>
          <cell r="N25">
            <v>54.262751700122266</v>
          </cell>
          <cell r="O25">
            <v>55.710434792848005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0.168151325575215</v>
          </cell>
          <cell r="I26">
            <v>0.333646050756227</v>
          </cell>
          <cell r="J26">
            <v>0.622407588514862</v>
          </cell>
          <cell r="K26">
            <v>0.71952417838249805</v>
          </cell>
          <cell r="L26">
            <v>0.79625198135722197</v>
          </cell>
          <cell r="M26">
            <v>0.92281929257875095</v>
          </cell>
          <cell r="N26">
            <v>0.94204722238567096</v>
          </cell>
          <cell r="O26">
            <v>0.95433271476683601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1.0462057211622524E-2</v>
          </cell>
          <cell r="E27">
            <v>4.2874508186345568E-3</v>
          </cell>
          <cell r="F27">
            <v>4.983952837253479E-3</v>
          </cell>
          <cell r="G27">
            <v>1.8547763586970217E-2</v>
          </cell>
          <cell r="H27">
            <v>3.3657412015102049E-2</v>
          </cell>
          <cell r="I27">
            <v>3.6989105358506857E-2</v>
          </cell>
          <cell r="J27">
            <v>5.0171589401840314E-2</v>
          </cell>
          <cell r="K27">
            <v>8.6997408346498245E-2</v>
          </cell>
          <cell r="L27">
            <v>0.10574362542491152</v>
          </cell>
          <cell r="M27">
            <v>0.12101132241765743</v>
          </cell>
          <cell r="N27">
            <v>0.17544257809458078</v>
          </cell>
          <cell r="O27">
            <v>0.28493160206232782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3.4002529845069631</v>
          </cell>
          <cell r="E28">
            <v>8.2962607371997607E-2</v>
          </cell>
          <cell r="F28">
            <v>0.20960150877151404</v>
          </cell>
          <cell r="G28">
            <v>3.9273402078297059</v>
          </cell>
          <cell r="H28">
            <v>12.362097305791297</v>
          </cell>
          <cell r="I28">
            <v>13.978900675823688</v>
          </cell>
          <cell r="J28">
            <v>15.919244713273384</v>
          </cell>
          <cell r="K28">
            <v>18.819562437256749</v>
          </cell>
          <cell r="L28">
            <v>20.889448902242151</v>
          </cell>
          <cell r="M28">
            <v>22.668089315596561</v>
          </cell>
          <cell r="N28">
            <v>22.681527255613783</v>
          </cell>
          <cell r="O28">
            <v>22.657415044942528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2.2764610011895234</v>
          </cell>
          <cell r="E29">
            <v>6.9592554359390352E-2</v>
          </cell>
          <cell r="F29">
            <v>0.14562496311094894</v>
          </cell>
          <cell r="G29">
            <v>1.9797045721404287</v>
          </cell>
          <cell r="H29">
            <v>3.2608345998755981</v>
          </cell>
          <cell r="I29">
            <v>7.2962265999000007</v>
          </cell>
          <cell r="J29">
            <v>5.0513158640585178</v>
          </cell>
          <cell r="K29">
            <v>3.8317463299472547</v>
          </cell>
          <cell r="L29">
            <v>4.2760727965377114</v>
          </cell>
          <cell r="M29">
            <v>4.7139177809507107</v>
          </cell>
          <cell r="N29">
            <v>6.7356602364912455</v>
          </cell>
          <cell r="O29">
            <v>7.6916444632346579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5.2201541652155301</v>
          </cell>
          <cell r="E30">
            <v>12.021689226020111</v>
          </cell>
          <cell r="F30">
            <v>15.190355065870182</v>
          </cell>
          <cell r="G30">
            <v>22.542499968108103</v>
          </cell>
          <cell r="H30">
            <v>24.420541483272462</v>
          </cell>
          <cell r="I30">
            <v>23.69619632878419</v>
          </cell>
          <cell r="J30">
            <v>25.493677594946771</v>
          </cell>
          <cell r="K30">
            <v>24.903813581266419</v>
          </cell>
          <cell r="L30">
            <v>23.857813307709783</v>
          </cell>
          <cell r="M30">
            <v>25.210667514300923</v>
          </cell>
          <cell r="N30">
            <v>25.612211135422143</v>
          </cell>
          <cell r="O30">
            <v>26.030811494114445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4.9901762350496849E-2</v>
          </cell>
          <cell r="E31">
            <v>0.16612955798561319</v>
          </cell>
          <cell r="F31">
            <v>0.63570939155084827</v>
          </cell>
          <cell r="G31">
            <v>0.72554757411440918</v>
          </cell>
          <cell r="H31">
            <v>0.90889709704643418</v>
          </cell>
          <cell r="I31">
            <v>0.54101641809564305</v>
          </cell>
          <cell r="J31">
            <v>0.50914868970572735</v>
          </cell>
          <cell r="K31">
            <v>0.20652813802161463</v>
          </cell>
          <cell r="L31">
            <v>0.59236421092300606</v>
          </cell>
          <cell r="M31">
            <v>0.55712136598955952</v>
          </cell>
          <cell r="N31">
            <v>0.43267144234515809</v>
          </cell>
          <cell r="O31">
            <v>0.13053250788274534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4.9901762350496849E-2</v>
          </cell>
          <cell r="E32">
            <v>0.16612955798561319</v>
          </cell>
          <cell r="F32">
            <v>0.63570939155084827</v>
          </cell>
          <cell r="G32">
            <v>0.72554757411440918</v>
          </cell>
          <cell r="H32">
            <v>0.90889709704643418</v>
          </cell>
          <cell r="I32">
            <v>0.54101641809564305</v>
          </cell>
          <cell r="J32">
            <v>0.50914868970572735</v>
          </cell>
          <cell r="K32">
            <v>0.20652813802161463</v>
          </cell>
          <cell r="L32">
            <v>0.59236421092300606</v>
          </cell>
          <cell r="M32">
            <v>0.55712136598955952</v>
          </cell>
          <cell r="N32">
            <v>0.43267144234515809</v>
          </cell>
          <cell r="O32">
            <v>0.13053250788274534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8.4552131658657901E-4</v>
          </cell>
          <cell r="F33">
            <v>3.3369960928852797E-2</v>
          </cell>
          <cell r="G33">
            <v>1.3094309755387499E-2</v>
          </cell>
          <cell r="H33">
            <v>3.02023928720393E-2</v>
          </cell>
          <cell r="I33">
            <v>1.74392100418025E-3</v>
          </cell>
          <cell r="J33">
            <v>1.5578174050124301E-2</v>
          </cell>
          <cell r="K33">
            <v>1.9872200116786799E-4</v>
          </cell>
          <cell r="L33">
            <v>4.8192568730118297E-2</v>
          </cell>
          <cell r="M33">
            <v>5.3614646269227097E-3</v>
          </cell>
          <cell r="N33">
            <v>3.3151561701609202E-3</v>
          </cell>
          <cell r="O33">
            <v>4.0988293794942702E-3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4.0683718306792184E-3</v>
          </cell>
          <cell r="E34">
            <v>1.143731320575813E-2</v>
          </cell>
          <cell r="F34">
            <v>4.3766132960231262E-2</v>
          </cell>
          <cell r="G34">
            <v>4.9923419344506177E-2</v>
          </cell>
          <cell r="H34">
            <v>6.2550865436536998E-2</v>
          </cell>
          <cell r="I34">
            <v>3.7233490408964148E-2</v>
          </cell>
          <cell r="J34">
            <v>3.5050588527987175E-2</v>
          </cell>
          <cell r="K34">
            <v>1.4259653938552467E-2</v>
          </cell>
          <cell r="L34">
            <v>5.6851570253026465E-2</v>
          </cell>
          <cell r="M34">
            <v>5.3676801405558756E-2</v>
          </cell>
          <cell r="N34">
            <v>4.1608001191869227E-2</v>
          </cell>
          <cell r="O34">
            <v>1.2775382947768426E-2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1.3175039196489355E-5</v>
          </cell>
          <cell r="E35">
            <v>1.3174180553372245E-3</v>
          </cell>
          <cell r="F35">
            <v>1.9568700173221627E-3</v>
          </cell>
          <cell r="G35">
            <v>2.5222406138292355E-3</v>
          </cell>
          <cell r="H35">
            <v>3.4630568804921223E-3</v>
          </cell>
          <cell r="I35">
            <v>5.7780647372672658E-3</v>
          </cell>
          <cell r="J35">
            <v>6.7199424566574189E-3</v>
          </cell>
          <cell r="K35">
            <v>1.1952047060085647E-2</v>
          </cell>
          <cell r="L35">
            <v>9.1271265012866972E-3</v>
          </cell>
          <cell r="M35">
            <v>3.4831906833416425E-3</v>
          </cell>
          <cell r="N35">
            <v>1.5035220124641848E-3</v>
          </cell>
          <cell r="O35">
            <v>9.6943108065736749E-4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1.3175039196489355E-5</v>
          </cell>
          <cell r="E36">
            <v>1.3174180553372245E-3</v>
          </cell>
          <cell r="F36">
            <v>1.9568700173221627E-3</v>
          </cell>
          <cell r="G36">
            <v>2.5222406138292355E-3</v>
          </cell>
          <cell r="H36">
            <v>3.4630568804921223E-3</v>
          </cell>
          <cell r="I36">
            <v>5.7780647372672658E-3</v>
          </cell>
          <cell r="J36">
            <v>6.7199424566574189E-3</v>
          </cell>
          <cell r="K36">
            <v>1.1952047060085647E-2</v>
          </cell>
          <cell r="L36">
            <v>9.1271265012866972E-3</v>
          </cell>
          <cell r="M36">
            <v>3.4831906833416425E-3</v>
          </cell>
          <cell r="N36">
            <v>1.5035220124641848E-3</v>
          </cell>
          <cell r="O36">
            <v>9.6943108065736749E-4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1.4517579512049E-4</v>
          </cell>
          <cell r="F37">
            <v>1.4958847059971301E-4</v>
          </cell>
          <cell r="G37">
            <v>1.41556863644537E-4</v>
          </cell>
          <cell r="H37">
            <v>2.74682522149964E-4</v>
          </cell>
          <cell r="I37">
            <v>5.6088814233688604E-4</v>
          </cell>
          <cell r="J37">
            <v>3.9667556309374002E-4</v>
          </cell>
          <cell r="K37">
            <v>1.1501658642998399E-3</v>
          </cell>
          <cell r="L37">
            <v>1.2089186124998101E-4</v>
          </cell>
          <cell r="M37">
            <v>4.1119519756903902E-5</v>
          </cell>
          <cell r="N37">
            <v>4.0256543724134803E-5</v>
          </cell>
          <cell r="O37">
            <v>5.38219375083894E-5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1.4476304785041299E-4</v>
          </cell>
          <cell r="F38">
            <v>2.8406668936301532E-4</v>
          </cell>
          <cell r="G38">
            <v>3.7360831822691286E-4</v>
          </cell>
          <cell r="H38">
            <v>5.0785912904189592E-4</v>
          </cell>
          <cell r="I38">
            <v>8.6198282400223273E-4</v>
          </cell>
          <cell r="J38">
            <v>1.0067510775071482E-3</v>
          </cell>
          <cell r="K38">
            <v>1.7971923087309199E-3</v>
          </cell>
          <cell r="L38">
            <v>1.3719670790766222E-3</v>
          </cell>
          <cell r="M38">
            <v>5.0863570513250199E-4</v>
          </cell>
          <cell r="N38">
            <v>2.0991195330801157E-4</v>
          </cell>
          <cell r="O38">
            <v>1.3483201579493289E-4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8.6084148896009433E-2</v>
          </cell>
          <cell r="E39">
            <v>0.16108476479314021</v>
          </cell>
          <cell r="F39">
            <v>0.15800630273861277</v>
          </cell>
          <cell r="G39">
            <v>0.13084678458403343</v>
          </cell>
          <cell r="H39">
            <v>3.7489538692854027E-2</v>
          </cell>
          <cell r="I39">
            <v>2.0826068965858945E-2</v>
          </cell>
          <cell r="J39">
            <v>3.5812311312997787E-2</v>
          </cell>
          <cell r="K39">
            <v>2.6405534116009665E-2</v>
          </cell>
          <cell r="L39">
            <v>0.20955933381982969</v>
          </cell>
          <cell r="M39">
            <v>0.19950996515926617</v>
          </cell>
          <cell r="N39">
            <v>0.13695840518269872</v>
          </cell>
          <cell r="O39">
            <v>0.95031361382856172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8.6084148896009433E-2</v>
          </cell>
          <cell r="E40">
            <v>0.16108476479314021</v>
          </cell>
          <cell r="F40">
            <v>0.15800630273861277</v>
          </cell>
          <cell r="G40">
            <v>0.13084678458403343</v>
          </cell>
          <cell r="H40">
            <v>3.7489538692854027E-2</v>
          </cell>
          <cell r="I40">
            <v>2.0826068965858945E-2</v>
          </cell>
          <cell r="J40">
            <v>3.5812311312997787E-2</v>
          </cell>
          <cell r="K40">
            <v>2.6405534116009665E-2</v>
          </cell>
          <cell r="L40">
            <v>0.20955933381982969</v>
          </cell>
          <cell r="M40">
            <v>0.19950996515926617</v>
          </cell>
          <cell r="N40">
            <v>0.13695840518269872</v>
          </cell>
          <cell r="O40">
            <v>0.95031361382856172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2.48559821441302E-4</v>
          </cell>
          <cell r="F41">
            <v>3.9650455721996298E-4</v>
          </cell>
          <cell r="G41">
            <v>3.49029660545013E-4</v>
          </cell>
          <cell r="H41">
            <v>7.2199309531253595E-4</v>
          </cell>
          <cell r="I41">
            <v>8.72782324747104E-4</v>
          </cell>
          <cell r="J41">
            <v>1.8006354307663799E-3</v>
          </cell>
          <cell r="K41">
            <v>2.1218759781532599E-4</v>
          </cell>
          <cell r="L41">
            <v>2.1821842976261299E-2</v>
          </cell>
          <cell r="M41">
            <v>2.5486793913824399E-4</v>
          </cell>
          <cell r="N41">
            <v>1.7046823063294699E-4</v>
          </cell>
          <cell r="O41">
            <v>0.10643575739484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7.2622843210320438E-3</v>
          </cell>
          <cell r="E42">
            <v>1.270365371159724E-2</v>
          </cell>
          <cell r="F42">
            <v>1.2564519989731507E-2</v>
          </cell>
          <cell r="G42">
            <v>1.040112221448781E-2</v>
          </cell>
          <cell r="H42">
            <v>3.0478361623273165E-3</v>
          </cell>
          <cell r="I42">
            <v>1.6725386025140847E-3</v>
          </cell>
          <cell r="J42">
            <v>2.8845161110625491E-3</v>
          </cell>
          <cell r="K42">
            <v>2.2304109873723574E-3</v>
          </cell>
          <cell r="L42">
            <v>2.3035411583114156E-2</v>
          </cell>
          <cell r="M42">
            <v>2.2207798234171704E-2</v>
          </cell>
          <cell r="N42">
            <v>1.5346986856871197E-2</v>
          </cell>
          <cell r="O42">
            <v>0.10686103093126491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6.4724008987354073E-6</v>
          </cell>
          <cell r="E43">
            <v>1.3458969412056879E-3</v>
          </cell>
          <cell r="F43">
            <v>6.7849917236796021E-3</v>
          </cell>
          <cell r="G43">
            <v>8.8183808106579893E-3</v>
          </cell>
          <cell r="H43">
            <v>2.1517108720592742E-2</v>
          </cell>
          <cell r="I43">
            <v>2.8654183660402895E-2</v>
          </cell>
          <cell r="J43">
            <v>2.9633594283632648E-2</v>
          </cell>
          <cell r="K43">
            <v>3.3062780468735328E-2</v>
          </cell>
          <cell r="L43">
            <v>2.2127581947955239E-2</v>
          </cell>
          <cell r="M43">
            <v>1.2440345626483775E-2</v>
          </cell>
          <cell r="N43">
            <v>3.358115889707569E-3</v>
          </cell>
          <cell r="O43">
            <v>1.4836235401244483E-3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6.4724008987354073E-6</v>
          </cell>
          <cell r="E44">
            <v>1.3458969412056879E-3</v>
          </cell>
          <cell r="F44">
            <v>6.7849917236796021E-3</v>
          </cell>
          <cell r="G44">
            <v>8.8183808106579893E-3</v>
          </cell>
          <cell r="H44">
            <v>2.1517108720592742E-2</v>
          </cell>
          <cell r="I44">
            <v>2.8654183660402895E-2</v>
          </cell>
          <cell r="J44">
            <v>2.9633594283632648E-2</v>
          </cell>
          <cell r="K44">
            <v>3.3062780468735328E-2</v>
          </cell>
          <cell r="L44">
            <v>2.2127581947955239E-2</v>
          </cell>
          <cell r="M44">
            <v>1.2440345626483775E-2</v>
          </cell>
          <cell r="N44">
            <v>3.358115889707569E-3</v>
          </cell>
          <cell r="O44">
            <v>1.4836235401244483E-3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1.0395331705723799E-4</v>
          </cell>
          <cell r="F45">
            <v>4.4574487465784299E-4</v>
          </cell>
          <cell r="G45">
            <v>3.5577553439756501E-4</v>
          </cell>
          <cell r="H45">
            <v>1.5650248826219999E-3</v>
          </cell>
          <cell r="I45">
            <v>1.43351384264652E-3</v>
          </cell>
          <cell r="J45">
            <v>9.7515382811992602E-4</v>
          </cell>
          <cell r="K45">
            <v>1.7831870606654799E-3</v>
          </cell>
          <cell r="L45">
            <v>1.23276248332769E-4</v>
          </cell>
          <cell r="M45">
            <v>4.1906613322988203E-5</v>
          </cell>
          <cell r="N45">
            <v>4.16845503387382E-5</v>
          </cell>
          <cell r="O45">
            <v>5.6507379751507902E-5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1.0281968444035706E-4</v>
          </cell>
          <cell r="F46">
            <v>5.3670071367668967E-4</v>
          </cell>
          <cell r="G46">
            <v>8.017720238264242E-4</v>
          </cell>
          <cell r="H46">
            <v>2.1088359776851315E-3</v>
          </cell>
          <cell r="I46">
            <v>2.9580968406270089E-3</v>
          </cell>
          <cell r="J46">
            <v>3.0702606656020383E-3</v>
          </cell>
          <cell r="K46">
            <v>3.4201539729862614E-3</v>
          </cell>
          <cell r="L46">
            <v>2.2971910164906132E-3</v>
          </cell>
          <cell r="M46">
            <v>1.2671361546358214E-3</v>
          </cell>
          <cell r="N46">
            <v>3.1641610904595708E-4</v>
          </cell>
          <cell r="O46">
            <v>1.4002789225380072E-4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  <cell r="H47">
            <v>0.23259804492562927</v>
          </cell>
          <cell r="I47">
            <v>0.24501362769942422</v>
          </cell>
          <cell r="J47">
            <v>0.25420019569950481</v>
          </cell>
          <cell r="K47">
            <v>0.26337929118561842</v>
          </cell>
          <cell r="L47">
            <v>0.27581483827500253</v>
          </cell>
          <cell r="M47">
            <v>0.28821328591798928</v>
          </cell>
          <cell r="N47">
            <v>0.30059024211295537</v>
          </cell>
          <cell r="O47">
            <v>0.31290716456085033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  <cell r="H48">
            <v>9.2102053769306007</v>
          </cell>
          <cell r="I48">
            <v>9.7088461022456318</v>
          </cell>
          <cell r="J48">
            <v>10.080164192554417</v>
          </cell>
          <cell r="K48">
            <v>10.451723865936831</v>
          </cell>
          <cell r="L48">
            <v>10.945205732772358</v>
          </cell>
          <cell r="M48">
            <v>11.437215376155624</v>
          </cell>
          <cell r="N48">
            <v>11.928372170861293</v>
          </cell>
          <cell r="O48">
            <v>12.417146636477227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4.4021103778238103E-5</v>
          </cell>
          <cell r="E49">
            <v>5.4052428769352702E-5</v>
          </cell>
          <cell r="F49">
            <v>8.1081383778172197E-5</v>
          </cell>
          <cell r="G49">
            <v>1.35135160105012E-4</v>
          </cell>
          <cell r="H49">
            <v>1.3344383974148901E-4</v>
          </cell>
          <cell r="I49">
            <v>1.3344472157713499E-4</v>
          </cell>
          <cell r="J49">
            <v>9.8656323168156405E-5</v>
          </cell>
          <cell r="K49">
            <v>1.49483380259649E-3</v>
          </cell>
          <cell r="L49">
            <v>9.7790531726034999E-4</v>
          </cell>
          <cell r="M49">
            <v>2.5673251502386299E-4</v>
          </cell>
          <cell r="N49">
            <v>2.6356671141543E-4</v>
          </cell>
          <cell r="O49">
            <v>2.6869419957536799E-4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2.0938236016434181E-3</v>
          </cell>
          <cell r="E50">
            <v>2.1478760304127708E-3</v>
          </cell>
          <cell r="F50">
            <v>2.228957414190943E-3</v>
          </cell>
          <cell r="G50">
            <v>2.3640925742959549E-3</v>
          </cell>
          <cell r="H50">
            <v>2.4975364140374439E-3</v>
          </cell>
          <cell r="I50">
            <v>2.6309811356145787E-3</v>
          </cell>
          <cell r="J50">
            <v>2.7296374587827349E-3</v>
          </cell>
          <cell r="K50">
            <v>2.828312505807621E-3</v>
          </cell>
          <cell r="L50">
            <v>2.9617750676291699E-3</v>
          </cell>
          <cell r="M50">
            <v>3.0950165193674899E-3</v>
          </cell>
          <cell r="N50">
            <v>3.2278813069152967E-3</v>
          </cell>
          <cell r="O50">
            <v>3.3603888690396599E-3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6.2319201224702575E-5</v>
          </cell>
          <cell r="E51">
            <v>0.44658227061745503</v>
          </cell>
          <cell r="F51">
            <v>1.5136422414726556</v>
          </cell>
          <cell r="G51">
            <v>5.6019656441515524</v>
          </cell>
          <cell r="H51">
            <v>9.0177768541818608</v>
          </cell>
          <cell r="I51">
            <v>6.3862342276105224</v>
          </cell>
          <cell r="J51">
            <v>4.6055813774428289</v>
          </cell>
          <cell r="K51">
            <v>4.4278267860724423</v>
          </cell>
          <cell r="L51">
            <v>2.606888943157903</v>
          </cell>
          <cell r="M51">
            <v>1.3361062205886316</v>
          </cell>
          <cell r="N51">
            <v>0.18514720055129172</v>
          </cell>
          <cell r="O51">
            <v>1.6544289586328683E-3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6.2319201224702575E-5</v>
          </cell>
          <cell r="E52">
            <v>0.44658227061745503</v>
          </cell>
          <cell r="F52">
            <v>1.5136422414726556</v>
          </cell>
          <cell r="G52">
            <v>5.6019656441515524</v>
          </cell>
          <cell r="H52">
            <v>9.0177768541818608</v>
          </cell>
          <cell r="I52">
            <v>6.3862342276105224</v>
          </cell>
          <cell r="J52">
            <v>4.6055813774428289</v>
          </cell>
          <cell r="K52">
            <v>4.4278267860724423</v>
          </cell>
          <cell r="L52">
            <v>2.606888943157903</v>
          </cell>
          <cell r="M52">
            <v>1.3361062205886316</v>
          </cell>
          <cell r="N52">
            <v>0.18514720055129172</v>
          </cell>
          <cell r="O52">
            <v>1.6544289586328683E-3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3.1118688456717902E-2</v>
          </cell>
          <cell r="F53">
            <v>7.6157627393486596E-2</v>
          </cell>
          <cell r="G53">
            <v>0.31207497928991301</v>
          </cell>
          <cell r="H53">
            <v>0.33086634063613002</v>
          </cell>
          <cell r="I53">
            <v>2.0420496018452501E-3</v>
          </cell>
          <cell r="J53">
            <v>0.115078860177268</v>
          </cell>
          <cell r="K53">
            <v>0.20984458998845401</v>
          </cell>
          <cell r="L53">
            <v>1.3745481899223499E-4</v>
          </cell>
          <cell r="M53">
            <v>4.3499092072505E-5</v>
          </cell>
          <cell r="N53">
            <v>4.0703120902862503E-5</v>
          </cell>
          <cell r="O53">
            <v>5.8780195145571201E-5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3.0708426055926774E-2</v>
          </cell>
          <cell r="F54">
            <v>0.10409453091913055</v>
          </cell>
          <cell r="G54">
            <v>0.38519482296181529</v>
          </cell>
          <cell r="H54">
            <v>0.62008748011327219</v>
          </cell>
          <cell r="I54">
            <v>0.439287669189807</v>
          </cell>
          <cell r="J54">
            <v>0.31676614171086098</v>
          </cell>
          <cell r="K54">
            <v>0.30455341250299495</v>
          </cell>
          <cell r="L54">
            <v>0.24407347805607899</v>
          </cell>
          <cell r="M54">
            <v>0.12988367303396275</v>
          </cell>
          <cell r="N54">
            <v>1.7695305841362485E-2</v>
          </cell>
          <cell r="O54">
            <v>1.4292302540366012E-4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2.9138112561144214E-3</v>
          </cell>
          <cell r="E55">
            <v>1.3761056730711938E-2</v>
          </cell>
          <cell r="F55">
            <v>1.914604083384126E-2</v>
          </cell>
          <cell r="G55">
            <v>2.3258104166794309E-2</v>
          </cell>
          <cell r="H55">
            <v>1.7873052903124891</v>
          </cell>
          <cell r="I55">
            <v>4.0990148463533922</v>
          </cell>
          <cell r="J55">
            <v>4.7532523855302911</v>
          </cell>
          <cell r="K55">
            <v>3.9261848886703374</v>
          </cell>
          <cell r="L55">
            <v>3.8938751789379684</v>
          </cell>
          <cell r="M55">
            <v>4.9834619995779139</v>
          </cell>
          <cell r="N55">
            <v>6.3658957724108927</v>
          </cell>
          <cell r="O55">
            <v>6.2191047651077591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2.9138112561144214E-3</v>
          </cell>
          <cell r="E56">
            <v>1.3761056730711938E-2</v>
          </cell>
          <cell r="F56">
            <v>1.914604083384126E-2</v>
          </cell>
          <cell r="G56">
            <v>2.3258104166794309E-2</v>
          </cell>
          <cell r="H56">
            <v>1.7873052903124891</v>
          </cell>
          <cell r="I56">
            <v>4.0990148463533922</v>
          </cell>
          <cell r="J56">
            <v>4.7532523855302911</v>
          </cell>
          <cell r="K56">
            <v>3.9261848886703374</v>
          </cell>
          <cell r="L56">
            <v>3.8938751789379684</v>
          </cell>
          <cell r="M56">
            <v>4.9834619995779139</v>
          </cell>
          <cell r="N56">
            <v>6.3658957724108927</v>
          </cell>
          <cell r="O56">
            <v>6.2191047651077591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4.1929481552295501E-4</v>
          </cell>
          <cell r="F57">
            <v>5.3148080735957197E-4</v>
          </cell>
          <cell r="G57">
            <v>6.70557562551087E-4</v>
          </cell>
          <cell r="H57">
            <v>0.14280648119344</v>
          </cell>
          <cell r="I57">
            <v>0.238713002910559</v>
          </cell>
          <cell r="J57">
            <v>0.161543976742962</v>
          </cell>
          <cell r="K57">
            <v>0.13548401428467799</v>
          </cell>
          <cell r="L57">
            <v>0.21393173493169901</v>
          </cell>
          <cell r="M57">
            <v>0.26234161996425598</v>
          </cell>
          <cell r="N57">
            <v>0.29621488542330099</v>
          </cell>
          <cell r="O57">
            <v>0.14096186657767101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2.589461401742094E-4</v>
          </cell>
          <cell r="E58">
            <v>1.093720729206753E-3</v>
          </cell>
          <cell r="F58">
            <v>1.5669901385604579E-3</v>
          </cell>
          <cell r="G58">
            <v>1.9138971340919768E-3</v>
          </cell>
          <cell r="H58">
            <v>0.14083216063612108</v>
          </cell>
          <cell r="I58">
            <v>0.35614604747637796</v>
          </cell>
          <cell r="J58">
            <v>0.43759080281845597</v>
          </cell>
          <cell r="K58">
            <v>0.40952817818163939</v>
          </cell>
          <cell r="L58">
            <v>0.43543981418742223</v>
          </cell>
          <cell r="M58">
            <v>0.56001451055125651</v>
          </cell>
          <cell r="N58">
            <v>0.71597815637280726</v>
          </cell>
          <cell r="O58">
            <v>0.69951680214065948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6.7545541651376178E-7</v>
          </cell>
          <cell r="H59">
            <v>8.1115357179546004E-8</v>
          </cell>
          <cell r="O59">
            <v>1.5318407314057862E-7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2.8816140778420611E-6</v>
          </cell>
          <cell r="H60">
            <v>3.2231921913748522E-7</v>
          </cell>
          <cell r="O60">
            <v>5.0482333640270484E-7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2.5784310955023101E-8</v>
          </cell>
          <cell r="H61">
            <v>1.187495430106E-8</v>
          </cell>
          <cell r="J61">
            <v>1.08686865890254E-8</v>
          </cell>
          <cell r="L61">
            <v>1.1288714812406E-8</v>
          </cell>
          <cell r="M61">
            <v>1.19387003006705E-8</v>
          </cell>
          <cell r="O61">
            <v>1.74630325013585E-8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2.5784310955023101E-8</v>
          </cell>
          <cell r="H62">
            <v>2.1668429766228903E-8</v>
          </cell>
          <cell r="I62">
            <v>1.7289580646600401E-8</v>
          </cell>
          <cell r="J62">
            <v>1.70259809717705E-8</v>
          </cell>
          <cell r="K62">
            <v>1.08686865890254E-8</v>
          </cell>
          <cell r="L62">
            <v>1.6177565886765401E-8</v>
          </cell>
          <cell r="M62">
            <v>2.3227415113076599E-8</v>
          </cell>
          <cell r="N62">
            <v>1.39381791793896E-8</v>
          </cell>
          <cell r="O62">
            <v>2.5520017631586899E-8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2.1640049290034397E-4</v>
          </cell>
          <cell r="E63">
            <v>1.2132137201741771E-3</v>
          </cell>
          <cell r="F63">
            <v>1.6501295470975755E-3</v>
          </cell>
          <cell r="G63">
            <v>1.733293957507178E-3</v>
          </cell>
          <cell r="H63">
            <v>1.6199442743036439E-3</v>
          </cell>
          <cell r="I63">
            <v>1.5079723979320731E-3</v>
          </cell>
          <cell r="J63">
            <v>1.8216227547643126E-3</v>
          </cell>
          <cell r="K63">
            <v>1.5014784195513085E-3</v>
          </cell>
          <cell r="L63">
            <v>2.7814317474965152E-3</v>
          </cell>
          <cell r="M63">
            <v>5.3002289443755757E-3</v>
          </cell>
          <cell r="N63">
            <v>7.8083796965306021E-3</v>
          </cell>
          <cell r="O63">
            <v>1.219111056855823E-2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2.2377178508338699E-2</v>
          </cell>
          <cell r="E64">
            <v>0.12545396556747002</v>
          </cell>
          <cell r="F64">
            <v>0.17063382315996489</v>
          </cell>
          <cell r="G64">
            <v>0.17923354875362835</v>
          </cell>
          <cell r="H64">
            <v>0.16292268889672029</v>
          </cell>
          <cell r="I64">
            <v>0.14819824542776289</v>
          </cell>
          <cell r="J64">
            <v>0.1682883856355222</v>
          </cell>
          <cell r="K64">
            <v>0.13141580529655889</v>
          </cell>
          <cell r="L64">
            <v>0.23497378468242741</v>
          </cell>
          <cell r="M64">
            <v>0.41255665751292103</v>
          </cell>
          <cell r="N64">
            <v>0.59821490494674601</v>
          </cell>
          <cell r="O64">
            <v>0.90202501733501061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3.0321380092599869E-4</v>
          </cell>
          <cell r="E65">
            <v>1.6999182326215417E-3</v>
          </cell>
          <cell r="F65">
            <v>2.312111424931772E-3</v>
          </cell>
          <cell r="G65">
            <v>2.4286388720003819E-3</v>
          </cell>
          <cell r="H65">
            <v>2.2076245107956675E-3</v>
          </cell>
          <cell r="I65">
            <v>2.008106306609254E-3</v>
          </cell>
          <cell r="J65">
            <v>2.2803304286656092E-3</v>
          </cell>
          <cell r="K65">
            <v>1.7807019687880619E-3</v>
          </cell>
          <cell r="L65">
            <v>3.1839266217131095E-3</v>
          </cell>
          <cell r="M65">
            <v>5.5901986112861842E-3</v>
          </cell>
          <cell r="N65">
            <v>8.1058930209586266E-3</v>
          </cell>
          <cell r="O65">
            <v>1.2222561210501501E-2</v>
          </cell>
        </row>
        <row r="66">
          <cell r="A66" t="str">
            <v>T_B_u-FCLH2O-S2</v>
          </cell>
          <cell r="B66" t="str">
            <v>VAR_ncap</v>
          </cell>
          <cell r="C66" t="str">
            <v>-</v>
          </cell>
          <cell r="G66">
            <v>1.0927075876454699E-8</v>
          </cell>
        </row>
        <row r="67">
          <cell r="A67" t="str">
            <v>T_B_u-FCLH2O-S2</v>
          </cell>
          <cell r="B67" t="str">
            <v>VAR_cap</v>
          </cell>
          <cell r="C67" t="str">
            <v>-</v>
          </cell>
          <cell r="G67">
            <v>1.0927075876454699E-8</v>
          </cell>
          <cell r="H67">
            <v>1.0927075876454699E-8</v>
          </cell>
          <cell r="I67">
            <v>2.29465247388527E-9</v>
          </cell>
        </row>
        <row r="68">
          <cell r="A68" t="str">
            <v>T-Plg-GSL-mix_S2</v>
          </cell>
          <cell r="B68" t="str">
            <v>VAR_fout</v>
          </cell>
          <cell r="C68" t="str">
            <v>CO2_T</v>
          </cell>
          <cell r="D68">
            <v>6.2930588456824603</v>
          </cell>
          <cell r="E68">
            <v>12.22036950892681</v>
          </cell>
          <cell r="F68">
            <v>11.849846941739909</v>
          </cell>
          <cell r="G68">
            <v>9.6463560671258186</v>
          </cell>
          <cell r="H68">
            <v>1.4511061896320503</v>
          </cell>
          <cell r="I68">
            <v>0.61829363305034601</v>
          </cell>
          <cell r="J68">
            <v>0.54236162928707499</v>
          </cell>
          <cell r="K68">
            <v>0.34722985985021698</v>
          </cell>
          <cell r="L68">
            <v>0.58607819439153208</v>
          </cell>
          <cell r="M68">
            <v>5.703099961714293</v>
          </cell>
          <cell r="N68">
            <v>13.294930436000513</v>
          </cell>
          <cell r="O68">
            <v>17.896177394485022</v>
          </cell>
        </row>
        <row r="69">
          <cell r="A69" t="str">
            <v>T-Plg-GSL-mix_S2</v>
          </cell>
          <cell r="B69" t="str">
            <v>VAR_fout</v>
          </cell>
          <cell r="C69" t="str">
            <v>T-PEVmix-ELC_GSL_S2</v>
          </cell>
          <cell r="D69">
            <v>4.9970651068072622E-2</v>
          </cell>
          <cell r="E69">
            <v>9.7037042816222066E-2</v>
          </cell>
          <cell r="F69">
            <v>9.4094872025868623E-2</v>
          </cell>
          <cell r="G69">
            <v>7.6597836589346852E-2</v>
          </cell>
          <cell r="H69">
            <v>1.1865785528834093E-2</v>
          </cell>
          <cell r="I69">
            <v>5.1607302734048392E-3</v>
          </cell>
          <cell r="J69">
            <v>4.8583655188181142E-3</v>
          </cell>
          <cell r="K69">
            <v>3.2792763471059358E-3</v>
          </cell>
          <cell r="L69">
            <v>5.8045894043102387E-3</v>
          </cell>
          <cell r="M69">
            <v>6.3063297094443471E-2</v>
          </cell>
          <cell r="N69">
            <v>0.14801298603024168</v>
          </cell>
          <cell r="O69">
            <v>0.20010936119938463</v>
          </cell>
        </row>
        <row r="70">
          <cell r="A70" t="str">
            <v>T-Plg-GSL-mix_S2</v>
          </cell>
          <cell r="B70" t="str">
            <v>VAR_fin</v>
          </cell>
          <cell r="C70" t="str">
            <v>TGSL</v>
          </cell>
          <cell r="D70">
            <v>8.527180007699818E-2</v>
          </cell>
          <cell r="E70">
            <v>0.16558766272258546</v>
          </cell>
          <cell r="F70">
            <v>0.16056703173089309</v>
          </cell>
          <cell r="G70">
            <v>0.13070943180387282</v>
          </cell>
          <cell r="H70">
            <v>1.9662685496369268E-2</v>
          </cell>
          <cell r="I70">
            <v>8.3779625074572647E-3</v>
          </cell>
          <cell r="J70">
            <v>7.3490735675755415E-3</v>
          </cell>
          <cell r="K70">
            <v>4.7050116510869485E-3</v>
          </cell>
          <cell r="L70">
            <v>7.9414389483947363E-3</v>
          </cell>
          <cell r="M70">
            <v>7.7277777259001298E-2</v>
          </cell>
          <cell r="N70">
            <v>0.18014810888889624</v>
          </cell>
          <cell r="O70">
            <v>0.24249562865155869</v>
          </cell>
        </row>
        <row r="71">
          <cell r="A71" t="str">
            <v>T_B_u-FCLH2O-S3</v>
          </cell>
          <cell r="B71" t="str">
            <v>VAR_cap</v>
          </cell>
          <cell r="C71" t="str">
            <v>-</v>
          </cell>
          <cell r="L71">
            <v>-2.6868701365049299E-9</v>
          </cell>
        </row>
        <row r="72">
          <cell r="A72" t="str">
            <v>T-PHEV-STG_S1</v>
          </cell>
          <cell r="B72" t="str">
            <v>VAR_fout</v>
          </cell>
          <cell r="C72" t="str">
            <v>T-ELC-car-PlgSTGAUXout_S1</v>
          </cell>
          <cell r="E72">
            <v>1.4878182661490883E-4</v>
          </cell>
          <cell r="F72">
            <v>2.6621602383236951E-4</v>
          </cell>
          <cell r="G72">
            <v>1.6439304995109426E-3</v>
          </cell>
          <cell r="H72">
            <v>3.9201150202640006E-3</v>
          </cell>
          <cell r="I72">
            <v>6.3028993976544751E-3</v>
          </cell>
          <cell r="J72">
            <v>8.7661682575008518E-3</v>
          </cell>
          <cell r="K72">
            <v>1.7833843779575739E-2</v>
          </cell>
          <cell r="L72">
            <v>1.9185423585762629E-2</v>
          </cell>
          <cell r="M72">
            <v>2.1851649344492512E-2</v>
          </cell>
          <cell r="N72">
            <v>2.2379375834498633E-2</v>
          </cell>
          <cell r="O72">
            <v>3.0066466838920412E-2</v>
          </cell>
        </row>
        <row r="73">
          <cell r="A73" t="str">
            <v>T-PHEV-STG_S1</v>
          </cell>
          <cell r="B73" t="str">
            <v>VAR_fout</v>
          </cell>
          <cell r="C73" t="str">
            <v>T-ELC-car-PlgSTGOut_S1</v>
          </cell>
          <cell r="E73">
            <v>1.487818266149088E-4</v>
          </cell>
          <cell r="F73">
            <v>2.6621602383236946E-4</v>
          </cell>
          <cell r="G73">
            <v>1.6439304995109424E-3</v>
          </cell>
          <cell r="H73">
            <v>3.9201150202639997E-3</v>
          </cell>
          <cell r="I73">
            <v>6.3028993976544751E-3</v>
          </cell>
          <cell r="J73">
            <v>8.7661682575008518E-3</v>
          </cell>
          <cell r="K73">
            <v>1.7833843779575736E-2</v>
          </cell>
          <cell r="L73">
            <v>1.9185423585762626E-2</v>
          </cell>
          <cell r="M73">
            <v>2.1851649344492512E-2</v>
          </cell>
          <cell r="N73">
            <v>2.2379375834498633E-2</v>
          </cell>
          <cell r="O73">
            <v>3.0066466838920412E-2</v>
          </cell>
        </row>
        <row r="74">
          <cell r="A74" t="str">
            <v>T-PHEV-STG_S1</v>
          </cell>
          <cell r="B74" t="str">
            <v>VAR_fin</v>
          </cell>
          <cell r="C74" t="str">
            <v>T-ELC-car-PlgSTGAUXin_S1</v>
          </cell>
          <cell r="E74">
            <v>1.5214183248341451E-4</v>
          </cell>
          <cell r="F74">
            <v>2.7863454852135306E-4</v>
          </cell>
          <cell r="G74">
            <v>1.6528442822864532E-3</v>
          </cell>
          <cell r="H74">
            <v>3.9292837178632181E-3</v>
          </cell>
          <cell r="I74">
            <v>6.3082862677767762E-3</v>
          </cell>
          <cell r="J74">
            <v>8.7852855506902021E-3</v>
          </cell>
          <cell r="K74">
            <v>1.7854064300976958E-2</v>
          </cell>
          <cell r="L74">
            <v>1.9201720965866472E-2</v>
          </cell>
          <cell r="M74">
            <v>2.187277352101033E-2</v>
          </cell>
          <cell r="N74">
            <v>2.2395228980759945E-2</v>
          </cell>
          <cell r="O74">
            <v>3.0092252703279448E-2</v>
          </cell>
        </row>
        <row r="75">
          <cell r="A75" t="str">
            <v>T-PHEV-STG_S1</v>
          </cell>
          <cell r="B75" t="str">
            <v>VAR_fin</v>
          </cell>
          <cell r="C75" t="str">
            <v>T-ELC-car-PlgSTGin_S1</v>
          </cell>
          <cell r="E75">
            <v>1.5214183248341451E-4</v>
          </cell>
          <cell r="F75">
            <v>2.7863454852135306E-4</v>
          </cell>
          <cell r="G75">
            <v>1.6528442822864532E-3</v>
          </cell>
          <cell r="H75">
            <v>3.9292837178632181E-3</v>
          </cell>
          <cell r="I75">
            <v>6.3082862677767762E-3</v>
          </cell>
          <cell r="J75">
            <v>8.7852855506902021E-3</v>
          </cell>
          <cell r="K75">
            <v>1.7854064300976958E-2</v>
          </cell>
          <cell r="L75">
            <v>1.9201720965866472E-2</v>
          </cell>
          <cell r="M75">
            <v>2.187277352101033E-2</v>
          </cell>
          <cell r="N75">
            <v>2.2395228980759945E-2</v>
          </cell>
          <cell r="O75">
            <v>3.0092252703279448E-2</v>
          </cell>
        </row>
        <row r="76">
          <cell r="A76" t="str">
            <v>T-PHEV-STG_S1</v>
          </cell>
          <cell r="B76" t="str">
            <v>VAR_ncap</v>
          </cell>
          <cell r="C76" t="str">
            <v>-</v>
          </cell>
          <cell r="E76">
            <v>1.25947574201362E-2</v>
          </cell>
          <cell r="F76">
            <v>1.23371045338692E-2</v>
          </cell>
          <cell r="G76">
            <v>1.0749275247340999E-2</v>
          </cell>
          <cell r="H76">
            <v>1.7801317338209301E-2</v>
          </cell>
          <cell r="I76">
            <v>3.1395829713092099E-2</v>
          </cell>
          <cell r="J76">
            <v>2.73058579522584E-2</v>
          </cell>
          <cell r="K76">
            <v>5.27467739570259E-2</v>
          </cell>
          <cell r="L76">
            <v>2.9553421289784901E-2</v>
          </cell>
          <cell r="M76">
            <v>4.0742465121344801E-2</v>
          </cell>
          <cell r="N76">
            <v>4.48868097043921E-2</v>
          </cell>
          <cell r="O76">
            <v>7.4200146814973694E-2</v>
          </cell>
        </row>
        <row r="77">
          <cell r="A77" t="str">
            <v>T-PHEV-STG_S1</v>
          </cell>
          <cell r="B77" t="str">
            <v>VAR_cap</v>
          </cell>
          <cell r="C77" t="str">
            <v>-</v>
          </cell>
          <cell r="E77">
            <v>1.25947574201362E-2</v>
          </cell>
          <cell r="F77">
            <v>2.4926433399743125E-2</v>
          </cell>
          <cell r="G77">
            <v>3.5662927476672518E-2</v>
          </cell>
          <cell r="H77">
            <v>4.730454506976739E-2</v>
          </cell>
          <cell r="I77">
            <v>6.0459414225148493E-2</v>
          </cell>
          <cell r="J77">
            <v>7.6460810159313691E-2</v>
          </cell>
          <cell r="K77">
            <v>0.11139915106766569</v>
          </cell>
          <cell r="L77">
            <v>0.11074058522626438</v>
          </cell>
          <cell r="M77">
            <v>0.12296981611679682</v>
          </cell>
          <cell r="N77">
            <v>0.11508209763071875</v>
          </cell>
          <cell r="O77">
            <v>0.15977608949439331</v>
          </cell>
        </row>
        <row r="78">
          <cell r="A78" t="str">
            <v>T-Plg-GSL-mix_S3</v>
          </cell>
          <cell r="B78" t="str">
            <v>VAR_fout</v>
          </cell>
          <cell r="C78" t="str">
            <v>CO2_T</v>
          </cell>
          <cell r="D78">
            <v>6.7507047807666103</v>
          </cell>
          <cell r="E78">
            <v>18.911530340722422</v>
          </cell>
          <cell r="F78">
            <v>69.499551913461801</v>
          </cell>
          <cell r="G78">
            <v>69.215306656342705</v>
          </cell>
          <cell r="H78">
            <v>74.173081484870494</v>
          </cell>
          <cell r="I78">
            <v>36.223717894966576</v>
          </cell>
          <cell r="J78">
            <v>25.962916803376054</v>
          </cell>
          <cell r="K78">
            <v>7.6146426968867482</v>
          </cell>
          <cell r="L78">
            <v>20.435223285458527</v>
          </cell>
          <cell r="M78">
            <v>18.189409658819411</v>
          </cell>
          <cell r="N78">
            <v>14.125892684722675</v>
          </cell>
          <cell r="O78">
            <v>4.2722793954786686</v>
          </cell>
        </row>
        <row r="79">
          <cell r="A79" t="str">
            <v>T-Plg-GSL-mix_S3</v>
          </cell>
          <cell r="B79" t="str">
            <v>VAR_fout</v>
          </cell>
          <cell r="C79" t="str">
            <v>T-PEVmix-ELC_GSL_S3</v>
          </cell>
          <cell r="D79">
            <v>4.9901844401192934E-2</v>
          </cell>
          <cell r="E79">
            <v>0.1397958102300545</v>
          </cell>
          <cell r="F79">
            <v>0.51374722168554954</v>
          </cell>
          <cell r="G79">
            <v>0.51164605402184937</v>
          </cell>
          <cell r="H79">
            <v>0.57705407928798025</v>
          </cell>
          <cell r="I79">
            <v>0.28362202758482724</v>
          </cell>
          <cell r="J79">
            <v>0.22606333110762472</v>
          </cell>
          <cell r="K79">
            <v>6.9933031063375714E-2</v>
          </cell>
          <cell r="L79">
            <v>0.20044786253186997</v>
          </cell>
          <cell r="M79">
            <v>0.18858206626415677</v>
          </cell>
          <cell r="N79">
            <v>0.14649504714147726</v>
          </cell>
          <cell r="O79">
            <v>4.4522896867650853E-2</v>
          </cell>
        </row>
        <row r="80">
          <cell r="A80" t="str">
            <v>T-Plg-GSL-mix_S3</v>
          </cell>
          <cell r="B80" t="str">
            <v>VAR_fin</v>
          </cell>
          <cell r="C80" t="str">
            <v>TGSL</v>
          </cell>
          <cell r="D80">
            <v>9.1472964509032487E-2</v>
          </cell>
          <cell r="E80">
            <v>0.25625379865477543</v>
          </cell>
          <cell r="F80">
            <v>0.94172834571086561</v>
          </cell>
          <cell r="G80">
            <v>0.93787678396128271</v>
          </cell>
          <cell r="H80">
            <v>1.0050553046730426</v>
          </cell>
          <cell r="I80">
            <v>0.49083628583965466</v>
          </cell>
          <cell r="J80">
            <v>0.35180104069615287</v>
          </cell>
          <cell r="K80">
            <v>0.10317944033721883</v>
          </cell>
          <cell r="L80">
            <v>0.27690004451840888</v>
          </cell>
          <cell r="M80">
            <v>0.24646896556665923</v>
          </cell>
          <cell r="N80">
            <v>0.19140775995559189</v>
          </cell>
          <cell r="O80">
            <v>5.7889964708382945E-2</v>
          </cell>
        </row>
        <row r="81">
          <cell r="A81" t="str">
            <v>T_B_u-FCLH2O-S4</v>
          </cell>
          <cell r="B81" t="str">
            <v>VAR_cap</v>
          </cell>
          <cell r="C81" t="str">
            <v>-</v>
          </cell>
          <cell r="M81">
            <v>-2.96609033576436E-9</v>
          </cell>
        </row>
        <row r="82">
          <cell r="A82" t="str">
            <v>T-PHEV-STG_S2</v>
          </cell>
          <cell r="B82" t="str">
            <v>VAR_fout</v>
          </cell>
          <cell r="C82" t="str">
            <v>T-ELC-car-PlgSTGAUXout_S2</v>
          </cell>
          <cell r="D82">
            <v>2.1398834134576904E-3</v>
          </cell>
          <cell r="E82">
            <v>1.6456642987052543E-3</v>
          </cell>
          <cell r="F82">
            <v>3.4035592507805916E-3</v>
          </cell>
          <cell r="G82">
            <v>5.3063418544562219E-3</v>
          </cell>
          <cell r="H82">
            <v>8.186637957268518E-3</v>
          </cell>
          <cell r="I82">
            <v>1.0996811008254427E-2</v>
          </cell>
          <cell r="J82">
            <v>1.4410075380637783E-2</v>
          </cell>
          <cell r="K82">
            <v>2.1490233498961581E-2</v>
          </cell>
          <cell r="L82">
            <v>2.4515808448882747E-2</v>
          </cell>
          <cell r="M82">
            <v>4.8330661406101864E-2</v>
          </cell>
          <cell r="N82">
            <v>8.8715596064119454E-2</v>
          </cell>
          <cell r="O82">
            <v>0.11804439322163643</v>
          </cell>
        </row>
        <row r="83">
          <cell r="A83" t="str">
            <v>T-PHEV-STG_S2</v>
          </cell>
          <cell r="B83" t="str">
            <v>VAR_fout</v>
          </cell>
          <cell r="C83" t="str">
            <v>T-ELC-car-PlgSTGOut_S2</v>
          </cell>
          <cell r="D83">
            <v>2.1398834134576904E-3</v>
          </cell>
          <cell r="E83">
            <v>1.6456642987052543E-3</v>
          </cell>
          <cell r="F83">
            <v>3.4035592507805916E-3</v>
          </cell>
          <cell r="G83">
            <v>5.3063418544562211E-3</v>
          </cell>
          <cell r="H83">
            <v>8.1866379572685163E-3</v>
          </cell>
          <cell r="I83">
            <v>1.0996811008254425E-2</v>
          </cell>
          <cell r="J83">
            <v>1.4410075380637783E-2</v>
          </cell>
          <cell r="K83">
            <v>2.1490233498961581E-2</v>
          </cell>
          <cell r="L83">
            <v>2.4515808448882737E-2</v>
          </cell>
          <cell r="M83">
            <v>4.8330661406101857E-2</v>
          </cell>
          <cell r="N83">
            <v>8.8715596064119426E-2</v>
          </cell>
          <cell r="O83">
            <v>0.11804439322163643</v>
          </cell>
        </row>
        <row r="84">
          <cell r="A84" t="str">
            <v>T-PHEV-STG_S2</v>
          </cell>
          <cell r="B84" t="str">
            <v>VAR_fin</v>
          </cell>
          <cell r="C84" t="str">
            <v>T-ELC-car-PlgSTGAUXin_S2</v>
          </cell>
          <cell r="D84">
            <v>2.1425691140591024E-3</v>
          </cell>
          <cell r="E84">
            <v>1.6517854374703774E-3</v>
          </cell>
          <cell r="F84">
            <v>3.4137535951328881E-3</v>
          </cell>
          <cell r="G84">
            <v>5.3199202355362976E-3</v>
          </cell>
          <cell r="H84">
            <v>8.2002916626263099E-3</v>
          </cell>
          <cell r="I84">
            <v>1.1006425619594635E-2</v>
          </cell>
          <cell r="J84">
            <v>1.4425066060494941E-2</v>
          </cell>
          <cell r="K84">
            <v>2.1505092238328038E-2</v>
          </cell>
          <cell r="L84">
            <v>2.4525842337793972E-2</v>
          </cell>
          <cell r="M84">
            <v>4.8343753403947379E-2</v>
          </cell>
          <cell r="N84">
            <v>8.8730075964672375E-2</v>
          </cell>
          <cell r="O84">
            <v>0.11806318088503968</v>
          </cell>
        </row>
        <row r="85">
          <cell r="A85" t="str">
            <v>T-PHEV-STG_S2</v>
          </cell>
          <cell r="B85" t="str">
            <v>VAR_fin</v>
          </cell>
          <cell r="C85" t="str">
            <v>T-ELC-car-PlgSTGin_S2</v>
          </cell>
          <cell r="D85">
            <v>2.1425691140591024E-3</v>
          </cell>
          <cell r="E85">
            <v>1.6517854374703774E-3</v>
          </cell>
          <cell r="F85">
            <v>3.4137535951328881E-3</v>
          </cell>
          <cell r="G85">
            <v>5.3199202355362976E-3</v>
          </cell>
          <cell r="H85">
            <v>8.2002916626263099E-3</v>
          </cell>
          <cell r="I85">
            <v>1.1006425619594635E-2</v>
          </cell>
          <cell r="J85">
            <v>1.4425066060494941E-2</v>
          </cell>
          <cell r="K85">
            <v>2.1505092238328038E-2</v>
          </cell>
          <cell r="L85">
            <v>2.4525842337793972E-2</v>
          </cell>
          <cell r="M85">
            <v>4.8343753403947379E-2</v>
          </cell>
          <cell r="N85">
            <v>8.8730075964672375E-2</v>
          </cell>
          <cell r="O85">
            <v>0.11806318088503968</v>
          </cell>
        </row>
        <row r="86">
          <cell r="A86" t="str">
            <v>T-PHEV-STG_S2</v>
          </cell>
          <cell r="B86" t="str">
            <v>VAR_ncap</v>
          </cell>
          <cell r="C86" t="str">
            <v>-</v>
          </cell>
          <cell r="D86">
            <v>4.2843596743614397E-2</v>
          </cell>
          <cell r="E86">
            <v>3.9047622941169403E-2</v>
          </cell>
          <cell r="F86">
            <v>5.28649047917941E-2</v>
          </cell>
          <cell r="G86">
            <v>5.2167451061070999E-2</v>
          </cell>
          <cell r="H86">
            <v>5.7042694320551E-2</v>
          </cell>
          <cell r="I86">
            <v>7.6803515946623602E-2</v>
          </cell>
          <cell r="J86">
            <v>5.9680456126105598E-2</v>
          </cell>
          <cell r="K86">
            <v>8.7337612656866195E-2</v>
          </cell>
          <cell r="L86">
            <v>7.1785525877426801E-2</v>
          </cell>
          <cell r="M86">
            <v>0.23099058696951399</v>
          </cell>
          <cell r="N86">
            <v>0.29961037235557703</v>
          </cell>
          <cell r="O86">
            <v>0.48361045384662099</v>
          </cell>
        </row>
        <row r="87">
          <cell r="A87" t="str">
            <v>T-PHEV-STG_S2</v>
          </cell>
          <cell r="B87" t="str">
            <v>VAR_cap</v>
          </cell>
          <cell r="C87" t="str">
            <v>-</v>
          </cell>
          <cell r="D87">
            <v>4.2843596743614397E-2</v>
          </cell>
          <cell r="E87">
            <v>8.1877131184958041E-2</v>
          </cell>
          <cell r="F87">
            <v>0.13471021298219024</v>
          </cell>
          <cell r="G87">
            <v>0.18682300982442007</v>
          </cell>
          <cell r="H87">
            <v>0.1930578810206228</v>
          </cell>
          <cell r="I87">
            <v>0.18708015616436596</v>
          </cell>
          <cell r="J87">
            <v>0.1934175821875235</v>
          </cell>
          <cell r="K87">
            <v>0.22370401196173592</v>
          </cell>
          <cell r="L87">
            <v>0.22250868088311196</v>
          </cell>
          <cell r="M87">
            <v>0.38999218178520212</v>
          </cell>
          <cell r="N87">
            <v>0.59494374238710546</v>
          </cell>
          <cell r="O87">
            <v>1.0140901128681641</v>
          </cell>
        </row>
        <row r="88">
          <cell r="A88" t="str">
            <v>T-Plg-GSL-mix_S4</v>
          </cell>
          <cell r="B88" t="str">
            <v>VAR_fout</v>
          </cell>
          <cell r="C88" t="str">
            <v>CO2_T</v>
          </cell>
          <cell r="D88">
            <v>12.2230701367784</v>
          </cell>
          <cell r="E88">
            <v>22.630167666907401</v>
          </cell>
          <cell r="F88">
            <v>21.851542273770541</v>
          </cell>
          <cell r="G88">
            <v>17.549412217090854</v>
          </cell>
          <cell r="H88">
            <v>3.4161254989111924</v>
          </cell>
          <cell r="I88">
            <v>1.5513169141941849</v>
          </cell>
          <cell r="J88">
            <v>2.1320644908051971</v>
          </cell>
          <cell r="K88">
            <v>1.169657619643957</v>
          </cell>
          <cell r="L88">
            <v>8.4757692439565808</v>
          </cell>
          <cell r="M88">
            <v>7.664571264771106</v>
          </cell>
          <cell r="N88">
            <v>5.2662496981050442</v>
          </cell>
          <cell r="O88">
            <v>36.162611247749254</v>
          </cell>
        </row>
        <row r="89">
          <cell r="A89" t="str">
            <v>T-Plg-GSL-mix_S4</v>
          </cell>
          <cell r="B89" t="str">
            <v>VAR_fout</v>
          </cell>
          <cell r="C89" t="str">
            <v>T-PEVmix-ELC_GSL_S4</v>
          </cell>
          <cell r="D89">
            <v>8.608414889600928E-2</v>
          </cell>
          <cell r="E89">
            <v>0.1593788386371118</v>
          </cell>
          <cell r="F89">
            <v>0.15389516689777294</v>
          </cell>
          <cell r="G89">
            <v>0.12359629761002637</v>
          </cell>
          <cell r="H89">
            <v>2.4667812505950966E-2</v>
          </cell>
          <cell r="I89">
            <v>1.1471788955905402E-2</v>
          </cell>
          <cell r="J89">
            <v>1.6989040066423967E-2</v>
          </cell>
          <cell r="K89">
            <v>9.821309913466832E-3</v>
          </cell>
          <cell r="L89">
            <v>7.7592819083364364E-2</v>
          </cell>
          <cell r="M89">
            <v>7.3922836336476491E-2</v>
          </cell>
          <cell r="N89">
            <v>5.0802937813314408E-2</v>
          </cell>
          <cell r="O89">
            <v>0.35195359889660988</v>
          </cell>
        </row>
        <row r="90">
          <cell r="A90" t="str">
            <v>T-Plg-GSL-mix_S4</v>
          </cell>
          <cell r="B90" t="str">
            <v>VAR_fin</v>
          </cell>
          <cell r="C90" t="str">
            <v>TGSL</v>
          </cell>
          <cell r="D90">
            <v>0.16562425659591376</v>
          </cell>
          <cell r="E90">
            <v>0.30664183830497777</v>
          </cell>
          <cell r="F90">
            <v>0.29609135872317749</v>
          </cell>
          <cell r="G90">
            <v>0.2377969135107163</v>
          </cell>
          <cell r="H90">
            <v>4.6288963399880673E-2</v>
          </cell>
          <cell r="I90">
            <v>2.1020554392875139E-2</v>
          </cell>
          <cell r="J90">
            <v>2.8889762748037926E-2</v>
          </cell>
          <cell r="K90">
            <v>1.5849019236367962E-2</v>
          </cell>
          <cell r="L90">
            <v>0.11484782173382907</v>
          </cell>
          <cell r="M90">
            <v>0.10385597919744061</v>
          </cell>
          <cell r="N90">
            <v>7.1358396993293369E-2</v>
          </cell>
          <cell r="O90">
            <v>0.4900082824898272</v>
          </cell>
        </row>
        <row r="91">
          <cell r="A91" t="str">
            <v>T-PHEV-STG_S3</v>
          </cell>
          <cell r="B91" t="str">
            <v>VAR_fout</v>
          </cell>
          <cell r="C91" t="str">
            <v>T-ELC-car-PlgSTGAUXout_S3</v>
          </cell>
          <cell r="E91">
            <v>2.0392691457560209E-2</v>
          </cell>
          <cell r="F91">
            <v>0.29429006518998674</v>
          </cell>
          <cell r="G91">
            <v>1.715091023451045</v>
          </cell>
          <cell r="H91">
            <v>2.6528868818767273</v>
          </cell>
          <cell r="I91">
            <v>1.9129260003058386</v>
          </cell>
          <cell r="J91">
            <v>1.8081008081780394</v>
          </cell>
          <cell r="K91">
            <v>2.0121253229228198</v>
          </cell>
          <cell r="L91">
            <v>1.7008750928392522</v>
          </cell>
          <cell r="M91">
            <v>1.2238368960815176</v>
          </cell>
          <cell r="N91">
            <v>0.77356654345523401</v>
          </cell>
          <cell r="O91">
            <v>0.13193188205619358</v>
          </cell>
        </row>
        <row r="92">
          <cell r="A92" t="str">
            <v>T-PHEV-STG_S3</v>
          </cell>
          <cell r="B92" t="str">
            <v>VAR_fout</v>
          </cell>
          <cell r="C92" t="str">
            <v>T-ELC-car-PlgSTGOut_S3</v>
          </cell>
          <cell r="E92">
            <v>2.0392691457560209E-2</v>
          </cell>
          <cell r="F92">
            <v>0.29429006518998668</v>
          </cell>
          <cell r="G92">
            <v>1.715091023451045</v>
          </cell>
          <cell r="H92">
            <v>2.6528868818767273</v>
          </cell>
          <cell r="I92">
            <v>1.9129260003058386</v>
          </cell>
          <cell r="J92">
            <v>1.8081008081780394</v>
          </cell>
          <cell r="K92">
            <v>2.0121253229228198</v>
          </cell>
          <cell r="L92">
            <v>1.7008750928392518</v>
          </cell>
          <cell r="M92">
            <v>1.2238368960815174</v>
          </cell>
          <cell r="N92">
            <v>0.77356654345523401</v>
          </cell>
          <cell r="O92">
            <v>0.13193188205619358</v>
          </cell>
        </row>
        <row r="93">
          <cell r="A93" t="str">
            <v>T-PHEV-STG_S3</v>
          </cell>
          <cell r="B93" t="str">
            <v>VAR_fin</v>
          </cell>
          <cell r="C93" t="str">
            <v>T-ELC-car-PlgSTGAUXin_S3</v>
          </cell>
          <cell r="E93">
            <v>2.0397770118236624E-2</v>
          </cell>
          <cell r="F93">
            <v>0.29433175935362971</v>
          </cell>
          <cell r="G93">
            <v>1.7152713208948653</v>
          </cell>
          <cell r="H93">
            <v>2.6531578918252059</v>
          </cell>
          <cell r="I93">
            <v>1.9131227340299715</v>
          </cell>
          <cell r="J93">
            <v>1.8082948585860643</v>
          </cell>
          <cell r="K93">
            <v>2.0123456580147261</v>
          </cell>
          <cell r="L93">
            <v>1.7010541321920845</v>
          </cell>
          <cell r="M93">
            <v>1.2239777071491389</v>
          </cell>
          <cell r="N93">
            <v>0.77365473001353224</v>
          </cell>
          <cell r="O93">
            <v>0.13196920825175965</v>
          </cell>
        </row>
        <row r="94">
          <cell r="A94" t="str">
            <v>T-PHEV-STG_S3</v>
          </cell>
          <cell r="B94" t="str">
            <v>VAR_fin</v>
          </cell>
          <cell r="C94" t="str">
            <v>T-ELC-car-PlgSTGin_S3</v>
          </cell>
          <cell r="E94">
            <v>2.0397770118236624E-2</v>
          </cell>
          <cell r="F94">
            <v>0.29433175935362971</v>
          </cell>
          <cell r="G94">
            <v>1.7152713208948653</v>
          </cell>
          <cell r="H94">
            <v>2.6531578918252059</v>
          </cell>
          <cell r="I94">
            <v>1.9131227340299715</v>
          </cell>
          <cell r="J94">
            <v>1.8082948585860643</v>
          </cell>
          <cell r="K94">
            <v>2.0123456580147261</v>
          </cell>
          <cell r="L94">
            <v>1.7010541321920845</v>
          </cell>
          <cell r="M94">
            <v>1.2239777071491389</v>
          </cell>
          <cell r="N94">
            <v>0.77365473001353224</v>
          </cell>
          <cell r="O94">
            <v>0.13196920825175965</v>
          </cell>
        </row>
        <row r="95">
          <cell r="A95" t="str">
            <v>T-PHEV-STG_S3</v>
          </cell>
          <cell r="B95" t="str">
            <v>VAR_ncap</v>
          </cell>
          <cell r="C95" t="str">
            <v>-</v>
          </cell>
          <cell r="E95">
            <v>2.8397659970492102</v>
          </cell>
          <cell r="F95">
            <v>9.6004522957165594</v>
          </cell>
          <cell r="G95">
            <v>27.8577893277218</v>
          </cell>
          <cell r="H95">
            <v>30.243438476932401</v>
          </cell>
          <cell r="I95">
            <v>0.30983479090386201</v>
          </cell>
          <cell r="J95">
            <v>10.4538519854309</v>
          </cell>
          <cell r="K95">
            <v>16.418980052847399</v>
          </cell>
          <cell r="L95">
            <v>3.7779322233168799</v>
          </cell>
          <cell r="M95">
            <v>0.42239183771869099</v>
          </cell>
          <cell r="N95">
            <v>0.26226101177988398</v>
          </cell>
          <cell r="O95">
            <v>0.32496814733233398</v>
          </cell>
        </row>
        <row r="96">
          <cell r="A96" t="str">
            <v>T-PHEV-STG_S3</v>
          </cell>
          <cell r="B96" t="str">
            <v>VAR_cap</v>
          </cell>
          <cell r="C96" t="str">
            <v>-</v>
          </cell>
          <cell r="E96">
            <v>2.8397659970492102</v>
          </cell>
          <cell r="F96">
            <v>12.43843862815879</v>
          </cell>
          <cell r="G96">
            <v>40.269900185824199</v>
          </cell>
          <cell r="H96">
            <v>52.769656126823307</v>
          </cell>
          <cell r="I96">
            <v>32.365061538938598</v>
          </cell>
          <cell r="J96">
            <v>20.785581978727897</v>
          </cell>
          <cell r="K96">
            <v>26.736644171005363</v>
          </cell>
          <cell r="L96">
            <v>27.217509720202752</v>
          </cell>
          <cell r="M96">
            <v>20.075930327983833</v>
          </cell>
          <cell r="N96">
            <v>6.0516656665014521</v>
          </cell>
          <cell r="O96">
            <v>1.009448667834935</v>
          </cell>
        </row>
        <row r="97">
          <cell r="A97" t="str">
            <v>TFLGV-HYBDSL</v>
          </cell>
          <cell r="B97" t="str">
            <v>VAR_fout</v>
          </cell>
          <cell r="C97" t="str">
            <v>CO2_T</v>
          </cell>
          <cell r="E97">
            <v>32.187108001476297</v>
          </cell>
          <cell r="F97">
            <v>96.931492953100303</v>
          </cell>
          <cell r="G97">
            <v>275.55559013397237</v>
          </cell>
          <cell r="H97">
            <v>330.09756837774211</v>
          </cell>
          <cell r="I97">
            <v>162.68999268658672</v>
          </cell>
          <cell r="J97">
            <v>177.18610330537845</v>
          </cell>
          <cell r="K97">
            <v>187.54615045263429</v>
          </cell>
          <cell r="L97">
            <v>192.67840234558543</v>
          </cell>
          <cell r="M97">
            <v>192.87126589787701</v>
          </cell>
          <cell r="N97">
            <v>192.00906443138689</v>
          </cell>
          <cell r="O97">
            <v>194.1108986675348</v>
          </cell>
        </row>
        <row r="98">
          <cell r="A98" t="str">
            <v>TFLGV-HYBDSL</v>
          </cell>
          <cell r="B98" t="str">
            <v>VAR_fout</v>
          </cell>
          <cell r="C98" t="str">
            <v>TFLGV</v>
          </cell>
          <cell r="E98">
            <v>0.20232982630413926</v>
          </cell>
          <cell r="F98">
            <v>0.60931638007683442</v>
          </cell>
          <cell r="G98">
            <v>1.7321566972212581</v>
          </cell>
          <cell r="H98">
            <v>2.0750103945413167</v>
          </cell>
          <cell r="I98">
            <v>1.0226777118400592</v>
          </cell>
          <cell r="J98">
            <v>1.1138010132392175</v>
          </cell>
          <cell r="K98">
            <v>1.1789248056504813</v>
          </cell>
          <cell r="L98">
            <v>1.2111864065996005</v>
          </cell>
          <cell r="M98">
            <v>1.2123987568683421</v>
          </cell>
          <cell r="N98">
            <v>1.2069789138384495</v>
          </cell>
          <cell r="O98">
            <v>1.2201911525987728</v>
          </cell>
        </row>
        <row r="99">
          <cell r="A99" t="str">
            <v>TFLGV-HYBDSL</v>
          </cell>
          <cell r="B99" t="str">
            <v>VAR_fin</v>
          </cell>
          <cell r="C99" t="str">
            <v>TDSL</v>
          </cell>
          <cell r="E99">
            <v>0.43911470670499769</v>
          </cell>
          <cell r="F99">
            <v>1.322394173984998</v>
          </cell>
          <cell r="G99">
            <v>3.759284995006444</v>
          </cell>
          <cell r="H99">
            <v>4.5033774676363185</v>
          </cell>
          <cell r="I99">
            <v>2.2195087678934029</v>
          </cell>
          <cell r="J99">
            <v>2.4172728963898784</v>
          </cell>
          <cell r="K99">
            <v>2.5586105109499955</v>
          </cell>
          <cell r="L99">
            <v>2.628627589980701</v>
          </cell>
          <cell r="M99">
            <v>2.6312587434908217</v>
          </cell>
          <cell r="N99">
            <v>2.6194961041116884</v>
          </cell>
          <cell r="O99">
            <v>2.6481705138817855</v>
          </cell>
        </row>
        <row r="100">
          <cell r="A100" t="str">
            <v>TFLGV-HYBDSL</v>
          </cell>
          <cell r="B100" t="str">
            <v>VAR_ncap</v>
          </cell>
          <cell r="C100" t="str">
            <v>-</v>
          </cell>
          <cell r="E100">
            <v>1.4106597593487501E-2</v>
          </cell>
          <cell r="F100">
            <v>4.0463076224362501E-2</v>
          </cell>
          <cell r="G100">
            <v>9.7275679065264395E-2</v>
          </cell>
          <cell r="H100">
            <v>5.1693549125154899E-2</v>
          </cell>
          <cell r="I100">
            <v>1.08882508268022E-4</v>
          </cell>
          <cell r="J100">
            <v>5.29846548641566E-2</v>
          </cell>
          <cell r="K100">
            <v>3.36239812427001E-2</v>
          </cell>
          <cell r="L100">
            <v>2.9174031944026499E-2</v>
          </cell>
          <cell r="M100">
            <v>4.0216825231104501E-2</v>
          </cell>
          <cell r="N100">
            <v>4.1222137624475103E-2</v>
          </cell>
          <cell r="O100">
            <v>1.8242037687778399E-2</v>
          </cell>
        </row>
        <row r="101">
          <cell r="A101" t="str">
            <v>TFLGV-HYBDSL</v>
          </cell>
          <cell r="B101" t="str">
            <v>VAR_cap</v>
          </cell>
          <cell r="C101" t="str">
            <v>-</v>
          </cell>
          <cell r="E101">
            <v>1.4106597593487501E-2</v>
          </cell>
          <cell r="F101">
            <v>5.4569650835440735E-2</v>
          </cell>
          <cell r="G101">
            <v>0.14997625505230727</v>
          </cell>
          <cell r="H101">
            <v>0.16970019132203357</v>
          </cell>
          <cell r="I101">
            <v>7.2229904009900925E-2</v>
          </cell>
          <cell r="J101">
            <v>7.9897111737504523E-2</v>
          </cell>
          <cell r="K101">
            <v>8.6645757639087329E-2</v>
          </cell>
          <cell r="L101">
            <v>8.6630991080329303E-2</v>
          </cell>
          <cell r="M101">
            <v>8.661775520248545E-2</v>
          </cell>
          <cell r="N101">
            <v>8.6606245401684864E-2</v>
          </cell>
          <cell r="O101">
            <v>8.6604837236291837E-2</v>
          </cell>
        </row>
        <row r="102">
          <cell r="A102" t="str">
            <v>TFHGV-FCLH2O</v>
          </cell>
          <cell r="B102" t="str">
            <v>VAR_fout</v>
          </cell>
          <cell r="C102" t="str">
            <v>TFHGV</v>
          </cell>
          <cell r="D102">
            <v>5.5393780366773718E-4</v>
          </cell>
          <cell r="E102">
            <v>3.3113297933579273E-4</v>
          </cell>
          <cell r="F102">
            <v>3.2428364587245759E-4</v>
          </cell>
          <cell r="G102">
            <v>2.5154163182704484E-5</v>
          </cell>
          <cell r="H102">
            <v>2.3979170887442677E-5</v>
          </cell>
          <cell r="I102">
            <v>2.3569567993395421E-5</v>
          </cell>
          <cell r="J102">
            <v>2.2665592009591842E-5</v>
          </cell>
          <cell r="K102">
            <v>2.1656369482315709E-5</v>
          </cell>
          <cell r="L102">
            <v>2.0646590695864704E-5</v>
          </cell>
          <cell r="M102">
            <v>1.8922577336332969E-5</v>
          </cell>
          <cell r="N102">
            <v>2.0249501899332759E-5</v>
          </cell>
          <cell r="O102">
            <v>3.4799260292407755E-5</v>
          </cell>
        </row>
        <row r="103">
          <cell r="A103" t="str">
            <v>TFHGV-FCLH2O</v>
          </cell>
          <cell r="B103" t="str">
            <v>VAR_fin</v>
          </cell>
          <cell r="C103" t="str">
            <v>TH2O</v>
          </cell>
          <cell r="D103">
            <v>3.1751795951736419E-3</v>
          </cell>
          <cell r="E103">
            <v>1.8905037357408627E-3</v>
          </cell>
          <cell r="F103">
            <v>1.8491343737664879E-3</v>
          </cell>
          <cell r="G103">
            <v>1.3964055863400566E-4</v>
          </cell>
          <cell r="H103">
            <v>1.2350586702089406E-4</v>
          </cell>
          <cell r="I103">
            <v>1.1814564151894969E-4</v>
          </cell>
          <cell r="J103">
            <v>1.0862226268535156E-4</v>
          </cell>
          <cell r="K103">
            <v>1.0071272279527647E-4</v>
          </cell>
          <cell r="L103">
            <v>9.4315511027464181E-5</v>
          </cell>
          <cell r="M103">
            <v>8.6440060624169427E-5</v>
          </cell>
          <cell r="N103">
            <v>9.2501573156564745E-5</v>
          </cell>
          <cell r="O103">
            <v>1.5896619767415428E-4</v>
          </cell>
        </row>
        <row r="104">
          <cell r="A104" t="str">
            <v>TFHGV-FCLH2O</v>
          </cell>
          <cell r="B104" t="str">
            <v>VAR_ncap</v>
          </cell>
          <cell r="C104" t="str">
            <v>-</v>
          </cell>
          <cell r="E104">
            <v>4.2483824438065202E-7</v>
          </cell>
          <cell r="F104">
            <v>2.9151851899418298E-7</v>
          </cell>
          <cell r="G104">
            <v>1.7921732737929601E-7</v>
          </cell>
          <cell r="H104">
            <v>4.7934441011157495E-7</v>
          </cell>
          <cell r="I104">
            <v>2.8294038171318901E-7</v>
          </cell>
          <cell r="J104">
            <v>3.36761091397842E-7</v>
          </cell>
          <cell r="K104">
            <v>2.37152343799278E-7</v>
          </cell>
          <cell r="L104">
            <v>2.78076592122653E-7</v>
          </cell>
          <cell r="M104">
            <v>3.4671209904583899E-7</v>
          </cell>
          <cell r="N104">
            <v>2.6386386144201198E-7</v>
          </cell>
          <cell r="O104">
            <v>5.7014006342244605E-7</v>
          </cell>
        </row>
        <row r="105">
          <cell r="A105" t="str">
            <v>TFHGV-FCLH2O</v>
          </cell>
          <cell r="B105" t="str">
            <v>VAR_cap</v>
          </cell>
          <cell r="C105" t="str">
            <v>-</v>
          </cell>
          <cell r="D105">
            <v>1.223559488788717E-5</v>
          </cell>
          <cell r="E105">
            <v>6.6237536923302541E-6</v>
          </cell>
          <cell r="F105">
            <v>6.8911186512788373E-6</v>
          </cell>
          <cell r="G105">
            <v>5.3480983334808643E-7</v>
          </cell>
          <cell r="H105">
            <v>5.2582164887003802E-7</v>
          </cell>
          <cell r="I105">
            <v>5.0443828257238701E-7</v>
          </cell>
          <cell r="J105">
            <v>4.83468790544007E-7</v>
          </cell>
          <cell r="K105">
            <v>4.6441988863240199E-7</v>
          </cell>
          <cell r="L105">
            <v>4.3994938137579013E-7</v>
          </cell>
          <cell r="M105">
            <v>4.1882695732553898E-7</v>
          </cell>
          <cell r="N105">
            <v>4.307418774754931E-7</v>
          </cell>
          <cell r="O105">
            <v>7.4821197698941201E-7</v>
          </cell>
        </row>
        <row r="106">
          <cell r="A106" t="str">
            <v>T-PHEV-STG_S4</v>
          </cell>
          <cell r="B106" t="str">
            <v>VAR_fout</v>
          </cell>
          <cell r="C106" t="str">
            <v>T-ELC-car-PlgSTGAUXout_S4</v>
          </cell>
          <cell r="E106">
            <v>1.5658083480445007E-3</v>
          </cell>
          <cell r="F106">
            <v>4.3931222404548671E-3</v>
          </cell>
          <cell r="G106">
            <v>8.369327677848537E-3</v>
          </cell>
          <cell r="H106">
            <v>0.67195871088639136</v>
          </cell>
          <cell r="I106">
            <v>1.4001022811458776</v>
          </cell>
          <cell r="J106">
            <v>1.7902111559275351</v>
          </cell>
          <cell r="K106">
            <v>1.9563474105617571</v>
          </cell>
          <cell r="L106">
            <v>2.0825338129079087</v>
          </cell>
          <cell r="M106">
            <v>2.4318138270481064</v>
          </cell>
          <cell r="N106">
            <v>2.7451220882608189</v>
          </cell>
          <cell r="O106">
            <v>3.1324885733407406</v>
          </cell>
        </row>
        <row r="107">
          <cell r="A107" t="str">
            <v>T-PHEV-STG_S4</v>
          </cell>
          <cell r="B107" t="str">
            <v>VAR_fout</v>
          </cell>
          <cell r="C107" t="str">
            <v>T-ELC-car-PlgSTGOut_S4</v>
          </cell>
          <cell r="E107">
            <v>1.5658083480445003E-3</v>
          </cell>
          <cell r="F107">
            <v>4.3931222404548663E-3</v>
          </cell>
          <cell r="G107">
            <v>8.369327677848537E-3</v>
          </cell>
          <cell r="H107">
            <v>0.67195871088639136</v>
          </cell>
          <cell r="I107">
            <v>1.4001022811458776</v>
          </cell>
          <cell r="J107">
            <v>1.7902111559275347</v>
          </cell>
          <cell r="K107">
            <v>1.9563474105617569</v>
          </cell>
          <cell r="L107">
            <v>2.0825338129079083</v>
          </cell>
          <cell r="M107">
            <v>2.4318138270481064</v>
          </cell>
          <cell r="N107">
            <v>2.7451220882608189</v>
          </cell>
          <cell r="O107">
            <v>3.1324885733407406</v>
          </cell>
        </row>
        <row r="108">
          <cell r="A108" t="str">
            <v>T-PHEV-STG_S4</v>
          </cell>
          <cell r="B108" t="str">
            <v>VAR_fin</v>
          </cell>
          <cell r="C108" t="str">
            <v>T-ELC-car-PlgSTGAUXin_S4</v>
          </cell>
          <cell r="E108">
            <v>1.5689604592275361E-3</v>
          </cell>
          <cell r="F108">
            <v>4.406140184391589E-3</v>
          </cell>
          <cell r="G108">
            <v>8.3787340617932082E-3</v>
          </cell>
          <cell r="H108">
            <v>0.67203165184542868</v>
          </cell>
          <cell r="I108">
            <v>1.4002467346084757</v>
          </cell>
          <cell r="J108">
            <v>1.7904013334911273</v>
          </cell>
          <cell r="K108">
            <v>1.9565631055166237</v>
          </cell>
          <cell r="L108">
            <v>2.0827526256366702</v>
          </cell>
          <cell r="M108">
            <v>2.432075971545951</v>
          </cell>
          <cell r="N108">
            <v>2.7454070682554836</v>
          </cell>
          <cell r="O108">
            <v>3.1328266397848163</v>
          </cell>
        </row>
        <row r="109">
          <cell r="A109" t="str">
            <v>T-PHEV-STG_S4</v>
          </cell>
          <cell r="B109" t="str">
            <v>VAR_fin</v>
          </cell>
          <cell r="C109" t="str">
            <v>T-ELC-car-PlgSTGin_S4</v>
          </cell>
          <cell r="E109">
            <v>1.5689604592275361E-3</v>
          </cell>
          <cell r="F109">
            <v>4.406140184391589E-3</v>
          </cell>
          <cell r="G109">
            <v>8.3787340617932082E-3</v>
          </cell>
          <cell r="H109">
            <v>0.67203165184542868</v>
          </cell>
          <cell r="I109">
            <v>1.4002467346084757</v>
          </cell>
          <cell r="J109">
            <v>1.7904013334911273</v>
          </cell>
          <cell r="K109">
            <v>1.9565631055166237</v>
          </cell>
          <cell r="L109">
            <v>2.0827526256366702</v>
          </cell>
          <cell r="M109">
            <v>2.432075971545951</v>
          </cell>
          <cell r="N109">
            <v>2.7454070682554836</v>
          </cell>
          <cell r="O109">
            <v>3.1328266397848163</v>
          </cell>
        </row>
        <row r="110">
          <cell r="A110" t="str">
            <v>T-PHEV-STG_S4</v>
          </cell>
          <cell r="B110" t="str">
            <v>VAR_ncap</v>
          </cell>
          <cell r="C110" t="str">
            <v>-</v>
          </cell>
          <cell r="E110">
            <v>5.9627865205823999E-2</v>
          </cell>
          <cell r="F110">
            <v>8.1773706504774807E-2</v>
          </cell>
          <cell r="G110">
            <v>8.7972399350922395E-2</v>
          </cell>
          <cell r="H110">
            <v>12.115900921147899</v>
          </cell>
          <cell r="I110">
            <v>19.7779644293886</v>
          </cell>
          <cell r="J110">
            <v>13.1901642718801</v>
          </cell>
          <cell r="K110">
            <v>10.7132425274705</v>
          </cell>
          <cell r="L110">
            <v>18.612849089833698</v>
          </cell>
          <cell r="M110">
            <v>20.732107484201901</v>
          </cell>
          <cell r="N110">
            <v>23.399765393930998</v>
          </cell>
          <cell r="O110">
            <v>19.532106179905998</v>
          </cell>
        </row>
        <row r="111">
          <cell r="A111" t="str">
            <v>T-PHEV-STG_S4</v>
          </cell>
          <cell r="B111" t="str">
            <v>VAR_cap</v>
          </cell>
          <cell r="C111" t="str">
            <v>-</v>
          </cell>
          <cell r="E111">
            <v>5.9627865205823999E-2</v>
          </cell>
          <cell r="F111">
            <v>0.14139002483049345</v>
          </cell>
          <cell r="G111">
            <v>0.22932015680210294</v>
          </cell>
          <cell r="H111">
            <v>12.3160070104647</v>
          </cell>
          <cell r="I111">
            <v>27.80395642800746</v>
          </cell>
          <cell r="J111">
            <v>40.274794294211489</v>
          </cell>
          <cell r="K111">
            <v>40.605229810227343</v>
          </cell>
          <cell r="L111">
            <v>39.701654306025929</v>
          </cell>
          <cell r="M111">
            <v>43.574699627124097</v>
          </cell>
          <cell r="N111">
            <v>53.839624777239379</v>
          </cell>
          <cell r="O111">
            <v>63.66321764660011</v>
          </cell>
        </row>
        <row r="112">
          <cell r="A112" t="str">
            <v>TFLGV-ICEGSLExt</v>
          </cell>
          <cell r="B112" t="str">
            <v>VAR_fout</v>
          </cell>
          <cell r="C112" t="str">
            <v>CO2_T</v>
          </cell>
          <cell r="D112">
            <v>53.596290787821999</v>
          </cell>
          <cell r="E112">
            <v>89.843310812221205</v>
          </cell>
          <cell r="F112">
            <v>43.908170545987602</v>
          </cell>
          <cell r="G112">
            <v>20.067729012829901</v>
          </cell>
        </row>
        <row r="113">
          <cell r="A113" t="str">
            <v>TFLGV-ICEGSLExt</v>
          </cell>
          <cell r="B113" t="str">
            <v>VAR_fout</v>
          </cell>
          <cell r="C113" t="str">
            <v>TFLGV</v>
          </cell>
          <cell r="D113">
            <v>0.20159123189348163</v>
          </cell>
          <cell r="E113">
            <v>0.34107630058708599</v>
          </cell>
          <cell r="F113">
            <v>0.16899943504728449</v>
          </cell>
          <cell r="G113">
            <v>7.7239266033600637E-2</v>
          </cell>
        </row>
        <row r="114">
          <cell r="A114" t="str">
            <v>TFLGV-ICEGSLExt</v>
          </cell>
          <cell r="B114" t="str">
            <v>VAR_fin</v>
          </cell>
          <cell r="C114" t="str">
            <v>TGSL</v>
          </cell>
          <cell r="D114">
            <v>0.72623700254501311</v>
          </cell>
          <cell r="E114">
            <v>1.2173890353959518</v>
          </cell>
          <cell r="F114">
            <v>0.59496166051473698</v>
          </cell>
          <cell r="G114">
            <v>0.27192044732831805</v>
          </cell>
        </row>
        <row r="115">
          <cell r="A115" t="str">
            <v>TFLGV-ICEGSLExt</v>
          </cell>
          <cell r="B115" t="str">
            <v>VAR_cap</v>
          </cell>
          <cell r="C115" t="str">
            <v>-</v>
          </cell>
          <cell r="D115">
            <v>3.984250350957582E-2</v>
          </cell>
          <cell r="E115">
            <v>3.9825020105723634E-2</v>
          </cell>
          <cell r="F115">
            <v>3.0634627901943805E-2</v>
          </cell>
          <cell r="G115">
            <v>1.5317333333333299E-2</v>
          </cell>
        </row>
        <row r="116">
          <cell r="A116" t="str">
            <v>TFRLFELCEXT</v>
          </cell>
          <cell r="B116" t="str">
            <v>VAR_fout</v>
          </cell>
          <cell r="C116" t="str">
            <v>TFRLF</v>
          </cell>
          <cell r="D116">
            <v>2.5094614594633073E-2</v>
          </cell>
          <cell r="E116">
            <v>2.7678803719122107E-2</v>
          </cell>
          <cell r="F116">
            <v>2.9162065749052404E-2</v>
          </cell>
          <cell r="G116">
            <v>3.1634394677188336E-2</v>
          </cell>
          <cell r="H116">
            <v>3.3088628638136011E-2</v>
          </cell>
          <cell r="I116">
            <v>3.3865294598736322E-2</v>
          </cell>
          <cell r="J116">
            <v>3.5135971132887127E-2</v>
          </cell>
          <cell r="K116">
            <v>3.6404182653634626E-2</v>
          </cell>
          <cell r="L116">
            <v>3.6984455222310593E-2</v>
          </cell>
          <cell r="M116">
            <v>3.785222886075524E-2</v>
          </cell>
          <cell r="N116">
            <v>3.8101650149661298E-2</v>
          </cell>
          <cell r="O116">
            <v>3.8575365953649202E-2</v>
          </cell>
        </row>
        <row r="117">
          <cell r="A117" t="str">
            <v>TFRLFELCEXT</v>
          </cell>
          <cell r="B117" t="str">
            <v>VAR_fin</v>
          </cell>
          <cell r="C117" t="str">
            <v>TELC</v>
          </cell>
          <cell r="D117">
            <v>1.5023087997571232</v>
          </cell>
          <cell r="E117">
            <v>1.6570133100541962</v>
          </cell>
          <cell r="F117">
            <v>1.74580995570527</v>
          </cell>
          <cell r="G117">
            <v>1.8938178675473234</v>
          </cell>
          <cell r="H117">
            <v>1.9808767250642898</v>
          </cell>
          <cell r="I117">
            <v>2.0273724424096033</v>
          </cell>
          <cell r="J117">
            <v>2.1034424904950568</v>
          </cell>
          <cell r="K117">
            <v>2.1793649686182994</v>
          </cell>
          <cell r="L117">
            <v>2.2141034414046517</v>
          </cell>
          <cell r="M117">
            <v>2.2660533913955723</v>
          </cell>
          <cell r="N117">
            <v>2.2809851926295499</v>
          </cell>
          <cell r="O117">
            <v>2.3093445610602261</v>
          </cell>
        </row>
        <row r="118">
          <cell r="A118" t="str">
            <v>TFRLFELCEXT</v>
          </cell>
          <cell r="B118" t="str">
            <v>VAR_ncap</v>
          </cell>
          <cell r="C118" t="str">
            <v>-</v>
          </cell>
          <cell r="D118">
            <v>3.9473644461214199E-7</v>
          </cell>
          <cell r="E118">
            <v>2.3832616405970399E-4</v>
          </cell>
          <cell r="F118">
            <v>1.36913610867767E-4</v>
          </cell>
          <cell r="G118">
            <v>2.2816535957396699E-4</v>
          </cell>
          <cell r="H118">
            <v>1.34316308444595E-4</v>
          </cell>
          <cell r="I118">
            <v>7.1701891166963205E-5</v>
          </cell>
          <cell r="J118">
            <v>1.17298399698644E-4</v>
          </cell>
          <cell r="K118">
            <v>1.7202742453721501E-3</v>
          </cell>
          <cell r="L118">
            <v>1.1623469578795299E-3</v>
          </cell>
          <cell r="M118">
            <v>2.8873311121258401E-4</v>
          </cell>
          <cell r="N118">
            <v>1.4472779234563001E-4</v>
          </cell>
          <cell r="O118">
            <v>1.2822131520014301E-4</v>
          </cell>
        </row>
        <row r="119">
          <cell r="A119" t="str">
            <v>TFRLFELCEXT</v>
          </cell>
          <cell r="B119" t="str">
            <v>VAR_cap</v>
          </cell>
          <cell r="C119" t="str">
            <v>-</v>
          </cell>
          <cell r="D119">
            <v>2.3170592241277921E-3</v>
          </cell>
          <cell r="E119">
            <v>2.5553853881874968E-3</v>
          </cell>
          <cell r="F119">
            <v>2.692298999055264E-3</v>
          </cell>
          <cell r="G119">
            <v>2.9204643586292307E-3</v>
          </cell>
          <cell r="H119">
            <v>3.054780667073825E-3</v>
          </cell>
          <cell r="I119">
            <v>3.1264825582407877E-3</v>
          </cell>
          <cell r="J119">
            <v>3.2437809579394317E-3</v>
          </cell>
          <cell r="K119">
            <v>3.3609937131463658E-3</v>
          </cell>
          <cell r="L119">
            <v>3.4144433970742512E-3</v>
          </cell>
          <cell r="M119">
            <v>3.4946709137744698E-3</v>
          </cell>
          <cell r="N119">
            <v>3.5176445244871966E-3</v>
          </cell>
          <cell r="O119">
            <v>3.56160182170868E-3</v>
          </cell>
        </row>
        <row r="120">
          <cell r="A120" t="str">
            <v>TFLGV-ICEDSLExt</v>
          </cell>
          <cell r="B120" t="str">
            <v>VAR_fout</v>
          </cell>
          <cell r="C120" t="str">
            <v>CO2_T</v>
          </cell>
          <cell r="D120">
            <v>811.38554369917495</v>
          </cell>
          <cell r="E120">
            <v>590.83392007970394</v>
          </cell>
          <cell r="F120">
            <v>414.44791665890898</v>
          </cell>
          <cell r="G120">
            <v>199.83851329401401</v>
          </cell>
        </row>
        <row r="121">
          <cell r="A121" t="str">
            <v>TFLGV-ICEDSLExt</v>
          </cell>
          <cell r="B121" t="str">
            <v>VAR_fout</v>
          </cell>
          <cell r="C121" t="str">
            <v>TFLGV</v>
          </cell>
          <cell r="D121">
            <v>2.8673749242734945</v>
          </cell>
          <cell r="E121">
            <v>2.15970725058963</v>
          </cell>
          <cell r="F121">
            <v>1.5904436118976077</v>
          </cell>
          <cell r="G121">
            <v>0.76688016540605775</v>
          </cell>
        </row>
        <row r="122">
          <cell r="A122" t="str">
            <v>TFLGV-ICEDSLExt</v>
          </cell>
          <cell r="B122" t="str">
            <v>VAR_fin</v>
          </cell>
          <cell r="C122" t="str">
            <v>TDSL</v>
          </cell>
          <cell r="D122">
            <v>11.069379859470333</v>
          </cell>
          <cell r="E122">
            <v>8.0604900420150454</v>
          </cell>
          <cell r="F122">
            <v>5.6541325601488337</v>
          </cell>
          <cell r="G122">
            <v>2.7263098675854587</v>
          </cell>
        </row>
        <row r="123">
          <cell r="A123" t="str">
            <v>TFLGV-ICEDSLExt</v>
          </cell>
          <cell r="B123" t="str">
            <v>VAR_cap</v>
          </cell>
          <cell r="C123" t="str">
            <v>-</v>
          </cell>
          <cell r="D123">
            <v>0.22868007078687644</v>
          </cell>
          <cell r="E123">
            <v>0.19846047650006221</v>
          </cell>
          <cell r="F123">
            <v>0.15266191223640874</v>
          </cell>
          <cell r="G123">
            <v>7.6330968762834198E-2</v>
          </cell>
        </row>
        <row r="124">
          <cell r="A124" t="str">
            <v>T_C-ICE-NGA-S1</v>
          </cell>
          <cell r="B124" t="str">
            <v>VAR_fout</v>
          </cell>
          <cell r="C124" t="str">
            <v>CO2_T</v>
          </cell>
          <cell r="D124">
            <v>0.19710693549798872</v>
          </cell>
          <cell r="E124">
            <v>0.16920959317228601</v>
          </cell>
          <cell r="F124">
            <v>0.17210195940581094</v>
          </cell>
          <cell r="G124">
            <v>9.3434168871150431E-3</v>
          </cell>
          <cell r="H124">
            <v>4.8204446974828207E-3</v>
          </cell>
          <cell r="I124">
            <v>4.1496504954306969E-3</v>
          </cell>
          <cell r="J124">
            <v>3.8441281039635795E-3</v>
          </cell>
          <cell r="K124">
            <v>3.8199570663102903E-3</v>
          </cell>
          <cell r="L124">
            <v>3.2684986263869171E-3</v>
          </cell>
          <cell r="M124">
            <v>3.3237659755209854E-3</v>
          </cell>
          <cell r="N124">
            <v>3.156716609238368E-3</v>
          </cell>
          <cell r="O124">
            <v>3.3347552534774899E-3</v>
          </cell>
        </row>
        <row r="125">
          <cell r="A125" t="str">
            <v>T_C-ICE-NGA-S1</v>
          </cell>
          <cell r="B125" t="str">
            <v>VAR_fout</v>
          </cell>
          <cell r="C125" t="str">
            <v>TPCAR</v>
          </cell>
          <cell r="D125">
            <v>2.1514297982701798E-3</v>
          </cell>
          <cell r="E125">
            <v>1.8470988867852476E-3</v>
          </cell>
          <cell r="F125">
            <v>1.871999837386474E-3</v>
          </cell>
          <cell r="G125">
            <v>1.0276592966798078E-4</v>
          </cell>
          <cell r="H125">
            <v>5.1528962657497267E-5</v>
          </cell>
          <cell r="I125">
            <v>4.6430885961419152E-5</v>
          </cell>
          <cell r="J125">
            <v>4.5490945355777736E-5</v>
          </cell>
          <cell r="K125">
            <v>4.9567639625029559E-5</v>
          </cell>
          <cell r="L125">
            <v>4.5960569746134718E-5</v>
          </cell>
          <cell r="M125">
            <v>5.0347975019198244E-5</v>
          </cell>
          <cell r="N125">
            <v>5.0167374253058397E-5</v>
          </cell>
          <cell r="O125">
            <v>5.4341160670635136E-5</v>
          </cell>
        </row>
        <row r="126">
          <cell r="A126" t="str">
            <v>T_C-ICE-NGA-S1</v>
          </cell>
          <cell r="B126" t="str">
            <v>VAR_fin</v>
          </cell>
          <cell r="C126" t="str">
            <v>TNGA</v>
          </cell>
          <cell r="D126">
            <v>3.494803820886318E-3</v>
          </cell>
          <cell r="E126">
            <v>3.0001700917071934E-3</v>
          </cell>
          <cell r="F126">
            <v>3.0514531809540946E-3</v>
          </cell>
          <cell r="G126">
            <v>1.6566341998430949E-4</v>
          </cell>
          <cell r="H126">
            <v>8.5468877614943705E-5</v>
          </cell>
          <cell r="I126">
            <v>7.3575363394161401E-5</v>
          </cell>
          <cell r="J126">
            <v>6.8158299715666301E-5</v>
          </cell>
          <cell r="K126">
            <v>6.7729735218267494E-5</v>
          </cell>
          <cell r="L126">
            <v>5.7952103304732543E-5</v>
          </cell>
          <cell r="M126">
            <v>5.8932020842570567E-5</v>
          </cell>
          <cell r="N126">
            <v>5.5970152646070488E-5</v>
          </cell>
          <cell r="O126">
            <v>5.912686619640951E-5</v>
          </cell>
        </row>
        <row r="127">
          <cell r="A127" t="str">
            <v>T_C-ICE-NGA-S1</v>
          </cell>
          <cell r="B127" t="str">
            <v>VAR_ncap</v>
          </cell>
          <cell r="C127" t="str">
            <v>-</v>
          </cell>
          <cell r="E127">
            <v>7.8025633199243299E-6</v>
          </cell>
          <cell r="F127">
            <v>6.9846564891175998E-6</v>
          </cell>
          <cell r="G127">
            <v>8.5069185230492704E-7</v>
          </cell>
          <cell r="H127">
            <v>2.91539594437681E-6</v>
          </cell>
          <cell r="I127">
            <v>2.9185036295205399E-6</v>
          </cell>
          <cell r="J127">
            <v>2.19829493501076E-6</v>
          </cell>
          <cell r="K127">
            <v>2.7108257753098599E-6</v>
          </cell>
          <cell r="L127">
            <v>2.43910322579325E-6</v>
          </cell>
          <cell r="M127">
            <v>2.2084680627267599E-6</v>
          </cell>
          <cell r="N127">
            <v>2.25489811556008E-6</v>
          </cell>
          <cell r="O127">
            <v>2.1879973878945299E-6</v>
          </cell>
        </row>
        <row r="128">
          <cell r="A128" t="str">
            <v>T_C-ICE-NGA-S1</v>
          </cell>
          <cell r="B128" t="str">
            <v>VAR_cap</v>
          </cell>
          <cell r="C128" t="str">
            <v>-</v>
          </cell>
          <cell r="D128">
            <v>2.5568783143094682E-4</v>
          </cell>
          <cell r="E128">
            <v>2.6146599150371258E-4</v>
          </cell>
          <cell r="F128">
            <v>2.6725006214666592E-4</v>
          </cell>
          <cell r="G128">
            <v>1.3520049017677794E-5</v>
          </cell>
          <cell r="H128">
            <v>6.5200254768997793E-6</v>
          </cell>
          <cell r="I128">
            <v>5.9220512545452521E-6</v>
          </cell>
          <cell r="J128">
            <v>5.5769485491805482E-6</v>
          </cell>
          <cell r="K128">
            <v>5.904751751678153E-6</v>
          </cell>
          <cell r="L128">
            <v>5.8071840147215203E-6</v>
          </cell>
          <cell r="M128">
            <v>6.0580959983790665E-6</v>
          </cell>
          <cell r="N128">
            <v>6.2649144208206082E-6</v>
          </cell>
          <cell r="O128">
            <v>6.5974837941850769E-6</v>
          </cell>
        </row>
        <row r="129">
          <cell r="A129" t="str">
            <v>D-T-ELC-car</v>
          </cell>
          <cell r="B129" t="str">
            <v>VAR_fout</v>
          </cell>
          <cell r="C129" t="str">
            <v>T-ELC-car</v>
          </cell>
          <cell r="D129">
            <v>0.73936015322112081</v>
          </cell>
          <cell r="E129">
            <v>1.5735135225342878</v>
          </cell>
          <cell r="F129">
            <v>4.2295458503988161</v>
          </cell>
          <cell r="G129">
            <v>14.294756653201151</v>
          </cell>
          <cell r="H129">
            <v>23.458750605938619</v>
          </cell>
          <cell r="I129">
            <v>24.903314605155515</v>
          </cell>
          <cell r="J129">
            <v>24.783651772387433</v>
          </cell>
          <cell r="K129">
            <v>24.821934834802022</v>
          </cell>
          <cell r="L129">
            <v>25.347751086366173</v>
          </cell>
          <cell r="M129">
            <v>24.995863280460252</v>
          </cell>
          <cell r="N129">
            <v>24.808137881494996</v>
          </cell>
          <cell r="O129">
            <v>24.796962424593559</v>
          </cell>
        </row>
        <row r="130">
          <cell r="A130" t="str">
            <v>D-T-ELC-car</v>
          </cell>
          <cell r="B130" t="str">
            <v>VAR_fin</v>
          </cell>
          <cell r="C130" t="str">
            <v>TELC</v>
          </cell>
          <cell r="D130">
            <v>0.73936015322112081</v>
          </cell>
          <cell r="E130">
            <v>1.5735135225342878</v>
          </cell>
          <cell r="F130">
            <v>4.2295458503988161</v>
          </cell>
          <cell r="G130">
            <v>14.294756653201151</v>
          </cell>
          <cell r="H130">
            <v>23.458750605938619</v>
          </cell>
          <cell r="I130">
            <v>24.903314605155515</v>
          </cell>
          <cell r="J130">
            <v>24.783651772387433</v>
          </cell>
          <cell r="K130">
            <v>24.821934834802022</v>
          </cell>
          <cell r="L130">
            <v>25.347751086366173</v>
          </cell>
          <cell r="M130">
            <v>24.995863280460252</v>
          </cell>
          <cell r="N130">
            <v>24.808137881494996</v>
          </cell>
          <cell r="O130">
            <v>24.796962424593559</v>
          </cell>
        </row>
        <row r="131">
          <cell r="A131" t="str">
            <v>D-T-ELC-car</v>
          </cell>
          <cell r="B131" t="str">
            <v>VAR_ncap</v>
          </cell>
          <cell r="C131" t="str">
            <v>-</v>
          </cell>
          <cell r="D131">
            <v>1.2511715091294E-6</v>
          </cell>
          <cell r="E131">
            <v>8.2120063137395502E-7</v>
          </cell>
          <cell r="F131">
            <v>0.97781526752359404</v>
          </cell>
          <cell r="G131">
            <v>6.0102808667964798</v>
          </cell>
          <cell r="H131">
            <v>11.019711322508799</v>
          </cell>
          <cell r="I131">
            <v>5.0290805315643698</v>
          </cell>
          <cell r="J131">
            <v>6.2197355701897203</v>
          </cell>
          <cell r="K131">
            <v>12.1012145158563</v>
          </cell>
          <cell r="L131">
            <v>7.1407485348699797</v>
          </cell>
          <cell r="M131">
            <v>7.5371584420189901</v>
          </cell>
          <cell r="N131">
            <v>13.960207570661201</v>
          </cell>
          <cell r="O131">
            <v>8.5778117924285908</v>
          </cell>
        </row>
        <row r="132">
          <cell r="A132" t="str">
            <v>D-T-ELC-car</v>
          </cell>
          <cell r="B132" t="str">
            <v>VAR_cap</v>
          </cell>
          <cell r="C132" t="str">
            <v>-</v>
          </cell>
          <cell r="D132">
            <v>1.276259208229559</v>
          </cell>
          <cell r="E132">
            <v>1.2762600294301905</v>
          </cell>
          <cell r="F132">
            <v>2.2540752969537849</v>
          </cell>
          <cell r="G132">
            <v>8.2643561637502696</v>
          </cell>
          <cell r="H132">
            <v>18.338785940937207</v>
          </cell>
          <cell r="I132">
            <v>21.120973873908699</v>
          </cell>
          <cell r="J132">
            <v>22.268527424262899</v>
          </cell>
          <cell r="K132">
            <v>23.3500306176104</v>
          </cell>
          <cell r="L132">
            <v>25.410350823107699</v>
          </cell>
          <cell r="M132">
            <v>26.779121492745301</v>
          </cell>
          <cell r="N132">
            <v>28.5177898915341</v>
          </cell>
          <cell r="O132">
            <v>30.075177805108801</v>
          </cell>
        </row>
        <row r="133">
          <cell r="A133" t="str">
            <v>T_C-ICE-NGA-S2</v>
          </cell>
          <cell r="B133" t="str">
            <v>VAR_fout</v>
          </cell>
          <cell r="C133" t="str">
            <v>CO2_T</v>
          </cell>
          <cell r="D133">
            <v>3.0402762826611509</v>
          </cell>
          <cell r="E133">
            <v>1.9854615651774052</v>
          </cell>
          <cell r="F133">
            <v>2.6692964887325554</v>
          </cell>
          <cell r="G133">
            <v>6.4841421504260952E-3</v>
          </cell>
          <cell r="H133">
            <v>8.1528283584096084E-3</v>
          </cell>
          <cell r="I133">
            <v>8.5268154387393245E-3</v>
          </cell>
          <cell r="J133">
            <v>8.3724021410436396E-3</v>
          </cell>
          <cell r="K133">
            <v>7.8485186697268006E-3</v>
          </cell>
          <cell r="L133">
            <v>6.8879745818830624E-3</v>
          </cell>
          <cell r="M133">
            <v>6.7239652979672396E-3</v>
          </cell>
          <cell r="N133">
            <v>6.365802476375363E-3</v>
          </cell>
          <cell r="O133">
            <v>6.5918771973859603E-3</v>
          </cell>
        </row>
        <row r="134">
          <cell r="A134" t="str">
            <v>T_C-ICE-NGA-S2</v>
          </cell>
          <cell r="B134" t="str">
            <v>VAR_fout</v>
          </cell>
          <cell r="C134" t="str">
            <v>TPCAR</v>
          </cell>
          <cell r="D134">
            <v>3.4218493188211359E-2</v>
          </cell>
          <cell r="E134">
            <v>2.3154540191203228E-2</v>
          </cell>
          <cell r="F134">
            <v>3.1161551199238587E-2</v>
          </cell>
          <cell r="G134">
            <v>5.8169755050812683E-5</v>
          </cell>
          <cell r="H134">
            <v>6.9025613318835034E-5</v>
          </cell>
          <cell r="I134">
            <v>7.6263414676713999E-5</v>
          </cell>
          <cell r="J134">
            <v>7.9294042851075935E-5</v>
          </cell>
          <cell r="K134">
            <v>8.1559976078958947E-5</v>
          </cell>
          <cell r="L134">
            <v>7.7638024633000668E-5</v>
          </cell>
          <cell r="M134">
            <v>8.1844460805891598E-5</v>
          </cell>
          <cell r="N134">
            <v>8.1266122219668635E-5</v>
          </cell>
          <cell r="O134">
            <v>8.6431701103888324E-5</v>
          </cell>
        </row>
        <row r="135">
          <cell r="A135" t="str">
            <v>T_C-ICE-NGA-S2</v>
          </cell>
          <cell r="B135" t="str">
            <v>VAR_fin</v>
          </cell>
          <cell r="C135" t="str">
            <v>TNGA</v>
          </cell>
          <cell r="D135">
            <v>5.3905607848601989E-2</v>
          </cell>
          <cell r="E135">
            <v>3.520321924073419E-2</v>
          </cell>
          <cell r="F135">
            <v>4.7327951927882292E-2</v>
          </cell>
          <cell r="G135">
            <v>1.1496705940471799E-4</v>
          </cell>
          <cell r="H135">
            <v>1.4455369429804265E-4</v>
          </cell>
          <cell r="I135">
            <v>1.511846708996333E-4</v>
          </cell>
          <cell r="J135">
            <v>1.4844684647240502E-4</v>
          </cell>
          <cell r="K135">
            <v>1.3915813244196453E-4</v>
          </cell>
          <cell r="L135">
            <v>1.2212720889863564E-4</v>
          </cell>
          <cell r="M135">
            <v>1.1921924287175977E-4</v>
          </cell>
          <cell r="N135">
            <v>1.1286883823360594E-4</v>
          </cell>
          <cell r="O135">
            <v>1.1687725527280069E-4</v>
          </cell>
        </row>
        <row r="136">
          <cell r="A136" t="str">
            <v>T_C-ICE-NGA-S2</v>
          </cell>
          <cell r="B136" t="str">
            <v>VAR_ncap</v>
          </cell>
          <cell r="C136" t="str">
            <v>-</v>
          </cell>
          <cell r="E136">
            <v>4.5978600372839299E-6</v>
          </cell>
          <cell r="F136">
            <v>4.5342437047861803E-6</v>
          </cell>
          <cell r="G136">
            <v>9.4586180632012897E-7</v>
          </cell>
          <cell r="H136">
            <v>3.4129174213382499E-6</v>
          </cell>
          <cell r="I136">
            <v>3.05245460799824E-6</v>
          </cell>
          <cell r="J136">
            <v>2.4501877121072502E-6</v>
          </cell>
          <cell r="K136">
            <v>2.86439967105576E-6</v>
          </cell>
          <cell r="L136">
            <v>2.66243972761582E-6</v>
          </cell>
          <cell r="M136">
            <v>2.4032191129178898E-6</v>
          </cell>
          <cell r="N136">
            <v>2.4339753635208499E-6</v>
          </cell>
          <cell r="O136">
            <v>2.1550726460802098E-6</v>
          </cell>
        </row>
        <row r="137">
          <cell r="A137" t="str">
            <v>T_C-ICE-NGA-S2</v>
          </cell>
          <cell r="B137" t="str">
            <v>VAR_cap</v>
          </cell>
          <cell r="C137" t="str">
            <v>-</v>
          </cell>
          <cell r="D137">
            <v>2.6565786279392723E-3</v>
          </cell>
          <cell r="E137">
            <v>2.4081101640388717E-3</v>
          </cell>
          <cell r="F137">
            <v>2.3804189254224869E-3</v>
          </cell>
          <cell r="G137">
            <v>4.4018205597987255E-6</v>
          </cell>
          <cell r="H137">
            <v>5.6548058322074507E-6</v>
          </cell>
          <cell r="I137">
            <v>6.3517278300360608E-6</v>
          </cell>
          <cell r="J137">
            <v>6.4580384190539132E-6</v>
          </cell>
          <cell r="K137">
            <v>6.475090009787515E-6</v>
          </cell>
          <cell r="L137">
            <v>6.5517784843819949E-6</v>
          </cell>
          <cell r="M137">
            <v>6.702214216235071E-6</v>
          </cell>
          <cell r="N137">
            <v>6.8234343290006201E-6</v>
          </cell>
          <cell r="O137">
            <v>6.9503787476326562E-6</v>
          </cell>
        </row>
        <row r="138">
          <cell r="A138" t="str">
            <v>TFLGV-ICEDSL</v>
          </cell>
          <cell r="B138" t="str">
            <v>VAR_fout</v>
          </cell>
          <cell r="C138" t="str">
            <v>CO2_T</v>
          </cell>
          <cell r="D138">
            <v>325.14905080060424</v>
          </cell>
          <cell r="E138">
            <v>384.70429701121316</v>
          </cell>
          <cell r="F138">
            <v>384.62050576247549</v>
          </cell>
          <cell r="G138">
            <v>155.49618046091524</v>
          </cell>
          <cell r="H138">
            <v>21.579025146645641</v>
          </cell>
          <cell r="I138">
            <v>21.180840712187099</v>
          </cell>
          <cell r="J138">
            <v>12.121278886384196</v>
          </cell>
          <cell r="K138">
            <v>2.1940867404659721</v>
          </cell>
          <cell r="L138">
            <v>2.075110816426109</v>
          </cell>
          <cell r="M138">
            <v>1.8331105374167902</v>
          </cell>
          <cell r="N138">
            <v>1.4894921389253661</v>
          </cell>
          <cell r="O138">
            <v>2.0911148756753062</v>
          </cell>
        </row>
        <row r="139">
          <cell r="A139" t="str">
            <v>TFLGV-ICEDSL</v>
          </cell>
          <cell r="B139" t="str">
            <v>VAR_fout</v>
          </cell>
          <cell r="C139" t="str">
            <v>TFLGV</v>
          </cell>
          <cell r="D139">
            <v>1.5175744789546131</v>
          </cell>
          <cell r="E139">
            <v>1.7955378361120145</v>
          </cell>
          <cell r="F139">
            <v>1.7951467555896168</v>
          </cell>
          <cell r="G139">
            <v>0.72575034268550787</v>
          </cell>
          <cell r="H139">
            <v>0.10071620311557242</v>
          </cell>
          <cell r="I139">
            <v>9.8857749172178433E-2</v>
          </cell>
          <cell r="J139">
            <v>5.6573880332649651E-2</v>
          </cell>
          <cell r="K139">
            <v>1.0240503651310932E-2</v>
          </cell>
          <cell r="L139">
            <v>9.6852050106156599E-3</v>
          </cell>
          <cell r="M139">
            <v>8.555712408929864E-3</v>
          </cell>
          <cell r="N139">
            <v>6.9519355848368745E-3</v>
          </cell>
          <cell r="O139">
            <v>9.7599010671363673E-3</v>
          </cell>
        </row>
        <row r="140">
          <cell r="A140" t="str">
            <v>TFLGV-ICEDSL</v>
          </cell>
          <cell r="B140" t="str">
            <v>VAR_fin</v>
          </cell>
          <cell r="C140" t="str">
            <v>TDSL</v>
          </cell>
          <cell r="D140">
            <v>4.4358669959154735</v>
          </cell>
          <cell r="E140">
            <v>5.2483533016536654</v>
          </cell>
          <cell r="F140">
            <v>5.2472101741128894</v>
          </cell>
          <cell r="G140">
            <v>2.1213667184299463</v>
          </cell>
          <cell r="H140">
            <v>0.29439324893104513</v>
          </cell>
          <cell r="I140">
            <v>0.28896099198072428</v>
          </cell>
          <cell r="J140">
            <v>0.16536533269282602</v>
          </cell>
          <cell r="K140">
            <v>2.9932970538417061E-2</v>
          </cell>
          <cell r="L140">
            <v>2.8309833784803715E-2</v>
          </cell>
          <cell r="M140">
            <v>2.5008329296272724E-2</v>
          </cell>
          <cell r="N140">
            <v>2.0320493027631167E-2</v>
          </cell>
          <cell r="O140">
            <v>2.8528170200208824E-2</v>
          </cell>
        </row>
        <row r="141">
          <cell r="A141" t="str">
            <v>TFLGV-ICEDSL</v>
          </cell>
          <cell r="B141" t="str">
            <v>VAR_ncap</v>
          </cell>
          <cell r="C141" t="str">
            <v>-</v>
          </cell>
          <cell r="E141">
            <v>3.7231738538633498E-5</v>
          </cell>
          <cell r="F141">
            <v>2.5483044885962601E-4</v>
          </cell>
          <cell r="G141">
            <v>2.40010551195455E-4</v>
          </cell>
          <cell r="H141">
            <v>9.5487128786292293E-3</v>
          </cell>
          <cell r="I141">
            <v>9.7618991014372804E-5</v>
          </cell>
          <cell r="J141">
            <v>4.6643782285234799E-4</v>
          </cell>
          <cell r="K141">
            <v>4.11806755396215E-4</v>
          </cell>
          <cell r="L141">
            <v>2.2503896329558601E-4</v>
          </cell>
          <cell r="M141">
            <v>2.7698216687949698E-4</v>
          </cell>
          <cell r="N141">
            <v>2.6759785853259398E-4</v>
          </cell>
          <cell r="O141">
            <v>3.4561754970955299E-4</v>
          </cell>
        </row>
        <row r="142">
          <cell r="A142" t="str">
            <v>TFLGV-ICEDSL</v>
          </cell>
          <cell r="B142" t="str">
            <v>VAR_cap</v>
          </cell>
          <cell r="C142" t="str">
            <v>-</v>
          </cell>
          <cell r="D142">
            <v>0.10616875875581751</v>
          </cell>
          <cell r="E142">
            <v>0.12519290053784987</v>
          </cell>
          <cell r="F142">
            <v>0.12544766261591977</v>
          </cell>
          <cell r="G142">
            <v>7.1369755961388018E-2</v>
          </cell>
          <cell r="H142">
            <v>9.9192421571313791E-3</v>
          </cell>
          <cell r="I142">
            <v>9.6966351958010216E-3</v>
          </cell>
          <cell r="J142">
            <v>5.5150425597351119E-3</v>
          </cell>
          <cell r="K142">
            <v>9.1152205044945636E-4</v>
          </cell>
          <cell r="L142">
            <v>8.4657251605174677E-4</v>
          </cell>
          <cell r="M142">
            <v>7.128787468898461E-4</v>
          </cell>
          <cell r="N142">
            <v>5.8437253343512549E-4</v>
          </cell>
          <cell r="O142">
            <v>7.9987833158036447E-4</v>
          </cell>
        </row>
        <row r="143">
          <cell r="A143" t="str">
            <v>T_C-ICE-NGA-S3</v>
          </cell>
          <cell r="B143" t="str">
            <v>VAR_fout</v>
          </cell>
          <cell r="C143" t="str">
            <v>CO2_T</v>
          </cell>
          <cell r="D143">
            <v>0.23709331059988487</v>
          </cell>
          <cell r="E143">
            <v>0.21574461790620572</v>
          </cell>
          <cell r="F143">
            <v>0.27342639869708646</v>
          </cell>
          <cell r="G143">
            <v>2.8287666649661748E-2</v>
          </cell>
          <cell r="H143">
            <v>1.2461281273263557E-2</v>
          </cell>
          <cell r="I143">
            <v>1.0227232498108075E-2</v>
          </cell>
          <cell r="J143">
            <v>1.01383480877765E-2</v>
          </cell>
          <cell r="K143">
            <v>9.6319667427845496E-3</v>
          </cell>
          <cell r="L143">
            <v>8.4909465544450585E-3</v>
          </cell>
          <cell r="M143">
            <v>8.16409557060278E-3</v>
          </cell>
          <cell r="N143">
            <v>7.5840425479830696E-3</v>
          </cell>
          <cell r="O143">
            <v>7.7661549957625895E-3</v>
          </cell>
        </row>
        <row r="144">
          <cell r="A144" t="str">
            <v>T_C-ICE-NGA-S3</v>
          </cell>
          <cell r="B144" t="str">
            <v>VAR_fout</v>
          </cell>
          <cell r="C144" t="str">
            <v>TPCAR</v>
          </cell>
          <cell r="D144">
            <v>1.9682675062063274E-3</v>
          </cell>
          <cell r="E144">
            <v>1.8186179448730513E-3</v>
          </cell>
          <cell r="F144">
            <v>2.2951934879477508E-3</v>
          </cell>
          <cell r="G144">
            <v>2.4383855641831552E-4</v>
          </cell>
          <cell r="H144">
            <v>1.0542938124022114E-4</v>
          </cell>
          <cell r="I144">
            <v>8.7986639931779423E-5</v>
          </cell>
          <cell r="J144">
            <v>9.2258304106909004E-5</v>
          </cell>
          <cell r="K144">
            <v>9.6205406235856848E-5</v>
          </cell>
          <cell r="L144">
            <v>9.1916069368553686E-5</v>
          </cell>
          <cell r="M144">
            <v>9.5503402454787077E-5</v>
          </cell>
          <cell r="N144">
            <v>9.3027896317450005E-5</v>
          </cell>
          <cell r="O144">
            <v>9.8003597439159603E-5</v>
          </cell>
        </row>
        <row r="145">
          <cell r="A145" t="str">
            <v>T_C-ICE-NGA-S3</v>
          </cell>
          <cell r="B145" t="str">
            <v>VAR_fin</v>
          </cell>
          <cell r="C145" t="str">
            <v>TNGA</v>
          </cell>
          <cell r="D145">
            <v>4.2037821028348349E-3</v>
          </cell>
          <cell r="E145">
            <v>3.82525918273415E-3</v>
          </cell>
          <cell r="F145">
            <v>4.8479857925015279E-3</v>
          </cell>
          <cell r="G145">
            <v>5.0155437322095238E-4</v>
          </cell>
          <cell r="H145">
            <v>2.2094470342665903E-4</v>
          </cell>
          <cell r="I145">
            <v>1.8133390954092342E-4</v>
          </cell>
          <cell r="J145">
            <v>1.7975794481873235E-4</v>
          </cell>
          <cell r="K145">
            <v>1.7077955217703126E-4</v>
          </cell>
          <cell r="L145">
            <v>1.5054869777384892E-4</v>
          </cell>
          <cell r="M145">
            <v>1.4475346756387893E-4</v>
          </cell>
          <cell r="N145">
            <v>1.3446883950324605E-4</v>
          </cell>
          <cell r="O145">
            <v>1.3769778361281159E-4</v>
          </cell>
        </row>
        <row r="146">
          <cell r="A146" t="str">
            <v>T_C-ICE-NGA-S3</v>
          </cell>
          <cell r="B146" t="str">
            <v>VAR_ncap</v>
          </cell>
          <cell r="C146" t="str">
            <v>-</v>
          </cell>
          <cell r="E146">
            <v>5.3059001537447498E-6</v>
          </cell>
          <cell r="F146">
            <v>4.2605658171288696E-6</v>
          </cell>
          <cell r="G146">
            <v>9.21541710837345E-7</v>
          </cell>
          <cell r="H146">
            <v>3.57000798251575E-6</v>
          </cell>
          <cell r="I146">
            <v>3.1322599070108801E-6</v>
          </cell>
          <cell r="J146">
            <v>2.5872063603106101E-6</v>
          </cell>
          <cell r="K146">
            <v>3.0031641775591602E-6</v>
          </cell>
          <cell r="L146">
            <v>2.8277136637265401E-6</v>
          </cell>
          <cell r="M146">
            <v>2.4533169433558102E-6</v>
          </cell>
          <cell r="N146">
            <v>2.4864669495671899E-6</v>
          </cell>
          <cell r="O146">
            <v>2.1478677607599001E-6</v>
          </cell>
        </row>
        <row r="147">
          <cell r="A147" t="str">
            <v>T_C-ICE-NGA-S3</v>
          </cell>
          <cell r="B147" t="str">
            <v>VAR_cap</v>
          </cell>
          <cell r="C147" t="str">
            <v>-</v>
          </cell>
          <cell r="D147">
            <v>1.5084118427880909E-4</v>
          </cell>
          <cell r="E147">
            <v>1.6312523775424383E-4</v>
          </cell>
          <cell r="F147">
            <v>1.6591696626189434E-4</v>
          </cell>
          <cell r="G147">
            <v>1.6092727467892208E-5</v>
          </cell>
          <cell r="H147">
            <v>7.6339706792926407E-6</v>
          </cell>
          <cell r="I147">
            <v>6.5727973343032326E-6</v>
          </cell>
          <cell r="J147">
            <v>6.7472648668748707E-6</v>
          </cell>
          <cell r="K147">
            <v>6.785163532528691E-6</v>
          </cell>
          <cell r="L147">
            <v>6.9740441969548741E-6</v>
          </cell>
          <cell r="M147">
            <v>7.0367230047495309E-6</v>
          </cell>
          <cell r="N147">
            <v>7.0793218168803185E-6</v>
          </cell>
          <cell r="O147">
            <v>7.0438334719063856E-6</v>
          </cell>
        </row>
        <row r="148">
          <cell r="A148" t="str">
            <v>T_C-ICE-NGA-S4</v>
          </cell>
          <cell r="B148" t="str">
            <v>VAR_fout</v>
          </cell>
          <cell r="C148" t="str">
            <v>CO2_T</v>
          </cell>
          <cell r="D148">
            <v>2.7002953632240501</v>
          </cell>
          <cell r="E148">
            <v>2.6537955753348053</v>
          </cell>
          <cell r="F148">
            <v>2.4767367100531099</v>
          </cell>
          <cell r="G148">
            <v>4.4053876681396827E-3</v>
          </cell>
          <cell r="H148">
            <v>7.9157303336690136E-3</v>
          </cell>
          <cell r="I148">
            <v>9.086669984908799E-3</v>
          </cell>
          <cell r="J148">
            <v>9.0512265333669711E-3</v>
          </cell>
          <cell r="K148">
            <v>8.4517555184838791E-3</v>
          </cell>
          <cell r="L148">
            <v>7.5649339837564541E-3</v>
          </cell>
          <cell r="M148">
            <v>7.2096619948528702E-3</v>
          </cell>
          <cell r="N148">
            <v>6.5166371671037601E-3</v>
          </cell>
          <cell r="O148">
            <v>6.6244503498527202E-3</v>
          </cell>
        </row>
        <row r="149">
          <cell r="A149" t="str">
            <v>T_C-ICE-NGA-S4</v>
          </cell>
          <cell r="B149" t="str">
            <v>VAR_fout</v>
          </cell>
          <cell r="C149" t="str">
            <v>TPCAR</v>
          </cell>
          <cell r="D149">
            <v>3.2685679516707457E-2</v>
          </cell>
          <cell r="E149">
            <v>3.2085241828267844E-2</v>
          </cell>
          <cell r="F149">
            <v>2.9913077218757824E-2</v>
          </cell>
          <cell r="G149">
            <v>3.7008234702007912E-5</v>
          </cell>
          <cell r="H149">
            <v>6.5253164526491843E-5</v>
          </cell>
          <cell r="I149">
            <v>7.8736200447794444E-5</v>
          </cell>
          <cell r="J149">
            <v>8.2933007245375592E-5</v>
          </cell>
          <cell r="K149">
            <v>8.479481633765313E-5</v>
          </cell>
          <cell r="L149">
            <v>8.2134076382736233E-5</v>
          </cell>
          <cell r="M149">
            <v>8.4208971803738505E-5</v>
          </cell>
          <cell r="N149">
            <v>7.975533200810067E-5</v>
          </cell>
          <cell r="O149">
            <v>8.3333239141344825E-5</v>
          </cell>
        </row>
        <row r="150">
          <cell r="A150" t="str">
            <v>T_C-ICE-NGA-S4</v>
          </cell>
          <cell r="B150" t="str">
            <v>VAR_fin</v>
          </cell>
          <cell r="C150" t="str">
            <v>TNGA</v>
          </cell>
          <cell r="D150">
            <v>4.7877577362128554E-2</v>
          </cell>
          <cell r="E150">
            <v>4.7053113037851028E-2</v>
          </cell>
          <cell r="F150">
            <v>4.3913771454842314E-2</v>
          </cell>
          <cell r="G150">
            <v>7.8109710428008461E-5</v>
          </cell>
          <cell r="H150">
            <v>1.4034982861115274E-4</v>
          </cell>
          <cell r="I150">
            <v>1.611111699451916E-4</v>
          </cell>
          <cell r="J150">
            <v>1.6048273995331543E-4</v>
          </cell>
          <cell r="K150">
            <v>1.4985382124971429E-4</v>
          </cell>
          <cell r="L150">
            <v>1.3413003517298677E-4</v>
          </cell>
          <cell r="M150">
            <v>1.278308864335617E-4</v>
          </cell>
          <cell r="N150">
            <v>1.1554321218269074E-4</v>
          </cell>
          <cell r="O150">
            <v>1.1745479343710508E-4</v>
          </cell>
        </row>
        <row r="151">
          <cell r="A151" t="str">
            <v>T_C-ICE-NGA-S4</v>
          </cell>
          <cell r="B151" t="str">
            <v>VAR_ncap</v>
          </cell>
          <cell r="C151" t="str">
            <v>-</v>
          </cell>
          <cell r="E151">
            <v>5.4724288063358401E-6</v>
          </cell>
          <cell r="F151">
            <v>4.7583159676713099E-6</v>
          </cell>
          <cell r="G151">
            <v>9.7698905745634295E-7</v>
          </cell>
          <cell r="H151">
            <v>3.7446416382525799E-6</v>
          </cell>
          <cell r="I151">
            <v>3.3088776802262498E-6</v>
          </cell>
          <cell r="J151">
            <v>2.7135575493376199E-6</v>
          </cell>
          <cell r="K151">
            <v>3.1362774263200899E-6</v>
          </cell>
          <cell r="L151">
            <v>2.9330662501681802E-6</v>
          </cell>
          <cell r="M151">
            <v>2.4444201418314602E-6</v>
          </cell>
          <cell r="N151">
            <v>2.4627054635452302E-6</v>
          </cell>
          <cell r="O151">
            <v>2.1988864639390101E-6</v>
          </cell>
        </row>
        <row r="152">
          <cell r="A152" t="str">
            <v>T_C-ICE-NGA-S4</v>
          </cell>
          <cell r="B152" t="str">
            <v>VAR_cap</v>
          </cell>
          <cell r="C152" t="str">
            <v>-</v>
          </cell>
          <cell r="D152">
            <v>2.6074482428115001E-3</v>
          </cell>
          <cell r="E152">
            <v>2.5388159406705209E-3</v>
          </cell>
          <cell r="F152">
            <v>2.3672964414128226E-3</v>
          </cell>
          <cell r="G152">
            <v>3.079656236662032E-6</v>
          </cell>
          <cell r="H152">
            <v>5.6707660856616959E-6</v>
          </cell>
          <cell r="I152">
            <v>6.8921880682740856E-6</v>
          </cell>
          <cell r="J152">
            <v>7.117855578546795E-6</v>
          </cell>
          <cell r="K152">
            <v>7.1056095596458896E-6</v>
          </cell>
          <cell r="L152">
            <v>7.24803648555883E-6</v>
          </cell>
          <cell r="M152">
            <v>7.1312885976277249E-6</v>
          </cell>
          <cell r="N152">
            <v>7.1097185481430154E-6</v>
          </cell>
          <cell r="O152">
            <v>7.0633187878102322E-6</v>
          </cell>
        </row>
        <row r="153">
          <cell r="A153" t="str">
            <v>T_C-MHY-GSL-S1</v>
          </cell>
          <cell r="B153" t="str">
            <v>VAR_fout</v>
          </cell>
          <cell r="C153" t="str">
            <v>CO2_T</v>
          </cell>
          <cell r="E153">
            <v>0.106309377826231</v>
          </cell>
          <cell r="F153">
            <v>15.066273009755173</v>
          </cell>
          <cell r="G153">
            <v>14.926536189374016</v>
          </cell>
          <cell r="H153">
            <v>10.905299605463563</v>
          </cell>
          <cell r="I153">
            <v>2.5292376875509541</v>
          </cell>
          <cell r="J153">
            <v>0.21478854727069918</v>
          </cell>
          <cell r="K153">
            <v>0.16324533177144809</v>
          </cell>
          <cell r="L153">
            <v>0.12331294728263281</v>
          </cell>
          <cell r="M153">
            <v>0.1838274540570021</v>
          </cell>
          <cell r="N153">
            <v>0.41058064960134433</v>
          </cell>
          <cell r="O153">
            <v>0.54253140570529301</v>
          </cell>
        </row>
        <row r="154">
          <cell r="A154" t="str">
            <v>T_C-MHY-GSL-S1</v>
          </cell>
          <cell r="B154" t="str">
            <v>VAR_fout</v>
          </cell>
          <cell r="C154" t="str">
            <v>TPCAR</v>
          </cell>
          <cell r="E154">
            <v>7.4672438223014645E-4</v>
          </cell>
          <cell r="F154">
            <v>0.11276387190588155</v>
          </cell>
          <cell r="G154">
            <v>0.1130302905863281</v>
          </cell>
          <cell r="H154">
            <v>8.2897998844381982E-2</v>
          </cell>
          <cell r="I154">
            <v>2.0028426800340469E-2</v>
          </cell>
          <cell r="J154">
            <v>2.1723015244590892E-3</v>
          </cell>
          <cell r="K154">
            <v>1.8316581106798617E-3</v>
          </cell>
          <cell r="L154">
            <v>1.4894230932752336E-3</v>
          </cell>
          <cell r="M154">
            <v>2.3024767900951147E-3</v>
          </cell>
          <cell r="N154">
            <v>5.1426073489334737E-3</v>
          </cell>
          <cell r="O154">
            <v>6.7953177937543751E-3</v>
          </cell>
        </row>
        <row r="155">
          <cell r="A155" t="str">
            <v>T_C-MHY-GSL-S1</v>
          </cell>
          <cell r="B155" t="str">
            <v>VAR_fin</v>
          </cell>
          <cell r="C155" t="str">
            <v>TGSL</v>
          </cell>
          <cell r="E155">
            <v>1.4405064746101724E-3</v>
          </cell>
          <cell r="F155">
            <v>0.2041500407825905</v>
          </cell>
          <cell r="G155">
            <v>0.20225658793189696</v>
          </cell>
          <cell r="H155">
            <v>0.14776828733690475</v>
          </cell>
          <cell r="I155">
            <v>3.4271513381449209E-2</v>
          </cell>
          <cell r="J155">
            <v>2.9104139196571722E-3</v>
          </cell>
          <cell r="K155">
            <v>2.2119963654667761E-3</v>
          </cell>
          <cell r="L155">
            <v>1.6709071447511222E-3</v>
          </cell>
          <cell r="M155">
            <v>2.4908869113414952E-3</v>
          </cell>
          <cell r="N155">
            <v>5.5634234363325825E-3</v>
          </cell>
          <cell r="O155">
            <v>7.3513740610473329E-3</v>
          </cell>
        </row>
        <row r="156">
          <cell r="A156" t="str">
            <v>T_C-MHY-GSL-S1</v>
          </cell>
          <cell r="B156" t="str">
            <v>VAR_ncap</v>
          </cell>
          <cell r="C156" t="str">
            <v>-</v>
          </cell>
          <cell r="E156">
            <v>8.8413422584416199E-5</v>
          </cell>
          <cell r="F156">
            <v>1.7273028316804499E-2</v>
          </cell>
          <cell r="G156">
            <v>2.2345187059554998E-3</v>
          </cell>
          <cell r="H156">
            <v>1.5784136588580799E-4</v>
          </cell>
          <cell r="I156">
            <v>1.69073798791382E-4</v>
          </cell>
          <cell r="J156">
            <v>8.6742875073079906E-5</v>
          </cell>
          <cell r="K156">
            <v>9.3870039847890606E-5</v>
          </cell>
          <cell r="L156">
            <v>7.5756362422845503E-5</v>
          </cell>
          <cell r="M156">
            <v>1.9938788273949999E-4</v>
          </cell>
          <cell r="N156">
            <v>5.0608448143226598E-4</v>
          </cell>
          <cell r="O156">
            <v>3.1217249726811199E-4</v>
          </cell>
        </row>
        <row r="157">
          <cell r="A157" t="str">
            <v>T_C-MHY-GSL-S1</v>
          </cell>
          <cell r="B157" t="str">
            <v>VAR_cap</v>
          </cell>
          <cell r="C157" t="str">
            <v>-</v>
          </cell>
          <cell r="E157">
            <v>8.7236361346374903E-5</v>
          </cell>
          <cell r="F157">
            <v>1.7125312950976902E-2</v>
          </cell>
          <cell r="G157">
            <v>1.71680490921064E-2</v>
          </cell>
          <cell r="H157">
            <v>1.2580597198983801E-2</v>
          </cell>
          <cell r="I157">
            <v>3.0257278185275198E-3</v>
          </cell>
          <cell r="J157">
            <v>3.1845427725990798E-4</v>
          </cell>
          <cell r="K157">
            <v>2.6483765830258098E-4</v>
          </cell>
          <cell r="L157">
            <v>2.1597985926988901E-4</v>
          </cell>
          <cell r="M157">
            <v>3.33164376587384E-4</v>
          </cell>
          <cell r="N157">
            <v>7.6504901511617205E-4</v>
          </cell>
          <cell r="O157">
            <v>1.01764486143988E-3</v>
          </cell>
        </row>
        <row r="158">
          <cell r="A158" t="str">
            <v>T_TRLY_ELC</v>
          </cell>
          <cell r="B158" t="str">
            <v>VAR_fout</v>
          </cell>
          <cell r="C158" t="str">
            <v>TPTRLY</v>
          </cell>
          <cell r="D158">
            <v>2.7120999999999972E-2</v>
          </cell>
          <cell r="E158">
            <v>2.7782165745480814E-2</v>
          </cell>
          <cell r="F158">
            <v>2.8773914363701983E-2</v>
          </cell>
          <cell r="G158">
            <v>3.042682872740389E-2</v>
          </cell>
          <cell r="H158">
            <v>3.1023641718362919E-2</v>
          </cell>
          <cell r="I158">
            <v>3.1892522889951397E-2</v>
          </cell>
          <cell r="J158">
            <v>3.2426583620297177E-2</v>
          </cell>
          <cell r="K158">
            <v>3.2960644350642984E-2</v>
          </cell>
          <cell r="L158">
            <v>3.5939564798539693E-2</v>
          </cell>
          <cell r="M158">
            <v>3.8019840657423198E-2</v>
          </cell>
          <cell r="N158">
            <v>4.0091477970173192E-2</v>
          </cell>
          <cell r="O158">
            <v>4.2130119148439206E-2</v>
          </cell>
        </row>
        <row r="159">
          <cell r="A159" t="str">
            <v>T_TRLY_ELC</v>
          </cell>
          <cell r="B159" t="str">
            <v>VAR_fin</v>
          </cell>
          <cell r="C159" t="str">
            <v>TELC</v>
          </cell>
          <cell r="D159">
            <v>0.2816422643485601</v>
          </cell>
          <cell r="E159">
            <v>0.30668648626079364</v>
          </cell>
          <cell r="F159">
            <v>0.35078787907941233</v>
          </cell>
          <cell r="G159">
            <v>0.44905706465165934</v>
          </cell>
          <cell r="H159">
            <v>0.45786518239100965</v>
          </cell>
          <cell r="I159">
            <v>0.4706886426319784</v>
          </cell>
          <cell r="J159">
            <v>0.47857062553803131</v>
          </cell>
          <cell r="K159">
            <v>0.48645260844408511</v>
          </cell>
          <cell r="L159">
            <v>0.5304172714770905</v>
          </cell>
          <cell r="M159">
            <v>0.5611192082193377</v>
          </cell>
          <cell r="N159">
            <v>0.59169365220825365</v>
          </cell>
          <cell r="O159">
            <v>0.62178111980442863</v>
          </cell>
        </row>
        <row r="160">
          <cell r="A160" t="str">
            <v>T_C-MHY-GSL-S2</v>
          </cell>
          <cell r="B160" t="str">
            <v>VAR_fout</v>
          </cell>
          <cell r="C160" t="str">
            <v>CO2_T</v>
          </cell>
          <cell r="E160">
            <v>9.4655834486804494E-2</v>
          </cell>
          <cell r="F160">
            <v>0.9922907514168422</v>
          </cell>
          <cell r="G160">
            <v>1.2730403166245257</v>
          </cell>
          <cell r="H160">
            <v>1.138197637979768</v>
          </cell>
          <cell r="I160">
            <v>0.67502682017012394</v>
          </cell>
          <cell r="J160">
            <v>0.37710954205324898</v>
          </cell>
          <cell r="K160">
            <v>0.30237795555206237</v>
          </cell>
          <cell r="L160">
            <v>0.24199405966558413</v>
          </cell>
          <cell r="M160">
            <v>0.32220655436000833</v>
          </cell>
          <cell r="N160">
            <v>0.47983426099873649</v>
          </cell>
          <cell r="O160">
            <v>0.53827195970125097</v>
          </cell>
        </row>
        <row r="161">
          <cell r="A161" t="str">
            <v>T_C-MHY-GSL-S2</v>
          </cell>
          <cell r="B161" t="str">
            <v>VAR_fout</v>
          </cell>
          <cell r="C161" t="str">
            <v>TPCAR</v>
          </cell>
          <cell r="E161">
            <v>5.3527632277710398E-4</v>
          </cell>
          <cell r="F161">
            <v>5.9667828702846338E-3</v>
          </cell>
          <cell r="G161">
            <v>7.9955141858180853E-3</v>
          </cell>
          <cell r="H161">
            <v>7.4369247603445028E-3</v>
          </cell>
          <cell r="I161">
            <v>4.9028607599761491E-3</v>
          </cell>
          <cell r="J161">
            <v>3.1476663308131121E-3</v>
          </cell>
          <cell r="K161">
            <v>2.8333905928133955E-3</v>
          </cell>
          <cell r="L161">
            <v>2.4380593190927312E-3</v>
          </cell>
          <cell r="M161">
            <v>3.364484087436732E-3</v>
          </cell>
          <cell r="N161">
            <v>5.0104341885404769E-3</v>
          </cell>
          <cell r="O161">
            <v>5.6206412272568592E-3</v>
          </cell>
        </row>
        <row r="162">
          <cell r="A162" t="str">
            <v>T_C-MHY-GSL-S2</v>
          </cell>
          <cell r="B162" t="str">
            <v>VAR_fin</v>
          </cell>
          <cell r="C162" t="str">
            <v>TGSL</v>
          </cell>
          <cell r="E162">
            <v>1.2825993832900333E-3</v>
          </cell>
          <cell r="F162">
            <v>1.3445674138439594E-2</v>
          </cell>
          <cell r="G162">
            <v>1.7249868788950237E-2</v>
          </cell>
          <cell r="H162">
            <v>1.5422732221948071E-2</v>
          </cell>
          <cell r="I162">
            <v>9.1467048803539862E-3</v>
          </cell>
          <cell r="J162">
            <v>5.1098853936754731E-3</v>
          </cell>
          <cell r="K162">
            <v>4.0972622703531417E-3</v>
          </cell>
          <cell r="L162">
            <v>3.2790522989916541E-3</v>
          </cell>
          <cell r="M162">
            <v>4.3659424710028273E-3</v>
          </cell>
          <cell r="N162">
            <v>6.5018192547254376E-3</v>
          </cell>
          <cell r="O162">
            <v>7.2936579905318651E-3</v>
          </cell>
        </row>
        <row r="163">
          <cell r="A163" t="str">
            <v>T_C-MHY-GSL-S2</v>
          </cell>
          <cell r="B163" t="str">
            <v>VAR_ncap</v>
          </cell>
          <cell r="C163" t="str">
            <v>-</v>
          </cell>
          <cell r="E163">
            <v>4.5136282207592997E-5</v>
          </cell>
          <cell r="F163">
            <v>4.9281972896534905E-4</v>
          </cell>
          <cell r="G163">
            <v>3.3661459606595099E-4</v>
          </cell>
          <cell r="H163">
            <v>1.4775989120902199E-4</v>
          </cell>
          <cell r="I163">
            <v>1.481592467559E-4</v>
          </cell>
          <cell r="J163">
            <v>9.4217387453895406E-5</v>
          </cell>
          <cell r="K163">
            <v>1.0539542226146201E-4</v>
          </cell>
          <cell r="L163">
            <v>8.6293273555507302E-5</v>
          </cell>
          <cell r="M163">
            <v>1.7476010474651101E-4</v>
          </cell>
          <cell r="N163">
            <v>2.5668392756016302E-4</v>
          </cell>
          <cell r="O163">
            <v>1.44077735810214E-4</v>
          </cell>
        </row>
        <row r="164">
          <cell r="A164" t="str">
            <v>T_C-MHY-GSL-S2</v>
          </cell>
          <cell r="B164" t="str">
            <v>VAR_cap</v>
          </cell>
          <cell r="C164" t="str">
            <v>-</v>
          </cell>
          <cell r="E164">
            <v>4.4535376070686798E-5</v>
          </cell>
          <cell r="F164">
            <v>5.2824497536201401E-4</v>
          </cell>
          <cell r="G164">
            <v>7.8035852530815005E-4</v>
          </cell>
          <cell r="H164">
            <v>7.2098526517749297E-4</v>
          </cell>
          <cell r="I164">
            <v>4.7394783866772799E-4</v>
          </cell>
          <cell r="J164">
            <v>3.02370718194626E-4</v>
          </cell>
          <cell r="K164">
            <v>2.7014005734004302E-4</v>
          </cell>
          <cell r="L164">
            <v>2.39011182831542E-4</v>
          </cell>
          <cell r="M164">
            <v>3.2619723315833299E-4</v>
          </cell>
          <cell r="N164">
            <v>4.9917936632233595E-4</v>
          </cell>
          <cell r="O164">
            <v>5.7552176811688797E-4</v>
          </cell>
        </row>
        <row r="165">
          <cell r="A165" t="str">
            <v>T_C-MHY-DSL-S1</v>
          </cell>
          <cell r="B165" t="str">
            <v>VAR_fout</v>
          </cell>
          <cell r="C165" t="str">
            <v>CO2_T</v>
          </cell>
          <cell r="E165">
            <v>0.108551238795006</v>
          </cell>
          <cell r="F165">
            <v>60.986039213676555</v>
          </cell>
          <cell r="G165">
            <v>155.37261772575101</v>
          </cell>
          <cell r="H165">
            <v>138.5404322230811</v>
          </cell>
          <cell r="I165">
            <v>83.606143514124668</v>
          </cell>
          <cell r="J165">
            <v>22.300107307615328</v>
          </cell>
          <cell r="K165">
            <v>8.2943119635966216</v>
          </cell>
          <cell r="L165">
            <v>1.2279242794038838</v>
          </cell>
          <cell r="M165">
            <v>0.21614532513333609</v>
          </cell>
          <cell r="N165">
            <v>0.24044268023570164</v>
          </cell>
          <cell r="O165">
            <v>0.25109832544084176</v>
          </cell>
        </row>
        <row r="166">
          <cell r="A166" t="str">
            <v>T_C-MHY-DSL-S1</v>
          </cell>
          <cell r="B166" t="str">
            <v>VAR_fout</v>
          </cell>
          <cell r="C166" t="str">
            <v>TPCAR</v>
          </cell>
          <cell r="E166">
            <v>8.3232802280029075E-4</v>
          </cell>
          <cell r="F166">
            <v>0.49288979766390739</v>
          </cell>
          <cell r="G166">
            <v>1.3261635422970197</v>
          </cell>
          <cell r="H166">
            <v>1.203877635035141</v>
          </cell>
          <cell r="I166">
            <v>0.76487026201889452</v>
          </cell>
          <cell r="J166">
            <v>0.22426212160339989</v>
          </cell>
          <cell r="K166">
            <v>8.7135912353504014E-2</v>
          </cell>
          <cell r="L166">
            <v>1.3244896757775437E-2</v>
          </cell>
          <cell r="M166">
            <v>2.7172127809552177E-3</v>
          </cell>
          <cell r="N166">
            <v>3.0226604411663616E-3</v>
          </cell>
          <cell r="O166">
            <v>3.1566150169725716E-3</v>
          </cell>
        </row>
        <row r="167">
          <cell r="A167" t="str">
            <v>T_C-MHY-DSL-S1</v>
          </cell>
          <cell r="B167" t="str">
            <v>VAR_fin</v>
          </cell>
          <cell r="C167" t="str">
            <v>TDSL</v>
          </cell>
          <cell r="E167">
            <v>1.4809173096180833E-3</v>
          </cell>
          <cell r="F167">
            <v>0.83200599200104419</v>
          </cell>
          <cell r="G167">
            <v>2.1196810058083306</v>
          </cell>
          <cell r="H167">
            <v>1.8900468243257991</v>
          </cell>
          <cell r="I167">
            <v>1.1406022307520434</v>
          </cell>
          <cell r="J167">
            <v>0.30423065903977214</v>
          </cell>
          <cell r="K167">
            <v>0.11315568845288727</v>
          </cell>
          <cell r="L167">
            <v>1.6752036553941113E-2</v>
          </cell>
          <cell r="M167">
            <v>2.9487766048204109E-3</v>
          </cell>
          <cell r="N167">
            <v>3.280254846326078E-3</v>
          </cell>
          <cell r="O167">
            <v>3.4256251765462718E-3</v>
          </cell>
        </row>
        <row r="168">
          <cell r="A168" t="str">
            <v>T_C-MHY-DSL-S1</v>
          </cell>
          <cell r="B168" t="str">
            <v>VAR_ncap</v>
          </cell>
          <cell r="C168" t="str">
            <v>-</v>
          </cell>
          <cell r="E168">
            <v>9.6387478277790606E-5</v>
          </cell>
          <cell r="F168">
            <v>7.5813888536348198E-2</v>
          </cell>
          <cell r="G168">
            <v>0.14311937223731699</v>
          </cell>
          <cell r="H168">
            <v>2.5984637278098199E-2</v>
          </cell>
          <cell r="I168">
            <v>2.1749381120830701E-2</v>
          </cell>
          <cell r="J168">
            <v>3.0608806172722602E-4</v>
          </cell>
          <cell r="K168">
            <v>1.53364674912533E-4</v>
          </cell>
          <cell r="L168">
            <v>1.2499391856301401E-4</v>
          </cell>
          <cell r="M168">
            <v>1.72502716292538E-4</v>
          </cell>
          <cell r="N168">
            <v>1.7019289299242699E-4</v>
          </cell>
          <cell r="O168">
            <v>1.14608954146225E-4</v>
          </cell>
        </row>
        <row r="169">
          <cell r="A169" t="str">
            <v>T_C-MHY-DSL-S1</v>
          </cell>
          <cell r="B169" t="str">
            <v>VAR_cap</v>
          </cell>
          <cell r="C169" t="str">
            <v>-</v>
          </cell>
          <cell r="E169">
            <v>9.5104257232875005E-5</v>
          </cell>
          <cell r="F169">
            <v>7.4894227411442194E-2</v>
          </cell>
          <cell r="G169">
            <v>0.20153320471430999</v>
          </cell>
          <cell r="H169">
            <v>0.182937196873424</v>
          </cell>
          <cell r="I169">
            <v>0.116212765970283</v>
          </cell>
          <cell r="J169">
            <v>3.40666402542927E-2</v>
          </cell>
          <cell r="K169">
            <v>1.32236966926175E-2</v>
          </cell>
          <cell r="L169">
            <v>1.9973370664594999E-3</v>
          </cell>
          <cell r="M169">
            <v>3.92289804314118E-4</v>
          </cell>
          <cell r="N169">
            <v>4.4086733606839702E-4</v>
          </cell>
          <cell r="O169">
            <v>4.5730456343119098E-4</v>
          </cell>
        </row>
        <row r="170">
          <cell r="A170" t="str">
            <v>T_C-MHY-GSL-S3</v>
          </cell>
          <cell r="B170" t="str">
            <v>VAR_fout</v>
          </cell>
          <cell r="C170" t="str">
            <v>CO2_T</v>
          </cell>
          <cell r="E170">
            <v>0.14839596806882999</v>
          </cell>
          <cell r="F170">
            <v>0.75215495078008798</v>
          </cell>
          <cell r="G170">
            <v>1.0805890655189039</v>
          </cell>
          <cell r="H170">
            <v>0.96876800847032474</v>
          </cell>
          <cell r="I170">
            <v>0.66229643263551197</v>
          </cell>
          <cell r="J170">
            <v>0.49596341533196997</v>
          </cell>
          <cell r="K170">
            <v>0.46549269483688804</v>
          </cell>
          <cell r="L170">
            <v>0.3973539788820098</v>
          </cell>
          <cell r="M170">
            <v>0.52343673755800202</v>
          </cell>
          <cell r="N170">
            <v>0.74335815412814699</v>
          </cell>
          <cell r="O170">
            <v>0.73571385464156702</v>
          </cell>
        </row>
        <row r="171">
          <cell r="A171" t="str">
            <v>T_C-MHY-GSL-S3</v>
          </cell>
          <cell r="B171" t="str">
            <v>VAR_fout</v>
          </cell>
          <cell r="C171" t="str">
            <v>TPCAR</v>
          </cell>
          <cell r="E171">
            <v>7.8012425974805606E-4</v>
          </cell>
          <cell r="F171">
            <v>4.1813361104520034E-3</v>
          </cell>
          <cell r="G171">
            <v>6.2981769230741899E-3</v>
          </cell>
          <cell r="H171">
            <v>5.9506198815684535E-3</v>
          </cell>
          <cell r="I171">
            <v>4.5992498461266086E-3</v>
          </cell>
          <cell r="J171">
            <v>3.9218618502855343E-3</v>
          </cell>
          <cell r="K171">
            <v>4.1383656006324142E-3</v>
          </cell>
          <cell r="L171">
            <v>3.7634277554162653E-3</v>
          </cell>
          <cell r="M171">
            <v>5.1101421557570546E-3</v>
          </cell>
          <cell r="N171">
            <v>7.2571632208277455E-3</v>
          </cell>
          <cell r="O171">
            <v>7.1825344180428225E-3</v>
          </cell>
        </row>
        <row r="172">
          <cell r="A172" t="str">
            <v>T_C-MHY-GSL-S3</v>
          </cell>
          <cell r="B172" t="str">
            <v>VAR_fin</v>
          </cell>
          <cell r="C172" t="str">
            <v>TGSL</v>
          </cell>
          <cell r="E172">
            <v>2.0107854751874018E-3</v>
          </cell>
          <cell r="F172">
            <v>1.0191801501085195E-2</v>
          </cell>
          <cell r="G172">
            <v>1.4642128259063754E-2</v>
          </cell>
          <cell r="H172">
            <v>1.3126937784150753E-2</v>
          </cell>
          <cell r="I172">
            <v>8.974206404275209E-3</v>
          </cell>
          <cell r="J172">
            <v>6.7203714814630076E-3</v>
          </cell>
          <cell r="K172">
            <v>6.3074890899307359E-3</v>
          </cell>
          <cell r="L172">
            <v>5.3842002558537926E-3</v>
          </cell>
          <cell r="M172">
            <v>7.0926387202981285E-3</v>
          </cell>
          <cell r="N172">
            <v>1.0072603714473539E-2</v>
          </cell>
          <cell r="O172">
            <v>9.969022420617462E-3</v>
          </cell>
        </row>
        <row r="173">
          <cell r="A173" t="str">
            <v>T_C-MHY-GSL-S3</v>
          </cell>
          <cell r="B173" t="str">
            <v>VAR_ncap</v>
          </cell>
          <cell r="C173" t="str">
            <v>-</v>
          </cell>
          <cell r="E173">
            <v>5.7077669343399001E-5</v>
          </cell>
          <cell r="F173">
            <v>2.5128819705796799E-4</v>
          </cell>
          <cell r="G173">
            <v>1.98060423023641E-4</v>
          </cell>
          <cell r="H173">
            <v>1.18410247093722E-4</v>
          </cell>
          <cell r="I173">
            <v>1.4109378879017699E-4</v>
          </cell>
          <cell r="J173">
            <v>1.17408929881584E-4</v>
          </cell>
          <cell r="K173">
            <v>1.48135138181934E-4</v>
          </cell>
          <cell r="L173">
            <v>1.2682955867519499E-4</v>
          </cell>
          <cell r="M173">
            <v>2.2335106392350901E-4</v>
          </cell>
          <cell r="N173">
            <v>3.2151502663028199E-4</v>
          </cell>
          <cell r="O173">
            <v>1.3981834337278501E-4</v>
          </cell>
        </row>
        <row r="174">
          <cell r="A174" t="str">
            <v>T_C-MHY-GSL-S3</v>
          </cell>
          <cell r="B174" t="str">
            <v>VAR_cap</v>
          </cell>
          <cell r="C174" t="str">
            <v>-</v>
          </cell>
          <cell r="E174">
            <v>5.6317785717383899E-5</v>
          </cell>
          <cell r="F174">
            <v>3.0103698923326401E-4</v>
          </cell>
          <cell r="G174">
            <v>4.48392752243975E-4</v>
          </cell>
          <cell r="H174">
            <v>4.38945299948592E-4</v>
          </cell>
          <cell r="I174">
            <v>3.5471575518454502E-4</v>
          </cell>
          <cell r="J174">
            <v>3.00716730312442E-4</v>
          </cell>
          <cell r="K174">
            <v>3.2755425137597898E-4</v>
          </cell>
          <cell r="L174">
            <v>3.2855639727044698E-4</v>
          </cell>
          <cell r="M174">
            <v>4.41741467783273E-4</v>
          </cell>
          <cell r="N174">
            <v>6.4385498261499297E-4</v>
          </cell>
          <cell r="O174">
            <v>6.8468443392657595E-4</v>
          </cell>
        </row>
        <row r="175">
          <cell r="A175" t="str">
            <v>T_C-MHY-DSL-S2</v>
          </cell>
          <cell r="B175" t="str">
            <v>VAR_fout</v>
          </cell>
          <cell r="C175" t="str">
            <v>CO2_T</v>
          </cell>
          <cell r="E175">
            <v>9.0203441667872294E-2</v>
          </cell>
          <cell r="F175">
            <v>0.62834812923270222</v>
          </cell>
          <cell r="G175">
            <v>1.3229618152284299</v>
          </cell>
          <cell r="H175">
            <v>2.9260759772368337</v>
          </cell>
          <cell r="I175">
            <v>3.0857024043101422</v>
          </cell>
          <cell r="J175">
            <v>1.805119658796154</v>
          </cell>
          <cell r="K175">
            <v>0.85725835939916106</v>
          </cell>
          <cell r="L175">
            <v>0.5430699467718747</v>
          </cell>
          <cell r="M175">
            <v>0.64854120123383607</v>
          </cell>
          <cell r="N175">
            <v>0.88645562909836984</v>
          </cell>
          <cell r="O175">
            <v>1.186845412909626</v>
          </cell>
        </row>
        <row r="176">
          <cell r="A176" t="str">
            <v>T_C-MHY-DSL-S2</v>
          </cell>
          <cell r="B176" t="str">
            <v>VAR_fout</v>
          </cell>
          <cell r="C176" t="str">
            <v>TPCAR</v>
          </cell>
          <cell r="E176">
            <v>5.5635890128578089E-4</v>
          </cell>
          <cell r="F176">
            <v>4.0700557245648096E-3</v>
          </cell>
          <cell r="G176">
            <v>9.0608784616738932E-3</v>
          </cell>
          <cell r="H176">
            <v>2.2082437674712355E-2</v>
          </cell>
          <cell r="I176">
            <v>2.453651727961683E-2</v>
          </cell>
          <cell r="J176">
            <v>1.504390819433476E-2</v>
          </cell>
          <cell r="K176">
            <v>7.9677056599422019E-3</v>
          </cell>
          <cell r="L176">
            <v>5.4446207017950186E-3</v>
          </cell>
          <cell r="M176">
            <v>6.7932269587675639E-3</v>
          </cell>
          <cell r="N176">
            <v>9.2852917684886974E-3</v>
          </cell>
          <cell r="O176">
            <v>1.2431762607415754E-2</v>
          </cell>
        </row>
        <row r="177">
          <cell r="A177" t="str">
            <v>T_C-MHY-DSL-S2</v>
          </cell>
          <cell r="B177" t="str">
            <v>VAR_fin</v>
          </cell>
          <cell r="C177" t="str">
            <v>TDSL</v>
          </cell>
          <cell r="E177">
            <v>1.2306062983338643E-3</v>
          </cell>
          <cell r="F177">
            <v>8.5722800713874739E-3</v>
          </cell>
          <cell r="G177">
            <v>1.8048592295067268E-2</v>
          </cell>
          <cell r="H177">
            <v>3.9919181135563891E-2</v>
          </cell>
          <cell r="I177">
            <v>4.2096895011052529E-2</v>
          </cell>
          <cell r="J177">
            <v>2.4626461920820689E-2</v>
          </cell>
          <cell r="K177">
            <v>1.1695202720315965E-2</v>
          </cell>
          <cell r="L177">
            <v>7.4088669409532754E-3</v>
          </cell>
          <cell r="M177">
            <v>8.8477653647180913E-3</v>
          </cell>
          <cell r="N177">
            <v>1.2093528364234222E-2</v>
          </cell>
          <cell r="O177">
            <v>1.6191615455792979E-2</v>
          </cell>
        </row>
        <row r="178">
          <cell r="A178" t="str">
            <v>T_C-MHY-DSL-S2</v>
          </cell>
          <cell r="B178" t="str">
            <v>VAR_ncap</v>
          </cell>
          <cell r="C178" t="str">
            <v>-</v>
          </cell>
          <cell r="E178">
            <v>4.5552404839423602E-5</v>
          </cell>
          <cell r="F178">
            <v>3.0658221112638901E-4</v>
          </cell>
          <cell r="G178">
            <v>4.56592734015533E-4</v>
          </cell>
          <cell r="H178">
            <v>1.2712913384177E-3</v>
          </cell>
          <cell r="I178">
            <v>6.0198950697761499E-4</v>
          </cell>
          <cell r="J178">
            <v>2.6352004343171699E-4</v>
          </cell>
          <cell r="K178">
            <v>2.0375411775687299E-4</v>
          </cell>
          <cell r="L178">
            <v>1.76183077269447E-4</v>
          </cell>
          <cell r="M178">
            <v>3.5870153225652098E-4</v>
          </cell>
          <cell r="N178">
            <v>4.3548725313032798E-4</v>
          </cell>
          <cell r="O178">
            <v>4.4653133216042201E-4</v>
          </cell>
        </row>
        <row r="179">
          <cell r="A179" t="str">
            <v>T_C-MHY-DSL-S2</v>
          </cell>
          <cell r="B179" t="str">
            <v>VAR_cap</v>
          </cell>
          <cell r="C179" t="str">
            <v>-</v>
          </cell>
          <cell r="E179">
            <v>4.4945958799119497E-5</v>
          </cell>
          <cell r="F179">
            <v>3.4487394721867003E-4</v>
          </cell>
          <cell r="G179">
            <v>7.3287442738741398E-4</v>
          </cell>
          <cell r="H179">
            <v>1.7982949539086699E-3</v>
          </cell>
          <cell r="I179">
            <v>1.9281602345732299E-3</v>
          </cell>
          <cell r="J179">
            <v>1.5291657741514E-3</v>
          </cell>
          <cell r="K179">
            <v>7.7629168561855002E-4</v>
          </cell>
          <cell r="L179">
            <v>5.3794711915737504E-4</v>
          </cell>
          <cell r="M179">
            <v>6.6082298890455398E-4</v>
          </cell>
          <cell r="N179">
            <v>9.3152842170048295E-4</v>
          </cell>
          <cell r="O179">
            <v>1.2407201175472699E-3</v>
          </cell>
        </row>
        <row r="180">
          <cell r="A180" t="str">
            <v>T_C-MHY-GSL-S4</v>
          </cell>
          <cell r="B180" t="str">
            <v>VAR_fout</v>
          </cell>
          <cell r="C180" t="str">
            <v>CO2_T</v>
          </cell>
          <cell r="E180">
            <v>0.19360216402827299</v>
          </cell>
          <cell r="F180">
            <v>74.786527140296585</v>
          </cell>
          <cell r="G180">
            <v>292.08300765370569</v>
          </cell>
          <cell r="H180">
            <v>273.70541766018334</v>
          </cell>
          <cell r="I180">
            <v>278.98777156091705</v>
          </cell>
          <cell r="J180">
            <v>263.90542749055794</v>
          </cell>
          <cell r="K180">
            <v>252.83049965331702</v>
          </cell>
          <cell r="L180">
            <v>241.15838227237796</v>
          </cell>
          <cell r="M180">
            <v>232.71998727227481</v>
          </cell>
          <cell r="N180">
            <v>225.40864108484297</v>
          </cell>
          <cell r="O180">
            <v>222.0734525416953</v>
          </cell>
        </row>
        <row r="181">
          <cell r="A181" t="str">
            <v>T_C-MHY-GSL-S4</v>
          </cell>
          <cell r="B181" t="str">
            <v>VAR_fout</v>
          </cell>
          <cell r="C181" t="str">
            <v>TPCAR</v>
          </cell>
          <cell r="E181">
            <v>1.0318223753536168E-3</v>
          </cell>
          <cell r="F181">
            <v>0.42550376654847577</v>
          </cell>
          <cell r="G181">
            <v>1.7981805784266236</v>
          </cell>
          <cell r="H181">
            <v>1.7628544530967685</v>
          </cell>
          <cell r="I181">
            <v>1.9899166035917732</v>
          </cell>
          <cell r="J181">
            <v>2.14797321502183</v>
          </cell>
          <cell r="K181">
            <v>2.2071231976060033</v>
          </cell>
          <cell r="L181">
            <v>2.2458587396739489</v>
          </cell>
          <cell r="M181">
            <v>2.2478912979874468</v>
          </cell>
          <cell r="N181">
            <v>2.1772694675897331</v>
          </cell>
          <cell r="O181">
            <v>2.1450541800625857</v>
          </cell>
        </row>
        <row r="182">
          <cell r="A182" t="str">
            <v>T_C-MHY-GSL-S4</v>
          </cell>
          <cell r="B182" t="str">
            <v>VAR_fin</v>
          </cell>
          <cell r="C182" t="str">
            <v>TGSL</v>
          </cell>
          <cell r="E182">
            <v>2.6233355559386546E-3</v>
          </cell>
          <cell r="F182">
            <v>1.0133675764267829</v>
          </cell>
          <cell r="G182">
            <v>3.9577643313510178</v>
          </cell>
          <cell r="H182">
            <v>3.7087454967504536</v>
          </cell>
          <cell r="I182">
            <v>3.7803221078715019</v>
          </cell>
          <cell r="J182">
            <v>3.5759543020400755</v>
          </cell>
          <cell r="K182">
            <v>3.4258875291777322</v>
          </cell>
          <cell r="L182">
            <v>3.2677287570782898</v>
          </cell>
          <cell r="M182">
            <v>3.1533873614129315</v>
          </cell>
          <cell r="N182">
            <v>3.0543176298759249</v>
          </cell>
          <cell r="O182">
            <v>3.0091253731936969</v>
          </cell>
        </row>
        <row r="183">
          <cell r="A183" t="str">
            <v>T_C-MHY-GSL-S4</v>
          </cell>
          <cell r="B183" t="str">
            <v>VAR_ncap</v>
          </cell>
          <cell r="C183" t="str">
            <v>-</v>
          </cell>
          <cell r="E183">
            <v>8.5738888672547102E-5</v>
          </cell>
          <cell r="F183">
            <v>3.3918523325618698E-2</v>
          </cell>
          <cell r="G183">
            <v>0.118361976849872</v>
          </cell>
          <cell r="H183">
            <v>4.8087090597344201E-2</v>
          </cell>
          <cell r="I183">
            <v>0.102403393404347</v>
          </cell>
          <cell r="J183">
            <v>0.13147051539313701</v>
          </cell>
          <cell r="K183">
            <v>7.8746579795811705E-2</v>
          </cell>
          <cell r="L183">
            <v>0.106225220988136</v>
          </cell>
          <cell r="M183">
            <v>9.7820074964763207E-2</v>
          </cell>
          <cell r="N183">
            <v>6.7898509628636E-2</v>
          </cell>
          <cell r="O183">
            <v>7.5542685399297801E-2</v>
          </cell>
        </row>
        <row r="184">
          <cell r="A184" t="str">
            <v>T_C-MHY-GSL-S4</v>
          </cell>
          <cell r="B184" t="str">
            <v>VAR_cap</v>
          </cell>
          <cell r="C184" t="str">
            <v>-</v>
          </cell>
          <cell r="E184">
            <v>8.4597433908109696E-5</v>
          </cell>
          <cell r="F184">
            <v>3.3546716093925601E-2</v>
          </cell>
          <cell r="G184">
            <v>0.141709932221389</v>
          </cell>
          <cell r="H184">
            <v>0.15953475583476301</v>
          </cell>
          <cell r="I184">
            <v>0.19826996587665899</v>
          </cell>
          <cell r="J184">
            <v>0.239221040488375</v>
          </cell>
          <cell r="K184">
            <v>0.24805730984462601</v>
          </cell>
          <cell r="L184">
            <v>0.25250595314574298</v>
          </cell>
          <cell r="M184">
            <v>0.25271776819674602</v>
          </cell>
          <cell r="N184">
            <v>0.24484257110350299</v>
          </cell>
          <cell r="O184">
            <v>0.24126126999269701</v>
          </cell>
        </row>
        <row r="185">
          <cell r="A185" t="str">
            <v>T_C-MHY-DSL-S3</v>
          </cell>
          <cell r="B185" t="str">
            <v>VAR_fout</v>
          </cell>
          <cell r="C185" t="str">
            <v>CO2_T</v>
          </cell>
          <cell r="E185">
            <v>0.135610814863483</v>
          </cell>
          <cell r="F185">
            <v>0.54574783812387595</v>
          </cell>
          <cell r="G185">
            <v>1.0459141049650311</v>
          </cell>
          <cell r="H185">
            <v>9.4347064054493757</v>
          </cell>
          <cell r="I185">
            <v>77.218630968859742</v>
          </cell>
          <cell r="J185">
            <v>147.86477372138381</v>
          </cell>
          <cell r="K185">
            <v>160.8431091171467</v>
          </cell>
          <cell r="L185">
            <v>162.04978802836675</v>
          </cell>
          <cell r="M185">
            <v>158.5204912454353</v>
          </cell>
          <cell r="N185">
            <v>154.36460620762165</v>
          </cell>
          <cell r="O185">
            <v>151.84750678719979</v>
          </cell>
        </row>
        <row r="186">
          <cell r="A186" t="str">
            <v>T_C-MHY-DSL-S3</v>
          </cell>
          <cell r="B186" t="str">
            <v>VAR_fout</v>
          </cell>
          <cell r="C186" t="str">
            <v>TPCAR</v>
          </cell>
          <cell r="E186">
            <v>7.7755410899302106E-4</v>
          </cell>
          <cell r="F186">
            <v>3.2703771824809089E-3</v>
          </cell>
          <cell r="G186">
            <v>6.6277550624698122E-3</v>
          </cell>
          <cell r="H186">
            <v>6.8345816557761105E-2</v>
          </cell>
          <cell r="I186">
            <v>0.61294279391928197</v>
          </cell>
          <cell r="J186">
            <v>1.2561426399780888</v>
          </cell>
          <cell r="K186">
            <v>1.4349245754372255</v>
          </cell>
          <cell r="L186">
            <v>1.5359265496665837</v>
          </cell>
          <cell r="M186">
            <v>1.5524867852849069</v>
          </cell>
          <cell r="N186">
            <v>1.5117856964119292</v>
          </cell>
          <cell r="O186">
            <v>1.4871342235534246</v>
          </cell>
        </row>
        <row r="187">
          <cell r="A187" t="str">
            <v>T_C-MHY-DSL-S3</v>
          </cell>
          <cell r="B187" t="str">
            <v>VAR_fin</v>
          </cell>
          <cell r="C187" t="str">
            <v>TDSL</v>
          </cell>
          <cell r="E187">
            <v>1.8500793296518862E-3</v>
          </cell>
          <cell r="F187">
            <v>7.4454002472561604E-3</v>
          </cell>
          <cell r="G187">
            <v>1.4268950954502457E-2</v>
          </cell>
          <cell r="H187">
            <v>0.12871359352591241</v>
          </cell>
          <cell r="I187">
            <v>1.0534601769285088</v>
          </cell>
          <cell r="J187">
            <v>2.0172547574540771</v>
          </cell>
          <cell r="K187">
            <v>2.1943125391152352</v>
          </cell>
          <cell r="L187">
            <v>2.210774734356983</v>
          </cell>
          <cell r="M187">
            <v>2.1626260742897037</v>
          </cell>
          <cell r="N187">
            <v>2.1059291433509086</v>
          </cell>
          <cell r="O187">
            <v>2.0715894513942676</v>
          </cell>
        </row>
        <row r="188">
          <cell r="A188" t="str">
            <v>T_C-MHY-DSL-S3</v>
          </cell>
          <cell r="B188" t="str">
            <v>VAR_ncap</v>
          </cell>
          <cell r="C188" t="str">
            <v>-</v>
          </cell>
          <cell r="E188">
            <v>5.64585040177231E-5</v>
          </cell>
          <cell r="F188">
            <v>1.87002288428634E-4</v>
          </cell>
          <cell r="G188">
            <v>2.77873960837034E-4</v>
          </cell>
          <cell r="H188">
            <v>4.4747624475688702E-3</v>
          </cell>
          <cell r="I188">
            <v>3.9323526748403698E-2</v>
          </cell>
          <cell r="J188">
            <v>5.38367243992834E-2</v>
          </cell>
          <cell r="K188">
            <v>3.09087277177062E-2</v>
          </cell>
          <cell r="L188">
            <v>4.7145610978547497E-2</v>
          </cell>
          <cell r="M188">
            <v>4.06479082490298E-2</v>
          </cell>
          <cell r="N188">
            <v>2.8998847399434698E-2</v>
          </cell>
          <cell r="O188">
            <v>3.7656354342109899E-2</v>
          </cell>
        </row>
        <row r="189">
          <cell r="A189" t="str">
            <v>T_C-MHY-DSL-S3</v>
          </cell>
          <cell r="B189" t="str">
            <v>VAR_cap</v>
          </cell>
          <cell r="C189" t="str">
            <v>-</v>
          </cell>
          <cell r="E189">
            <v>5.5706863433131801E-5</v>
          </cell>
          <cell r="F189">
            <v>2.37030974709766E-4</v>
          </cell>
          <cell r="G189">
            <v>4.67840151221709E-4</v>
          </cell>
          <cell r="H189">
            <v>4.7242225502948003E-3</v>
          </cell>
          <cell r="I189">
            <v>4.2170218167243902E-2</v>
          </cell>
          <cell r="J189">
            <v>8.6422464728871398E-2</v>
          </cell>
          <cell r="K189">
            <v>9.8720523998171494E-2</v>
          </cell>
          <cell r="L189">
            <v>0.105697632754923</v>
          </cell>
          <cell r="M189">
            <v>0.10689789424721099</v>
          </cell>
          <cell r="N189">
            <v>0.10442676435954699</v>
          </cell>
          <cell r="O189">
            <v>0.10730310999057401</v>
          </cell>
        </row>
        <row r="190">
          <cell r="A190" t="str">
            <v>T_B_c-HYBDSL-S1</v>
          </cell>
          <cell r="B190" t="str">
            <v>VAR_fout</v>
          </cell>
          <cell r="C190" t="str">
            <v>CO2_T</v>
          </cell>
          <cell r="E190">
            <v>0.25348402433564698</v>
          </cell>
          <cell r="F190">
            <v>0.32472271359102639</v>
          </cell>
          <cell r="G190">
            <v>0.1833087275103967</v>
          </cell>
          <cell r="H190">
            <v>0.90341224267799736</v>
          </cell>
          <cell r="I190">
            <v>1.1025353991109559</v>
          </cell>
          <cell r="J190">
            <v>1.8116732361280401</v>
          </cell>
          <cell r="K190">
            <v>2.7741011962152275</v>
          </cell>
          <cell r="L190">
            <v>3.54137301219746</v>
          </cell>
          <cell r="M190">
            <v>4.5554297603464962</v>
          </cell>
          <cell r="N190">
            <v>4.6410727001399454</v>
          </cell>
          <cell r="O190">
            <v>6.2563272998921002</v>
          </cell>
        </row>
        <row r="191">
          <cell r="A191" t="str">
            <v>T_B_c-HYBDSL-S1</v>
          </cell>
          <cell r="B191" t="str">
            <v>VAR_fout</v>
          </cell>
          <cell r="C191" t="str">
            <v>TPBSc</v>
          </cell>
          <cell r="E191">
            <v>5.6200036298501444E-4</v>
          </cell>
          <cell r="F191">
            <v>7.285893139559645E-4</v>
          </cell>
          <cell r="G191">
            <v>4.3618405727075178E-4</v>
          </cell>
          <cell r="H191">
            <v>2.3735737865855397E-3</v>
          </cell>
          <cell r="I191">
            <v>2.9672087694759706E-3</v>
          </cell>
          <cell r="J191">
            <v>5.1624869217691159E-3</v>
          </cell>
          <cell r="K191">
            <v>8.3467077679042698E-3</v>
          </cell>
          <cell r="L191">
            <v>1.0804799736706524E-2</v>
          </cell>
          <cell r="M191">
            <v>1.3979070589662636E-2</v>
          </cell>
          <cell r="N191">
            <v>1.4241879756714237E-2</v>
          </cell>
          <cell r="O191">
            <v>1.9198548887421087E-2</v>
          </cell>
        </row>
        <row r="192">
          <cell r="A192" t="str">
            <v>T_B_c-HYBDSL-S1</v>
          </cell>
          <cell r="B192" t="str">
            <v>VAR_fin</v>
          </cell>
          <cell r="C192" t="str">
            <v>TDSL</v>
          </cell>
          <cell r="E192">
            <v>3.4581722283171458E-3</v>
          </cell>
          <cell r="F192">
            <v>4.4300506629062278E-3</v>
          </cell>
          <cell r="G192">
            <v>2.5008011938662572E-3</v>
          </cell>
          <cell r="H192">
            <v>1.2324860063819885E-2</v>
          </cell>
          <cell r="I192">
            <v>1.5041410629071666E-2</v>
          </cell>
          <cell r="J192">
            <v>2.4715869524257108E-2</v>
          </cell>
          <cell r="K192">
            <v>3.7845855337179178E-2</v>
          </cell>
          <cell r="L192">
            <v>4.8313410807605213E-2</v>
          </cell>
          <cell r="M192">
            <v>6.2147745707319277E-2</v>
          </cell>
          <cell r="N192">
            <v>6.3316135063300763E-2</v>
          </cell>
          <cell r="O192">
            <v>8.5352350612443395E-2</v>
          </cell>
        </row>
        <row r="193">
          <cell r="A193" t="str">
            <v>T_B_c-HYBDSL-S1</v>
          </cell>
          <cell r="B193" t="str">
            <v>VAR_ncap</v>
          </cell>
          <cell r="C193" t="str">
            <v>-</v>
          </cell>
          <cell r="E193">
            <v>1.25657500409128E-5</v>
          </cell>
          <cell r="F193">
            <v>4.2713363698426701E-6</v>
          </cell>
          <cell r="G193">
            <v>4.4174611193322696E-6</v>
          </cell>
          <cell r="H193">
            <v>4.5499476309612499E-5</v>
          </cell>
          <cell r="I193">
            <v>1.9880730160033499E-5</v>
          </cell>
          <cell r="J193">
            <v>7.5160799575612296E-5</v>
          </cell>
          <cell r="K193">
            <v>1.2862501251420099E-4</v>
          </cell>
          <cell r="L193">
            <v>1.08412703983839E-4</v>
          </cell>
          <cell r="M193">
            <v>1.6319750705674399E-4</v>
          </cell>
          <cell r="N193">
            <v>1.6365267643769801E-4</v>
          </cell>
          <cell r="O193">
            <v>1.7651901220442999E-4</v>
          </cell>
        </row>
        <row r="194">
          <cell r="A194" t="str">
            <v>T_B_c-HYBDSL-S1</v>
          </cell>
          <cell r="B194" t="str">
            <v>VAR_cap</v>
          </cell>
          <cell r="C194" t="str">
            <v>-</v>
          </cell>
          <cell r="E194">
            <v>1.25657500409128E-5</v>
          </cell>
          <cell r="F194">
            <v>1.6777437845632945E-5</v>
          </cell>
          <cell r="G194">
            <v>1.0558749219021731E-5</v>
          </cell>
          <cell r="H194">
            <v>5.2024950991071449E-5</v>
          </cell>
          <cell r="I194">
            <v>6.6289571685050714E-5</v>
          </cell>
          <cell r="J194">
            <v>1.1856459832378899E-4</v>
          </cell>
          <cell r="K194">
            <v>2.1052663444861782E-4</v>
          </cell>
          <cell r="L194">
            <v>2.7081122783178375E-4</v>
          </cell>
          <cell r="M194">
            <v>3.3742274946968091E-4</v>
          </cell>
          <cell r="N194">
            <v>3.4601604622839046E-4</v>
          </cell>
          <cell r="O194">
            <v>4.5014051562597028E-4</v>
          </cell>
        </row>
        <row r="195">
          <cell r="A195" t="str">
            <v>T_C-MHY-DSL-S4</v>
          </cell>
          <cell r="B195" t="str">
            <v>VAR_fout</v>
          </cell>
          <cell r="C195" t="str">
            <v>CO2_T</v>
          </cell>
          <cell r="E195">
            <v>8.7036753565633701E-2</v>
          </cell>
          <cell r="F195">
            <v>0.22859779664476959</v>
          </cell>
          <cell r="G195">
            <v>0.34187428000632419</v>
          </cell>
          <cell r="H195">
            <v>0.50107284968869203</v>
          </cell>
          <cell r="I195">
            <v>0.97412339705292572</v>
          </cell>
          <cell r="J195">
            <v>1.2913144182886152</v>
          </cell>
          <cell r="K195">
            <v>1.9146165349157018</v>
          </cell>
          <cell r="L195">
            <v>2.0219878972425467</v>
          </cell>
          <cell r="M195">
            <v>1.56962527605197</v>
          </cell>
          <cell r="N195">
            <v>0.83340071071598576</v>
          </cell>
          <cell r="O195">
            <v>0.87853191006237596</v>
          </cell>
        </row>
        <row r="196">
          <cell r="A196" t="str">
            <v>T_C-MHY-DSL-S4</v>
          </cell>
          <cell r="B196" t="str">
            <v>VAR_fout</v>
          </cell>
          <cell r="C196" t="str">
            <v>TPCAR</v>
          </cell>
          <cell r="E196">
            <v>4.7428979591212237E-4</v>
          </cell>
          <cell r="F196">
            <v>1.2926911464096677E-3</v>
          </cell>
          <cell r="G196">
            <v>2.0245603349265044E-3</v>
          </cell>
          <cell r="H196">
            <v>3.2533526393406691E-3</v>
          </cell>
          <cell r="I196">
            <v>7.0901655089190205E-3</v>
          </cell>
          <cell r="J196">
            <v>1.0146085892881183E-2</v>
          </cell>
          <cell r="K196">
            <v>1.6549123237020812E-2</v>
          </cell>
          <cell r="L196">
            <v>1.8216276029108552E-2</v>
          </cell>
          <cell r="M196">
            <v>1.4407359871152161E-2</v>
          </cell>
          <cell r="N196">
            <v>7.649662718454864E-3</v>
          </cell>
          <cell r="O196">
            <v>8.063915368638765E-3</v>
          </cell>
        </row>
        <row r="197">
          <cell r="A197" t="str">
            <v>T_C-MHY-DSL-S4</v>
          </cell>
          <cell r="B197" t="str">
            <v>VAR_fin</v>
          </cell>
          <cell r="C197" t="str">
            <v>TDSL</v>
          </cell>
          <cell r="E197">
            <v>1.1874045506907746E-3</v>
          </cell>
          <cell r="F197">
            <v>3.1186602543624752E-3</v>
          </cell>
          <cell r="G197">
            <v>4.6640420191858606E-3</v>
          </cell>
          <cell r="H197">
            <v>6.8359188224923909E-3</v>
          </cell>
          <cell r="I197">
            <v>1.3289541569616981E-2</v>
          </cell>
          <cell r="J197">
            <v>1.7616840631495413E-2</v>
          </cell>
          <cell r="K197">
            <v>2.6120280148918144E-2</v>
          </cell>
          <cell r="L197">
            <v>2.758510091736081E-2</v>
          </cell>
          <cell r="M197">
            <v>2.1413714543683075E-2</v>
          </cell>
          <cell r="N197">
            <v>1.1369723202128047E-2</v>
          </cell>
          <cell r="O197">
            <v>1.1985428513811406E-2</v>
          </cell>
        </row>
        <row r="198">
          <cell r="A198" t="str">
            <v>T_C-MHY-DSL-S4</v>
          </cell>
          <cell r="B198" t="str">
            <v>VAR_ncap</v>
          </cell>
          <cell r="C198" t="str">
            <v>-</v>
          </cell>
          <cell r="E198">
            <v>4.0140306230570699E-5</v>
          </cell>
          <cell r="F198">
            <v>7.7293450328190503E-5</v>
          </cell>
          <cell r="G198">
            <v>8.1954613622658905E-5</v>
          </cell>
          <cell r="H198">
            <v>1.6253273935400701E-4</v>
          </cell>
          <cell r="I198">
            <v>4.0604609019441099E-4</v>
          </cell>
          <cell r="J198">
            <v>4.41536148544239E-4</v>
          </cell>
          <cell r="K198">
            <v>7.7674145123692105E-4</v>
          </cell>
          <cell r="L198">
            <v>5.5309515699302999E-4</v>
          </cell>
          <cell r="M198">
            <v>2.1037815837575299E-4</v>
          </cell>
          <cell r="N198">
            <v>1.4715002481806701E-4</v>
          </cell>
          <cell r="O198">
            <v>4.4782049079449801E-4</v>
          </cell>
        </row>
        <row r="199">
          <cell r="A199" t="str">
            <v>T_C-MHY-DSL-S4</v>
          </cell>
          <cell r="B199" t="str">
            <v>VAR_cap</v>
          </cell>
          <cell r="C199" t="str">
            <v>-</v>
          </cell>
          <cell r="E199">
            <v>3.9605912275829299E-5</v>
          </cell>
          <cell r="F199">
            <v>1.13603353000489E-4</v>
          </cell>
          <cell r="G199">
            <v>1.7472884886184599E-4</v>
          </cell>
          <cell r="H199">
            <v>2.8049237352952201E-4</v>
          </cell>
          <cell r="I199">
            <v>5.8008626423663697E-4</v>
          </cell>
          <cell r="J199">
            <v>8.5460672017005396E-4</v>
          </cell>
          <cell r="K199">
            <v>1.3751531753201801E-3</v>
          </cell>
          <cell r="L199">
            <v>1.49324044079233E-3</v>
          </cell>
          <cell r="M199">
            <v>1.2435694265142401E-3</v>
          </cell>
          <cell r="N199">
            <v>8.0012550362321101E-4</v>
          </cell>
          <cell r="O199">
            <v>8.0534867398831796E-4</v>
          </cell>
        </row>
        <row r="200">
          <cell r="A200" t="str">
            <v>T_B_c-HYBDSL-S2</v>
          </cell>
          <cell r="B200" t="str">
            <v>VAR_fout</v>
          </cell>
          <cell r="C200" t="str">
            <v>CO2_T</v>
          </cell>
          <cell r="E200">
            <v>7.8721407443377203E-2</v>
          </cell>
          <cell r="F200">
            <v>3.1057097229513033</v>
          </cell>
          <cell r="G200">
            <v>16.681353598013239</v>
          </cell>
          <cell r="H200">
            <v>15.670393172259693</v>
          </cell>
          <cell r="I200">
            <v>14.346752091415482</v>
          </cell>
          <cell r="J200">
            <v>13.30464524804087</v>
          </cell>
          <cell r="K200">
            <v>11.862079710111669</v>
          </cell>
          <cell r="L200">
            <v>12.231675107289403</v>
          </cell>
          <cell r="M200">
            <v>13.05507273442249</v>
          </cell>
          <cell r="N200">
            <v>15.182151500615465</v>
          </cell>
          <cell r="O200">
            <v>16.11924989942807</v>
          </cell>
        </row>
        <row r="201">
          <cell r="A201" t="str">
            <v>T_B_c-HYBDSL-S2</v>
          </cell>
          <cell r="B201" t="str">
            <v>VAR_fout</v>
          </cell>
          <cell r="C201" t="str">
            <v>TPBSc</v>
          </cell>
          <cell r="E201">
            <v>1.2511004735653731E-4</v>
          </cell>
          <cell r="F201">
            <v>5.1778530383541771E-3</v>
          </cell>
          <cell r="G201">
            <v>2.9649526499036242E-2</v>
          </cell>
          <cell r="H201">
            <v>2.8096974032490535E-2</v>
          </cell>
          <cell r="I201">
            <v>2.8087423148196223E-2</v>
          </cell>
          <cell r="J201">
            <v>2.6800612581233778E-2</v>
          </cell>
          <cell r="K201">
            <v>2.514520241720334E-2</v>
          </cell>
          <cell r="L201">
            <v>2.6810388920384221E-2</v>
          </cell>
          <cell r="M201">
            <v>2.871383818497638E-2</v>
          </cell>
          <cell r="N201">
            <v>3.3392218515874268E-2</v>
          </cell>
          <cell r="O201">
            <v>3.5453309429290474E-2</v>
          </cell>
        </row>
        <row r="202">
          <cell r="A202" t="str">
            <v>T_B_c-HYBDSL-S2</v>
          </cell>
          <cell r="B202" t="str">
            <v>VAR_fin</v>
          </cell>
          <cell r="C202" t="str">
            <v>TDSL</v>
          </cell>
          <cell r="E202">
            <v>1.0739619023653101E-3</v>
          </cell>
          <cell r="F202">
            <v>4.2369846152132441E-2</v>
          </cell>
          <cell r="G202">
            <v>0.22757644744902036</v>
          </cell>
          <cell r="H202">
            <v>0.21378435432823584</v>
          </cell>
          <cell r="I202">
            <v>0.19572649510798704</v>
          </cell>
          <cell r="J202">
            <v>0.18150948496645128</v>
          </cell>
          <cell r="K202">
            <v>0.16182919113385597</v>
          </cell>
          <cell r="L202">
            <v>0.16687142029044191</v>
          </cell>
          <cell r="M202">
            <v>0.17810467577656888</v>
          </cell>
          <cell r="N202">
            <v>0.20712348568370342</v>
          </cell>
          <cell r="O202">
            <v>0.21990791131552601</v>
          </cell>
        </row>
        <row r="203">
          <cell r="A203" t="str">
            <v>T_B_c-HYBDSL-S2</v>
          </cell>
          <cell r="B203" t="str">
            <v>VAR_ncap</v>
          </cell>
          <cell r="C203" t="str">
            <v>-</v>
          </cell>
          <cell r="E203">
            <v>2.9240693892214901E-6</v>
          </cell>
          <cell r="F203">
            <v>1.10013974826087E-4</v>
          </cell>
          <cell r="G203">
            <v>5.3199033009183601E-4</v>
          </cell>
          <cell r="H203">
            <v>2.3142701324149E-5</v>
          </cell>
          <cell r="I203">
            <v>4.7597566319958602E-4</v>
          </cell>
          <cell r="J203">
            <v>9.5209022515155704E-5</v>
          </cell>
          <cell r="K203">
            <v>2.9050998203280598E-4</v>
          </cell>
          <cell r="L203">
            <v>2.50222614616253E-4</v>
          </cell>
          <cell r="M203">
            <v>2.2671512751975799E-4</v>
          </cell>
          <cell r="N203">
            <v>4.5595642946999801E-4</v>
          </cell>
          <cell r="O203">
            <v>1.6412516369294201E-4</v>
          </cell>
        </row>
        <row r="204">
          <cell r="A204" t="str">
            <v>T_B_c-HYBDSL-S2</v>
          </cell>
          <cell r="B204" t="str">
            <v>VAR_cap</v>
          </cell>
          <cell r="C204" t="str">
            <v>-</v>
          </cell>
          <cell r="E204">
            <v>2.9240693892214901E-6</v>
          </cell>
          <cell r="F204">
            <v>1.1293804421530899E-4</v>
          </cell>
          <cell r="G204">
            <v>6.4454094848043003E-4</v>
          </cell>
          <cell r="H204">
            <v>6.1084311739427336E-4</v>
          </cell>
          <cell r="I204">
            <v>6.1078354736359211E-4</v>
          </cell>
          <cell r="J204">
            <v>5.8313700916055292E-4</v>
          </cell>
          <cell r="K204">
            <v>5.4828227991324133E-4</v>
          </cell>
          <cell r="L204">
            <v>5.8354208997984838E-4</v>
          </cell>
          <cell r="M204">
            <v>6.2573942423055481E-4</v>
          </cell>
          <cell r="N204">
            <v>7.2698212145638373E-4</v>
          </cell>
          <cell r="O204">
            <v>7.7300651505002587E-4</v>
          </cell>
        </row>
        <row r="205">
          <cell r="A205" t="str">
            <v>T_C-BATELCEXT</v>
          </cell>
          <cell r="B205" t="str">
            <v>VAR_fout</v>
          </cell>
          <cell r="C205" t="str">
            <v>TPCAR</v>
          </cell>
          <cell r="D205">
            <v>0.41617641659437327</v>
          </cell>
          <cell r="E205">
            <v>0.36009872303572055</v>
          </cell>
          <cell r="F205">
            <v>0.27729153493387981</v>
          </cell>
          <cell r="G205">
            <v>0.13869267713440994</v>
          </cell>
        </row>
        <row r="206">
          <cell r="A206" t="str">
            <v>T_C-BATELCEXT</v>
          </cell>
          <cell r="B206" t="str">
            <v>VAR_fin</v>
          </cell>
          <cell r="C206" t="str">
            <v>T-ELC-car</v>
          </cell>
          <cell r="D206">
            <v>0.46787049444511752</v>
          </cell>
          <cell r="E206">
            <v>0.37630018855574554</v>
          </cell>
          <cell r="F206">
            <v>0.26206665899705883</v>
          </cell>
          <cell r="G206">
            <v>0.11306355755808829</v>
          </cell>
        </row>
        <row r="207">
          <cell r="A207" t="str">
            <v>T_C-BATELCEXT</v>
          </cell>
          <cell r="B207" t="str">
            <v>VAR_cap</v>
          </cell>
          <cell r="C207" t="str">
            <v>-</v>
          </cell>
          <cell r="D207">
            <v>4.2038990924400582E-2</v>
          </cell>
          <cell r="E207">
            <v>3.6373472897734641E-2</v>
          </cell>
          <cell r="F207">
            <v>2.8009361635003217E-2</v>
          </cell>
          <cell r="G207">
            <v>1.4009598371957985E-2</v>
          </cell>
        </row>
        <row r="208">
          <cell r="A208" t="str">
            <v>D-TDSL</v>
          </cell>
          <cell r="B208" t="str">
            <v>VAR_fout</v>
          </cell>
          <cell r="C208" t="str">
            <v>CO2</v>
          </cell>
          <cell r="D208">
            <v>8680.6836084291608</v>
          </cell>
          <cell r="E208">
            <v>8225.1508898635493</v>
          </cell>
          <cell r="F208">
            <v>7088.6989469028204</v>
          </cell>
          <cell r="G208">
            <v>5242.6425955383902</v>
          </cell>
          <cell r="H208">
            <v>3630.7622282725401</v>
          </cell>
          <cell r="I208">
            <v>3334.98138598382</v>
          </cell>
          <cell r="J208">
            <v>3067.9296159513401</v>
          </cell>
          <cell r="K208">
            <v>2955.0650497512202</v>
          </cell>
          <cell r="L208">
            <v>2913.6834751336301</v>
          </cell>
          <cell r="M208">
            <v>2425.7949678499999</v>
          </cell>
          <cell r="N208">
            <v>2153.8392273606401</v>
          </cell>
          <cell r="O208">
            <v>2174.8246197625999</v>
          </cell>
        </row>
        <row r="209">
          <cell r="A209" t="str">
            <v>D-TDSL</v>
          </cell>
          <cell r="B209" t="str">
            <v>VAR_fout</v>
          </cell>
          <cell r="C209" t="str">
            <v>TDSL</v>
          </cell>
          <cell r="D209">
            <v>116.68637616634874</v>
          </cell>
          <cell r="E209">
            <v>110.56307245522034</v>
          </cell>
          <cell r="F209">
            <v>95.28680333944159</v>
          </cell>
          <cell r="G209">
            <v>70.471980503320793</v>
          </cell>
          <cell r="H209">
            <v>48.804968162575904</v>
          </cell>
          <cell r="I209">
            <v>44.829060713007493</v>
          </cell>
          <cell r="J209">
            <v>41.239331528126073</v>
          </cell>
          <cell r="K209">
            <v>39.72219787580736</v>
          </cell>
          <cell r="L209">
            <v>39.16594376034864</v>
          </cell>
          <cell r="M209">
            <v>32.607711199855892</v>
          </cell>
          <cell r="N209">
            <v>28.952062489825106</v>
          </cell>
          <cell r="O209">
            <v>29.23414965049934</v>
          </cell>
        </row>
        <row r="210">
          <cell r="A210" t="str">
            <v>D-TDSL</v>
          </cell>
          <cell r="B210" t="str">
            <v>VAR_fin</v>
          </cell>
          <cell r="C210" t="str">
            <v>DSL</v>
          </cell>
          <cell r="D210">
            <v>118.42678865524093</v>
          </cell>
          <cell r="E210">
            <v>112.2121540226951</v>
          </cell>
          <cell r="F210">
            <v>96.708034746286827</v>
          </cell>
          <cell r="G210">
            <v>71.523091344316398</v>
          </cell>
          <cell r="H210">
            <v>49.532908980525754</v>
          </cell>
          <cell r="I210">
            <v>45.497699672357761</v>
          </cell>
          <cell r="J210">
            <v>41.854428594151969</v>
          </cell>
          <cell r="K210">
            <v>40.314666435896534</v>
          </cell>
          <cell r="L210">
            <v>39.750115622559747</v>
          </cell>
          <cell r="M210">
            <v>33.094065045702585</v>
          </cell>
          <cell r="N210">
            <v>29.383891232750869</v>
          </cell>
          <cell r="O210">
            <v>29.67018580849383</v>
          </cell>
        </row>
        <row r="211">
          <cell r="A211" t="str">
            <v>T_B_c-HYBDSL-S3</v>
          </cell>
          <cell r="B211" t="str">
            <v>VAR_fout</v>
          </cell>
          <cell r="C211" t="str">
            <v>CO2_T</v>
          </cell>
          <cell r="E211">
            <v>5.0285427202183798E-2</v>
          </cell>
          <cell r="F211">
            <v>0.55856111806336706</v>
          </cell>
          <cell r="G211">
            <v>9.9162032674487328</v>
          </cell>
          <cell r="H211">
            <v>9.4444067048647202</v>
          </cell>
          <cell r="I211">
            <v>8.404491103785741</v>
          </cell>
          <cell r="J211">
            <v>7.8762595376381999</v>
          </cell>
          <cell r="K211">
            <v>6.9098325148311197</v>
          </cell>
          <cell r="L211">
            <v>6.8445391336060588</v>
          </cell>
          <cell r="M211">
            <v>6.2912771644649697</v>
          </cell>
          <cell r="N211">
            <v>5.602259185390313</v>
          </cell>
          <cell r="O211">
            <v>3.5500432712669836</v>
          </cell>
        </row>
        <row r="212">
          <cell r="A212" t="str">
            <v>T_B_c-HYBDSL-S3</v>
          </cell>
          <cell r="B212" t="str">
            <v>VAR_fout</v>
          </cell>
          <cell r="C212" t="str">
            <v>TPBSc</v>
          </cell>
          <cell r="E212">
            <v>5.3671514894577057E-5</v>
          </cell>
          <cell r="F212">
            <v>6.2367039243086948E-4</v>
          </cell>
          <cell r="G212">
            <v>1.196441680899747E-2</v>
          </cell>
          <cell r="H212">
            <v>1.1600988933799471E-2</v>
          </cell>
          <cell r="I212">
            <v>1.1162935132055367E-2</v>
          </cell>
          <cell r="J212">
            <v>1.0740033625305016E-2</v>
          </cell>
          <cell r="K212">
            <v>1.0083707917824022E-2</v>
          </cell>
          <cell r="L212">
            <v>1.0121237704582219E-2</v>
          </cell>
          <cell r="M212">
            <v>9.3253100879952984E-3</v>
          </cell>
          <cell r="N212">
            <v>8.3040061232984175E-3</v>
          </cell>
          <cell r="O212">
            <v>5.2620880410982826E-3</v>
          </cell>
        </row>
        <row r="213">
          <cell r="A213" t="str">
            <v>T_B_c-HYBDSL-S3</v>
          </cell>
          <cell r="B213" t="str">
            <v>VAR_fin</v>
          </cell>
          <cell r="C213" t="str">
            <v>TDSL</v>
          </cell>
          <cell r="E213">
            <v>6.8602219921123876E-4</v>
          </cell>
          <cell r="F213">
            <v>7.6202062491591569E-3</v>
          </cell>
          <cell r="G213">
            <v>0.13528244566778624</v>
          </cell>
          <cell r="H213">
            <v>0.12884593048928672</v>
          </cell>
          <cell r="I213">
            <v>0.11465881451276605</v>
          </cell>
          <cell r="J213">
            <v>0.1074523811410395</v>
          </cell>
          <cell r="K213">
            <v>9.4267837855813288E-2</v>
          </cell>
          <cell r="L213">
            <v>9.3377068671296873E-2</v>
          </cell>
          <cell r="M213">
            <v>8.5829156404706369E-2</v>
          </cell>
          <cell r="N213">
            <v>7.6429183975311343E-2</v>
          </cell>
          <cell r="O213">
            <v>4.8431695378812888E-2</v>
          </cell>
        </row>
        <row r="214">
          <cell r="A214" t="str">
            <v>T_B_c-HYBDSL-S3</v>
          </cell>
          <cell r="B214" t="str">
            <v>VAR_ncap</v>
          </cell>
          <cell r="C214" t="str">
            <v>-</v>
          </cell>
          <cell r="E214">
            <v>1.2711121974876799E-6</v>
          </cell>
          <cell r="F214">
            <v>1.2521027482976301E-5</v>
          </cell>
          <cell r="G214">
            <v>2.4685574220744099E-4</v>
          </cell>
          <cell r="H214">
            <v>6.4830614277121696E-5</v>
          </cell>
          <cell r="I214">
            <v>1.77910155605384E-4</v>
          </cell>
          <cell r="J214">
            <v>7.2252264750727999E-5</v>
          </cell>
          <cell r="K214">
            <v>1.47372000733919E-4</v>
          </cell>
          <cell r="L214">
            <v>6.19236002276486E-5</v>
          </cell>
          <cell r="M214">
            <v>1.5611305377195999E-4</v>
          </cell>
          <cell r="N214">
            <v>2.4817855638735401E-5</v>
          </cell>
          <cell r="O214">
            <v>9.0291028661867794E-5</v>
          </cell>
        </row>
        <row r="215">
          <cell r="A215" t="str">
            <v>T_B_c-HYBDSL-S3</v>
          </cell>
          <cell r="B215" t="str">
            <v>VAR_cap</v>
          </cell>
          <cell r="C215" t="str">
            <v>-</v>
          </cell>
          <cell r="E215">
            <v>1.2711121974876799E-6</v>
          </cell>
          <cell r="F215">
            <v>1.3792139680464001E-5</v>
          </cell>
          <cell r="G215">
            <v>2.6012989571659199E-4</v>
          </cell>
          <cell r="H215">
            <v>2.5220657756062009E-4</v>
          </cell>
          <cell r="I215">
            <v>2.42740769882506E-4</v>
          </cell>
          <cell r="J215">
            <v>2.3379047900247437E-4</v>
          </cell>
          <cell r="K215">
            <v>2.1962426548464701E-4</v>
          </cell>
          <cell r="L215">
            <v>2.2039484576076744E-4</v>
          </cell>
          <cell r="M215">
            <v>2.0312434412399799E-4</v>
          </cell>
          <cell r="N215">
            <v>1.8091803647486175E-4</v>
          </cell>
          <cell r="O215">
            <v>1.15108884300603E-4</v>
          </cell>
        </row>
        <row r="216">
          <cell r="A216" t="str">
            <v>T-Bat-Car-STG_S1</v>
          </cell>
          <cell r="B216" t="str">
            <v>VAR_fout</v>
          </cell>
          <cell r="C216" t="str">
            <v>T-ELC-car-BatSTGAUXout_S1</v>
          </cell>
          <cell r="D216">
            <v>8.0073269752989167E-3</v>
          </cell>
          <cell r="E216">
            <v>2.7165397037360556E-2</v>
          </cell>
          <cell r="F216">
            <v>2.1128707646272515E-2</v>
          </cell>
          <cell r="G216">
            <v>0.10001683161559799</v>
          </cell>
          <cell r="H216">
            <v>8.6223889348490845E-2</v>
          </cell>
          <cell r="I216">
            <v>0.37763795762199992</v>
          </cell>
          <cell r="J216">
            <v>0.54924599382255246</v>
          </cell>
          <cell r="K216">
            <v>1.1756557732096682</v>
          </cell>
          <cell r="L216">
            <v>1.3903707450354492</v>
          </cell>
          <cell r="M216">
            <v>1.4467425328387404</v>
          </cell>
          <cell r="N216">
            <v>1.4833123229554601</v>
          </cell>
          <cell r="O216">
            <v>1.4935802569789585</v>
          </cell>
        </row>
        <row r="217">
          <cell r="A217" t="str">
            <v>T-Bat-Car-STG_S1</v>
          </cell>
          <cell r="B217" t="str">
            <v>VAR_fout</v>
          </cell>
          <cell r="C217" t="str">
            <v>T-ELC-car-BatSTGOut_S1</v>
          </cell>
          <cell r="D217">
            <v>8.0073269752989167E-3</v>
          </cell>
          <cell r="E217">
            <v>2.716539703736055E-2</v>
          </cell>
          <cell r="F217">
            <v>2.1128707646272515E-2</v>
          </cell>
          <cell r="G217">
            <v>0.10001683161559799</v>
          </cell>
          <cell r="H217">
            <v>8.6223889348490831E-2</v>
          </cell>
          <cell r="I217">
            <v>0.37763795762199992</v>
          </cell>
          <cell r="J217">
            <v>0.54924599382255235</v>
          </cell>
          <cell r="K217">
            <v>1.175655773209668</v>
          </cell>
          <cell r="L217">
            <v>1.3903707450354492</v>
          </cell>
          <cell r="M217">
            <v>1.4467425328387402</v>
          </cell>
          <cell r="N217">
            <v>1.4833123229554599</v>
          </cell>
          <cell r="O217">
            <v>1.4935802569789582</v>
          </cell>
        </row>
        <row r="218">
          <cell r="A218" t="str">
            <v>T-Bat-Car-STG_S1</v>
          </cell>
          <cell r="B218" t="str">
            <v>VAR_fin</v>
          </cell>
          <cell r="C218" t="str">
            <v>T-ELC-car-BatSTGAUXin_S1</v>
          </cell>
          <cell r="D218">
            <v>8.0121595354167539E-3</v>
          </cell>
          <cell r="E218">
            <v>2.7191110954585641E-2</v>
          </cell>
          <cell r="F218">
            <v>2.119262817765611E-2</v>
          </cell>
          <cell r="G218">
            <v>0.10007710501236376</v>
          </cell>
          <cell r="H218">
            <v>8.6289442164356314E-2</v>
          </cell>
          <cell r="I218">
            <v>0.37772343218849619</v>
          </cell>
          <cell r="J218">
            <v>0.54937558814223275</v>
          </cell>
          <cell r="K218">
            <v>1.1758565295912438</v>
          </cell>
          <cell r="L218">
            <v>1.3905563029706247</v>
          </cell>
          <cell r="M218">
            <v>1.4469672095969817</v>
          </cell>
          <cell r="N218">
            <v>1.483499179355136</v>
          </cell>
          <cell r="O218">
            <v>1.4938043814465036</v>
          </cell>
        </row>
        <row r="219">
          <cell r="A219" t="str">
            <v>T-Bat-Car-STG_S1</v>
          </cell>
          <cell r="B219" t="str">
            <v>VAR_fin</v>
          </cell>
          <cell r="C219" t="str">
            <v>T-ELC-car-BatSTGin_S1</v>
          </cell>
          <cell r="D219">
            <v>8.0121595354167539E-3</v>
          </cell>
          <cell r="E219">
            <v>2.7191110954585641E-2</v>
          </cell>
          <cell r="F219">
            <v>2.119262817765611E-2</v>
          </cell>
          <cell r="G219">
            <v>0.10007710501236376</v>
          </cell>
          <cell r="H219">
            <v>8.6289442164356314E-2</v>
          </cell>
          <cell r="I219">
            <v>0.37772343218849619</v>
          </cell>
          <cell r="J219">
            <v>0.54937558814223275</v>
          </cell>
          <cell r="K219">
            <v>1.1758565295912438</v>
          </cell>
          <cell r="L219">
            <v>1.3905563029706247</v>
          </cell>
          <cell r="M219">
            <v>1.4469672095969817</v>
          </cell>
          <cell r="N219">
            <v>1.483499179355136</v>
          </cell>
          <cell r="O219">
            <v>1.4938043814465036</v>
          </cell>
        </row>
        <row r="220">
          <cell r="A220" t="str">
            <v>T-Bat-Car-STG_S1</v>
          </cell>
          <cell r="B220" t="str">
            <v>VAR_ncap</v>
          </cell>
          <cell r="C220" t="str">
            <v>-</v>
          </cell>
          <cell r="D220">
            <v>1.29432793640952E-2</v>
          </cell>
          <cell r="E220">
            <v>0.24131953015955401</v>
          </cell>
          <cell r="F220">
            <v>5.8672156690579499E-2</v>
          </cell>
          <cell r="G220">
            <v>5.5238372607824E-2</v>
          </cell>
          <cell r="H220">
            <v>7.3423498521658401E-2</v>
          </cell>
          <cell r="I220">
            <v>2.75335849289596</v>
          </cell>
          <cell r="J220">
            <v>6.1814680757259799</v>
          </cell>
          <cell r="K220">
            <v>11.0932072833787</v>
          </cell>
          <cell r="L220">
            <v>6.0708604327318598</v>
          </cell>
          <cell r="M220">
            <v>6.0740377561682397</v>
          </cell>
          <cell r="N220">
            <v>8.2068645573208805</v>
          </cell>
          <cell r="O220">
            <v>3.1229405253634499</v>
          </cell>
        </row>
        <row r="221">
          <cell r="A221" t="str">
            <v>T-Bat-Car-STG_S1</v>
          </cell>
          <cell r="B221" t="str">
            <v>VAR_cap</v>
          </cell>
          <cell r="C221" t="str">
            <v>-</v>
          </cell>
          <cell r="D221">
            <v>1.29432793640952E-2</v>
          </cell>
          <cell r="E221">
            <v>0.25067175948388404</v>
          </cell>
          <cell r="F221">
            <v>0.29393774693533031</v>
          </cell>
          <cell r="G221">
            <v>0.29222716920576736</v>
          </cell>
          <cell r="H221">
            <v>0.21411468616954263</v>
          </cell>
          <cell r="I221">
            <v>2.7645006529967078</v>
          </cell>
          <cell r="J221">
            <v>8.2155231568072562</v>
          </cell>
          <cell r="K221">
            <v>17.732621672570975</v>
          </cell>
          <cell r="L221">
            <v>19.188368672984446</v>
          </cell>
          <cell r="M221">
            <v>18.978810084877445</v>
          </cell>
          <cell r="N221">
            <v>19.331484618833738</v>
          </cell>
          <cell r="O221">
            <v>17.403564643112027</v>
          </cell>
        </row>
        <row r="222">
          <cell r="A222" t="str">
            <v>T_B_c-HYBDSL-S4</v>
          </cell>
          <cell r="B222" t="str">
            <v>VAR_fout</v>
          </cell>
          <cell r="C222" t="str">
            <v>CO2_T</v>
          </cell>
          <cell r="E222">
            <v>1.40413259436923E-2</v>
          </cell>
          <cell r="F222">
            <v>2.6060652847742803E-2</v>
          </cell>
          <cell r="G222">
            <v>2.3926795615674852E-2</v>
          </cell>
          <cell r="H222">
            <v>1.7531039943016771E-2</v>
          </cell>
          <cell r="I222">
            <v>2.84962341096274E-2</v>
          </cell>
          <cell r="J222">
            <v>2.5950178154465056E-2</v>
          </cell>
          <cell r="K222">
            <v>3.2242067210644598E-2</v>
          </cell>
          <cell r="L222">
            <v>3.5910743504282298E-2</v>
          </cell>
          <cell r="M222">
            <v>3.1178773192262709E-2</v>
          </cell>
          <cell r="N222">
            <v>4.5932375517002799E-2</v>
          </cell>
          <cell r="O222">
            <v>5.7445009496110803E-2</v>
          </cell>
        </row>
        <row r="223">
          <cell r="A223" t="str">
            <v>T_B_c-HYBDSL-S4</v>
          </cell>
          <cell r="B223" t="str">
            <v>VAR_fout</v>
          </cell>
          <cell r="C223" t="str">
            <v>TPBSc</v>
          </cell>
          <cell r="E223">
            <v>1.0105049940778888E-5</v>
          </cell>
          <cell r="F223">
            <v>1.9180691806161513E-5</v>
          </cell>
          <cell r="G223">
            <v>1.8685909965851725E-5</v>
          </cell>
          <cell r="H223">
            <v>1.5031232958276341E-5</v>
          </cell>
          <cell r="I223">
            <v>2.5371805536502663E-5</v>
          </cell>
          <cell r="J223">
            <v>2.442169056065583E-5</v>
          </cell>
          <cell r="K223">
            <v>3.1751223001516031E-5</v>
          </cell>
          <cell r="L223">
            <v>3.5977079377345759E-5</v>
          </cell>
          <cell r="M223">
            <v>3.1236367965829854E-5</v>
          </cell>
          <cell r="N223">
            <v>4.6017223780627096E-5</v>
          </cell>
          <cell r="O223">
            <v>5.7551124393386777E-5</v>
          </cell>
        </row>
        <row r="224">
          <cell r="A224" t="str">
            <v>T_B_c-HYBDSL-S4</v>
          </cell>
          <cell r="B224" t="str">
            <v>VAR_fin</v>
          </cell>
          <cell r="C224" t="str">
            <v>TDSL</v>
          </cell>
          <cell r="E224">
            <v>1.9155969909539334E-4</v>
          </cell>
          <cell r="F224">
            <v>3.5553414526252094E-4</v>
          </cell>
          <cell r="G224">
            <v>3.2642285969542806E-4</v>
          </cell>
          <cell r="H224">
            <v>2.39168348472262E-4</v>
          </cell>
          <cell r="I224">
            <v>3.8876172045876432E-4</v>
          </cell>
          <cell r="J224">
            <v>3.5402698710047874E-4</v>
          </cell>
          <cell r="K224">
            <v>4.3986449127755113E-4</v>
          </cell>
          <cell r="L224">
            <v>4.8991464535173726E-4</v>
          </cell>
          <cell r="M224">
            <v>4.2535843372800471E-4</v>
          </cell>
          <cell r="N224">
            <v>6.2663540950890547E-4</v>
          </cell>
          <cell r="O224">
            <v>7.8369726461269794E-4</v>
          </cell>
        </row>
        <row r="225">
          <cell r="A225" t="str">
            <v>T_B_c-HYBDSL-S4</v>
          </cell>
          <cell r="B225" t="str">
            <v>VAR_ncap</v>
          </cell>
          <cell r="C225" t="str">
            <v>-</v>
          </cell>
          <cell r="E225">
            <v>2.6528919363566202E-7</v>
          </cell>
          <cell r="F225">
            <v>2.2286954273808499E-7</v>
          </cell>
          <cell r="G225">
            <v>2.3913517470951897E-7</v>
          </cell>
          <cell r="H225">
            <v>3.0904941032222802E-7</v>
          </cell>
          <cell r="I225">
            <v>3.6120009257492398E-7</v>
          </cell>
          <cell r="J225">
            <v>4.1683641610515802E-7</v>
          </cell>
          <cell r="K225">
            <v>4.96618578947755E-7</v>
          </cell>
          <cell r="L225">
            <v>5.2565396336725398E-7</v>
          </cell>
          <cell r="M225">
            <v>6.3444752630044803E-7</v>
          </cell>
          <cell r="N225">
            <v>6.9428016988445298E-7</v>
          </cell>
          <cell r="O225">
            <v>9.3095434042919395E-7</v>
          </cell>
        </row>
        <row r="226">
          <cell r="A226" t="str">
            <v>T_B_c-HYBDSL-S4</v>
          </cell>
          <cell r="B226" t="str">
            <v>VAR_cap</v>
          </cell>
          <cell r="C226" t="str">
            <v>-</v>
          </cell>
          <cell r="E226">
            <v>2.6528919363566202E-7</v>
          </cell>
          <cell r="F226">
            <v>4.8815873637374701E-7</v>
          </cell>
          <cell r="G226">
            <v>4.8273941516217599E-7</v>
          </cell>
          <cell r="H226">
            <v>3.7106541498565501E-7</v>
          </cell>
          <cell r="I226">
            <v>6.1145382318805898E-7</v>
          </cell>
          <cell r="J226">
            <v>6.0412263588118395E-7</v>
          </cell>
          <cell r="K226">
            <v>7.7792598442038501E-7</v>
          </cell>
          <cell r="L226">
            <v>8.8902816651697097E-7</v>
          </cell>
          <cell r="M226">
            <v>7.7076774219144297E-7</v>
          </cell>
          <cell r="N226">
            <v>1.1275991445426299E-6</v>
          </cell>
          <cell r="O226">
            <v>1.3994982241095E-6</v>
          </cell>
        </row>
        <row r="227">
          <cell r="A227" t="str">
            <v>TFHGV-ICEDSLExt</v>
          </cell>
          <cell r="B227" t="str">
            <v>VAR_fout</v>
          </cell>
          <cell r="C227" t="str">
            <v>CO2_T</v>
          </cell>
          <cell r="D227">
            <v>1409.8856801084701</v>
          </cell>
          <cell r="E227">
            <v>865.52753762085695</v>
          </cell>
          <cell r="F227">
            <v>842.49950165229495</v>
          </cell>
          <cell r="G227">
            <v>362.79351017758199</v>
          </cell>
        </row>
        <row r="228">
          <cell r="A228" t="str">
            <v>TFHGV-ICEDSLExt</v>
          </cell>
          <cell r="B228" t="str">
            <v>VAR_fout</v>
          </cell>
          <cell r="C228" t="str">
            <v>TFHGV</v>
          </cell>
          <cell r="D228">
            <v>1.5763341651475933</v>
          </cell>
          <cell r="E228">
            <v>0.99182855857647134</v>
          </cell>
          <cell r="F228">
            <v>1.0006553210469828</v>
          </cell>
          <cell r="G228">
            <v>0.43089788859048545</v>
          </cell>
        </row>
        <row r="229">
          <cell r="A229" t="str">
            <v>TFHGV-ICEDSLExt</v>
          </cell>
          <cell r="B229" t="str">
            <v>VAR_fin</v>
          </cell>
          <cell r="C229" t="str">
            <v>TDSL</v>
          </cell>
          <cell r="D229">
            <v>19.234456754549349</v>
          </cell>
          <cell r="E229">
            <v>11.808015520066256</v>
          </cell>
          <cell r="F229">
            <v>11.493854047098164</v>
          </cell>
          <cell r="G229">
            <v>4.9494339724090386</v>
          </cell>
        </row>
        <row r="230">
          <cell r="A230" t="str">
            <v>TFHGV-ICEDSLExt</v>
          </cell>
          <cell r="B230" t="str">
            <v>VAR_cap</v>
          </cell>
          <cell r="C230" t="str">
            <v>-</v>
          </cell>
          <cell r="D230">
            <v>2.9661960946589135E-2</v>
          </cell>
          <cell r="E230">
            <v>1.977456303893621E-2</v>
          </cell>
          <cell r="F230">
            <v>1.9774555324856662E-2</v>
          </cell>
          <cell r="G230">
            <v>9.8873333333333296E-3</v>
          </cell>
        </row>
        <row r="231">
          <cell r="A231" t="str">
            <v>TPSHPGSLEXT</v>
          </cell>
          <cell r="B231" t="str">
            <v>VAR_fout</v>
          </cell>
          <cell r="C231" t="str">
            <v>TPSHP</v>
          </cell>
          <cell r="D231">
            <v>1.5951113482171899</v>
          </cell>
          <cell r="E231">
            <v>0.72177042552496595</v>
          </cell>
          <cell r="F231">
            <v>1.4471120627601199</v>
          </cell>
          <cell r="G231">
            <v>1.90585701552311</v>
          </cell>
          <cell r="H231">
            <v>2.4382265185403602</v>
          </cell>
          <cell r="I231">
            <v>1.50508268282405</v>
          </cell>
          <cell r="J231">
            <v>0.74475713759667295</v>
          </cell>
        </row>
        <row r="232">
          <cell r="A232" t="str">
            <v>TPSHPGSLEXT</v>
          </cell>
          <cell r="B232" t="str">
            <v>VAR_fout</v>
          </cell>
          <cell r="C232" t="str">
            <v>CO2_T</v>
          </cell>
          <cell r="D232">
            <v>129.873812963153</v>
          </cell>
          <cell r="E232">
            <v>58.766478811485001</v>
          </cell>
          <cell r="F232">
            <v>117.82372533784999</v>
          </cell>
          <cell r="G232">
            <v>155.174695387383</v>
          </cell>
          <cell r="H232">
            <v>198.520169256293</v>
          </cell>
          <cell r="I232">
            <v>122.54368766271</v>
          </cell>
          <cell r="J232">
            <v>60.638054703396698</v>
          </cell>
        </row>
        <row r="233">
          <cell r="A233" t="str">
            <v>TPSHPGSLEXT</v>
          </cell>
          <cell r="B233" t="str">
            <v>VAR_fin</v>
          </cell>
          <cell r="C233" t="str">
            <v>TGSL</v>
          </cell>
          <cell r="D233">
            <v>1.759807763728358</v>
          </cell>
          <cell r="E233">
            <v>0.79629375083313325</v>
          </cell>
          <cell r="F233">
            <v>1.5965274436023007</v>
          </cell>
          <cell r="G233">
            <v>2.1026381488805317</v>
          </cell>
          <cell r="H233">
            <v>2.6899751931747065</v>
          </cell>
          <cell r="I233">
            <v>1.6604835726654452</v>
          </cell>
          <cell r="J233">
            <v>0.82165385776960875</v>
          </cell>
        </row>
        <row r="234">
          <cell r="A234" t="str">
            <v>TPSHPGSLEXT</v>
          </cell>
          <cell r="B234" t="str">
            <v>VAR_ncap</v>
          </cell>
          <cell r="C234" t="str">
            <v>-</v>
          </cell>
          <cell r="D234">
            <v>4.2879336909371302E-6</v>
          </cell>
          <cell r="E234">
            <v>1.9431543804640699E-5</v>
          </cell>
          <cell r="F234">
            <v>1.9851752525012201E-5</v>
          </cell>
          <cell r="G234">
            <v>0.31090636904841901</v>
          </cell>
          <cell r="H234">
            <v>0.53240363489161602</v>
          </cell>
          <cell r="I234">
            <v>1.11969803130787E-4</v>
          </cell>
          <cell r="J234">
            <v>2.5143397793591202E-5</v>
          </cell>
          <cell r="K234">
            <v>1.3812516815671401E-5</v>
          </cell>
          <cell r="L234">
            <v>1.3725206605716E-5</v>
          </cell>
          <cell r="M234">
            <v>1.8965616890888899E-5</v>
          </cell>
          <cell r="N234">
            <v>1.0983922581506801E-5</v>
          </cell>
          <cell r="O234">
            <v>3.72086742053923E-5</v>
          </cell>
        </row>
        <row r="235">
          <cell r="A235" t="str">
            <v>TPSHPGSLEXT</v>
          </cell>
          <cell r="B235" t="str">
            <v>VAR_cap</v>
          </cell>
          <cell r="C235" t="str">
            <v>-</v>
          </cell>
          <cell r="D235">
            <v>1.5951156361508809</v>
          </cell>
          <cell r="E235">
            <v>1.5949439847434084</v>
          </cell>
          <cell r="F235">
            <v>1.5949496622099415</v>
          </cell>
          <cell r="G235">
            <v>1.9058463874557845</v>
          </cell>
          <cell r="H235">
            <v>2.4382266446729819</v>
          </cell>
          <cell r="I235">
            <v>1.5050821968756909</v>
          </cell>
          <cell r="J235">
            <v>0.74475970884012577</v>
          </cell>
          <cell r="K235">
            <v>7.6642574118990225E-5</v>
          </cell>
          <cell r="L235">
            <v>3.497572731997467E-5</v>
          </cell>
          <cell r="M235">
            <v>3.2822945335735092E-5</v>
          </cell>
          <cell r="N235">
            <v>2.4672575738581901E-5</v>
          </cell>
          <cell r="O235">
            <v>5.7255868378780091E-5</v>
          </cell>
        </row>
        <row r="236">
          <cell r="A236" t="str">
            <v>T-Bat-Car-STG_S2</v>
          </cell>
          <cell r="B236" t="str">
            <v>VAR_fout</v>
          </cell>
          <cell r="C236" t="str">
            <v>T-ELC-car-BatSTGAUXout_S2</v>
          </cell>
          <cell r="D236">
            <v>6.6272327615834306E-2</v>
          </cell>
          <cell r="E236">
            <v>0.10589948186017223</v>
          </cell>
          <cell r="F236">
            <v>1.8633706445831566</v>
          </cell>
          <cell r="G236">
            <v>6.9422701457252822</v>
          </cell>
          <cell r="H236">
            <v>11.095370854192604</v>
          </cell>
          <cell r="I236">
            <v>11.438220691539369</v>
          </cell>
          <cell r="J236">
            <v>10.957681243121153</v>
          </cell>
          <cell r="K236">
            <v>10.460088761788914</v>
          </cell>
          <cell r="L236">
            <v>10.13911130165428</v>
          </cell>
          <cell r="M236">
            <v>9.5812436638872605</v>
          </cell>
          <cell r="N236">
            <v>8.9462870467034801</v>
          </cell>
          <cell r="O236">
            <v>8.7598662352469052</v>
          </cell>
        </row>
        <row r="237">
          <cell r="A237" t="str">
            <v>T-Bat-Car-STG_S2</v>
          </cell>
          <cell r="B237" t="str">
            <v>VAR_fout</v>
          </cell>
          <cell r="C237" t="str">
            <v>T-ELC-car-BatSTGOut_S2</v>
          </cell>
          <cell r="D237">
            <v>6.6272327615834306E-2</v>
          </cell>
          <cell r="E237">
            <v>0.10589948186017221</v>
          </cell>
          <cell r="F237">
            <v>1.8633706445831562</v>
          </cell>
          <cell r="G237">
            <v>6.9422701457252813</v>
          </cell>
          <cell r="H237">
            <v>11.095370854192604</v>
          </cell>
          <cell r="I237">
            <v>11.438220691539369</v>
          </cell>
          <cell r="J237">
            <v>10.957681243121153</v>
          </cell>
          <cell r="K237">
            <v>10.460088761788912</v>
          </cell>
          <cell r="L237">
            <v>10.13911130165428</v>
          </cell>
          <cell r="M237">
            <v>9.5812436638872587</v>
          </cell>
          <cell r="N237">
            <v>8.9462870467034783</v>
          </cell>
          <cell r="O237">
            <v>8.7598662352469052</v>
          </cell>
        </row>
        <row r="238">
          <cell r="A238" t="str">
            <v>T-Bat-Car-STG_S2</v>
          </cell>
          <cell r="B238" t="str">
            <v>VAR_fin</v>
          </cell>
          <cell r="C238" t="str">
            <v>T-ELC-car-BatSTGAUXin_S2</v>
          </cell>
          <cell r="D238">
            <v>6.6282679292354568E-2</v>
          </cell>
          <cell r="E238">
            <v>0.10593232813117634</v>
          </cell>
          <cell r="F238">
            <v>1.8636122129748844</v>
          </cell>
          <cell r="G238">
            <v>6.9430004216047356</v>
          </cell>
          <cell r="H238">
            <v>11.096537842205052</v>
          </cell>
          <cell r="I238">
            <v>11.439406771303453</v>
          </cell>
          <cell r="J238">
            <v>10.958850852329936</v>
          </cell>
          <cell r="K238">
            <v>10.461202262929408</v>
          </cell>
          <cell r="L238">
            <v>10.140177428668569</v>
          </cell>
          <cell r="M238">
            <v>9.5822823138831161</v>
          </cell>
          <cell r="N238">
            <v>8.9472237880521597</v>
          </cell>
          <cell r="O238">
            <v>8.7608241793795774</v>
          </cell>
        </row>
        <row r="239">
          <cell r="A239" t="str">
            <v>T-Bat-Car-STG_S2</v>
          </cell>
          <cell r="B239" t="str">
            <v>VAR_fin</v>
          </cell>
          <cell r="C239" t="str">
            <v>T-ELC-car-BatSTGin_S2</v>
          </cell>
          <cell r="D239">
            <v>6.6282679292354568E-2</v>
          </cell>
          <cell r="E239">
            <v>0.10593232813117634</v>
          </cell>
          <cell r="F239">
            <v>1.8636122129748844</v>
          </cell>
          <cell r="G239">
            <v>6.9430004216047356</v>
          </cell>
          <cell r="H239">
            <v>11.096537842205052</v>
          </cell>
          <cell r="I239">
            <v>11.439406771303453</v>
          </cell>
          <cell r="J239">
            <v>10.958850852329936</v>
          </cell>
          <cell r="K239">
            <v>10.461202262929408</v>
          </cell>
          <cell r="L239">
            <v>10.140177428668569</v>
          </cell>
          <cell r="M239">
            <v>9.5822823138831161</v>
          </cell>
          <cell r="N239">
            <v>8.9472237880521597</v>
          </cell>
          <cell r="O239">
            <v>8.7608241793795774</v>
          </cell>
        </row>
        <row r="240">
          <cell r="A240" t="str">
            <v>T-Bat-Car-STG_S2</v>
          </cell>
          <cell r="B240" t="str">
            <v>VAR_ncap</v>
          </cell>
          <cell r="C240" t="str">
            <v>-</v>
          </cell>
          <cell r="D240">
            <v>1.5182579989852601E-2</v>
          </cell>
          <cell r="E240">
            <v>6.7481312290089204E-2</v>
          </cell>
          <cell r="F240">
            <v>27.725883492284702</v>
          </cell>
          <cell r="G240">
            <v>81.970523175042999</v>
          </cell>
          <cell r="H240">
            <v>154.990377809157</v>
          </cell>
          <cell r="I240">
            <v>69.657925568119893</v>
          </cell>
          <cell r="J240">
            <v>89.955441640697501</v>
          </cell>
          <cell r="K240">
            <v>118.613878248137</v>
          </cell>
          <cell r="L240">
            <v>73.671235344667707</v>
          </cell>
          <cell r="M240">
            <v>78.849274862322204</v>
          </cell>
          <cell r="N240">
            <v>79.175151794883405</v>
          </cell>
          <cell r="O240">
            <v>58.079504547378797</v>
          </cell>
        </row>
        <row r="241">
          <cell r="A241" t="str">
            <v>T-Bat-Car-STG_S2</v>
          </cell>
          <cell r="B241" t="str">
            <v>VAR_cap</v>
          </cell>
          <cell r="C241" t="str">
            <v>-</v>
          </cell>
          <cell r="D241">
            <v>1.5182579989852601E-2</v>
          </cell>
          <cell r="E241">
            <v>8.1324304813148424E-2</v>
          </cell>
          <cell r="F241">
            <v>27.433221445920395</v>
          </cell>
          <cell r="G241">
            <v>101.81143922830172</v>
          </cell>
          <cell r="H241">
            <v>230.85723234337513</v>
          </cell>
          <cell r="I241">
            <v>164.86964076268418</v>
          </cell>
          <cell r="J241">
            <v>184.02123173743789</v>
          </cell>
          <cell r="K241">
            <v>228.79025906526624</v>
          </cell>
          <cell r="L241">
            <v>216.78010586747121</v>
          </cell>
          <cell r="M241">
            <v>202.73375495563042</v>
          </cell>
          <cell r="N241">
            <v>200.1153752345503</v>
          </cell>
          <cell r="O241">
            <v>216.10349570401215</v>
          </cell>
        </row>
        <row r="242">
          <cell r="A242" t="str">
            <v>T_TW-ICEGSL-S1</v>
          </cell>
          <cell r="B242" t="str">
            <v>VAR_fout</v>
          </cell>
          <cell r="C242" t="str">
            <v>CO2_T</v>
          </cell>
          <cell r="D242">
            <v>3.2351751787002332</v>
          </cell>
          <cell r="E242">
            <v>36.325401394417327</v>
          </cell>
          <cell r="F242">
            <v>36.671064948493346</v>
          </cell>
          <cell r="G242">
            <v>45.33878648619006</v>
          </cell>
          <cell r="H242">
            <v>61.86087654505458</v>
          </cell>
          <cell r="I242">
            <v>65.228134207597265</v>
          </cell>
          <cell r="J242">
            <v>66.347561076448997</v>
          </cell>
          <cell r="K242">
            <v>63.541777704735253</v>
          </cell>
          <cell r="L242">
            <v>60.638953597563699</v>
          </cell>
          <cell r="M242">
            <v>58.203282803213597</v>
          </cell>
          <cell r="N242">
            <v>57.214023996118968</v>
          </cell>
          <cell r="O242">
            <v>54.949855058116697</v>
          </cell>
        </row>
        <row r="243">
          <cell r="A243" t="str">
            <v>T_TW-ICEGSL-S1</v>
          </cell>
          <cell r="B243" t="str">
            <v>VAR_fout</v>
          </cell>
          <cell r="C243" t="str">
            <v>TPTWL</v>
          </cell>
          <cell r="D243">
            <v>8.3636013206774731E-2</v>
          </cell>
          <cell r="E243">
            <v>0.94704245544128829</v>
          </cell>
          <cell r="F243">
            <v>0.9562048712871245</v>
          </cell>
          <cell r="G243">
            <v>1.1995994133967038</v>
          </cell>
          <cell r="H243">
            <v>1.7052316621177948</v>
          </cell>
          <cell r="I243">
            <v>1.817287957524498</v>
          </cell>
          <cell r="J243">
            <v>1.8880982835294282</v>
          </cell>
          <cell r="K243">
            <v>1.860844924297363</v>
          </cell>
          <cell r="L243">
            <v>1.7906457350471607</v>
          </cell>
          <cell r="M243">
            <v>1.7258129195882628</v>
          </cell>
          <cell r="N243">
            <v>1.6964799413115432</v>
          </cell>
          <cell r="O243">
            <v>1.6293440029737352</v>
          </cell>
        </row>
        <row r="244">
          <cell r="A244" t="str">
            <v>T_TW-ICEGSL-S1</v>
          </cell>
          <cell r="B244" t="str">
            <v>VAR_fin</v>
          </cell>
          <cell r="C244" t="str">
            <v>TGSL</v>
          </cell>
          <cell r="D244">
            <v>4.3837062042008643E-2</v>
          </cell>
          <cell r="E244">
            <v>0.4922141110354652</v>
          </cell>
          <cell r="F244">
            <v>0.49689789903107545</v>
          </cell>
          <cell r="G244">
            <v>0.61434670035487837</v>
          </cell>
          <cell r="H244">
            <v>0.83822325941808329</v>
          </cell>
          <cell r="I244">
            <v>0.88385005701351194</v>
          </cell>
          <cell r="J244">
            <v>0.89901844277031207</v>
          </cell>
          <cell r="K244">
            <v>0.86099969789614228</v>
          </cell>
          <cell r="L244">
            <v>0.82166603790736759</v>
          </cell>
          <cell r="M244">
            <v>0.78866236860723038</v>
          </cell>
          <cell r="N244">
            <v>0.77525777772518756</v>
          </cell>
          <cell r="O244">
            <v>0.74457798181729951</v>
          </cell>
        </row>
        <row r="245">
          <cell r="A245" t="str">
            <v>T_TW-ICEGSL-S1</v>
          </cell>
          <cell r="B245" t="str">
            <v>VAR_ncap</v>
          </cell>
          <cell r="C245" t="str">
            <v>-</v>
          </cell>
          <cell r="E245">
            <v>0.29299969911868301</v>
          </cell>
          <cell r="F245">
            <v>3.5045138589168598E-3</v>
          </cell>
          <cell r="G245">
            <v>0.16164317666844499</v>
          </cell>
          <cell r="H245">
            <v>0.51496713523354998</v>
          </cell>
          <cell r="I245">
            <v>0.18160430589593701</v>
          </cell>
          <cell r="J245">
            <v>0.33004089121636698</v>
          </cell>
          <cell r="K245">
            <v>0.38940357211361998</v>
          </cell>
          <cell r="L245">
            <v>0.23372420580632999</v>
          </cell>
          <cell r="M245">
            <v>0.32956304510474899</v>
          </cell>
          <cell r="N245">
            <v>0.39363932055019402</v>
          </cell>
          <cell r="O245">
            <v>0.13514162050335901</v>
          </cell>
        </row>
        <row r="246">
          <cell r="A246" t="str">
            <v>T_TW-ICEGSL-S1</v>
          </cell>
          <cell r="B246" t="str">
            <v>VAR_cap</v>
          </cell>
          <cell r="C246" t="str">
            <v>-</v>
          </cell>
          <cell r="D246">
            <v>2.9121007422453739E-2</v>
          </cell>
          <cell r="E246">
            <v>0.32597159635533296</v>
          </cell>
          <cell r="F246">
            <v>0.32947424660169167</v>
          </cell>
          <cell r="G246">
            <v>0.4371718985194728</v>
          </cell>
          <cell r="H246">
            <v>0.67840491188925012</v>
          </cell>
          <cell r="I246">
            <v>0.73051503446463784</v>
          </cell>
          <cell r="J246">
            <v>0.77865989988931816</v>
          </cell>
          <cell r="K246">
            <v>0.78147826201997683</v>
          </cell>
          <cell r="L246">
            <v>0.77158252002077921</v>
          </cell>
          <cell r="M246">
            <v>0.76279220885045096</v>
          </cell>
          <cell r="N246">
            <v>0.76459867888513833</v>
          </cell>
          <cell r="O246">
            <v>0.75117931263900517</v>
          </cell>
        </row>
        <row r="247">
          <cell r="A247" t="str">
            <v>TPSHPDSLEXT</v>
          </cell>
          <cell r="B247" t="str">
            <v>VAR_fout</v>
          </cell>
          <cell r="C247" t="str">
            <v>TPSHP</v>
          </cell>
          <cell r="D247">
            <v>17.176521919007701</v>
          </cell>
          <cell r="E247">
            <v>17.176560408736702</v>
          </cell>
          <cell r="F247">
            <v>15.5778535814515</v>
          </cell>
          <cell r="G247">
            <v>14.2457275141441</v>
          </cell>
          <cell r="H247">
            <v>13.7127025103746</v>
          </cell>
          <cell r="I247">
            <v>13.179719571925601</v>
          </cell>
          <cell r="J247">
            <v>12.112289391395899</v>
          </cell>
          <cell r="K247">
            <v>12.112067331176499</v>
          </cell>
          <cell r="L247">
            <v>12.1113859147081</v>
          </cell>
          <cell r="M247">
            <v>5.6179108962921402</v>
          </cell>
          <cell r="N247">
            <v>2.0192265914994301</v>
          </cell>
          <cell r="O247">
            <v>2.0191231690599798</v>
          </cell>
        </row>
        <row r="248">
          <cell r="A248" t="str">
            <v>TPSHPDSLEXT</v>
          </cell>
          <cell r="B248" t="str">
            <v>VAR_fout</v>
          </cell>
          <cell r="C248" t="str">
            <v>CO2_T</v>
          </cell>
          <cell r="D248">
            <v>1273.9831592043399</v>
          </cell>
          <cell r="E248">
            <v>1273.9860139887201</v>
          </cell>
          <cell r="F248">
            <v>1155.4098794214301</v>
          </cell>
          <cell r="G248">
            <v>1056.6060480235999</v>
          </cell>
          <cell r="H248">
            <v>1017.07156709439</v>
          </cell>
          <cell r="I248">
            <v>977.54020615130105</v>
          </cell>
          <cell r="J248">
            <v>898.36887681969597</v>
          </cell>
          <cell r="K248">
            <v>898.35240660638101</v>
          </cell>
          <cell r="L248">
            <v>898.30186592595999</v>
          </cell>
          <cell r="M248">
            <v>416.68062402473902</v>
          </cell>
          <cell r="N248">
            <v>149.766098417232</v>
          </cell>
          <cell r="O248">
            <v>149.758427571716</v>
          </cell>
        </row>
        <row r="249">
          <cell r="A249" t="str">
            <v>TPSHPDSLEXT</v>
          </cell>
          <cell r="B249" t="str">
            <v>VAR_fin</v>
          </cell>
          <cell r="C249" t="str">
            <v>TDSL</v>
          </cell>
          <cell r="D249">
            <v>17.38039780633471</v>
          </cell>
          <cell r="E249">
            <v>17.380436752915653</v>
          </cell>
          <cell r="F249">
            <v>15.762754153089015</v>
          </cell>
          <cell r="G249">
            <v>14.414816480540271</v>
          </cell>
          <cell r="H249">
            <v>13.875464762542808</v>
          </cell>
          <cell r="I249">
            <v>13.336155609158252</v>
          </cell>
          <cell r="J249">
            <v>12.25605561827685</v>
          </cell>
          <cell r="K249">
            <v>12.255830922324501</v>
          </cell>
          <cell r="L249">
            <v>12.255141417816656</v>
          </cell>
          <cell r="M249">
            <v>5.6845924150714735</v>
          </cell>
          <cell r="N249">
            <v>2.0431937028271721</v>
          </cell>
          <cell r="O249">
            <v>2.0430890528201435</v>
          </cell>
        </row>
        <row r="250">
          <cell r="A250" t="str">
            <v>TPSHPDSLEXT</v>
          </cell>
          <cell r="B250" t="str">
            <v>VAR_ncap</v>
          </cell>
          <cell r="C250" t="str">
            <v>-</v>
          </cell>
          <cell r="D250">
            <v>5.4496138724657798E-6</v>
          </cell>
          <cell r="E250">
            <v>4.3463468896927701E-5</v>
          </cell>
          <cell r="F250">
            <v>1.40068661742296E-5</v>
          </cell>
          <cell r="G250">
            <v>2.1318113185533799E-5</v>
          </cell>
          <cell r="H250">
            <v>5.50964488486882E-5</v>
          </cell>
          <cell r="I250">
            <v>7.49068013803182</v>
          </cell>
          <cell r="J250">
            <v>4.6215709436836301</v>
          </cell>
          <cell r="K250">
            <v>4.3660860311315397E-5</v>
          </cell>
          <cell r="L250">
            <v>0.99180482796681002</v>
          </cell>
          <cell r="M250">
            <v>4.5841556718826202E-3</v>
          </cell>
          <cell r="N250">
            <v>1.0228480576138199</v>
          </cell>
          <cell r="O250">
            <v>7.2348887790873198E-5</v>
          </cell>
        </row>
        <row r="251">
          <cell r="A251" t="str">
            <v>TPSHPDSLEXT</v>
          </cell>
          <cell r="B251" t="str">
            <v>VAR_cap</v>
          </cell>
          <cell r="C251" t="str">
            <v>-</v>
          </cell>
          <cell r="D251">
            <v>17.176527368621574</v>
          </cell>
          <cell r="E251">
            <v>17.176561227889003</v>
          </cell>
          <cell r="F251">
            <v>15.577841994530496</v>
          </cell>
          <cell r="G251">
            <v>14.24570536895326</v>
          </cell>
          <cell r="H251">
            <v>13.712701664460537</v>
          </cell>
          <cell r="I251">
            <v>13.179710399086352</v>
          </cell>
          <cell r="J251">
            <v>12.112290460290989</v>
          </cell>
          <cell r="K251">
            <v>12.112115170178983</v>
          </cell>
          <cell r="L251">
            <v>12.111389161438101</v>
          </cell>
          <cell r="M251">
            <v>5.6179129787321527</v>
          </cell>
          <cell r="N251">
            <v>2.0192231737292077</v>
          </cell>
          <cell r="O251">
            <v>2.0191402119384931</v>
          </cell>
        </row>
        <row r="252">
          <cell r="A252" t="str">
            <v>T-Bat-Car-STG_S3</v>
          </cell>
          <cell r="B252" t="str">
            <v>VAR_fout</v>
          </cell>
          <cell r="C252" t="str">
            <v>T-ELC-car-BatSTGAUXout_S3</v>
          </cell>
          <cell r="D252">
            <v>4.5831692347842824E-2</v>
          </cell>
          <cell r="E252">
            <v>9.6811730294798837E-2</v>
          </cell>
          <cell r="F252">
            <v>0.12595219936681193</v>
          </cell>
          <cell r="G252">
            <v>2.1303544764480926</v>
          </cell>
          <cell r="H252">
            <v>5.552884766598523</v>
          </cell>
          <cell r="I252">
            <v>7.5974728088798464</v>
          </cell>
          <cell r="J252">
            <v>7.6437548504279569</v>
          </cell>
          <cell r="K252">
            <v>7.0893376366952667</v>
          </cell>
          <cell r="L252">
            <v>7.7232014995579563</v>
          </cell>
          <cell r="M252">
            <v>7.8868707899066157</v>
          </cell>
          <cell r="N252">
            <v>8.3793850690170135</v>
          </cell>
          <cell r="O252">
            <v>8.5963511654399536</v>
          </cell>
        </row>
        <row r="253">
          <cell r="A253" t="str">
            <v>T-Bat-Car-STG_S3</v>
          </cell>
          <cell r="B253" t="str">
            <v>VAR_fout</v>
          </cell>
          <cell r="C253" t="str">
            <v>T-ELC-car-BatSTGOut_S3</v>
          </cell>
          <cell r="D253">
            <v>4.583169234784281E-2</v>
          </cell>
          <cell r="E253">
            <v>9.6811730294798809E-2</v>
          </cell>
          <cell r="F253">
            <v>0.1259521993668119</v>
          </cell>
          <cell r="G253">
            <v>2.1303544764480926</v>
          </cell>
          <cell r="H253">
            <v>5.552884766598523</v>
          </cell>
          <cell r="I253">
            <v>7.5974728088798456</v>
          </cell>
          <cell r="J253">
            <v>7.643754850427956</v>
          </cell>
          <cell r="K253">
            <v>7.0893376366952658</v>
          </cell>
          <cell r="L253">
            <v>7.7232014995579545</v>
          </cell>
          <cell r="M253">
            <v>7.8868707899066139</v>
          </cell>
          <cell r="N253">
            <v>8.3793850690170135</v>
          </cell>
          <cell r="O253">
            <v>8.59635116543995</v>
          </cell>
        </row>
        <row r="254">
          <cell r="A254" t="str">
            <v>T-Bat-Car-STG_S3</v>
          </cell>
          <cell r="B254" t="str">
            <v>VAR_fin</v>
          </cell>
          <cell r="C254" t="str">
            <v>T-ELC-car-BatSTGAUXin_S3</v>
          </cell>
          <cell r="D254">
            <v>4.5839223063176109E-2</v>
          </cell>
          <cell r="E254">
            <v>9.6840154859067717E-2</v>
          </cell>
          <cell r="F254">
            <v>0.12601991035242102</v>
          </cell>
          <cell r="G254">
            <v>2.1306035125201701</v>
          </cell>
          <cell r="H254">
            <v>5.5534900649540804</v>
          </cell>
          <cell r="I254">
            <v>7.5982750807089969</v>
          </cell>
          <cell r="J254">
            <v>7.6445930338222894</v>
          </cell>
          <cell r="K254">
            <v>7.0901139635030415</v>
          </cell>
          <cell r="L254">
            <v>7.7240260331912651</v>
          </cell>
          <cell r="M254">
            <v>7.8877397729869552</v>
          </cell>
          <cell r="N254">
            <v>8.3802650927163356</v>
          </cell>
          <cell r="O254">
            <v>8.5972926255131643</v>
          </cell>
        </row>
        <row r="255">
          <cell r="A255" t="str">
            <v>T-Bat-Car-STG_S3</v>
          </cell>
          <cell r="B255" t="str">
            <v>VAR_fin</v>
          </cell>
          <cell r="C255" t="str">
            <v>T-ELC-car-BatSTGin_S3</v>
          </cell>
          <cell r="D255">
            <v>4.5839223063176109E-2</v>
          </cell>
          <cell r="E255">
            <v>9.6840154859067717E-2</v>
          </cell>
          <cell r="F255">
            <v>0.12601991035242102</v>
          </cell>
          <cell r="G255">
            <v>2.1306035125201701</v>
          </cell>
          <cell r="H255">
            <v>5.5534900649540804</v>
          </cell>
          <cell r="I255">
            <v>7.5982750807089969</v>
          </cell>
          <cell r="J255">
            <v>7.6445930338222894</v>
          </cell>
          <cell r="K255">
            <v>7.0901139635030415</v>
          </cell>
          <cell r="L255">
            <v>7.7240260331912651</v>
          </cell>
          <cell r="M255">
            <v>7.8877397729869552</v>
          </cell>
          <cell r="N255">
            <v>8.3802650927163356</v>
          </cell>
          <cell r="O255">
            <v>8.5972926255131643</v>
          </cell>
        </row>
        <row r="256">
          <cell r="A256" t="str">
            <v>T-Bat-Car-STG_S3</v>
          </cell>
          <cell r="B256" t="str">
            <v>VAR_ncap</v>
          </cell>
          <cell r="C256" t="str">
            <v>-</v>
          </cell>
          <cell r="D256">
            <v>1.9201178050190702E-2</v>
          </cell>
          <cell r="E256">
            <v>0.44446930208293101</v>
          </cell>
          <cell r="F256">
            <v>0.49976875353236599</v>
          </cell>
          <cell r="G256">
            <v>28.159336662726801</v>
          </cell>
          <cell r="H256">
            <v>58.888315146307399</v>
          </cell>
          <cell r="I256">
            <v>48.656653068044001</v>
          </cell>
          <cell r="J256">
            <v>40.107795202820803</v>
          </cell>
          <cell r="K256">
            <v>46.2683614391376</v>
          </cell>
          <cell r="L256">
            <v>59.690298048491002</v>
          </cell>
          <cell r="M256">
            <v>59.388974336565298</v>
          </cell>
          <cell r="N256">
            <v>90.980324701487604</v>
          </cell>
          <cell r="O256">
            <v>58.619470034801999</v>
          </cell>
        </row>
        <row r="257">
          <cell r="A257" t="str">
            <v>T-Bat-Car-STG_S3</v>
          </cell>
          <cell r="B257" t="str">
            <v>VAR_cap</v>
          </cell>
          <cell r="C257" t="str">
            <v>-</v>
          </cell>
          <cell r="D257">
            <v>1.9201178050190702E-2</v>
          </cell>
          <cell r="E257">
            <v>0.45719366933926492</v>
          </cell>
          <cell r="F257">
            <v>0.923708458592152</v>
          </cell>
          <cell r="G257">
            <v>27.47717794958</v>
          </cell>
          <cell r="H257">
            <v>79.79024473369266</v>
          </cell>
          <cell r="I257">
            <v>110.50339289651906</v>
          </cell>
          <cell r="J257">
            <v>113.53361147515771</v>
          </cell>
          <cell r="K257">
            <v>107.74116262982207</v>
          </cell>
          <cell r="L257">
            <v>124.63748060885628</v>
          </cell>
          <cell r="M257">
            <v>143.76563793609597</v>
          </cell>
          <cell r="N257">
            <v>189.74484068487422</v>
          </cell>
          <cell r="O257">
            <v>208.98830228919076</v>
          </cell>
        </row>
        <row r="258">
          <cell r="A258" t="str">
            <v>T_TW-ICEGSL-S2</v>
          </cell>
          <cell r="B258" t="str">
            <v>VAR_fout</v>
          </cell>
          <cell r="C258" t="str">
            <v>CO2_T</v>
          </cell>
          <cell r="D258">
            <v>8.1529179733946613</v>
          </cell>
          <cell r="E258">
            <v>12.047334243403913</v>
          </cell>
          <cell r="F258">
            <v>11.224917624205263</v>
          </cell>
          <cell r="G258">
            <v>7.7101675471585649</v>
          </cell>
          <cell r="H258">
            <v>0.88750629164562633</v>
          </cell>
          <cell r="I258">
            <v>0.1543916778029846</v>
          </cell>
          <cell r="J258">
            <v>0.18458406860945531</v>
          </cell>
          <cell r="K258">
            <v>0.21522259560157231</v>
          </cell>
          <cell r="L258">
            <v>0.21276721283979771</v>
          </cell>
          <cell r="M258">
            <v>0.26451232035534883</v>
          </cell>
          <cell r="N258">
            <v>0.2498078810916734</v>
          </cell>
          <cell r="O258">
            <v>0.35241758584772698</v>
          </cell>
        </row>
        <row r="259">
          <cell r="A259" t="str">
            <v>T_TW-ICEGSL-S2</v>
          </cell>
          <cell r="B259" t="str">
            <v>VAR_fout</v>
          </cell>
          <cell r="C259" t="str">
            <v>TPTWL</v>
          </cell>
          <cell r="D259">
            <v>0.12182569320786941</v>
          </cell>
          <cell r="E259">
            <v>0.1802727634908767</v>
          </cell>
          <cell r="F259">
            <v>0.16798309142384962</v>
          </cell>
          <cell r="G259">
            <v>0.11544095956170804</v>
          </cell>
          <cell r="H259">
            <v>1.342030330654391E-2</v>
          </cell>
          <cell r="I259">
            <v>2.4774087537459727E-3</v>
          </cell>
          <cell r="J259">
            <v>3.0205277256701488E-3</v>
          </cell>
          <cell r="K259">
            <v>3.5965895116482735E-3</v>
          </cell>
          <cell r="L259">
            <v>3.6072802778246539E-3</v>
          </cell>
          <cell r="M259">
            <v>4.507382816217596E-3</v>
          </cell>
          <cell r="N259">
            <v>4.2568140080419701E-3</v>
          </cell>
          <cell r="O259">
            <v>6.0053194061015754E-3</v>
          </cell>
        </row>
        <row r="260">
          <cell r="A260" t="str">
            <v>T_TW-ICEGSL-S2</v>
          </cell>
          <cell r="B260" t="str">
            <v>VAR_fin</v>
          </cell>
          <cell r="C260" t="str">
            <v>TGSL</v>
          </cell>
          <cell r="D260">
            <v>0.1104731432709303</v>
          </cell>
          <cell r="E260">
            <v>0.16324301142823722</v>
          </cell>
          <cell r="F260">
            <v>0.15209915479952935</v>
          </cell>
          <cell r="G260">
            <v>0.10447381500214863</v>
          </cell>
          <cell r="H260">
            <v>1.2025830510103357E-2</v>
          </cell>
          <cell r="I260">
            <v>2.0920281545119849E-3</v>
          </cell>
          <cell r="J260">
            <v>2.5011391410495339E-3</v>
          </cell>
          <cell r="K260">
            <v>2.9162953333546379E-3</v>
          </cell>
          <cell r="L260">
            <v>2.8830245642249034E-3</v>
          </cell>
          <cell r="M260">
            <v>3.5841777825927961E-3</v>
          </cell>
          <cell r="N260">
            <v>3.3849306380985449E-3</v>
          </cell>
          <cell r="O260">
            <v>4.7753060412971012E-3</v>
          </cell>
        </row>
        <row r="261">
          <cell r="A261" t="str">
            <v>T_TW-ICEGSL-S2</v>
          </cell>
          <cell r="B261" t="str">
            <v>VAR_ncap</v>
          </cell>
          <cell r="C261" t="str">
            <v>-</v>
          </cell>
          <cell r="E261">
            <v>2.5183884813311002E-4</v>
          </cell>
          <cell r="F261">
            <v>2.40062901540988E-4</v>
          </cell>
          <cell r="G261">
            <v>3.0381826393115397E-4</v>
          </cell>
          <cell r="H261">
            <v>3.8570202595438402E-4</v>
          </cell>
          <cell r="I261">
            <v>4.1299517583080699E-4</v>
          </cell>
          <cell r="J261">
            <v>4.7073196648829001E-4</v>
          </cell>
          <cell r="K261">
            <v>5.4340506245324305E-4</v>
          </cell>
          <cell r="L261">
            <v>5.7153820508720104E-4</v>
          </cell>
          <cell r="M261">
            <v>7.0247643565455101E-4</v>
          </cell>
          <cell r="N261">
            <v>7.3443065656626501E-4</v>
          </cell>
          <cell r="O261">
            <v>1.0094602253835599E-3</v>
          </cell>
        </row>
        <row r="262">
          <cell r="A262" t="str">
            <v>T_TW-ICEGSL-S2</v>
          </cell>
          <cell r="B262" t="str">
            <v>VAR_cap</v>
          </cell>
          <cell r="C262" t="str">
            <v>-</v>
          </cell>
          <cell r="D262">
            <v>4.271961584528719E-2</v>
          </cell>
          <cell r="E262">
            <v>6.2139562820077238E-2</v>
          </cell>
          <cell r="F262">
            <v>6.2378910342915005E-2</v>
          </cell>
          <cell r="G262">
            <v>5.4387740080620257E-2</v>
          </cell>
          <cell r="H262">
            <v>5.9647261633187969E-3</v>
          </cell>
          <cell r="I262">
            <v>9.8488466631387636E-4</v>
          </cell>
          <cell r="J262">
            <v>1.2083189799432772E-3</v>
          </cell>
          <cell r="K262">
            <v>1.4261819490625632E-3</v>
          </cell>
          <cell r="L262">
            <v>1.458642004671513E-3</v>
          </cell>
          <cell r="M262">
            <v>1.814843375680673E-3</v>
          </cell>
          <cell r="N262">
            <v>1.732489608437275E-3</v>
          </cell>
          <cell r="O262">
            <v>2.4437969523518526E-3</v>
          </cell>
        </row>
        <row r="263">
          <cell r="A263" t="str">
            <v>T-Bat-Car-STG_S4</v>
          </cell>
          <cell r="B263" t="str">
            <v>VAR_fout</v>
          </cell>
          <cell r="C263" t="str">
            <v>T-ELC-car-BatSTGAUXout_S4</v>
          </cell>
          <cell r="D263">
            <v>0.14923760983446652</v>
          </cell>
          <cell r="E263">
            <v>0.94352272875007159</v>
          </cell>
          <cell r="F263">
            <v>1.6543798998083334</v>
          </cell>
          <cell r="G263">
            <v>3.2773439873304793</v>
          </cell>
          <cell r="H263">
            <v>3.3850950508636335</v>
          </cell>
          <cell r="I263">
            <v>2.1572959399750888</v>
          </cell>
          <cell r="J263">
            <v>2.0091266214967267</v>
          </cell>
          <cell r="K263">
            <v>2.086768538230694</v>
          </cell>
          <cell r="L263">
            <v>2.2655550960319646</v>
          </cell>
          <cell r="M263">
            <v>2.3528214764194502</v>
          </cell>
          <cell r="N263">
            <v>2.3670148750531772</v>
          </cell>
          <cell r="O263">
            <v>2.5323002162314832</v>
          </cell>
        </row>
        <row r="264">
          <cell r="A264" t="str">
            <v>T-Bat-Car-STG_S4</v>
          </cell>
          <cell r="B264" t="str">
            <v>VAR_fout</v>
          </cell>
          <cell r="C264" t="str">
            <v>T-ELC-car-BatSTGOut_S4</v>
          </cell>
          <cell r="D264">
            <v>0.14923760983446652</v>
          </cell>
          <cell r="E264">
            <v>0.94352272875007159</v>
          </cell>
          <cell r="F264">
            <v>1.6543798998083334</v>
          </cell>
          <cell r="G264">
            <v>3.2773439873304793</v>
          </cell>
          <cell r="H264">
            <v>3.3850950508636335</v>
          </cell>
          <cell r="I264">
            <v>2.1572959399750884</v>
          </cell>
          <cell r="J264">
            <v>2.0091266214967267</v>
          </cell>
          <cell r="K264">
            <v>2.086768538230694</v>
          </cell>
          <cell r="L264">
            <v>2.2655550960319637</v>
          </cell>
          <cell r="M264">
            <v>2.3528214764194502</v>
          </cell>
          <cell r="N264">
            <v>2.3670148750531772</v>
          </cell>
          <cell r="O264">
            <v>2.5323002162314827</v>
          </cell>
        </row>
        <row r="265">
          <cell r="A265" t="str">
            <v>T-Bat-Car-STG_S4</v>
          </cell>
          <cell r="B265" t="str">
            <v>VAR_fin</v>
          </cell>
          <cell r="C265" t="str">
            <v>T-ELC-car-BatSTGAUXin_S4</v>
          </cell>
          <cell r="D265">
            <v>0.14925520061514522</v>
          </cell>
          <cell r="E265">
            <v>0.94363568015989296</v>
          </cell>
          <cell r="F265">
            <v>1.654600567035198</v>
          </cell>
          <cell r="G265">
            <v>3.2777078647538858</v>
          </cell>
          <cell r="H265">
            <v>3.3854910324542287</v>
          </cell>
          <cell r="I265">
            <v>2.1575548925371368</v>
          </cell>
          <cell r="J265">
            <v>2.0094012202520846</v>
          </cell>
          <cell r="K265">
            <v>2.0870445581240817</v>
          </cell>
          <cell r="L265">
            <v>2.2658284102603945</v>
          </cell>
          <cell r="M265">
            <v>2.353137097404181</v>
          </cell>
          <cell r="N265">
            <v>2.3672939288474542</v>
          </cell>
          <cell r="O265">
            <v>2.5326353415054941</v>
          </cell>
        </row>
        <row r="266">
          <cell r="A266" t="str">
            <v>T-Bat-Car-STG_S4</v>
          </cell>
          <cell r="B266" t="str">
            <v>VAR_fin</v>
          </cell>
          <cell r="C266" t="str">
            <v>T-ELC-car-BatSTGin_S4</v>
          </cell>
          <cell r="D266">
            <v>0.14925520061514522</v>
          </cell>
          <cell r="E266">
            <v>0.94363568015989296</v>
          </cell>
          <cell r="F266">
            <v>1.654600567035198</v>
          </cell>
          <cell r="G266">
            <v>3.2777078647538858</v>
          </cell>
          <cell r="H266">
            <v>3.3854910324542287</v>
          </cell>
          <cell r="I266">
            <v>2.1575548925371368</v>
          </cell>
          <cell r="J266">
            <v>2.0094012202520846</v>
          </cell>
          <cell r="K266">
            <v>2.0870445581240817</v>
          </cell>
          <cell r="L266">
            <v>2.2658284102603945</v>
          </cell>
          <cell r="M266">
            <v>2.353137097404181</v>
          </cell>
          <cell r="N266">
            <v>2.3672939288474542</v>
          </cell>
          <cell r="O266">
            <v>2.5326353415054941</v>
          </cell>
        </row>
        <row r="267">
          <cell r="A267" t="str">
            <v>T-Bat-Car-STG_S4</v>
          </cell>
          <cell r="B267" t="str">
            <v>VAR_ncap</v>
          </cell>
          <cell r="C267" t="str">
            <v>-</v>
          </cell>
          <cell r="D267">
            <v>2.7358956825024101E-2</v>
          </cell>
          <cell r="E267">
            <v>11.0312398081777</v>
          </cell>
          <cell r="F267">
            <v>12.3797730372125</v>
          </cell>
          <cell r="G267">
            <v>26.602166841504701</v>
          </cell>
          <cell r="H267">
            <v>19.201536140959099</v>
          </cell>
          <cell r="I267">
            <v>1.36754909916325</v>
          </cell>
          <cell r="J267">
            <v>19.459130358051699</v>
          </cell>
          <cell r="K267">
            <v>15.1996912087514</v>
          </cell>
          <cell r="L267">
            <v>23.8758094376023</v>
          </cell>
          <cell r="M267">
            <v>15.7598591975852</v>
          </cell>
          <cell r="N267">
            <v>3.4530039421467098</v>
          </cell>
          <cell r="O267">
            <v>35.723785124341397</v>
          </cell>
        </row>
        <row r="268">
          <cell r="A268" t="str">
            <v>T-Bat-Car-STG_S4</v>
          </cell>
          <cell r="B268" t="str">
            <v>VAR_cap</v>
          </cell>
          <cell r="C268" t="str">
            <v>-</v>
          </cell>
          <cell r="D268">
            <v>2.7358956825024101E-2</v>
          </cell>
          <cell r="E268">
            <v>10.910941438434497</v>
          </cell>
          <cell r="F268">
            <v>22.493543763055168</v>
          </cell>
          <cell r="G268">
            <v>44.193504541652715</v>
          </cell>
          <cell r="H268">
            <v>49.784457807658519</v>
          </cell>
          <cell r="I268">
            <v>31.261346236493136</v>
          </cell>
          <cell r="J268">
            <v>31.611332510858841</v>
          </cell>
          <cell r="K268">
            <v>32.066046361783997</v>
          </cell>
          <cell r="L268">
            <v>47.546454691845568</v>
          </cell>
          <cell r="M268">
            <v>48.950770692534789</v>
          </cell>
          <cell r="N268">
            <v>36.672354185507317</v>
          </cell>
          <cell r="O268">
            <v>54.936214713875231</v>
          </cell>
        </row>
        <row r="269">
          <cell r="A269" t="str">
            <v>T_TW-ICEGSL-S3</v>
          </cell>
          <cell r="B269" t="str">
            <v>VAR_fout</v>
          </cell>
          <cell r="C269" t="str">
            <v>CO2_T</v>
          </cell>
          <cell r="D269">
            <v>12.709188880075899</v>
          </cell>
          <cell r="E269">
            <v>14.611718210892739</v>
          </cell>
          <cell r="F269">
            <v>14.881311740949959</v>
          </cell>
          <cell r="G269">
            <v>14.712414833160686</v>
          </cell>
          <cell r="H269">
            <v>14.197023245384477</v>
          </cell>
          <cell r="I269">
            <v>4.2361646582084793</v>
          </cell>
          <cell r="J269">
            <v>0.17218745650039091</v>
          </cell>
          <cell r="K269">
            <v>0.20033975831687459</v>
          </cell>
          <cell r="L269">
            <v>0.21320574505134068</v>
          </cell>
          <cell r="M269">
            <v>0.23311172561551299</v>
          </cell>
          <cell r="N269">
            <v>0.25669385380380111</v>
          </cell>
          <cell r="O269">
            <v>0.30703408860413478</v>
          </cell>
        </row>
        <row r="270">
          <cell r="A270" t="str">
            <v>T_TW-ICEGSL-S3</v>
          </cell>
          <cell r="B270" t="str">
            <v>VAR_fout</v>
          </cell>
          <cell r="C270" t="str">
            <v>TPTWL</v>
          </cell>
          <cell r="D270">
            <v>0.12561551854456995</v>
          </cell>
          <cell r="E270">
            <v>0.14456929346488279</v>
          </cell>
          <cell r="F270">
            <v>0.14724439951586121</v>
          </cell>
          <cell r="G270">
            <v>0.14558784047661744</v>
          </cell>
          <cell r="H270">
            <v>0.14052956924085283</v>
          </cell>
          <cell r="I270">
            <v>4.205981024720324E-2</v>
          </cell>
          <cell r="J270">
            <v>1.8423576907803511E-3</v>
          </cell>
          <cell r="K270">
            <v>2.188486589855378E-3</v>
          </cell>
          <cell r="L270">
            <v>2.3618532746774237E-3</v>
          </cell>
          <cell r="M270">
            <v>2.6147650834966087E-3</v>
          </cell>
          <cell r="N270">
            <v>2.891624303794792E-3</v>
          </cell>
          <cell r="O270">
            <v>3.4587007812808533E-3</v>
          </cell>
        </row>
        <row r="271">
          <cell r="A271" t="str">
            <v>T_TW-ICEGSL-S3</v>
          </cell>
          <cell r="B271" t="str">
            <v>VAR_fin</v>
          </cell>
          <cell r="C271" t="str">
            <v>TGSL</v>
          </cell>
          <cell r="D271">
            <v>0.17221123143734271</v>
          </cell>
          <cell r="E271">
            <v>0.19799076166521329</v>
          </cell>
          <cell r="F271">
            <v>0.20164379052777742</v>
          </cell>
          <cell r="G271">
            <v>0.1993552145414722</v>
          </cell>
          <cell r="H271">
            <v>0.19237158869084667</v>
          </cell>
          <cell r="I271">
            <v>5.7400605124776093E-2</v>
          </cell>
          <cell r="J271">
            <v>2.3331633672139689E-3</v>
          </cell>
          <cell r="K271">
            <v>2.7146308715023685E-3</v>
          </cell>
          <cell r="L271">
            <v>2.8889667351130197E-3</v>
          </cell>
          <cell r="M271">
            <v>3.1586954690448932E-3</v>
          </cell>
          <cell r="N271">
            <v>3.4782365014065192E-3</v>
          </cell>
          <cell r="O271">
            <v>4.1603535041210725E-3</v>
          </cell>
        </row>
        <row r="272">
          <cell r="A272" t="str">
            <v>T_TW-ICEGSL-S3</v>
          </cell>
          <cell r="B272" t="str">
            <v>VAR_ncap</v>
          </cell>
          <cell r="C272" t="str">
            <v>-</v>
          </cell>
          <cell r="E272">
            <v>1.19357809538046E-4</v>
          </cell>
          <cell r="F272">
            <v>1.49475946606149E-4</v>
          </cell>
          <cell r="G272">
            <v>1.3956303732970101E-4</v>
          </cell>
          <cell r="H272">
            <v>2.16320953972634E-4</v>
          </cell>
          <cell r="I272">
            <v>1.8685055860218801E-4</v>
          </cell>
          <cell r="J272">
            <v>2.1036767662866999E-4</v>
          </cell>
          <cell r="K272">
            <v>2.5275094563986399E-4</v>
          </cell>
          <cell r="L272">
            <v>2.5952858470496698E-4</v>
          </cell>
          <cell r="M272">
            <v>3.2479514747250498E-4</v>
          </cell>
          <cell r="N272">
            <v>3.3559931176813199E-4</v>
          </cell>
          <cell r="O272">
            <v>4.7882522989039101E-4</v>
          </cell>
        </row>
        <row r="273">
          <cell r="A273" t="str">
            <v>T_TW-ICEGSL-S3</v>
          </cell>
          <cell r="B273" t="str">
            <v>VAR_cap</v>
          </cell>
          <cell r="C273" t="str">
            <v>-</v>
          </cell>
          <cell r="D273">
            <v>5.3233978638801985E-2</v>
          </cell>
          <cell r="E273">
            <v>6.9177014782833918E-2</v>
          </cell>
          <cell r="F273">
            <v>6.9327093094050149E-2</v>
          </cell>
          <cell r="G273">
            <v>6.9468004919511744E-2</v>
          </cell>
          <cell r="H273">
            <v>6.6554955074917349E-2</v>
          </cell>
          <cell r="I273">
            <v>1.9657250638116897E-2</v>
          </cell>
          <cell r="J273">
            <v>7.3455582318660137E-4</v>
          </cell>
          <cell r="K273">
            <v>8.6547598879139175E-4</v>
          </cell>
          <cell r="L273">
            <v>9.4941515647265471E-4</v>
          </cell>
          <cell r="M273">
            <v>1.0459918279171288E-3</v>
          </cell>
          <cell r="N273">
            <v>1.1717069073369963E-3</v>
          </cell>
          <cell r="O273">
            <v>1.3973203506389257E-3</v>
          </cell>
        </row>
        <row r="274">
          <cell r="A274" t="str">
            <v>T_C-ICEGSLEXT</v>
          </cell>
          <cell r="B274" t="str">
            <v>VAR_fout</v>
          </cell>
          <cell r="C274" t="str">
            <v>CO2_T</v>
          </cell>
          <cell r="D274">
            <v>4722.2892417215799</v>
          </cell>
          <cell r="E274">
            <v>4024.1257743951901</v>
          </cell>
          <cell r="F274">
            <v>3466.25980786523</v>
          </cell>
          <cell r="G274">
            <v>956.85695162099705</v>
          </cell>
        </row>
        <row r="275">
          <cell r="A275" t="str">
            <v>T_C-ICEGSLEXT</v>
          </cell>
          <cell r="B275" t="str">
            <v>VAR_fout</v>
          </cell>
          <cell r="C275" t="str">
            <v>TPCAR</v>
          </cell>
          <cell r="D275">
            <v>18.302991969437727</v>
          </cell>
          <cell r="E275">
            <v>15.951926287762195</v>
          </cell>
          <cell r="F275">
            <v>14.199090230476914</v>
          </cell>
          <cell r="G275">
            <v>4.1306286455511225</v>
          </cell>
        </row>
        <row r="276">
          <cell r="A276" t="str">
            <v>T_C-ICEGSLEXT</v>
          </cell>
          <cell r="B276" t="str">
            <v>VAR_fin</v>
          </cell>
          <cell r="C276" t="str">
            <v>TGSL</v>
          </cell>
          <cell r="D276">
            <v>63.987659101918297</v>
          </cell>
          <cell r="E276">
            <v>54.527449517550018</v>
          </cell>
          <cell r="F276">
            <v>46.968290079474663</v>
          </cell>
          <cell r="G276">
            <v>12.965541349878011</v>
          </cell>
        </row>
        <row r="277">
          <cell r="A277" t="str">
            <v>T_C-ICEGSLEXT</v>
          </cell>
          <cell r="B277" t="str">
            <v>VAR_cap</v>
          </cell>
          <cell r="C277" t="str">
            <v>-</v>
          </cell>
          <cell r="D277">
            <v>2.4920981540486409</v>
          </cell>
          <cell r="E277">
            <v>2.1594646779959148</v>
          </cell>
          <cell r="F277">
            <v>1.6628845988734433</v>
          </cell>
          <cell r="G277">
            <v>0.83144228878990578</v>
          </cell>
        </row>
        <row r="278">
          <cell r="A278" t="str">
            <v>T_TW-ICEGSL-S4</v>
          </cell>
          <cell r="B278" t="str">
            <v>VAR_fout</v>
          </cell>
          <cell r="C278" t="str">
            <v>CO2_T</v>
          </cell>
          <cell r="D278">
            <v>8.2482151338192597</v>
          </cell>
          <cell r="E278">
            <v>9.3456489464929966</v>
          </cell>
          <cell r="F278">
            <v>9.5557106678782127</v>
          </cell>
          <cell r="G278">
            <v>9.4258693219175953</v>
          </cell>
          <cell r="H278">
            <v>9.5289598463384895</v>
          </cell>
          <cell r="I278">
            <v>9.1789325372908319</v>
          </cell>
          <cell r="J278">
            <v>2.1546619065614792</v>
          </cell>
          <cell r="K278">
            <v>0.13603606496343429</v>
          </cell>
          <cell r="L278">
            <v>0.1463078225844171</v>
          </cell>
          <cell r="M278">
            <v>0.164008369504727</v>
          </cell>
          <cell r="N278">
            <v>0.17451791498985181</v>
          </cell>
          <cell r="O278">
            <v>0.21221341598869348</v>
          </cell>
        </row>
        <row r="279">
          <cell r="A279" t="str">
            <v>T_TW-ICEGSL-S4</v>
          </cell>
          <cell r="B279" t="str">
            <v>VAR_fout</v>
          </cell>
          <cell r="C279" t="str">
            <v>TPTWL</v>
          </cell>
          <cell r="D279">
            <v>7.5530589740271006E-2</v>
          </cell>
          <cell r="E279">
            <v>8.5658732249971281E-2</v>
          </cell>
          <cell r="F279">
            <v>8.7587897807846232E-2</v>
          </cell>
          <cell r="G279">
            <v>8.6406207846146901E-2</v>
          </cell>
          <cell r="H279">
            <v>8.7366644855142783E-2</v>
          </cell>
          <cell r="I279">
            <v>8.4183440692950556E-2</v>
          </cell>
          <cell r="J279">
            <v>1.9854172255253391E-2</v>
          </cell>
          <cell r="K279">
            <v>1.3703498540266186E-3</v>
          </cell>
          <cell r="L279">
            <v>1.4968474606550668E-3</v>
          </cell>
          <cell r="M279">
            <v>1.6982016889630482E-3</v>
          </cell>
          <cell r="N279">
            <v>1.8207146059950427E-3</v>
          </cell>
          <cell r="O279">
            <v>2.220568282913833E-3</v>
          </cell>
        </row>
        <row r="280">
          <cell r="A280" t="str">
            <v>T_TW-ICEGSL-S4</v>
          </cell>
          <cell r="B280" t="str">
            <v>VAR_fin</v>
          </cell>
          <cell r="C280" t="str">
            <v>TGSL</v>
          </cell>
          <cell r="D280">
            <v>0.11176443270757803</v>
          </cell>
          <cell r="E280">
            <v>0.12663480957307535</v>
          </cell>
          <cell r="F280">
            <v>0.12948117436149365</v>
          </cell>
          <cell r="G280">
            <v>0.12772180653004861</v>
          </cell>
          <cell r="H280">
            <v>0.12911869710485746</v>
          </cell>
          <cell r="I280">
            <v>0.12437577963808717</v>
          </cell>
          <cell r="J280">
            <v>2.9195960793515947E-2</v>
          </cell>
          <cell r="K280">
            <v>1.8433071133256685E-3</v>
          </cell>
          <cell r="L280">
            <v>1.9824908209270589E-3</v>
          </cell>
          <cell r="M280">
            <v>2.2223356301453519E-3</v>
          </cell>
          <cell r="N280">
            <v>2.3647413955264446E-3</v>
          </cell>
          <cell r="O280">
            <v>2.8755205418522136E-3</v>
          </cell>
        </row>
        <row r="281">
          <cell r="A281" t="str">
            <v>T_TW-ICEGSL-S4</v>
          </cell>
          <cell r="B281" t="str">
            <v>VAR_ncap</v>
          </cell>
          <cell r="C281" t="str">
            <v>-</v>
          </cell>
          <cell r="E281">
            <v>6.9453949442119299E-5</v>
          </cell>
          <cell r="F281">
            <v>6.90636534770155E-5</v>
          </cell>
          <cell r="G281">
            <v>7.78693260739898E-5</v>
          </cell>
          <cell r="H281">
            <v>9.4522127668855496E-5</v>
          </cell>
          <cell r="I281">
            <v>1.023061430872E-4</v>
          </cell>
          <cell r="J281">
            <v>1.17281982391032E-4</v>
          </cell>
          <cell r="K281">
            <v>1.44440331914067E-4</v>
          </cell>
          <cell r="L281">
            <v>1.3630799581138299E-4</v>
          </cell>
          <cell r="M281">
            <v>1.7135086667139401E-4</v>
          </cell>
          <cell r="N281">
            <v>1.7606617722251599E-4</v>
          </cell>
          <cell r="O281">
            <v>2.5862598443370199E-4</v>
          </cell>
        </row>
        <row r="282">
          <cell r="A282" t="str">
            <v>T_TW-ICEGSL-S4</v>
          </cell>
          <cell r="B282" t="str">
            <v>VAR_cap</v>
          </cell>
          <cell r="C282" t="str">
            <v>-</v>
          </cell>
          <cell r="D282">
            <v>3.2743010940390158E-2</v>
          </cell>
          <cell r="E282">
            <v>4.0940994266282782E-2</v>
          </cell>
          <cell r="F282">
            <v>4.1011078947505816E-2</v>
          </cell>
          <cell r="G282">
            <v>4.1090167752194547E-2</v>
          </cell>
          <cell r="H282">
            <v>4.1184496323563503E-2</v>
          </cell>
          <cell r="I282">
            <v>3.973307382461478E-2</v>
          </cell>
          <cell r="J282">
            <v>9.1331298448519924E-3</v>
          </cell>
          <cell r="K282">
            <v>5.3570285909023286E-4</v>
          </cell>
          <cell r="L282">
            <v>5.9404437050921408E-4</v>
          </cell>
          <cell r="M282">
            <v>6.706072310077723E-4</v>
          </cell>
          <cell r="N282">
            <v>7.263494989031517E-4</v>
          </cell>
          <cell r="O282">
            <v>8.8607174387561149E-4</v>
          </cell>
        </row>
        <row r="283">
          <cell r="A283" t="str">
            <v>T_C-ICEDSLEXT</v>
          </cell>
          <cell r="B283" t="str">
            <v>VAR_fout</v>
          </cell>
          <cell r="C283" t="str">
            <v>CO2_T</v>
          </cell>
          <cell r="D283">
            <v>3821.2823518904202</v>
          </cell>
          <cell r="E283">
            <v>3569.7772429341098</v>
          </cell>
          <cell r="F283">
            <v>2582.9121160851</v>
          </cell>
          <cell r="G283">
            <v>1126.81126698035</v>
          </cell>
        </row>
        <row r="284">
          <cell r="A284" t="str">
            <v>T_C-ICEDSLEXT</v>
          </cell>
          <cell r="B284" t="str">
            <v>VAR_fout</v>
          </cell>
          <cell r="C284" t="str">
            <v>TPCAR</v>
          </cell>
          <cell r="D284">
            <v>17.673743682602442</v>
          </cell>
          <cell r="E284">
            <v>17.235949699084944</v>
          </cell>
          <cell r="F284">
            <v>13.258406044751148</v>
          </cell>
          <cell r="G284">
            <v>6.3565277100587041</v>
          </cell>
        </row>
        <row r="285">
          <cell r="A285" t="str">
            <v>T_C-ICEDSLEXT</v>
          </cell>
          <cell r="B285" t="str">
            <v>VAR_fin</v>
          </cell>
          <cell r="C285" t="str">
            <v>TDSL</v>
          </cell>
          <cell r="D285">
            <v>52.132092113102665</v>
          </cell>
          <cell r="E285">
            <v>48.700917366086131</v>
          </cell>
          <cell r="F285">
            <v>35.237545922034137</v>
          </cell>
          <cell r="G285">
            <v>15.372595729609186</v>
          </cell>
        </row>
        <row r="286">
          <cell r="A286" t="str">
            <v>T_C-ICEDSLEXT</v>
          </cell>
          <cell r="B286" t="str">
            <v>VAR_cap</v>
          </cell>
          <cell r="C286" t="str">
            <v>-</v>
          </cell>
          <cell r="D286">
            <v>1.0585447024913199</v>
          </cell>
          <cell r="E286">
            <v>0.91828355932711825</v>
          </cell>
          <cell r="F286">
            <v>0.70637175941583208</v>
          </cell>
          <cell r="G286">
            <v>0.35318002106197244</v>
          </cell>
        </row>
        <row r="287">
          <cell r="A287" t="str">
            <v>T-Plg-ELC-GSL_S1</v>
          </cell>
          <cell r="B287" t="str">
            <v>VAR_fout</v>
          </cell>
          <cell r="C287" t="str">
            <v>T-PEVmix-ELC_GSL_S1</v>
          </cell>
          <cell r="E287">
            <v>1.3710605481693562E-4</v>
          </cell>
          <cell r="F287">
            <v>2.3501455857237777E-4</v>
          </cell>
          <cell r="G287">
            <v>4.26383166525415E-4</v>
          </cell>
          <cell r="H287">
            <v>5.4714518633893459E-4</v>
          </cell>
          <cell r="I287">
            <v>8.0199439374105093E-4</v>
          </cell>
          <cell r="J287">
            <v>1.2933013252201971E-3</v>
          </cell>
          <cell r="K287">
            <v>1.5469836301936304E-3</v>
          </cell>
          <cell r="L287">
            <v>2.9662929484900501E-3</v>
          </cell>
          <cell r="M287">
            <v>5.6240187927270721E-3</v>
          </cell>
          <cell r="N287">
            <v>8.2880377204891335E-3</v>
          </cell>
          <cell r="O287">
            <v>1.2629870717451318E-2</v>
          </cell>
        </row>
        <row r="288">
          <cell r="A288" t="str">
            <v>T-Plg-ELC-GSL_S1</v>
          </cell>
          <cell r="B288" t="str">
            <v>VAR_fin</v>
          </cell>
          <cell r="C288" t="str">
            <v>T-ELC-car-PlgSTGOut_S1</v>
          </cell>
          <cell r="E288">
            <v>7.5274655071928828E-5</v>
          </cell>
          <cell r="F288">
            <v>1.2902887372142637E-4</v>
          </cell>
          <cell r="G288">
            <v>2.3409502834526082E-4</v>
          </cell>
          <cell r="H288">
            <v>2.9344121131451344E-4</v>
          </cell>
          <cell r="I288">
            <v>4.2044712372879024E-4</v>
          </cell>
          <cell r="J288">
            <v>6.4678414312004725E-4</v>
          </cell>
          <cell r="K288">
            <v>7.3889394270899237E-4</v>
          </cell>
          <cell r="L288">
            <v>1.3806842687207551E-3</v>
          </cell>
          <cell r="M288">
            <v>2.4366010678990159E-3</v>
          </cell>
          <cell r="N288">
            <v>3.5835229204535315E-3</v>
          </cell>
          <cell r="O288">
            <v>5.2199032620065099E-3</v>
          </cell>
        </row>
        <row r="289">
          <cell r="A289" t="str">
            <v>T-Plg-ELC-GSL_S2</v>
          </cell>
          <cell r="B289" t="str">
            <v>VAR_fout</v>
          </cell>
          <cell r="C289" t="str">
            <v>T-PEVmix-ELC_GSL_S2</v>
          </cell>
          <cell r="D289">
            <v>3.2146440722404484E-3</v>
          </cell>
          <cell r="E289">
            <v>2.316918188177771E-3</v>
          </cell>
          <cell r="F289">
            <v>4.1960305224052995E-3</v>
          </cell>
          <cell r="G289">
            <v>5.2914889870077364E-3</v>
          </cell>
          <cell r="H289">
            <v>4.5680331958397342E-3</v>
          </cell>
          <cell r="I289">
            <v>3.3141089226549404E-3</v>
          </cell>
          <cell r="J289">
            <v>4.2793906607413758E-3</v>
          </cell>
          <cell r="K289">
            <v>4.2982957135768397E-3</v>
          </cell>
          <cell r="L289">
            <v>7.8337469455588386E-3</v>
          </cell>
          <cell r="M289">
            <v>7.0115941914537599E-2</v>
          </cell>
          <cell r="N289">
            <v>0.15862135207906661</v>
          </cell>
          <cell r="O289">
            <v>0.21169099665637353</v>
          </cell>
        </row>
        <row r="290">
          <cell r="A290" t="str">
            <v>T-Plg-ELC-GSL_S2</v>
          </cell>
          <cell r="B290" t="str">
            <v>VAR_fin</v>
          </cell>
          <cell r="C290" t="str">
            <v>T-ELC-car-PlgSTGOut_S2</v>
          </cell>
          <cell r="D290">
            <v>2.1386235174108391E-3</v>
          </cell>
          <cell r="E290">
            <v>1.5413885997339963E-3</v>
          </cell>
          <cell r="F290">
            <v>2.7915157489691918E-3</v>
          </cell>
          <cell r="G290">
            <v>3.5202972818848197E-3</v>
          </cell>
          <cell r="H290">
            <v>2.9542569378127963E-3</v>
          </cell>
          <cell r="I290">
            <v>2.0957553916624502E-3</v>
          </cell>
          <cell r="J290">
            <v>2.5767538222331628E-3</v>
          </cell>
          <cell r="K290">
            <v>2.4745105835382729E-3</v>
          </cell>
          <cell r="L290">
            <v>4.3704025359553832E-3</v>
          </cell>
          <cell r="M290">
            <v>3.5552234509582795E-2</v>
          </cell>
          <cell r="N290">
            <v>7.9609669204095276E-2</v>
          </cell>
          <cell r="O290">
            <v>0.10528050669118989</v>
          </cell>
        </row>
        <row r="291">
          <cell r="A291" t="str">
            <v>T-Plg-ELC-DSL_S1</v>
          </cell>
          <cell r="B291" t="str">
            <v>VAR_fout</v>
          </cell>
          <cell r="C291" t="str">
            <v>T-PEVmix-ELC_DSL_S1</v>
          </cell>
          <cell r="E291">
            <v>1.3385904089813401E-4</v>
          </cell>
          <cell r="F291">
            <v>2.4424167864086759E-4</v>
          </cell>
          <cell r="G291">
            <v>4.9888536109350581E-4</v>
          </cell>
          <cell r="H291">
            <v>8.77416339448353E-4</v>
          </cell>
          <cell r="I291">
            <v>2.0124376418904147E-3</v>
          </cell>
          <cell r="J291">
            <v>2.8033544509744059E-3</v>
          </cell>
          <cell r="K291">
            <v>6.1835245171587777E-3</v>
          </cell>
          <cell r="L291">
            <v>4.723249027640028E-3</v>
          </cell>
          <cell r="M291">
            <v>1.7676093187206571E-3</v>
          </cell>
          <cell r="N291">
            <v>6.9617994984688323E-4</v>
          </cell>
          <cell r="O291">
            <v>3.4432633674957316E-4</v>
          </cell>
        </row>
        <row r="292">
          <cell r="A292" t="str">
            <v>T-Plg-ELC-DSL_S1</v>
          </cell>
          <cell r="B292" t="str">
            <v>VAR_fin</v>
          </cell>
          <cell r="C292" t="str">
            <v>T-ELC-car-PlgSTGOut_S1</v>
          </cell>
          <cell r="E292">
            <v>7.3491963176389386E-5</v>
          </cell>
          <cell r="F292">
            <v>1.3409479354087016E-4</v>
          </cell>
          <cell r="G292">
            <v>2.7390054747684022E-4</v>
          </cell>
          <cell r="H292">
            <v>4.7051175680405536E-4</v>
          </cell>
          <cell r="I292">
            <v>1.0540888522235657E-3</v>
          </cell>
          <cell r="J292">
            <v>1.4003602743499334E-3</v>
          </cell>
          <cell r="K292">
            <v>2.9485702613967317E-3</v>
          </cell>
          <cell r="L292">
            <v>2.1949265181393173E-3</v>
          </cell>
          <cell r="M292">
            <v>7.669179499428853E-4</v>
          </cell>
          <cell r="N292">
            <v>3.0214956432850589E-4</v>
          </cell>
          <cell r="O292">
            <v>1.4230946686654225E-4</v>
          </cell>
        </row>
        <row r="293">
          <cell r="A293" t="str">
            <v>T_TRM_ELC</v>
          </cell>
          <cell r="B293" t="str">
            <v>VAR_fout</v>
          </cell>
          <cell r="C293" t="str">
            <v>TPTRM</v>
          </cell>
          <cell r="D293">
            <v>3.3477999999999994E-2</v>
          </cell>
          <cell r="E293">
            <v>3.4238693943285006E-2</v>
          </cell>
          <cell r="F293">
            <v>3.537973485821249E-2</v>
          </cell>
          <cell r="G293">
            <v>3.7281469716424979E-2</v>
          </cell>
          <cell r="H293">
            <v>3.8200039755124107E-2</v>
          </cell>
          <cell r="I293">
            <v>3.9061076358642186E-2</v>
          </cell>
          <cell r="J293">
            <v>3.9708612294883733E-2</v>
          </cell>
          <cell r="K293">
            <v>4.0356148231125301E-2</v>
          </cell>
          <cell r="L293">
            <v>4.2371906290567779E-2</v>
          </cell>
          <cell r="M293">
            <v>4.3525301587149907E-2</v>
          </cell>
          <cell r="N293">
            <v>4.4673212327442917E-2</v>
          </cell>
          <cell r="O293">
            <v>4.5811892235102694E-2</v>
          </cell>
        </row>
        <row r="294">
          <cell r="A294" t="str">
            <v>T_TRM_ELC</v>
          </cell>
          <cell r="B294" t="str">
            <v>VAR_fin</v>
          </cell>
          <cell r="C294" t="str">
            <v>TELC</v>
          </cell>
          <cell r="D294">
            <v>0.58772895164057959</v>
          </cell>
          <cell r="E294">
            <v>0.61504030570008339</v>
          </cell>
          <cell r="F294">
            <v>0.65847123751882963</v>
          </cell>
          <cell r="G294">
            <v>0.73826743502205472</v>
          </cell>
          <cell r="H294">
            <v>0.7564574460789345</v>
          </cell>
          <cell r="I294">
            <v>0.77350814954032066</v>
          </cell>
          <cell r="J294">
            <v>0.78633099956125296</v>
          </cell>
          <cell r="K294">
            <v>0.7991538495821856</v>
          </cell>
          <cell r="L294">
            <v>0.83907095970389334</v>
          </cell>
          <cell r="M294">
            <v>0.86191110505360957</v>
          </cell>
          <cell r="N294">
            <v>0.88464264231103162</v>
          </cell>
          <cell r="O294">
            <v>0.90719138572521052</v>
          </cell>
        </row>
        <row r="295">
          <cell r="A295" t="str">
            <v>T-Plg-ELC-GSL_S3</v>
          </cell>
          <cell r="B295" t="str">
            <v>VAR_fout</v>
          </cell>
          <cell r="C295" t="str">
            <v>T-PEVmix-ELC_GSL_S3</v>
          </cell>
          <cell r="E295">
            <v>2.632951712253704E-2</v>
          </cell>
          <cell r="F295">
            <v>0.12195513719215204</v>
          </cell>
          <cell r="G295">
            <v>0.21389499472100487</v>
          </cell>
          <cell r="H295">
            <v>0.33184441933370951</v>
          </cell>
          <cell r="I295">
            <v>0.25740056923282989</v>
          </cell>
          <cell r="J295">
            <v>0.28309719437690078</v>
          </cell>
          <cell r="K295">
            <v>0.13661253101012591</v>
          </cell>
          <cell r="L295">
            <v>0.39193001705621133</v>
          </cell>
          <cell r="M295">
            <v>0.36855174039013416</v>
          </cell>
          <cell r="N295">
            <v>0.28618758328221494</v>
          </cell>
          <cell r="O295">
            <v>8.6012844812643319E-2</v>
          </cell>
        </row>
        <row r="296">
          <cell r="A296" t="str">
            <v>T-Plg-ELC-GSL_S3</v>
          </cell>
          <cell r="B296" t="str">
            <v>VAR_fin</v>
          </cell>
          <cell r="C296" t="str">
            <v>T-ELC-car-PlgSTGOut_S3</v>
          </cell>
          <cell r="E296">
            <v>1.8791160178617126E-2</v>
          </cell>
          <cell r="F296">
            <v>8.7038380040071806E-2</v>
          </cell>
          <cell r="G296">
            <v>0.15265510143999084</v>
          </cell>
          <cell r="H296">
            <v>0.22609834981984434</v>
          </cell>
          <cell r="I296">
            <v>0.16798311157385903</v>
          </cell>
          <cell r="J296">
            <v>0.17567827999692054</v>
          </cell>
          <cell r="K296">
            <v>8.1782922578139808E-2</v>
          </cell>
          <cell r="L296">
            <v>0.22112055722172594</v>
          </cell>
          <cell r="M296">
            <v>0.19880612511673174</v>
          </cell>
          <cell r="N296">
            <v>0.15454594948771819</v>
          </cell>
          <cell r="O296">
            <v>4.5842681324345123E-2</v>
          </cell>
        </row>
        <row r="297">
          <cell r="A297" t="str">
            <v>T-Plg-ELC-DSL_S2</v>
          </cell>
          <cell r="B297" t="str">
            <v>VAR_fout</v>
          </cell>
          <cell r="C297" t="str">
            <v>T-PEVmix-ELC_DSL_S2</v>
          </cell>
          <cell r="E297">
            <v>1.5393456927706445E-4</v>
          </cell>
          <cell r="F297">
            <v>9.1373849511241806E-4</v>
          </cell>
          <cell r="G297">
            <v>1.7558038837842621E-3</v>
          </cell>
          <cell r="H297">
            <v>5.9522704436838639E-3</v>
          </cell>
          <cell r="I297">
            <v>1.0457770314295095E-2</v>
          </cell>
          <cell r="J297">
            <v>1.3710483452321436E-2</v>
          </cell>
          <cell r="K297">
            <v>1.8979801040597623E-2</v>
          </cell>
          <cell r="L297">
            <v>1.2725203057033197E-2</v>
          </cell>
          <cell r="M297">
            <v>6.827520975954216E-3</v>
          </cell>
          <cell r="N297">
            <v>1.6761648883744018E-3</v>
          </cell>
          <cell r="O297">
            <v>5.4564132595940251E-4</v>
          </cell>
        </row>
        <row r="298">
          <cell r="A298" t="str">
            <v>T-Plg-ELC-DSL_S2</v>
          </cell>
          <cell r="B298" t="str">
            <v>VAR_fin</v>
          </cell>
          <cell r="C298" t="str">
            <v>T-ELC-car-PlgSTGOut_S2</v>
          </cell>
          <cell r="E298">
            <v>1.0240887718838375E-4</v>
          </cell>
          <cell r="F298">
            <v>6.0788771338192557E-4</v>
          </cell>
          <cell r="G298">
            <v>1.1680930745173474E-3</v>
          </cell>
          <cell r="H298">
            <v>3.8507256558235462E-3</v>
          </cell>
          <cell r="I298">
            <v>6.5709261286942128E-3</v>
          </cell>
          <cell r="J298">
            <v>8.1898564258463501E-3</v>
          </cell>
          <cell r="K298">
            <v>1.0854538442090904E-2</v>
          </cell>
          <cell r="L298">
            <v>7.0698501474340831E-3</v>
          </cell>
          <cell r="M298">
            <v>3.5578359483793278E-3</v>
          </cell>
          <cell r="N298">
            <v>8.7569740233443545E-4</v>
          </cell>
          <cell r="O298">
            <v>2.7136437626540497E-4</v>
          </cell>
        </row>
        <row r="299">
          <cell r="A299" t="str">
            <v>T_TW-ICEGSLEXT</v>
          </cell>
          <cell r="B299" t="str">
            <v>VAR_fout</v>
          </cell>
          <cell r="C299" t="str">
            <v>CO2_T</v>
          </cell>
          <cell r="D299">
            <v>145.61598447792699</v>
          </cell>
          <cell r="E299">
            <v>52.754701568990498</v>
          </cell>
          <cell r="F299">
            <v>51.220233982945402</v>
          </cell>
          <cell r="G299">
            <v>33.470284599731201</v>
          </cell>
        </row>
        <row r="300">
          <cell r="A300" t="str">
            <v>T_TW-ICEGSLEXT</v>
          </cell>
          <cell r="B300" t="str">
            <v>VAR_fout</v>
          </cell>
          <cell r="C300" t="str">
            <v>TPTWL</v>
          </cell>
          <cell r="D300">
            <v>1.5215984554193756</v>
          </cell>
          <cell r="E300">
            <v>0.56274421627501903</v>
          </cell>
          <cell r="F300">
            <v>0.56310898306548884</v>
          </cell>
          <cell r="G300">
            <v>0.38619231113681596</v>
          </cell>
        </row>
        <row r="301">
          <cell r="A301" t="str">
            <v>T_TW-ICEGSLEXT</v>
          </cell>
          <cell r="B301" t="str">
            <v>VAR_fin</v>
          </cell>
          <cell r="C301" t="str">
            <v>TGSL</v>
          </cell>
          <cell r="D301">
            <v>1.9731163208391227</v>
          </cell>
          <cell r="E301">
            <v>0.71483335459336605</v>
          </cell>
          <cell r="F301">
            <v>0.69404111088001896</v>
          </cell>
          <cell r="G301">
            <v>0.45352689159527365</v>
          </cell>
        </row>
        <row r="302">
          <cell r="A302" t="str">
            <v>T_TW-ICEGSLEXT</v>
          </cell>
          <cell r="B302" t="str">
            <v>VAR_cap</v>
          </cell>
          <cell r="C302" t="str">
            <v>-</v>
          </cell>
          <cell r="D302">
            <v>0.55695958363370068</v>
          </cell>
          <cell r="E302">
            <v>0.27093923301771894</v>
          </cell>
          <cell r="F302">
            <v>0.27060801715866201</v>
          </cell>
          <cell r="G302">
            <v>0.18593073977323085</v>
          </cell>
        </row>
        <row r="303">
          <cell r="A303" t="str">
            <v>T-Plg-ELC-GSL_S4</v>
          </cell>
          <cell r="B303" t="str">
            <v>VAR_fout</v>
          </cell>
          <cell r="C303" t="str">
            <v>T-PEVmix-ELC_GSL_S4</v>
          </cell>
          <cell r="E303">
            <v>1.7053811524682528E-3</v>
          </cell>
          <cell r="F303">
            <v>4.1041878427001384E-3</v>
          </cell>
          <cell r="G303">
            <v>7.2480706978539115E-3</v>
          </cell>
          <cell r="H303">
            <v>1.282508763702026E-2</v>
          </cell>
          <cell r="I303">
            <v>9.3615126646648516E-3</v>
          </cell>
          <cell r="J303">
            <v>1.8836732384978159E-2</v>
          </cell>
          <cell r="K303">
            <v>1.6604981827770999E-2</v>
          </cell>
          <cell r="L303">
            <v>0.13198069859572253</v>
          </cell>
          <cell r="M303">
            <v>0.12559954961317865</v>
          </cell>
          <cell r="N303">
            <v>8.6167634584962016E-2</v>
          </cell>
          <cell r="O303">
            <v>0.59836684405384555</v>
          </cell>
        </row>
        <row r="304">
          <cell r="A304" t="str">
            <v>T-Plg-ELC-GSL_S4</v>
          </cell>
          <cell r="B304" t="str">
            <v>VAR_fin</v>
          </cell>
          <cell r="C304" t="str">
            <v>T-ELC-car-PlgSTGOut_S4</v>
          </cell>
          <cell r="E304">
            <v>1.2732430598254704E-3</v>
          </cell>
          <cell r="F304">
            <v>3.0641998590020775E-3</v>
          </cell>
          <cell r="G304">
            <v>5.4114329220831753E-3</v>
          </cell>
          <cell r="H304">
            <v>9.3018510034122148E-3</v>
          </cell>
          <cell r="I304">
            <v>6.6360059325011999E-3</v>
          </cell>
          <cell r="J304">
            <v>1.2651223859822326E-2</v>
          </cell>
          <cell r="K304">
            <v>1.0762556282577487E-2</v>
          </cell>
          <cell r="L304">
            <v>7.9806494562161684E-2</v>
          </cell>
          <cell r="M304">
            <v>7.2792232709240332E-2</v>
          </cell>
          <cell r="N304">
            <v>4.9993603292958974E-2</v>
          </cell>
          <cell r="O304">
            <v>0.3403924462529983</v>
          </cell>
        </row>
        <row r="305">
          <cell r="A305" t="str">
            <v>T-Plg-ELC-DSL_S3</v>
          </cell>
          <cell r="B305" t="str">
            <v>VAR_fout</v>
          </cell>
          <cell r="C305" t="str">
            <v>T-PEVmix-ELC_DSL_S3</v>
          </cell>
          <cell r="E305">
            <v>2.2440096742506834E-3</v>
          </cell>
          <cell r="F305">
            <v>0.29038953347426133</v>
          </cell>
          <cell r="G305">
            <v>1.6515875399065898</v>
          </cell>
          <cell r="H305">
            <v>3.2927471799996049</v>
          </cell>
          <cell r="I305">
            <v>2.6114492444469675</v>
          </cell>
          <cell r="J305">
            <v>2.5609234233763485</v>
          </cell>
          <cell r="K305">
            <v>2.9297160957893915</v>
          </cell>
          <cell r="L305">
            <v>1.7248718139603703</v>
          </cell>
          <cell r="M305">
            <v>0.88395195561445827</v>
          </cell>
          <cell r="N305">
            <v>0.1222677617268549</v>
          </cell>
          <cell r="O305">
            <v>6.54575061727897E-4</v>
          </cell>
        </row>
        <row r="306">
          <cell r="A306" t="str">
            <v>T-Plg-ELC-DSL_S3</v>
          </cell>
          <cell r="B306" t="str">
            <v>VAR_fin</v>
          </cell>
          <cell r="C306" t="str">
            <v>T-ELC-car-PlgSTGOut_S3</v>
          </cell>
          <cell r="E306">
            <v>1.6015312789431006E-3</v>
          </cell>
          <cell r="F306">
            <v>0.20724862565132168</v>
          </cell>
          <cell r="G306">
            <v>1.1787244660414988</v>
          </cell>
          <cell r="H306">
            <v>2.2398790739706746</v>
          </cell>
          <cell r="I306">
            <v>1.6971895756872339</v>
          </cell>
          <cell r="J306">
            <v>1.5834876323573617</v>
          </cell>
          <cell r="K306">
            <v>1.7297895770827847</v>
          </cell>
          <cell r="L306">
            <v>0.96802540139824911</v>
          </cell>
          <cell r="M306">
            <v>0.47460639869008231</v>
          </cell>
          <cell r="N306">
            <v>6.6412421802638844E-2</v>
          </cell>
          <cell r="O306">
            <v>3.488720321135641E-4</v>
          </cell>
        </row>
        <row r="307">
          <cell r="A307" t="str">
            <v>T-Plg-ELC-DSL_S4</v>
          </cell>
          <cell r="B307" t="str">
            <v>VAR_fout</v>
          </cell>
          <cell r="C307" t="str">
            <v>T-PEVmix-ELC_DSL_S4</v>
          </cell>
          <cell r="E307">
            <v>3.9185214692195625E-4</v>
          </cell>
          <cell r="F307">
            <v>1.7758993805762052E-3</v>
          </cell>
          <cell r="G307">
            <v>3.1641251670365806E-3</v>
          </cell>
          <cell r="H307">
            <v>0.61235604428367063</v>
          </cell>
          <cell r="I307">
            <v>1.6527700242677406</v>
          </cell>
          <cell r="J307">
            <v>2.501490285824659</v>
          </cell>
          <cell r="K307">
            <v>2.4729395407810912</v>
          </cell>
          <cell r="L307">
            <v>2.4525980466523594</v>
          </cell>
          <cell r="M307">
            <v>3.1388246172837873</v>
          </cell>
          <cell r="N307">
            <v>4.0095503783306121</v>
          </cell>
          <cell r="O307">
            <v>3.9168022602602313</v>
          </cell>
        </row>
        <row r="308">
          <cell r="A308" t="str">
            <v>T-Plg-ELC-DSL_S4</v>
          </cell>
          <cell r="B308" t="str">
            <v>VAR_fin</v>
          </cell>
          <cell r="C308" t="str">
            <v>T-ELC-car-PlgSTGOut_S4</v>
          </cell>
          <cell r="E308">
            <v>2.9255807467086433E-4</v>
          </cell>
          <cell r="F308">
            <v>1.3258921960022639E-3</v>
          </cell>
          <cell r="G308">
            <v>2.3623460383138208E-3</v>
          </cell>
          <cell r="H308">
            <v>0.43748182526263474</v>
          </cell>
          <cell r="I308">
            <v>1.1306288061345302</v>
          </cell>
          <cell r="J308">
            <v>1.633189101403157</v>
          </cell>
          <cell r="K308">
            <v>1.5469939334637377</v>
          </cell>
          <cell r="L308">
            <v>1.4628558822154276</v>
          </cell>
          <cell r="M308">
            <v>1.7912505371701071</v>
          </cell>
          <cell r="N308">
            <v>2.2872549697364408</v>
          </cell>
          <cell r="O308">
            <v>2.2281480267634577</v>
          </cell>
        </row>
        <row r="309">
          <cell r="A309" t="str">
            <v>TFLGV-ICENGA</v>
          </cell>
          <cell r="B309" t="str">
            <v>VAR_fout</v>
          </cell>
          <cell r="C309" t="str">
            <v>CO2_T</v>
          </cell>
          <cell r="D309">
            <v>0.60476564200510396</v>
          </cell>
          <cell r="E309">
            <v>0.45817337149674664</v>
          </cell>
          <cell r="F309">
            <v>0.60899052057729053</v>
          </cell>
          <cell r="G309">
            <v>7.0680597764249302E-3</v>
          </cell>
          <cell r="H309">
            <v>5.9526579400298631E-3</v>
          </cell>
          <cell r="I309">
            <v>5.6445095046437823E-3</v>
          </cell>
          <cell r="J309">
            <v>5.6962704772446299E-3</v>
          </cell>
          <cell r="K309">
            <v>5.9243084950315762E-3</v>
          </cell>
          <cell r="L309">
            <v>6.0067333858525376E-3</v>
          </cell>
          <cell r="M309">
            <v>6.2178361182028503E-3</v>
          </cell>
          <cell r="N309">
            <v>6.2970878733319968E-3</v>
          </cell>
          <cell r="O309">
            <v>6.6726547189684404E-3</v>
          </cell>
        </row>
        <row r="310">
          <cell r="A310" t="str">
            <v>TFLGV-ICENGA</v>
          </cell>
          <cell r="B310" t="str">
            <v>VAR_fout</v>
          </cell>
          <cell r="C310" t="str">
            <v>TFLGV</v>
          </cell>
          <cell r="D310">
            <v>3.4374806973822792E-3</v>
          </cell>
          <cell r="E310">
            <v>2.6042519799121364E-3</v>
          </cell>
          <cell r="F310">
            <v>3.461494856805301E-3</v>
          </cell>
          <cell r="G310">
            <v>4.0174767483235654E-5</v>
          </cell>
          <cell r="H310">
            <v>3.383483674623058E-5</v>
          </cell>
          <cell r="I310">
            <v>3.2083324714137805E-5</v>
          </cell>
          <cell r="J310">
            <v>3.2377533465156176E-5</v>
          </cell>
          <cell r="K310">
            <v>3.3673698838924772E-5</v>
          </cell>
          <cell r="L310">
            <v>3.4142200935441882E-5</v>
          </cell>
          <cell r="M310">
            <v>3.534210634874041E-5</v>
          </cell>
          <cell r="N310">
            <v>3.5792572379824519E-5</v>
          </cell>
          <cell r="O310">
            <v>3.7927289851821951E-5</v>
          </cell>
        </row>
        <row r="311">
          <cell r="A311" t="str">
            <v>TFLGV-ICENGA</v>
          </cell>
          <cell r="B311" t="str">
            <v>VAR_fin</v>
          </cell>
          <cell r="C311" t="str">
            <v>TNGA</v>
          </cell>
          <cell r="D311">
            <v>1.0722795071012495E-2</v>
          </cell>
          <cell r="E311">
            <v>8.1236413385948041E-3</v>
          </cell>
          <cell r="F311">
            <v>1.079770426555484E-2</v>
          </cell>
          <cell r="G311">
            <v>1.2532020880186057E-4</v>
          </cell>
          <cell r="H311">
            <v>1.0554358049698351E-4</v>
          </cell>
          <cell r="I311">
            <v>1.0007995575609536E-4</v>
          </cell>
          <cell r="J311">
            <v>1.0099770349724518E-4</v>
          </cell>
          <cell r="K311">
            <v>1.0504093076297101E-4</v>
          </cell>
          <cell r="L311">
            <v>1.065023649973854E-4</v>
          </cell>
          <cell r="M311">
            <v>1.1024532124473147E-4</v>
          </cell>
          <cell r="N311">
            <v>1.116504942080142E-4</v>
          </cell>
          <cell r="O311">
            <v>1.1830948083277385E-4</v>
          </cell>
        </row>
        <row r="312">
          <cell r="A312" t="str">
            <v>TFLGV-ICENGA</v>
          </cell>
          <cell r="B312" t="str">
            <v>VAR_ncap</v>
          </cell>
          <cell r="C312" t="str">
            <v>-</v>
          </cell>
          <cell r="D312">
            <v>4.32635902382604E-8</v>
          </cell>
          <cell r="E312">
            <v>4.86117081967325E-6</v>
          </cell>
          <cell r="F312">
            <v>4.4736999600588899E-6</v>
          </cell>
          <cell r="G312">
            <v>7.5543941638275105E-7</v>
          </cell>
          <cell r="H312">
            <v>1.55250657553168E-6</v>
          </cell>
          <cell r="I312">
            <v>9.8868942595927394E-7</v>
          </cell>
          <cell r="J312">
            <v>1.0073745736549799E-6</v>
          </cell>
          <cell r="K312">
            <v>1.31105980616729E-6</v>
          </cell>
          <cell r="L312">
            <v>1.0440993746325999E-6</v>
          </cell>
          <cell r="M312">
            <v>1.1039093560238899E-6</v>
          </cell>
          <cell r="N312">
            <v>1.5169171016280901E-6</v>
          </cell>
          <cell r="O312">
            <v>8.3887877238135001E-7</v>
          </cell>
        </row>
        <row r="313">
          <cell r="A313" t="str">
            <v>TFLGV-ICENGA</v>
          </cell>
          <cell r="B313" t="str">
            <v>VAR_cap</v>
          </cell>
          <cell r="C313" t="str">
            <v>-</v>
          </cell>
          <cell r="D313">
            <v>2.599538478958533E-4</v>
          </cell>
          <cell r="E313">
            <v>2.5242625506607849E-4</v>
          </cell>
          <cell r="F313">
            <v>2.5694709014747146E-4</v>
          </cell>
          <cell r="G313">
            <v>3.1829763068345418E-6</v>
          </cell>
          <cell r="H313">
            <v>2.6677289020567596E-6</v>
          </cell>
          <cell r="I313">
            <v>2.534100923160775E-6</v>
          </cell>
          <cell r="J313">
            <v>2.5561545766679712E-6</v>
          </cell>
          <cell r="K313">
            <v>2.6482712343734938E-6</v>
          </cell>
          <cell r="L313">
            <v>2.6736311516622219E-6</v>
          </cell>
          <cell r="M313">
            <v>2.7141214217917218E-6</v>
          </cell>
          <cell r="N313">
            <v>2.8057593469625898E-6</v>
          </cell>
          <cell r="O313">
            <v>2.825128442496855E-6</v>
          </cell>
        </row>
        <row r="314">
          <cell r="A314" t="str">
            <v>TFLGV-BEVELC</v>
          </cell>
          <cell r="B314" t="str">
            <v>VAR_fout</v>
          </cell>
          <cell r="C314" t="str">
            <v>TFLGV</v>
          </cell>
          <cell r="D314">
            <v>2.3765583846934238E-2</v>
          </cell>
          <cell r="E314">
            <v>4.4331309051131126E-2</v>
          </cell>
          <cell r="F314">
            <v>0.20253657782789522</v>
          </cell>
          <cell r="G314">
            <v>0.83241583301611766</v>
          </cell>
          <cell r="H314">
            <v>1.9697055885989401</v>
          </cell>
          <cell r="I314">
            <v>3.4719694603452353</v>
          </cell>
          <cell r="J314">
            <v>3.5908922994396768</v>
          </cell>
          <cell r="K314">
            <v>3.7337933835045631</v>
          </cell>
          <cell r="L314">
            <v>3.954218962172444</v>
          </cell>
          <cell r="M314">
            <v>4.3037956156410013</v>
          </cell>
          <cell r="N314">
            <v>4.7070843308326458</v>
          </cell>
          <cell r="O314">
            <v>5.1249080267538423</v>
          </cell>
        </row>
        <row r="315">
          <cell r="A315" t="str">
            <v>TFLGV-BEVELC</v>
          </cell>
          <cell r="B315" t="str">
            <v>VAR_fin</v>
          </cell>
          <cell r="C315" t="str">
            <v>T-ELC-LGV_BatSTGout</v>
          </cell>
          <cell r="D315">
            <v>3.4879753150092153E-2</v>
          </cell>
          <cell r="E315">
            <v>6.5063207640209716E-2</v>
          </cell>
          <cell r="F315">
            <v>0.2972544619143756</v>
          </cell>
          <cell r="G315">
            <v>1.2217018929907737</v>
          </cell>
          <cell r="H315">
            <v>2.8908544873620148</v>
          </cell>
          <cell r="I315">
            <v>5.0956643228911283</v>
          </cell>
          <cell r="J315">
            <v>5.270202398548677</v>
          </cell>
          <cell r="K315">
            <v>5.4799323411903789</v>
          </cell>
          <cell r="L315">
            <v>5.8034417412295385</v>
          </cell>
          <cell r="M315">
            <v>6.316500770561615</v>
          </cell>
          <cell r="N315">
            <v>6.9083907457753746</v>
          </cell>
          <cell r="O315">
            <v>7.5216131041173497</v>
          </cell>
        </row>
        <row r="316">
          <cell r="A316" t="str">
            <v>TFLGV-BEVELC</v>
          </cell>
          <cell r="B316" t="str">
            <v>VAR_ncap</v>
          </cell>
          <cell r="C316" t="str">
            <v>-</v>
          </cell>
          <cell r="E316">
            <v>1.2120540248234601E-3</v>
          </cell>
          <cell r="F316">
            <v>1.03606571671365E-2</v>
          </cell>
          <cell r="G316">
            <v>4.5324137456054903E-2</v>
          </cell>
          <cell r="H316">
            <v>0.144297884362839</v>
          </cell>
          <cell r="I316">
            <v>0.19057592413310401</v>
          </cell>
          <cell r="J316">
            <v>9.0873913783784802E-2</v>
          </cell>
          <cell r="K316">
            <v>0.213067374853217</v>
          </cell>
          <cell r="L316">
            <v>0.11511309264932</v>
          </cell>
          <cell r="M316">
            <v>0.144793850205198</v>
          </cell>
          <cell r="N316">
            <v>0.20390080259030299</v>
          </cell>
          <cell r="O316">
            <v>6.7470576682088501E-2</v>
          </cell>
        </row>
        <row r="317">
          <cell r="A317" t="str">
            <v>TFLGV-BEVELC</v>
          </cell>
          <cell r="B317" t="str">
            <v>VAR_cap</v>
          </cell>
          <cell r="C317" t="str">
            <v>-</v>
          </cell>
          <cell r="D317">
            <v>1.6988740549201949E-3</v>
          </cell>
          <cell r="E317">
            <v>3.8038927072147652E-3</v>
          </cell>
          <cell r="F317">
            <v>1.4164585468566866E-2</v>
          </cell>
          <cell r="G317">
            <v>5.8518132130985931E-2</v>
          </cell>
          <cell r="H317">
            <v>0.19493015388199064</v>
          </cell>
          <cell r="I317">
            <v>0.34439167544249333</v>
          </cell>
          <cell r="J317">
            <v>0.35626972767319748</v>
          </cell>
          <cell r="K317">
            <v>0.36904135885736017</v>
          </cell>
          <cell r="L317">
            <v>0.3690564175557276</v>
          </cell>
          <cell r="M317">
            <v>0.36907043721791144</v>
          </cell>
          <cell r="N317">
            <v>0.36908358145263442</v>
          </cell>
          <cell r="O317">
            <v>0.369086820832633</v>
          </cell>
        </row>
        <row r="318">
          <cell r="A318" t="str">
            <v>T_B_c-BEVELC-S1</v>
          </cell>
          <cell r="B318" t="str">
            <v>VAR_fout</v>
          </cell>
          <cell r="C318" t="str">
            <v>TPBSc</v>
          </cell>
          <cell r="D318">
            <v>1.4999883365800833E-4</v>
          </cell>
          <cell r="E318">
            <v>2.9205527767789836E-4</v>
          </cell>
          <cell r="F318">
            <v>5.2961014539250123E-4</v>
          </cell>
          <cell r="G318">
            <v>6.4236118158214853E-2</v>
          </cell>
          <cell r="H318">
            <v>6.2401849237874563E-2</v>
          </cell>
          <cell r="I318">
            <v>6.1817944101082829E-2</v>
          </cell>
          <cell r="J318">
            <v>5.9787640558050109E-2</v>
          </cell>
          <cell r="K318">
            <v>5.6730849499901918E-2</v>
          </cell>
          <cell r="L318">
            <v>5.63376538525431E-2</v>
          </cell>
          <cell r="M318">
            <v>5.5160802611244071E-2</v>
          </cell>
          <cell r="N318">
            <v>5.6764818105084193E-2</v>
          </cell>
          <cell r="O318">
            <v>5.3603110962652967E-2</v>
          </cell>
        </row>
        <row r="319">
          <cell r="A319" t="str">
            <v>T_B_c-BEVELC-S1</v>
          </cell>
          <cell r="B319" t="str">
            <v>VAR_fin</v>
          </cell>
          <cell r="C319" t="str">
            <v>T-ELC-Bus_c_BatSTGout_S1</v>
          </cell>
          <cell r="D319">
            <v>3.9609590802518711E-4</v>
          </cell>
          <cell r="E319">
            <v>7.585303739006601E-4</v>
          </cell>
          <cell r="F319">
            <v>1.331518617568746E-3</v>
          </cell>
          <cell r="G319">
            <v>0.14371363073931329</v>
          </cell>
          <cell r="H319">
            <v>0.13293995914335546</v>
          </cell>
          <cell r="I319">
            <v>0.13090626415551965</v>
          </cell>
          <cell r="J319">
            <v>0.12145366558276513</v>
          </cell>
          <cell r="K319">
            <v>0.10698806179889453</v>
          </cell>
          <cell r="L319">
            <v>0.10485899272713378</v>
          </cell>
          <cell r="M319">
            <v>0.10170567734867096</v>
          </cell>
          <cell r="N319">
            <v>0.10466316662649237</v>
          </cell>
          <cell r="O319">
            <v>9.8833600135856278E-2</v>
          </cell>
        </row>
        <row r="320">
          <cell r="A320" t="str">
            <v>T_B_c-BEVELC-S1</v>
          </cell>
          <cell r="B320" t="str">
            <v>VAR_ncap</v>
          </cell>
          <cell r="C320" t="str">
            <v>-</v>
          </cell>
          <cell r="E320">
            <v>2.6356638012926201E-6</v>
          </cell>
          <cell r="F320">
            <v>6.1225841506647802E-6</v>
          </cell>
          <cell r="G320">
            <v>1.3892745561090399E-3</v>
          </cell>
          <cell r="H320">
            <v>1.2680020647712501E-3</v>
          </cell>
          <cell r="I320">
            <v>7.2401147135702697E-5</v>
          </cell>
          <cell r="J320">
            <v>5.7408870027417203E-4</v>
          </cell>
          <cell r="K320">
            <v>6.49367602913367E-4</v>
          </cell>
          <cell r="L320">
            <v>3.3044644158750899E-4</v>
          </cell>
          <cell r="M320">
            <v>5.5203463500149504E-4</v>
          </cell>
          <cell r="N320">
            <v>6.3827422726770301E-4</v>
          </cell>
          <cell r="O320">
            <v>1.7260245396083301E-4</v>
          </cell>
        </row>
        <row r="321">
          <cell r="A321" t="str">
            <v>T_B_c-BEVELC-S1</v>
          </cell>
          <cell r="B321" t="str">
            <v>VAR_cap</v>
          </cell>
          <cell r="C321" t="str">
            <v>-</v>
          </cell>
          <cell r="D321">
            <v>3.3713942307692301E-6</v>
          </cell>
          <cell r="E321">
            <v>7.0223740374257099E-6</v>
          </cell>
          <cell r="F321">
            <v>1.2743420290280412E-5</v>
          </cell>
          <cell r="G321">
            <v>1.4002817480409371E-3</v>
          </cell>
          <cell r="H321">
            <v>1.3564203231730902E-3</v>
          </cell>
          <cell r="I321">
            <v>1.344923927245281E-3</v>
          </cell>
          <cell r="J321">
            <v>1.3036648300232753E-3</v>
          </cell>
          <cell r="K321">
            <v>1.2480279831471961E-3</v>
          </cell>
          <cell r="L321">
            <v>1.2376904104554997E-3</v>
          </cell>
          <cell r="M321">
            <v>1.2144533649222692E-3</v>
          </cell>
          <cell r="N321">
            <v>1.2486166158002538E-3</v>
          </cell>
          <cell r="O321">
            <v>1.1818252459671337E-3</v>
          </cell>
        </row>
        <row r="322">
          <cell r="A322" t="str">
            <v>T_B_c-BEVELC-S2</v>
          </cell>
          <cell r="B322" t="str">
            <v>VAR_fout</v>
          </cell>
          <cell r="C322" t="str">
            <v>TPBSc</v>
          </cell>
          <cell r="D322">
            <v>2.2757109341728216E-4</v>
          </cell>
          <cell r="E322">
            <v>2.6537581521723751E-4</v>
          </cell>
          <cell r="F322">
            <v>4.4527509069876102E-4</v>
          </cell>
          <cell r="G322">
            <v>2.7759229171600799E-2</v>
          </cell>
          <cell r="H322">
            <v>2.9406193870698302E-2</v>
          </cell>
          <cell r="I322">
            <v>2.9455183018776296E-2</v>
          </cell>
          <cell r="J322">
            <v>3.0882487935206111E-2</v>
          </cell>
          <cell r="K322">
            <v>3.2680689133084237E-2</v>
          </cell>
          <cell r="L322">
            <v>3.284964304632966E-2</v>
          </cell>
          <cell r="M322">
            <v>3.2712387390305693E-2</v>
          </cell>
          <cell r="N322">
            <v>2.9734529871354262E-2</v>
          </cell>
          <cell r="O322">
            <v>2.9309607189759987E-2</v>
          </cell>
        </row>
        <row r="323">
          <cell r="A323" t="str">
            <v>T_B_c-BEVELC-S2</v>
          </cell>
          <cell r="B323" t="str">
            <v>VAR_fin</v>
          </cell>
          <cell r="C323" t="str">
            <v>T-ELC-Bus_c_BatSTGout_S2</v>
          </cell>
          <cell r="D323">
            <v>8.2698782767601264E-4</v>
          </cell>
          <cell r="E323">
            <v>9.524908562590777E-4</v>
          </cell>
          <cell r="F323">
            <v>1.5556706297444542E-3</v>
          </cell>
          <cell r="G323">
            <v>8.5731866433173473E-2</v>
          </cell>
          <cell r="H323">
            <v>9.0300762359263709E-2</v>
          </cell>
          <cell r="I323">
            <v>8.418165263272355E-2</v>
          </cell>
          <cell r="J323">
            <v>8.5303090695589862E-2</v>
          </cell>
          <cell r="K323">
            <v>8.5991262483966727E-2</v>
          </cell>
          <cell r="L323">
            <v>8.4139535859658984E-2</v>
          </cell>
          <cell r="M323">
            <v>8.3361488731422226E-2</v>
          </cell>
          <cell r="N323">
            <v>7.5772967812786543E-2</v>
          </cell>
          <cell r="O323">
            <v>7.4690130693293902E-2</v>
          </cell>
        </row>
        <row r="324">
          <cell r="A324" t="str">
            <v>T_B_c-BEVELC-S2</v>
          </cell>
          <cell r="B324" t="str">
            <v>VAR_ncap</v>
          </cell>
          <cell r="C324" t="str">
            <v>-</v>
          </cell>
          <cell r="E324">
            <v>1.5014282967196501E-6</v>
          </cell>
          <cell r="F324">
            <v>3.9426749451673098E-6</v>
          </cell>
          <cell r="G324">
            <v>5.9492885655105295E-4</v>
          </cell>
          <cell r="H324">
            <v>5.40893557007039E-5</v>
          </cell>
          <cell r="I324">
            <v>4.6398451478460001E-4</v>
          </cell>
          <cell r="J324">
            <v>1.7993921190406E-4</v>
          </cell>
          <cell r="K324">
            <v>3.7367058691541898E-4</v>
          </cell>
          <cell r="L324">
            <v>2.6026245879394401E-4</v>
          </cell>
          <cell r="M324">
            <v>2.61084592445861E-4</v>
          </cell>
          <cell r="N324">
            <v>3.4039608517611402E-4</v>
          </cell>
          <cell r="O324">
            <v>1.2311881128842099E-4</v>
          </cell>
        </row>
        <row r="325">
          <cell r="A325" t="str">
            <v>T_B_c-BEVELC-S2</v>
          </cell>
          <cell r="B325" t="str">
            <v>VAR_cap</v>
          </cell>
          <cell r="C325" t="str">
            <v>-</v>
          </cell>
          <cell r="D325">
            <v>5.5550623856173902E-6</v>
          </cell>
          <cell r="E325">
            <v>6.547204374546851E-6</v>
          </cell>
          <cell r="F325">
            <v>1.0499496758358961E-5</v>
          </cell>
          <cell r="G325">
            <v>6.0364425866591667E-4</v>
          </cell>
          <cell r="H325">
            <v>6.3925066953197181E-4</v>
          </cell>
          <cell r="I325">
            <v>6.4051191575254884E-4</v>
          </cell>
          <cell r="J325">
            <v>6.7187820326881106E-4</v>
          </cell>
          <cell r="K325">
            <v>7.1204229392913979E-4</v>
          </cell>
          <cell r="L325">
            <v>7.1479927764247662E-4</v>
          </cell>
          <cell r="M325">
            <v>7.1261756114197547E-4</v>
          </cell>
          <cell r="N325">
            <v>6.475193699816002E-4</v>
          </cell>
          <cell r="O325">
            <v>6.3939682081269524E-4</v>
          </cell>
        </row>
        <row r="326">
          <cell r="A326" t="str">
            <v>T_B_c-BEVELC-S3</v>
          </cell>
          <cell r="B326" t="str">
            <v>VAR_fout</v>
          </cell>
          <cell r="C326" t="str">
            <v>TPBSc</v>
          </cell>
          <cell r="D326">
            <v>8.7642908929009436E-5</v>
          </cell>
          <cell r="E326">
            <v>1.4246698095245059E-4</v>
          </cell>
          <cell r="F326">
            <v>2.0170556242437936E-4</v>
          </cell>
          <cell r="G326">
            <v>3.1334823247712042E-4</v>
          </cell>
          <cell r="H326">
            <v>6.9719772118628483E-4</v>
          </cell>
          <cell r="I326">
            <v>1.1431858909682598E-3</v>
          </cell>
          <cell r="J326">
            <v>1.5966196453798666E-3</v>
          </cell>
          <cell r="K326">
            <v>2.2832432181747525E-3</v>
          </cell>
          <cell r="L326">
            <v>2.6378283349276698E-3</v>
          </cell>
          <cell r="M326">
            <v>3.8115817564251418E-3</v>
          </cell>
          <cell r="N326">
            <v>5.1964072457082837E-3</v>
          </cell>
          <cell r="O326">
            <v>8.5882770858613684E-3</v>
          </cell>
        </row>
        <row r="327">
          <cell r="A327" t="str">
            <v>T_B_c-BEVELC-S3</v>
          </cell>
          <cell r="B327" t="str">
            <v>VAR_fin</v>
          </cell>
          <cell r="C327" t="str">
            <v>T-ELC-Bus_c_BatSTGout_S3</v>
          </cell>
          <cell r="D327">
            <v>4.790004586076713E-4</v>
          </cell>
          <cell r="E327">
            <v>7.6922138372039048E-4</v>
          </cell>
          <cell r="F327">
            <v>1.069420255236774E-3</v>
          </cell>
          <cell r="G327">
            <v>1.5224215336949128E-3</v>
          </cell>
          <cell r="H327">
            <v>3.0973740197521222E-3</v>
          </cell>
          <cell r="I327">
            <v>4.8989885951052333E-3</v>
          </cell>
          <cell r="J327">
            <v>6.5038687070681483E-3</v>
          </cell>
          <cell r="K327">
            <v>8.8862834802946374E-3</v>
          </cell>
          <cell r="L327">
            <v>1.0088964455793584E-2</v>
          </cell>
          <cell r="M327">
            <v>1.4540096044465812E-2</v>
          </cell>
          <cell r="N327">
            <v>1.9822809864013066E-2</v>
          </cell>
          <cell r="O327">
            <v>3.2761824792137739E-2</v>
          </cell>
        </row>
        <row r="328">
          <cell r="A328" t="str">
            <v>T_B_c-BEVELC-S3</v>
          </cell>
          <cell r="B328" t="str">
            <v>VAR_ncap</v>
          </cell>
          <cell r="C328" t="str">
            <v>-</v>
          </cell>
          <cell r="E328">
            <v>7.7059936924171601E-7</v>
          </cell>
          <cell r="F328">
            <v>1.22877649441135E-6</v>
          </cell>
          <cell r="G328">
            <v>4.1960562782830703E-6</v>
          </cell>
          <cell r="H328">
            <v>1.2120123136978999E-5</v>
          </cell>
          <cell r="I328">
            <v>1.2897237716941901E-5</v>
          </cell>
          <cell r="J328">
            <v>2.2081142348543601E-5</v>
          </cell>
          <cell r="K328">
            <v>2.8028302817115601E-5</v>
          </cell>
          <cell r="L328">
            <v>2.6375360245501999E-5</v>
          </cell>
          <cell r="M328">
            <v>6.32978103658455E-5</v>
          </cell>
          <cell r="N328">
            <v>5.0156955394605997E-5</v>
          </cell>
          <cell r="O328">
            <v>1.3732127818312501E-4</v>
          </cell>
        </row>
        <row r="329">
          <cell r="A329" t="str">
            <v>T_B_c-BEVELC-S3</v>
          </cell>
          <cell r="B329" t="str">
            <v>VAR_cap</v>
          </cell>
          <cell r="C329" t="str">
            <v>-</v>
          </cell>
          <cell r="D329">
            <v>1.7938299539537331E-6</v>
          </cell>
          <cell r="E329">
            <v>3.1925354523313561E-6</v>
          </cell>
          <cell r="F329">
            <v>4.4303225551641799E-6</v>
          </cell>
          <cell r="G329">
            <v>6.9279843378193797E-6</v>
          </cell>
          <cell r="H329">
            <v>1.5267109092654755E-5</v>
          </cell>
          <cell r="I329">
            <v>2.50173608539209E-5</v>
          </cell>
          <cell r="J329">
            <v>3.5081442811031574E-5</v>
          </cell>
          <cell r="K329">
            <v>5.0096697403553665E-5</v>
          </cell>
          <cell r="L329">
            <v>5.7769190969700592E-5</v>
          </cell>
          <cell r="M329">
            <v>8.3308575705192376E-5</v>
          </cell>
          <cell r="N329">
            <v>1.1342460876047922E-4</v>
          </cell>
          <cell r="O329">
            <v>1.8744173127547984E-4</v>
          </cell>
        </row>
        <row r="330">
          <cell r="A330" t="str">
            <v>T_B_c-BEVELC-S4</v>
          </cell>
          <cell r="B330" t="str">
            <v>VAR_fout</v>
          </cell>
          <cell r="C330" t="str">
            <v>TPBSc</v>
          </cell>
          <cell r="E330">
            <v>1.8100139688696245E-5</v>
          </cell>
          <cell r="F330">
            <v>3.9612790537253822E-5</v>
          </cell>
          <cell r="G330">
            <v>3.9635974060315251E-5</v>
          </cell>
          <cell r="H330">
            <v>4.5910812717323913E-5</v>
          </cell>
          <cell r="I330">
            <v>7.0913507256211417E-5</v>
          </cell>
          <cell r="J330">
            <v>6.6145054017482406E-5</v>
          </cell>
          <cell r="K330">
            <v>9.1506660370946295E-5</v>
          </cell>
          <cell r="L330">
            <v>9.0526441290780604E-5</v>
          </cell>
          <cell r="M330">
            <v>8.8706377118099431E-5</v>
          </cell>
          <cell r="N330">
            <v>1.2401279094261092E-4</v>
          </cell>
          <cell r="O330">
            <v>1.6111097200305008E-4</v>
          </cell>
        </row>
        <row r="331">
          <cell r="A331" t="str">
            <v>T_B_c-BEVELC-S4</v>
          </cell>
          <cell r="B331" t="str">
            <v>VAR_fin</v>
          </cell>
          <cell r="C331" t="str">
            <v>T-ELC-Bus_c_BatSTGout_S4</v>
          </cell>
          <cell r="E331">
            <v>1.4315847026417247E-4</v>
          </cell>
          <cell r="F331">
            <v>3.0558961097747666E-4</v>
          </cell>
          <cell r="G331">
            <v>2.8577347947488776E-4</v>
          </cell>
          <cell r="H331">
            <v>3.0420841780999709E-4</v>
          </cell>
          <cell r="I331">
            <v>4.5257876545676061E-4</v>
          </cell>
          <cell r="J331">
            <v>4.0040462951452101E-4</v>
          </cell>
          <cell r="K331">
            <v>5.2969134754951824E-4</v>
          </cell>
          <cell r="L331">
            <v>5.1589029857915724E-4</v>
          </cell>
          <cell r="M331">
            <v>5.055181527608793E-4</v>
          </cell>
          <cell r="N331">
            <v>7.0672164767327016E-4</v>
          </cell>
          <cell r="O331">
            <v>9.1813603037874472E-4</v>
          </cell>
        </row>
        <row r="332">
          <cell r="A332" t="str">
            <v>T_B_c-BEVELC-S4</v>
          </cell>
          <cell r="B332" t="str">
            <v>VAR_ncap</v>
          </cell>
          <cell r="C332" t="str">
            <v>-</v>
          </cell>
          <cell r="E332">
            <v>4.8655077067507198E-7</v>
          </cell>
          <cell r="F332">
            <v>4.6955992731928402E-7</v>
          </cell>
          <cell r="G332">
            <v>6.0773422145076697E-7</v>
          </cell>
          <cell r="H332">
            <v>9.1683348345286698E-7</v>
          </cell>
          <cell r="I332">
            <v>1.03387138194101E-6</v>
          </cell>
          <cell r="J332">
            <v>1.1707219090769E-6</v>
          </cell>
          <cell r="K332">
            <v>1.5149009233825601E-6</v>
          </cell>
          <cell r="L332">
            <v>1.54343992206878E-6</v>
          </cell>
          <cell r="M332">
            <v>1.8390078933445201E-6</v>
          </cell>
          <cell r="N332">
            <v>2.0084668131884501E-6</v>
          </cell>
          <cell r="O332">
            <v>2.6923997239529102E-6</v>
          </cell>
        </row>
        <row r="333">
          <cell r="A333" t="str">
            <v>T_B_c-BEVELC-S4</v>
          </cell>
          <cell r="B333" t="str">
            <v>VAR_cap</v>
          </cell>
          <cell r="C333" t="str">
            <v>-</v>
          </cell>
          <cell r="E333">
            <v>4.8655077067507198E-7</v>
          </cell>
          <cell r="F333">
            <v>9.561106979943559E-7</v>
          </cell>
          <cell r="G333">
            <v>1.0110486599384997E-6</v>
          </cell>
          <cell r="H333">
            <v>1.0744399433030201E-6</v>
          </cell>
          <cell r="I333">
            <v>1.7018355500255266E-6</v>
          </cell>
          <cell r="J333">
            <v>1.6875845717998922E-6</v>
          </cell>
          <cell r="K333">
            <v>2.294199341191186E-6</v>
          </cell>
          <cell r="L333">
            <v>2.285015907986183E-6</v>
          </cell>
          <cell r="M333">
            <v>2.23927513768031E-6</v>
          </cell>
          <cell r="N333">
            <v>3.1258314086703408E-6</v>
          </cell>
          <cell r="O333">
            <v>4.0198841822252996E-6</v>
          </cell>
        </row>
        <row r="334">
          <cell r="A334" t="str">
            <v>T_C-BAT-ELC-S1</v>
          </cell>
          <cell r="B334" t="str">
            <v>VAR_fout</v>
          </cell>
          <cell r="C334" t="str">
            <v>TPCAR</v>
          </cell>
          <cell r="D334">
            <v>1.450637217079555E-2</v>
          </cell>
          <cell r="E334">
            <v>4.9195473214606836E-2</v>
          </cell>
          <cell r="F334">
            <v>3.8248897155383099E-2</v>
          </cell>
          <cell r="G334">
            <v>3.5761672977414442E-2</v>
          </cell>
          <cell r="H334">
            <v>2.0037766749295777E-2</v>
          </cell>
          <cell r="I334">
            <v>0.25168188028432831</v>
          </cell>
          <cell r="J334">
            <v>0.76436999499693947</v>
          </cell>
          <cell r="K334">
            <v>1.6901513733707885</v>
          </cell>
          <cell r="L334">
            <v>1.8451155998381692</v>
          </cell>
          <cell r="M334">
            <v>1.8354611176829017</v>
          </cell>
          <cell r="N334">
            <v>1.8694340688679054</v>
          </cell>
          <cell r="O334">
            <v>1.6810997891927879</v>
          </cell>
        </row>
        <row r="335">
          <cell r="A335" t="str">
            <v>T_C-BAT-ELC-S1</v>
          </cell>
          <cell r="B335" t="str">
            <v>VAR_fin</v>
          </cell>
          <cell r="C335" t="str">
            <v>T-ELC-car-BatSTGOut_S1</v>
          </cell>
          <cell r="D335">
            <v>8.0071736953124025E-3</v>
          </cell>
          <cell r="E335">
            <v>2.7154735478625402E-2</v>
          </cell>
          <cell r="F335">
            <v>2.1112484883978867E-2</v>
          </cell>
          <cell r="G335">
            <v>1.9739596074999449E-2</v>
          </cell>
          <cell r="H335">
            <v>1.0890827309833968E-2</v>
          </cell>
          <cell r="I335">
            <v>0.12648544491590036</v>
          </cell>
          <cell r="J335">
            <v>0.36961628893738158</v>
          </cell>
          <cell r="K335">
            <v>0.78557244716789887</v>
          </cell>
          <cell r="L335">
            <v>0.83230477989814255</v>
          </cell>
          <cell r="M335">
            <v>0.79414372251403065</v>
          </cell>
          <cell r="N335">
            <v>0.77886232807089828</v>
          </cell>
          <cell r="O335">
            <v>0.68928917926534994</v>
          </cell>
        </row>
        <row r="336">
          <cell r="A336" t="str">
            <v>T_C-BAT-ELC-S1</v>
          </cell>
          <cell r="B336" t="str">
            <v>VAR_ncap</v>
          </cell>
          <cell r="C336" t="str">
            <v>-</v>
          </cell>
          <cell r="D336">
            <v>1.6086052923285399E-4</v>
          </cell>
          <cell r="E336">
            <v>3.0302109693814698E-3</v>
          </cell>
          <cell r="F336">
            <v>7.4836412472167196E-4</v>
          </cell>
          <cell r="G336">
            <v>7.2359923556365897E-4</v>
          </cell>
          <cell r="H336">
            <v>9.8843894617600095E-4</v>
          </cell>
          <cell r="I336">
            <v>3.8121321105892197E-2</v>
          </cell>
          <cell r="J336">
            <v>8.8084917530127996E-2</v>
          </cell>
          <cell r="K336">
            <v>0.16283304434023099</v>
          </cell>
          <cell r="L336">
            <v>8.9111891698583801E-2</v>
          </cell>
          <cell r="M336">
            <v>8.9158530441986197E-2</v>
          </cell>
          <cell r="N336">
            <v>0.120465498049315</v>
          </cell>
          <cell r="O336">
            <v>4.5840476973718902E-2</v>
          </cell>
        </row>
        <row r="337">
          <cell r="A337" t="str">
            <v>T_C-BAT-ELC-S1</v>
          </cell>
          <cell r="B337" t="str">
            <v>VAR_cap</v>
          </cell>
          <cell r="C337" t="str">
            <v>-</v>
          </cell>
          <cell r="D337">
            <v>1.6322301512920624E-3</v>
          </cell>
          <cell r="E337">
            <v>5.2762303103237526E-3</v>
          </cell>
          <cell r="F337">
            <v>5.7649564983361665E-3</v>
          </cell>
          <cell r="G337">
            <v>5.4068071914908219E-3</v>
          </cell>
          <cell r="H337">
            <v>3.0152475204795214E-3</v>
          </cell>
          <cell r="I337">
            <v>3.8226864241076769E-2</v>
          </cell>
          <cell r="J337">
            <v>0.1161480352309989</v>
          </cell>
          <cell r="K337">
            <v>0.25683884671347107</v>
          </cell>
          <cell r="L337">
            <v>0.28039345013493727</v>
          </cell>
          <cell r="M337">
            <v>0.27891524194679546</v>
          </cell>
          <cell r="N337">
            <v>0.28407847551572085</v>
          </cell>
          <cell r="O337">
            <v>0.25546342152729395</v>
          </cell>
        </row>
        <row r="338">
          <cell r="A338" t="str">
            <v>D-TNGA</v>
          </cell>
          <cell r="B338" t="str">
            <v>VAR_fout</v>
          </cell>
          <cell r="C338" t="str">
            <v>CO2</v>
          </cell>
          <cell r="D338">
            <v>14.6242956606382</v>
          </cell>
          <cell r="E338">
            <v>6.7313684826420799</v>
          </cell>
          <cell r="F338">
            <v>11.090202977507801</v>
          </cell>
          <cell r="G338">
            <v>0.31784684778906502</v>
          </cell>
          <cell r="H338">
            <v>0.27870431878566898</v>
          </cell>
          <cell r="I338">
            <v>0.39345097413943098</v>
          </cell>
          <cell r="J338">
            <v>0.37259806617278701</v>
          </cell>
          <cell r="K338">
            <v>0.33464901277720199</v>
          </cell>
          <cell r="L338">
            <v>0.33620080571503502</v>
          </cell>
          <cell r="M338">
            <v>0.31910010172450698</v>
          </cell>
          <cell r="N338">
            <v>0.32581070661399197</v>
          </cell>
          <cell r="O338">
            <v>0.29849093902524199</v>
          </cell>
        </row>
        <row r="339">
          <cell r="A339" t="str">
            <v>D-TNGA</v>
          </cell>
          <cell r="B339" t="str">
            <v>VAR_fout</v>
          </cell>
          <cell r="C339" t="str">
            <v>TNGA</v>
          </cell>
          <cell r="D339">
            <v>0.27997985330637881</v>
          </cell>
          <cell r="E339">
            <v>0.13725096812298695</v>
          </cell>
          <cell r="F339">
            <v>0.20726075289279586</v>
          </cell>
          <cell r="G339">
            <v>8.3157365425245572E-3</v>
          </cell>
          <cell r="H339">
            <v>7.5508137725400024E-3</v>
          </cell>
          <cell r="I339">
            <v>7.3439909755026438E-3</v>
          </cell>
          <cell r="J339">
            <v>7.0236376127300907E-3</v>
          </cell>
          <cell r="K339">
            <v>6.6639600022308206E-3</v>
          </cell>
          <cell r="L339">
            <v>6.4557282258082471E-3</v>
          </cell>
          <cell r="M339">
            <v>6.4210172748993639E-3</v>
          </cell>
          <cell r="N339">
            <v>6.4228775022646982E-3</v>
          </cell>
          <cell r="O339">
            <v>6.4066412392841275E-3</v>
          </cell>
        </row>
        <row r="340">
          <cell r="A340" t="str">
            <v>D-TNGA</v>
          </cell>
          <cell r="B340" t="str">
            <v>VAR_fin</v>
          </cell>
          <cell r="C340" t="str">
            <v>NGA</v>
          </cell>
          <cell r="D340">
            <v>0.25929602235174193</v>
          </cell>
          <cell r="E340">
            <v>0.11935050501138435</v>
          </cell>
          <cell r="F340">
            <v>0.1966348045657417</v>
          </cell>
          <cell r="G340">
            <v>5.6355824076075329E-3</v>
          </cell>
          <cell r="H340">
            <v>4.9415659359161148E-3</v>
          </cell>
          <cell r="I340">
            <v>6.9760811017629621E-3</v>
          </cell>
          <cell r="J340">
            <v>6.6063486910068634E-3</v>
          </cell>
          <cell r="K340">
            <v>5.9334931343475519E-3</v>
          </cell>
          <cell r="L340">
            <v>5.9610071935289949E-3</v>
          </cell>
          <cell r="M340">
            <v>5.6578032220657246E-3</v>
          </cell>
          <cell r="N340">
            <v>5.7767855782622675E-3</v>
          </cell>
          <cell r="O340">
            <v>5.2923925359085492E-3</v>
          </cell>
        </row>
        <row r="341">
          <cell r="A341" t="str">
            <v>D-TNGA</v>
          </cell>
          <cell r="B341" t="str">
            <v>VAR_fin</v>
          </cell>
          <cell r="C341" t="str">
            <v>BNGA</v>
          </cell>
          <cell r="D341">
            <v>2.1576908636634983E-2</v>
          </cell>
          <cell r="E341">
            <v>1.6728784738016193E-2</v>
          </cell>
          <cell r="F341">
            <v>9.535598841475687E-3</v>
          </cell>
          <cell r="G341">
            <v>2.6397850692593101E-3</v>
          </cell>
          <cell r="H341">
            <v>2.5513417210951237E-3</v>
          </cell>
          <cell r="I341">
            <v>3.1010595855024165E-4</v>
          </cell>
          <cell r="J341">
            <v>3.5693919323286153E-4</v>
          </cell>
          <cell r="K341">
            <v>6.594043849695798E-4</v>
          </cell>
          <cell r="L341">
            <v>4.3212850521525314E-4</v>
          </cell>
          <cell r="M341">
            <v>6.9375463831116129E-4</v>
          </cell>
          <cell r="N341">
            <v>5.7902597944781587E-4</v>
          </cell>
          <cell r="O341">
            <v>1.0403618301873961E-3</v>
          </cell>
        </row>
        <row r="342">
          <cell r="A342" t="str">
            <v>D-TNGA</v>
          </cell>
          <cell r="B342" t="str">
            <v>VAR_fin</v>
          </cell>
          <cell r="C342" t="str">
            <v>H2</v>
          </cell>
          <cell r="E342">
            <v>1.6094805047602594E-3</v>
          </cell>
          <cell r="F342">
            <v>1.7514596188570395E-3</v>
          </cell>
          <cell r="G342">
            <v>6.6595283359583053E-5</v>
          </cell>
          <cell r="H342">
            <v>8.1629656043688559E-5</v>
          </cell>
          <cell r="I342">
            <v>8.0779100902328871E-5</v>
          </cell>
          <cell r="J342">
            <v>8.2447672432070385E-5</v>
          </cell>
          <cell r="K342">
            <v>9.200521660339948E-5</v>
          </cell>
          <cell r="L342">
            <v>8.2786184957934808E-5</v>
          </cell>
          <cell r="M342">
            <v>8.9672638670597031E-5</v>
          </cell>
          <cell r="N342">
            <v>8.7118706199435059E-5</v>
          </cell>
          <cell r="O342">
            <v>9.4111069115685459E-5</v>
          </cell>
        </row>
        <row r="343">
          <cell r="A343" t="str">
            <v>D-TNGA</v>
          </cell>
          <cell r="B343" t="str">
            <v>VAR_ncap</v>
          </cell>
          <cell r="C343" t="str">
            <v>-</v>
          </cell>
          <cell r="D343">
            <v>4.0401585854834901E-7</v>
          </cell>
          <cell r="E343">
            <v>3.3175832036703599E-7</v>
          </cell>
          <cell r="F343">
            <v>3.2851999277769801E-7</v>
          </cell>
          <cell r="G343">
            <v>3.0701338920176998E-7</v>
          </cell>
          <cell r="H343">
            <v>7.9827128629854096E-7</v>
          </cell>
          <cell r="I343">
            <v>1.14150713317288E-6</v>
          </cell>
          <cell r="J343">
            <v>1.8422077787743799E-6</v>
          </cell>
          <cell r="K343">
            <v>9.0178695519129608E-6</v>
          </cell>
          <cell r="L343">
            <v>1.34220883272139E-3</v>
          </cell>
          <cell r="M343">
            <v>1.54880789447038E-4</v>
          </cell>
          <cell r="N343">
            <v>1.24845377022841E-5</v>
          </cell>
          <cell r="O343">
            <v>4.76725477813723E-4</v>
          </cell>
        </row>
        <row r="344">
          <cell r="A344" t="str">
            <v>D-TNGA</v>
          </cell>
          <cell r="B344" t="str">
            <v>VAR_cap</v>
          </cell>
          <cell r="C344" t="str">
            <v>-</v>
          </cell>
          <cell r="D344">
            <v>0.95961809709750256</v>
          </cell>
          <cell r="E344">
            <v>0.95961842885582294</v>
          </cell>
          <cell r="F344">
            <v>0.9596187573758157</v>
          </cell>
          <cell r="G344">
            <v>0.95961906438920497</v>
          </cell>
          <cell r="H344">
            <v>0.95961986266049126</v>
          </cell>
          <cell r="I344">
            <v>0.95962100416762441</v>
          </cell>
          <cell r="J344">
            <v>0.95962284637540318</v>
          </cell>
          <cell r="K344">
            <v>0.32781692410998903</v>
          </cell>
          <cell r="L344">
            <v>1.3563799960324501E-3</v>
          </cell>
          <cell r="M344">
            <v>1.51079976087564E-3</v>
          </cell>
          <cell r="N344">
            <v>1.5226418896555299E-3</v>
          </cell>
          <cell r="O344">
            <v>1.9990994934345999E-3</v>
          </cell>
        </row>
        <row r="345">
          <cell r="A345" t="str">
            <v>T_C-BAT-ELC-S2</v>
          </cell>
          <cell r="B345" t="str">
            <v>VAR_fout</v>
          </cell>
          <cell r="C345" t="str">
            <v>TPCAR</v>
          </cell>
          <cell r="D345">
            <v>9.7009318321932561E-2</v>
          </cell>
          <cell r="E345">
            <v>0.15500607019255466</v>
          </cell>
          <cell r="F345">
            <v>2.727573701406877</v>
          </cell>
          <cell r="G345">
            <v>9.9220733524336424</v>
          </cell>
          <cell r="H345">
            <v>16.635135284870159</v>
          </cell>
          <cell r="I345">
            <v>17.560998146108723</v>
          </cell>
          <cell r="J345">
            <v>17.643025210919628</v>
          </cell>
          <cell r="K345">
            <v>17.962983997960141</v>
          </cell>
          <cell r="L345">
            <v>17.923068565583126</v>
          </cell>
          <cell r="M345">
            <v>17.745182285595781</v>
          </cell>
          <cell r="N345">
            <v>17.148653497170493</v>
          </cell>
          <cell r="O345">
            <v>16.980193728862879</v>
          </cell>
        </row>
        <row r="346">
          <cell r="A346" t="str">
            <v>T_C-BAT-ELC-S2</v>
          </cell>
          <cell r="B346" t="str">
            <v>VAR_fin</v>
          </cell>
          <cell r="C346" t="str">
            <v>T-ELC-car-BatSTGOut_S2</v>
          </cell>
          <cell r="D346">
            <v>6.6272327615834251E-2</v>
          </cell>
          <cell r="E346">
            <v>0.10589305485225205</v>
          </cell>
          <cell r="F346">
            <v>1.8633535526566212</v>
          </cell>
          <cell r="G346">
            <v>6.7783065298805942</v>
          </cell>
          <cell r="H346">
            <v>10.984514616165711</v>
          </cell>
          <cell r="I346">
            <v>11.329197311239477</v>
          </cell>
          <cell r="J346">
            <v>10.898500744054868</v>
          </cell>
          <cell r="K346">
            <v>10.346659205092674</v>
          </cell>
          <cell r="L346">
            <v>9.9285448651849268</v>
          </cell>
          <cell r="M346">
            <v>9.3475027010092191</v>
          </cell>
          <cell r="N346">
            <v>8.7164631473995424</v>
          </cell>
          <cell r="O346">
            <v>8.4815424378287965</v>
          </cell>
        </row>
        <row r="347">
          <cell r="A347" t="str">
            <v>T_C-BAT-ELC-S2</v>
          </cell>
          <cell r="B347" t="str">
            <v>VAR_ncap</v>
          </cell>
          <cell r="C347" t="str">
            <v>-</v>
          </cell>
          <cell r="D347">
            <v>1.05684058718048E-4</v>
          </cell>
          <cell r="E347">
            <v>4.74815065714457E-4</v>
          </cell>
          <cell r="F347">
            <v>0.198306880182716</v>
          </cell>
          <cell r="G347">
            <v>0.60287533097175405</v>
          </cell>
          <cell r="H347">
            <v>1.17298676648085</v>
          </cell>
          <cell r="I347">
            <v>0.54292903517073099</v>
          </cell>
          <cell r="J347">
            <v>0.72264099124606596</v>
          </cell>
          <cell r="K347">
            <v>0.98301960818200695</v>
          </cell>
          <cell r="L347">
            <v>0.61055476789401197</v>
          </cell>
          <cell r="M347">
            <v>0.65346808000363898</v>
          </cell>
          <cell r="N347">
            <v>0.65616880456718296</v>
          </cell>
          <cell r="O347">
            <v>0.48133736664551102</v>
          </cell>
        </row>
        <row r="348">
          <cell r="A348" t="str">
            <v>T_C-BAT-ELC-S2</v>
          </cell>
          <cell r="B348" t="str">
            <v>VAR_cap</v>
          </cell>
          <cell r="C348" t="str">
            <v>-</v>
          </cell>
          <cell r="D348">
            <v>7.3922862767318845E-3</v>
          </cell>
          <cell r="E348">
            <v>1.1762970242787487E-2</v>
          </cell>
          <cell r="F348">
            <v>0.20696223493519467</v>
          </cell>
          <cell r="G348">
            <v>0.75283897466382332</v>
          </cell>
          <cell r="H348">
            <v>1.7380805014402185</v>
          </cell>
          <cell r="I348">
            <v>1.8410315227830125</v>
          </cell>
          <cell r="J348">
            <v>1.8608158066248945</v>
          </cell>
          <cell r="K348">
            <v>1.8945773653720264</v>
          </cell>
          <cell r="L348">
            <v>1.8904086465378374</v>
          </cell>
          <cell r="M348">
            <v>1.871617122021711</v>
          </cell>
          <cell r="N348">
            <v>1.8086977228002861</v>
          </cell>
          <cell r="O348">
            <v>1.7909739518482766</v>
          </cell>
        </row>
        <row r="349">
          <cell r="A349" t="str">
            <v>TFLGV-BeVELCExt</v>
          </cell>
          <cell r="B349" t="str">
            <v>VAR_fout</v>
          </cell>
          <cell r="C349" t="str">
            <v>TFLGV</v>
          </cell>
          <cell r="D349">
            <v>2.7783818954094371E-2</v>
          </cell>
          <cell r="E349">
            <v>2.0766830946148025E-2</v>
          </cell>
          <cell r="F349">
            <v>1.8539988470521181E-2</v>
          </cell>
          <cell r="G349">
            <v>9.2010929839673426E-3</v>
          </cell>
        </row>
        <row r="350">
          <cell r="A350" t="str">
            <v>TFLGV-BeVELCExt</v>
          </cell>
          <cell r="B350" t="str">
            <v>VAR_fin</v>
          </cell>
          <cell r="C350" t="str">
            <v>TELC</v>
          </cell>
          <cell r="D350">
            <v>4.0311807448093248E-2</v>
          </cell>
          <cell r="E350">
            <v>2.9852565918012677E-2</v>
          </cell>
          <cell r="F350">
            <v>2.6287348571714875E-2</v>
          </cell>
          <cell r="G350">
            <v>1.3045981063844237E-2</v>
          </cell>
        </row>
        <row r="351">
          <cell r="A351" t="str">
            <v>TFLGV-BeVELCExt</v>
          </cell>
          <cell r="B351" t="str">
            <v>VAR_cap</v>
          </cell>
          <cell r="C351" t="str">
            <v>-</v>
          </cell>
          <cell r="D351">
            <v>1.9499105325088901E-3</v>
          </cell>
          <cell r="E351">
            <v>1.6899752612864463E-3</v>
          </cell>
          <cell r="F351">
            <v>1.2999894546102621E-3</v>
          </cell>
          <cell r="G351">
            <v>6.4999999999999997E-4</v>
          </cell>
        </row>
        <row r="352">
          <cell r="A352" t="str">
            <v>T_C-BAT-ELC-S3</v>
          </cell>
          <cell r="B352" t="str">
            <v>VAR_fout</v>
          </cell>
          <cell r="C352" t="str">
            <v>TPCAR</v>
          </cell>
          <cell r="D352">
            <v>6.1297721828822066E-2</v>
          </cell>
          <cell r="E352">
            <v>0.12946848459503535</v>
          </cell>
          <cell r="F352">
            <v>0.16843286162451224</v>
          </cell>
          <cell r="G352">
            <v>2.6163867153093943</v>
          </cell>
          <cell r="H352">
            <v>7.5648971549640462</v>
          </cell>
          <cell r="I352">
            <v>10.715149103244645</v>
          </cell>
          <cell r="J352">
            <v>11.256936327989896</v>
          </cell>
          <cell r="K352">
            <v>10.97197744332092</v>
          </cell>
          <cell r="L352">
            <v>12.556985522141176</v>
          </cell>
          <cell r="M352">
            <v>13.498013526424364</v>
          </cell>
          <cell r="N352">
            <v>14.764772837338901</v>
          </cell>
          <cell r="O352">
            <v>15.261034421584226</v>
          </cell>
        </row>
        <row r="353">
          <cell r="A353" t="str">
            <v>T_C-BAT-ELC-S3</v>
          </cell>
          <cell r="B353" t="str">
            <v>VAR_fin</v>
          </cell>
          <cell r="C353" t="str">
            <v>T-ELC-car-BatSTGOut_S3</v>
          </cell>
          <cell r="D353">
            <v>4.5831692347842741E-2</v>
          </cell>
          <cell r="E353">
            <v>9.6802288529930974E-2</v>
          </cell>
          <cell r="F353">
            <v>0.12593556277342255</v>
          </cell>
          <cell r="G353">
            <v>1.9562461282640997</v>
          </cell>
          <cell r="H353">
            <v>5.4468684461231422</v>
          </cell>
          <cell r="I353">
            <v>7.4897223978802163</v>
          </cell>
          <cell r="J353">
            <v>7.582377220494287</v>
          </cell>
          <cell r="K353">
            <v>6.9668439197302359</v>
          </cell>
          <cell r="L353">
            <v>7.5048763257009936</v>
          </cell>
          <cell r="M353">
            <v>7.6465322167758281</v>
          </cell>
          <cell r="N353">
            <v>8.1545317262805543</v>
          </cell>
          <cell r="O353">
            <v>8.3167873223822131</v>
          </cell>
        </row>
        <row r="354">
          <cell r="A354" t="str">
            <v>T_C-BAT-ELC-S3</v>
          </cell>
          <cell r="B354" t="str">
            <v>VAR_ncap</v>
          </cell>
          <cell r="C354" t="str">
            <v>-</v>
          </cell>
          <cell r="D354">
            <v>1.16017087267213E-4</v>
          </cell>
          <cell r="E354">
            <v>2.7141849137809499E-3</v>
          </cell>
          <cell r="F354">
            <v>3.10145110444048E-3</v>
          </cell>
          <cell r="G354">
            <v>0.17961329142620999</v>
          </cell>
          <cell r="H354">
            <v>0.38632778303259302</v>
          </cell>
          <cell r="I354">
            <v>0.32857391693802701</v>
          </cell>
          <cell r="J354">
            <v>0.27900346357205402</v>
          </cell>
          <cell r="K354">
            <v>0.33185562850199601</v>
          </cell>
          <cell r="L354">
            <v>0.42812325222301301</v>
          </cell>
          <cell r="M354">
            <v>0.42596203521222198</v>
          </cell>
          <cell r="N354">
            <v>0.65254813215815899</v>
          </cell>
          <cell r="O354">
            <v>0.42044283535828902</v>
          </cell>
        </row>
        <row r="355">
          <cell r="A355" t="str">
            <v>T_C-BAT-ELC-S3</v>
          </cell>
          <cell r="B355" t="str">
            <v>VAR_cap</v>
          </cell>
          <cell r="C355" t="str">
            <v>-</v>
          </cell>
          <cell r="D355">
            <v>4.3367748087713943E-3</v>
          </cell>
          <cell r="E355">
            <v>8.9192731791853646E-3</v>
          </cell>
          <cell r="F355">
            <v>1.1628756912017516E-2</v>
          </cell>
          <cell r="G355">
            <v>0.1799324708862047</v>
          </cell>
          <cell r="H355">
            <v>0.52019611189925608</v>
          </cell>
          <cell r="I355">
            <v>0.73680173347379685</v>
          </cell>
          <cell r="J355">
            <v>0.77406561934557805</v>
          </cell>
          <cell r="K355">
            <v>0.75452903546397332</v>
          </cell>
          <cell r="L355">
            <v>0.88951750102287441</v>
          </cell>
          <cell r="M355">
            <v>1.0592017226685742</v>
          </cell>
          <cell r="N355">
            <v>1.3986149452499379</v>
          </cell>
          <cell r="O355">
            <v>1.4989527643850857</v>
          </cell>
        </row>
        <row r="356">
          <cell r="A356" t="str">
            <v>T_C-BAT-ELC-S4</v>
          </cell>
          <cell r="B356" t="str">
            <v>VAR_fout</v>
          </cell>
          <cell r="C356" t="str">
            <v>TPCAR</v>
          </cell>
          <cell r="D356">
            <v>0.19325866390992077</v>
          </cell>
          <cell r="E356">
            <v>1.2218205608299249</v>
          </cell>
          <cell r="F356">
            <v>2.1423559844964259</v>
          </cell>
          <cell r="G356">
            <v>3.8898565038514143</v>
          </cell>
          <cell r="H356">
            <v>4.1904648274085181</v>
          </cell>
          <cell r="I356">
            <v>2.6299716703238767</v>
          </cell>
          <cell r="J356">
            <v>2.764130706671764</v>
          </cell>
          <cell r="K356">
            <v>2.905132215273122</v>
          </cell>
          <cell r="L356">
            <v>3.053326650489653</v>
          </cell>
          <cell r="M356">
            <v>3.2090782303591618</v>
          </cell>
          <cell r="N356">
            <v>3.3727752362169516</v>
          </cell>
          <cell r="O356">
            <v>3.5448268853308469</v>
          </cell>
        </row>
        <row r="357">
          <cell r="A357" t="str">
            <v>T_C-BAT-ELC-S4</v>
          </cell>
          <cell r="B357" t="str">
            <v>VAR_fin</v>
          </cell>
          <cell r="C357" t="str">
            <v>T-ELC-car-BatSTGOut_S4</v>
          </cell>
          <cell r="D357">
            <v>0.14923760983446666</v>
          </cell>
          <cell r="E357">
            <v>0.94351050791625146</v>
          </cell>
          <cell r="F357">
            <v>1.654363535752456</v>
          </cell>
          <cell r="G357">
            <v>3.0038130011310731</v>
          </cell>
          <cell r="H357">
            <v>3.1777861457786845</v>
          </cell>
          <cell r="I357">
            <v>1.9712040871489267</v>
          </cell>
          <cell r="J357">
            <v>1.9182618858794414</v>
          </cell>
          <cell r="K357">
            <v>1.9021209675170678</v>
          </cell>
          <cell r="L357">
            <v>1.9190059378635456</v>
          </cell>
          <cell r="M357">
            <v>1.9346331048893615</v>
          </cell>
          <cell r="N357">
            <v>1.9971546783881178</v>
          </cell>
          <cell r="O357">
            <v>2.0465861662375153</v>
          </cell>
        </row>
        <row r="358">
          <cell r="A358" t="str">
            <v>T_C-BAT-ELC-S4</v>
          </cell>
          <cell r="B358" t="str">
            <v>VAR_ncap</v>
          </cell>
          <cell r="C358" t="str">
            <v>-</v>
          </cell>
          <cell r="D358">
            <v>1.6958192703957499E-4</v>
          </cell>
          <cell r="E358">
            <v>6.9050100184803898E-2</v>
          </cell>
          <cell r="F358">
            <v>7.8654213054360197E-2</v>
          </cell>
          <cell r="G358">
            <v>0.17335141559482201</v>
          </cell>
          <cell r="H358">
            <v>0.12840853403373401</v>
          </cell>
          <cell r="I358">
            <v>9.3917696314737495E-3</v>
          </cell>
          <cell r="J358">
            <v>0.13732463745291801</v>
          </cell>
          <cell r="K358">
            <v>0.11030903383480101</v>
          </cell>
          <cell r="L358">
            <v>0.17327440636223801</v>
          </cell>
          <cell r="M358">
            <v>0.114374352582714</v>
          </cell>
          <cell r="N358">
            <v>2.5059557030122699E-2</v>
          </cell>
          <cell r="O358">
            <v>0.25925896571630602</v>
          </cell>
        </row>
        <row r="359">
          <cell r="A359" t="str">
            <v>T_C-BAT-ELC-S4</v>
          </cell>
          <cell r="B359" t="str">
            <v>VAR_cap</v>
          </cell>
          <cell r="C359" t="str">
            <v>-</v>
          </cell>
          <cell r="D359">
            <v>1.5371959013572441E-2</v>
          </cell>
          <cell r="E359">
            <v>9.6230736937189573E-2</v>
          </cell>
          <cell r="F359">
            <v>0.16878250877414433</v>
          </cell>
          <cell r="G359">
            <v>0.30638167806031402</v>
          </cell>
          <cell r="H359">
            <v>0.33011496198787471</v>
          </cell>
          <cell r="I359">
            <v>0.20740729101487129</v>
          </cell>
          <cell r="J359">
            <v>0.21884289359221806</v>
          </cell>
          <cell r="K359">
            <v>0.22928937437021832</v>
          </cell>
          <cell r="L359">
            <v>0.34333972124752787</v>
          </cell>
          <cell r="M359">
            <v>0.35582946153694583</v>
          </cell>
          <cell r="N359">
            <v>0.26698612766119589</v>
          </cell>
          <cell r="O359">
            <v>0.39869264843815294</v>
          </cell>
        </row>
        <row r="360">
          <cell r="A360" t="str">
            <v>T_B_c-ICENGA-S1</v>
          </cell>
          <cell r="B360" t="str">
            <v>VAR_fout</v>
          </cell>
          <cell r="C360" t="str">
            <v>CO2_T</v>
          </cell>
          <cell r="E360">
            <v>1.41379072138365E-2</v>
          </cell>
          <cell r="F360">
            <v>0.1057415604102382</v>
          </cell>
        </row>
        <row r="361">
          <cell r="A361" t="str">
            <v>T_B_c-ICENGA-S1</v>
          </cell>
          <cell r="B361" t="str">
            <v>VAR_fout</v>
          </cell>
          <cell r="C361" t="str">
            <v>TPBSc</v>
          </cell>
          <cell r="E361">
            <v>3.0140193223860407E-5</v>
          </cell>
          <cell r="F361">
            <v>2.3584578526129622E-4</v>
          </cell>
        </row>
        <row r="362">
          <cell r="A362" t="str">
            <v>T_B_c-ICENGA-S1</v>
          </cell>
          <cell r="B362" t="str">
            <v>VAR_fin</v>
          </cell>
          <cell r="C362" t="str">
            <v>TNGA</v>
          </cell>
          <cell r="E362">
            <v>2.5067211372050449E-4</v>
          </cell>
          <cell r="F362">
            <v>1.8748503618836567E-3</v>
          </cell>
        </row>
        <row r="363">
          <cell r="A363" t="str">
            <v>T_B_c-ICENGA-S1</v>
          </cell>
          <cell r="B363" t="str">
            <v>VAR_ncap</v>
          </cell>
          <cell r="C363" t="str">
            <v>-</v>
          </cell>
          <cell r="E363">
            <v>8.4951632163215604E-7</v>
          </cell>
          <cell r="F363">
            <v>4.5857755849133198E-6</v>
          </cell>
        </row>
        <row r="364">
          <cell r="A364" t="str">
            <v>T_B_c-ICENGA-S1</v>
          </cell>
          <cell r="B364" t="str">
            <v>VAR_cap</v>
          </cell>
          <cell r="C364" t="str">
            <v>-</v>
          </cell>
          <cell r="E364">
            <v>8.4951632163215604E-7</v>
          </cell>
          <cell r="F364">
            <v>5.4352919065454701E-6</v>
          </cell>
          <cell r="G364">
            <v>-8.6697975418038197E-10</v>
          </cell>
          <cell r="H364">
            <v>9.5777301994010665E-10</v>
          </cell>
        </row>
        <row r="365">
          <cell r="A365" t="str">
            <v>TFLGV-FCLH2O</v>
          </cell>
          <cell r="B365" t="str">
            <v>VAR_fout</v>
          </cell>
          <cell r="C365" t="str">
            <v>TFLGV</v>
          </cell>
          <cell r="E365">
            <v>1.0019150708384862E-4</v>
          </cell>
          <cell r="F365">
            <v>1.3412580963651944E-4</v>
          </cell>
          <cell r="G365">
            <v>1.0059316874601738E-5</v>
          </cell>
          <cell r="H365">
            <v>9.1262647960634453E-6</v>
          </cell>
          <cell r="I365">
            <v>8.8763664178294272E-6</v>
          </cell>
          <cell r="J365">
            <v>9.5600639098546558E-6</v>
          </cell>
          <cell r="K365">
            <v>9.1292488439403692E-6</v>
          </cell>
          <cell r="L365">
            <v>8.7429503875203947E-6</v>
          </cell>
          <cell r="M365">
            <v>8.3567624513333291E-6</v>
          </cell>
          <cell r="N365">
            <v>7.7124446669211281E-6</v>
          </cell>
          <cell r="O365">
            <v>3.1703442512595521E-5</v>
          </cell>
        </row>
        <row r="366">
          <cell r="A366" t="str">
            <v>TFLGV-FCLH2O</v>
          </cell>
          <cell r="B366" t="str">
            <v>VAR_fin</v>
          </cell>
          <cell r="C366" t="str">
            <v>TH2O</v>
          </cell>
          <cell r="E366">
            <v>2.1541769045735825E-4</v>
          </cell>
          <cell r="F366">
            <v>2.8400470186114746E-4</v>
          </cell>
          <cell r="G366">
            <v>2.0259760276665849E-5</v>
          </cell>
          <cell r="H366">
            <v>1.7234179941346509E-5</v>
          </cell>
          <cell r="I366">
            <v>1.579108837679192E-5</v>
          </cell>
          <cell r="J366">
            <v>1.6581587804563317E-5</v>
          </cell>
          <cell r="K366">
            <v>1.5346772530484907E-5</v>
          </cell>
          <cell r="L366">
            <v>1.4521794907802209E-5</v>
          </cell>
          <cell r="M366">
            <v>1.3817339420387879E-5</v>
          </cell>
          <cell r="N366">
            <v>1.275200370291809E-5</v>
          </cell>
          <cell r="O366">
            <v>5.241949002886811E-5</v>
          </cell>
        </row>
        <row r="367">
          <cell r="A367" t="str">
            <v>TFLGV-FCLH2O</v>
          </cell>
          <cell r="B367" t="str">
            <v>VAR_ncap</v>
          </cell>
          <cell r="C367" t="str">
            <v>-</v>
          </cell>
          <cell r="E367">
            <v>7.4798175319980802E-6</v>
          </cell>
          <cell r="F367">
            <v>3.2257822226402E-6</v>
          </cell>
          <cell r="G367">
            <v>3.11793460416049E-7</v>
          </cell>
          <cell r="H367">
            <v>3.32681603317679E-7</v>
          </cell>
          <cell r="I367">
            <v>3.5683226088509002E-7</v>
          </cell>
          <cell r="J367">
            <v>2.8873291332302702E-7</v>
          </cell>
          <cell r="K367">
            <v>3.3102532408289101E-7</v>
          </cell>
          <cell r="L367">
            <v>2.7590814373203099E-7</v>
          </cell>
          <cell r="M367">
            <v>2.6191060598287201E-7</v>
          </cell>
          <cell r="N367">
            <v>3.2682214965131097E-7</v>
          </cell>
          <cell r="O367">
            <v>1.87242501619046E-6</v>
          </cell>
        </row>
        <row r="368">
          <cell r="A368" t="str">
            <v>TFLGV-FCLH2O</v>
          </cell>
          <cell r="B368" t="str">
            <v>VAR_cap</v>
          </cell>
          <cell r="C368" t="str">
            <v>-</v>
          </cell>
          <cell r="E368">
            <v>7.4798175319980802E-6</v>
          </cell>
          <cell r="F368">
            <v>1.0686694335179996E-5</v>
          </cell>
          <cell r="G368">
            <v>8.3283338408259066E-7</v>
          </cell>
          <cell r="H368">
            <v>7.9108310524626991E-7</v>
          </cell>
          <cell r="I368">
            <v>7.5498953613679299E-7</v>
          </cell>
          <cell r="J368">
            <v>7.5426050210624652E-7</v>
          </cell>
          <cell r="K368">
            <v>7.2664715772923493E-7</v>
          </cell>
          <cell r="L368">
            <v>6.9177462614431637E-7</v>
          </cell>
          <cell r="M368">
            <v>6.5642742844718908E-7</v>
          </cell>
          <cell r="N368">
            <v>5.978728961014365E-7</v>
          </cell>
          <cell r="O368">
            <v>2.3760008998922499E-6</v>
          </cell>
        </row>
        <row r="369">
          <cell r="A369" t="str">
            <v>T_B_c-ICENGA-S2</v>
          </cell>
          <cell r="B369" t="str">
            <v>VAR_fout</v>
          </cell>
          <cell r="C369" t="str">
            <v>CO2_T</v>
          </cell>
          <cell r="E369">
            <v>1.07843449696072E-2</v>
          </cell>
          <cell r="F369">
            <v>5.86318860732341E-2</v>
          </cell>
        </row>
        <row r="370">
          <cell r="A370" t="str">
            <v>T_B_c-ICENGA-S2</v>
          </cell>
          <cell r="B370" t="str">
            <v>VAR_fout</v>
          </cell>
          <cell r="C370" t="str">
            <v>TPBSc</v>
          </cell>
          <cell r="E370">
            <v>1.625263432369169E-5</v>
          </cell>
          <cell r="F370">
            <v>9.1994015923257274E-5</v>
          </cell>
        </row>
        <row r="371">
          <cell r="A371" t="str">
            <v>T_B_c-ICENGA-S2</v>
          </cell>
          <cell r="B371" t="str">
            <v>VAR_fin</v>
          </cell>
          <cell r="C371" t="str">
            <v>TNGA</v>
          </cell>
          <cell r="E371">
            <v>1.9121179024126294E-4</v>
          </cell>
          <cell r="F371">
            <v>1.0395724481069885E-3</v>
          </cell>
        </row>
        <row r="372">
          <cell r="A372" t="str">
            <v>T_B_c-ICENGA-S2</v>
          </cell>
          <cell r="B372" t="str">
            <v>VAR_ncap</v>
          </cell>
          <cell r="C372" t="str">
            <v>-</v>
          </cell>
          <cell r="E372">
            <v>4.4600159048877702E-7</v>
          </cell>
          <cell r="F372">
            <v>1.67523954297999E-6</v>
          </cell>
        </row>
        <row r="373">
          <cell r="A373" t="str">
            <v>T_B_c-ICENGA-S2</v>
          </cell>
          <cell r="B373" t="str">
            <v>VAR_cap</v>
          </cell>
          <cell r="C373" t="str">
            <v>-</v>
          </cell>
          <cell r="E373">
            <v>4.4600159048877702E-7</v>
          </cell>
          <cell r="F373">
            <v>2.1212411334687702E-6</v>
          </cell>
          <cell r="G373">
            <v>-1.6509872183999266E-9</v>
          </cell>
          <cell r="H373">
            <v>2.3918669692300523E-10</v>
          </cell>
        </row>
        <row r="374">
          <cell r="A374" t="str">
            <v>T_B_u-ICEDSL-S1</v>
          </cell>
          <cell r="B374" t="str">
            <v>VAR_fout</v>
          </cell>
          <cell r="C374" t="str">
            <v>CO2_T</v>
          </cell>
          <cell r="D374">
            <v>2.2210490724635788E-2</v>
          </cell>
          <cell r="E374">
            <v>18.703388549294989</v>
          </cell>
          <cell r="F374">
            <v>33.208186386167242</v>
          </cell>
          <cell r="G374">
            <v>3.29213214981072E-3</v>
          </cell>
          <cell r="O374">
            <v>1.6911418646968899E-5</v>
          </cell>
        </row>
        <row r="375">
          <cell r="A375" t="str">
            <v>T_B_u-ICEDSL-S1</v>
          </cell>
          <cell r="B375" t="str">
            <v>VAR_fout</v>
          </cell>
          <cell r="C375" t="str">
            <v>TPBSu</v>
          </cell>
          <cell r="D375">
            <v>3.754850641271262E-5</v>
          </cell>
          <cell r="E375">
            <v>3.2790931613268348E-2</v>
          </cell>
          <cell r="F375">
            <v>5.9585132247412034E-2</v>
          </cell>
          <cell r="G375">
            <v>5.5655972067988791E-6</v>
          </cell>
          <cell r="O375">
            <v>4.1216723396212101E-8</v>
          </cell>
        </row>
        <row r="376">
          <cell r="A376" t="str">
            <v>T_B_u-ICEDSL-S1</v>
          </cell>
          <cell r="B376" t="str">
            <v>VAR_fin</v>
          </cell>
          <cell r="C376" t="str">
            <v>TDSL</v>
          </cell>
          <cell r="D376">
            <v>3.0300805899912401E-4</v>
          </cell>
          <cell r="E376">
            <v>0.25516219030416032</v>
          </cell>
          <cell r="F376">
            <v>0.45304483473625179</v>
          </cell>
          <cell r="G376">
            <v>4.4913126191142173E-5</v>
          </cell>
          <cell r="O376">
            <v>2.3071512478811639E-7</v>
          </cell>
        </row>
        <row r="377">
          <cell r="A377" t="str">
            <v>T_B_u-ICEDSL-S1</v>
          </cell>
          <cell r="B377" t="str">
            <v>VAR_ncap</v>
          </cell>
          <cell r="C377" t="str">
            <v>-</v>
          </cell>
          <cell r="E377">
            <v>6.1877798215541704E-4</v>
          </cell>
          <cell r="F377">
            <v>5.0547205333766098E-4</v>
          </cell>
          <cell r="K377">
            <v>1.09943808852156E-8</v>
          </cell>
          <cell r="L377">
            <v>1.27385801676983E-8</v>
          </cell>
          <cell r="M377">
            <v>1.17276906419312E-8</v>
          </cell>
          <cell r="N377">
            <v>1.13898307863099E-8</v>
          </cell>
          <cell r="O377">
            <v>1.31812175471372E-8</v>
          </cell>
        </row>
        <row r="378">
          <cell r="A378" t="str">
            <v>T_B_u-ICEDSL-S1</v>
          </cell>
          <cell r="B378" t="str">
            <v>VAR_cap</v>
          </cell>
          <cell r="C378" t="str">
            <v>-</v>
          </cell>
          <cell r="D378">
            <v>7.0464135021097004E-7</v>
          </cell>
          <cell r="E378">
            <v>6.1960990901898944E-4</v>
          </cell>
          <cell r="F378">
            <v>1.1250672338570058E-3</v>
          </cell>
          <cell r="G378">
            <v>5.7070628666465451E-8</v>
          </cell>
          <cell r="H378">
            <v>4.3143435279956004E-9</v>
          </cell>
          <cell r="K378">
            <v>1.09943808852156E-8</v>
          </cell>
          <cell r="L378">
            <v>2.3732961052913899E-8</v>
          </cell>
          <cell r="M378">
            <v>3.0099173678269298E-8</v>
          </cell>
          <cell r="N378">
            <v>2.5373803247159201E-8</v>
          </cell>
          <cell r="O378">
            <v>3.2485630887182102E-8</v>
          </cell>
        </row>
        <row r="379">
          <cell r="A379" t="str">
            <v>T_B_c-ICENGA-S3</v>
          </cell>
          <cell r="B379" t="str">
            <v>VAR_fout</v>
          </cell>
          <cell r="C379" t="str">
            <v>CO2_T</v>
          </cell>
          <cell r="E379">
            <v>9.7195193512588703E-3</v>
          </cell>
          <cell r="F379">
            <v>3.9112024519612799E-2</v>
          </cell>
        </row>
        <row r="380">
          <cell r="A380" t="str">
            <v>T_B_c-ICENGA-S3</v>
          </cell>
          <cell r="B380" t="str">
            <v>VAR_fout</v>
          </cell>
          <cell r="C380" t="str">
            <v>TPBSc</v>
          </cell>
          <cell r="E380">
            <v>9.7233336527624976E-6</v>
          </cell>
          <cell r="F380">
            <v>4.0589506253613453E-5</v>
          </cell>
        </row>
        <row r="381">
          <cell r="A381" t="str">
            <v>T_B_c-ICENGA-S3</v>
          </cell>
          <cell r="B381" t="str">
            <v>VAR_fin</v>
          </cell>
          <cell r="C381" t="str">
            <v>TNGA</v>
          </cell>
          <cell r="E381">
            <v>1.723319033911147E-4</v>
          </cell>
          <cell r="F381">
            <v>6.9347561204987143E-4</v>
          </cell>
        </row>
        <row r="382">
          <cell r="A382" t="str">
            <v>T_B_c-ICENGA-S3</v>
          </cell>
          <cell r="B382" t="str">
            <v>VAR_ncap</v>
          </cell>
          <cell r="C382" t="str">
            <v>-</v>
          </cell>
          <cell r="E382">
            <v>2.7065294086173599E-7</v>
          </cell>
          <cell r="F382">
            <v>6.9015940057511301E-7</v>
          </cell>
        </row>
        <row r="383">
          <cell r="A383" t="str">
            <v>T_B_c-ICENGA-S3</v>
          </cell>
          <cell r="B383" t="str">
            <v>VAR_cap</v>
          </cell>
          <cell r="C383" t="str">
            <v>-</v>
          </cell>
          <cell r="E383">
            <v>2.7065294086173599E-7</v>
          </cell>
          <cell r="F383">
            <v>9.6081234143684894E-7</v>
          </cell>
          <cell r="G383">
            <v>1.0068528793229511E-9</v>
          </cell>
        </row>
        <row r="384">
          <cell r="A384" t="str">
            <v>T_B_u-ICEDSL-S2</v>
          </cell>
          <cell r="B384" t="str">
            <v>VAR_fout</v>
          </cell>
          <cell r="C384" t="str">
            <v>CO2_T</v>
          </cell>
          <cell r="D384">
            <v>7.83035702888351</v>
          </cell>
          <cell r="E384">
            <v>9.7905614887348378</v>
          </cell>
          <cell r="F384">
            <v>16.261245530784237</v>
          </cell>
        </row>
        <row r="385">
          <cell r="A385" t="str">
            <v>T_B_u-ICEDSL-S2</v>
          </cell>
          <cell r="B385" t="str">
            <v>VAR_fout</v>
          </cell>
          <cell r="C385" t="str">
            <v>TPBSu</v>
          </cell>
          <cell r="D385">
            <v>9.3436400331417275E-3</v>
          </cell>
          <cell r="E385">
            <v>1.1725911002891439E-2</v>
          </cell>
          <cell r="F385">
            <v>2.0113881501337305E-2</v>
          </cell>
        </row>
        <row r="386">
          <cell r="A386" t="str">
            <v>T_B_u-ICEDSL-S2</v>
          </cell>
          <cell r="B386" t="str">
            <v>VAR_fin</v>
          </cell>
          <cell r="C386" t="str">
            <v>TDSL</v>
          </cell>
          <cell r="D386">
            <v>0.106826153190771</v>
          </cell>
          <cell r="E386">
            <v>0.13356836955982035</v>
          </cell>
          <cell r="F386">
            <v>0.22184509591792967</v>
          </cell>
        </row>
        <row r="387">
          <cell r="A387" t="str">
            <v>T_B_u-ICEDSL-S2</v>
          </cell>
          <cell r="B387" t="str">
            <v>VAR_ncap</v>
          </cell>
          <cell r="C387" t="str">
            <v>-</v>
          </cell>
          <cell r="E387">
            <v>7.5640844124096699E-6</v>
          </cell>
          <cell r="F387">
            <v>1.5507091469531601E-4</v>
          </cell>
        </row>
        <row r="388">
          <cell r="A388" t="str">
            <v>T_B_u-ICEDSL-S2</v>
          </cell>
          <cell r="B388" t="str">
            <v>VAR_cap</v>
          </cell>
          <cell r="C388" t="str">
            <v>-</v>
          </cell>
          <cell r="D388">
            <v>1.8447905069268075E-4</v>
          </cell>
          <cell r="E388">
            <v>2.2516434313425904E-4</v>
          </cell>
          <cell r="F388">
            <v>3.8040679839802539E-4</v>
          </cell>
          <cell r="G388">
            <v>-8.9012075079968576E-9</v>
          </cell>
          <cell r="H388">
            <v>2.3815129680993972E-9</v>
          </cell>
        </row>
        <row r="389">
          <cell r="A389" t="str">
            <v>T_B_c-ICENGA-S4</v>
          </cell>
          <cell r="B389" t="str">
            <v>VAR_fout</v>
          </cell>
          <cell r="C389" t="str">
            <v>CO2_T</v>
          </cell>
          <cell r="E389">
            <v>4.8755853313028003E-3</v>
          </cell>
          <cell r="F389">
            <v>1.4264170775121762E-2</v>
          </cell>
        </row>
        <row r="390">
          <cell r="A390" t="str">
            <v>T_B_c-ICENGA-S4</v>
          </cell>
          <cell r="B390" t="str">
            <v>VAR_fout</v>
          </cell>
          <cell r="C390" t="str">
            <v>TPBSc</v>
          </cell>
          <cell r="E390">
            <v>3.2580976014717252E-6</v>
          </cell>
          <cell r="F390">
            <v>9.8332137798193039E-6</v>
          </cell>
        </row>
        <row r="391">
          <cell r="A391" t="str">
            <v>T_B_c-ICENGA-S4</v>
          </cell>
          <cell r="B391" t="str">
            <v>VAR_fin</v>
          </cell>
          <cell r="C391" t="str">
            <v>TNGA</v>
          </cell>
          <cell r="E391">
            <v>8.6446548427354574E-5</v>
          </cell>
          <cell r="F391">
            <v>2.5291082934613052E-4</v>
          </cell>
        </row>
        <row r="392">
          <cell r="A392" t="str">
            <v>T_B_c-ICENGA-S4</v>
          </cell>
          <cell r="B392" t="str">
            <v>VAR_ncap</v>
          </cell>
          <cell r="C392" t="str">
            <v>-</v>
          </cell>
          <cell r="E392">
            <v>9.7547315219476505E-8</v>
          </cell>
          <cell r="F392">
            <v>1.5239459039399399E-7</v>
          </cell>
        </row>
        <row r="393">
          <cell r="A393" t="str">
            <v>T_B_c-ICENGA-S4</v>
          </cell>
          <cell r="B393" t="str">
            <v>VAR_cap</v>
          </cell>
          <cell r="C393" t="str">
            <v>-</v>
          </cell>
          <cell r="E393">
            <v>9.7547315219476505E-8</v>
          </cell>
          <cell r="F393">
            <v>2.4994190561347103E-7</v>
          </cell>
          <cell r="G393">
            <v>-2.6336821032449851E-9</v>
          </cell>
        </row>
        <row r="394">
          <cell r="A394" t="str">
            <v>T_B_u-ICEDSL-S3</v>
          </cell>
          <cell r="B394" t="str">
            <v>VAR_fout</v>
          </cell>
          <cell r="C394" t="str">
            <v>CO2_T</v>
          </cell>
          <cell r="D394">
            <v>45.60411320122688</v>
          </cell>
          <cell r="E394">
            <v>64.032755515700032</v>
          </cell>
          <cell r="F394">
            <v>64.189747860564353</v>
          </cell>
        </row>
        <row r="395">
          <cell r="A395" t="str">
            <v>T_B_u-ICEDSL-S3</v>
          </cell>
          <cell r="B395" t="str">
            <v>VAR_fout</v>
          </cell>
          <cell r="C395" t="str">
            <v>TPBSu</v>
          </cell>
          <cell r="D395">
            <v>3.6053708516456104E-2</v>
          </cell>
          <cell r="E395">
            <v>5.0768874031134587E-2</v>
          </cell>
          <cell r="F395">
            <v>5.0898495030251588E-2</v>
          </cell>
        </row>
        <row r="396">
          <cell r="A396" t="str">
            <v>T_B_u-ICEDSL-S3</v>
          </cell>
          <cell r="B396" t="str">
            <v>VAR_fin</v>
          </cell>
          <cell r="C396" t="str">
            <v>TDSL</v>
          </cell>
          <cell r="D396">
            <v>0.62215706959381922</v>
          </cell>
          <cell r="E396">
            <v>0.87357101658526592</v>
          </cell>
          <cell r="F396">
            <v>0.87571279482352238</v>
          </cell>
        </row>
        <row r="397">
          <cell r="A397" t="str">
            <v>T_B_u-ICEDSL-S3</v>
          </cell>
          <cell r="B397" t="str">
            <v>VAR_ncap</v>
          </cell>
          <cell r="C397" t="str">
            <v>-</v>
          </cell>
          <cell r="E397">
            <v>6.8455126766682096E-6</v>
          </cell>
          <cell r="F397">
            <v>1.29375037739342E-6</v>
          </cell>
        </row>
        <row r="398">
          <cell r="A398" t="str">
            <v>T_B_u-ICEDSL-S3</v>
          </cell>
          <cell r="B398" t="str">
            <v>VAR_cap</v>
          </cell>
          <cell r="C398" t="str">
            <v>-</v>
          </cell>
          <cell r="D398">
            <v>8.0664732027218113E-4</v>
          </cell>
          <cell r="E398">
            <v>9.5925281898615207E-4</v>
          </cell>
          <cell r="F398">
            <v>9.6062438106892271E-4</v>
          </cell>
          <cell r="G398">
            <v>-1.0163061337159843E-8</v>
          </cell>
        </row>
        <row r="399">
          <cell r="A399" t="str">
            <v>T_B_u-ICEDSL-S4</v>
          </cell>
          <cell r="B399" t="str">
            <v>VAR_fout</v>
          </cell>
          <cell r="C399" t="str">
            <v>CO2_T</v>
          </cell>
          <cell r="D399">
            <v>0.48671410180392261</v>
          </cell>
          <cell r="E399">
            <v>0.11120409091351469</v>
          </cell>
          <cell r="F399">
            <v>0.11587405054237533</v>
          </cell>
        </row>
        <row r="400">
          <cell r="A400" t="str">
            <v>T_B_u-ICEDSL-S4</v>
          </cell>
          <cell r="B400" t="str">
            <v>VAR_fout</v>
          </cell>
          <cell r="C400" t="str">
            <v>TPBSu</v>
          </cell>
          <cell r="D400">
            <v>2.566137445650325E-4</v>
          </cell>
          <cell r="E400">
            <v>5.9051923116859524E-5</v>
          </cell>
          <cell r="F400">
            <v>6.2159915239384591E-5</v>
          </cell>
        </row>
        <row r="401">
          <cell r="A401" t="str">
            <v>T_B_u-ICEDSL-S4</v>
          </cell>
          <cell r="B401" t="str">
            <v>VAR_fin</v>
          </cell>
          <cell r="C401" t="str">
            <v>TDSL</v>
          </cell>
          <cell r="D401">
            <v>6.6400286739962261E-3</v>
          </cell>
          <cell r="E401">
            <v>1.517109016555453E-3</v>
          </cell>
          <cell r="F401">
            <v>1.5808192434157661E-3</v>
          </cell>
        </row>
        <row r="402">
          <cell r="A402" t="str">
            <v>T_B_u-ICEDSL-S4</v>
          </cell>
          <cell r="B402" t="str">
            <v>VAR_ncap</v>
          </cell>
          <cell r="C402" t="str">
            <v>-</v>
          </cell>
          <cell r="E402">
            <v>1.6877453609170401E-7</v>
          </cell>
          <cell r="F402">
            <v>1.6349358642629501E-7</v>
          </cell>
        </row>
        <row r="403">
          <cell r="A403" t="str">
            <v>T_B_u-ICEDSL-S4</v>
          </cell>
          <cell r="B403" t="str">
            <v>VAR_cap</v>
          </cell>
          <cell r="C403" t="str">
            <v>-</v>
          </cell>
          <cell r="D403">
            <v>5.5664415427290691E-6</v>
          </cell>
          <cell r="E403">
            <v>1.4050386984724043E-6</v>
          </cell>
          <cell r="F403">
            <v>1.369484832014249E-6</v>
          </cell>
          <cell r="G403">
            <v>-7.2823276499100306E-9</v>
          </cell>
        </row>
        <row r="404">
          <cell r="A404" t="str">
            <v>D-TBDS1intl</v>
          </cell>
          <cell r="B404" t="str">
            <v>VAR_fout</v>
          </cell>
          <cell r="C404" t="str">
            <v>TKERintl_SAF</v>
          </cell>
          <cell r="G404">
            <v>5.4446387396720901</v>
          </cell>
          <cell r="H404">
            <v>5.7422129967833202</v>
          </cell>
          <cell r="I404">
            <v>5.9416090587901298</v>
          </cell>
          <cell r="J404">
            <v>6.0831644496032702</v>
          </cell>
          <cell r="K404">
            <v>6.2037200557221803</v>
          </cell>
          <cell r="L404">
            <v>6.2037209740578296</v>
          </cell>
          <cell r="M404">
            <v>6.2037233635737596</v>
          </cell>
          <cell r="N404">
            <v>6.2037271920558004</v>
          </cell>
          <cell r="O404">
            <v>6.3100048836334004</v>
          </cell>
        </row>
        <row r="405">
          <cell r="A405" t="str">
            <v>D-TBDS1intl</v>
          </cell>
          <cell r="B405" t="str">
            <v>VAR_fin</v>
          </cell>
          <cell r="C405" t="str">
            <v>BDS1</v>
          </cell>
          <cell r="G405">
            <v>5.4446387396720901</v>
          </cell>
          <cell r="H405">
            <v>5.7422129967833202</v>
          </cell>
          <cell r="I405">
            <v>5.9416090587901298</v>
          </cell>
          <cell r="J405">
            <v>6.0831644496032702</v>
          </cell>
          <cell r="K405">
            <v>6.2037200557221803</v>
          </cell>
          <cell r="L405">
            <v>6.2037209740578296</v>
          </cell>
          <cell r="M405">
            <v>6.2037233635737596</v>
          </cell>
          <cell r="N405">
            <v>6.2037271920558004</v>
          </cell>
          <cell r="O405">
            <v>6.3100048836334004</v>
          </cell>
        </row>
        <row r="406">
          <cell r="A406" t="str">
            <v>T_B_c-ICENGAEXT</v>
          </cell>
          <cell r="B406" t="str">
            <v>VAR_fout</v>
          </cell>
          <cell r="C406" t="str">
            <v>CO2_T</v>
          </cell>
          <cell r="D406">
            <v>7.7523843564532499E-3</v>
          </cell>
          <cell r="E406">
            <v>7.7638769313382004E-3</v>
          </cell>
          <cell r="F406">
            <v>7.7134478806946596E-3</v>
          </cell>
        </row>
        <row r="407">
          <cell r="A407" t="str">
            <v>T_B_c-ICENGAEXT</v>
          </cell>
          <cell r="B407" t="str">
            <v>VAR_fout</v>
          </cell>
          <cell r="C407" t="str">
            <v>TPBSc</v>
          </cell>
          <cell r="D407">
            <v>1.3676978598731867E-3</v>
          </cell>
          <cell r="E407">
            <v>1.0980651579795186E-3</v>
          </cell>
          <cell r="F407">
            <v>6.860892550008468E-4</v>
          </cell>
        </row>
        <row r="408">
          <cell r="A408" t="str">
            <v>T_B_c-ICENGAEXT</v>
          </cell>
          <cell r="B408" t="str">
            <v>VAR_fin</v>
          </cell>
          <cell r="C408" t="str">
            <v>TNGA</v>
          </cell>
          <cell r="D408">
            <v>1.374536233413697E-4</v>
          </cell>
          <cell r="E408">
            <v>1.376573923996136E-4</v>
          </cell>
          <cell r="F408">
            <v>1.3676326029600456E-4</v>
          </cell>
        </row>
        <row r="409">
          <cell r="A409" t="str">
            <v>T_B_c-ICENGAEXT</v>
          </cell>
          <cell r="B409" t="str">
            <v>VAR_cap</v>
          </cell>
          <cell r="C409" t="str">
            <v>-</v>
          </cell>
          <cell r="D409">
            <v>2.9715326819220018E-5</v>
          </cell>
          <cell r="E409">
            <v>2.3778234086242301E-5</v>
          </cell>
          <cell r="F409">
            <v>1.4845271958470293E-5</v>
          </cell>
        </row>
        <row r="410">
          <cell r="A410" t="str">
            <v>T_B_u-ICEDSLEXT</v>
          </cell>
          <cell r="B410" t="str">
            <v>VAR_fout</v>
          </cell>
          <cell r="C410" t="str">
            <v>CO2_T</v>
          </cell>
          <cell r="D410">
            <v>1.27060891165297</v>
          </cell>
          <cell r="E410">
            <v>1.2693511008714999</v>
          </cell>
          <cell r="F410">
            <v>1.2640792457469401</v>
          </cell>
        </row>
        <row r="411">
          <cell r="A411" t="str">
            <v>T_B_u-ICEDSLEXT</v>
          </cell>
          <cell r="B411" t="str">
            <v>VAR_fout</v>
          </cell>
          <cell r="C411" t="str">
            <v>TPBSu</v>
          </cell>
          <cell r="D411">
            <v>0.24213820191500948</v>
          </cell>
          <cell r="E411">
            <v>0.19377253326417959</v>
          </cell>
          <cell r="F411">
            <v>0.12107861961469553</v>
          </cell>
        </row>
        <row r="412">
          <cell r="A412" t="str">
            <v>T_B_u-ICEDSLEXT</v>
          </cell>
          <cell r="B412" t="str">
            <v>VAR_fin</v>
          </cell>
          <cell r="C412" t="str">
            <v>TDSL</v>
          </cell>
          <cell r="D412">
            <v>1.7334364415456664E-2</v>
          </cell>
          <cell r="E412">
            <v>1.7317204650361559E-2</v>
          </cell>
          <cell r="F412">
            <v>1.7245283025196977E-2</v>
          </cell>
        </row>
        <row r="413">
          <cell r="A413" t="str">
            <v>T_B_u-ICEDSLEXT</v>
          </cell>
          <cell r="B413" t="str">
            <v>VAR_cap</v>
          </cell>
          <cell r="C413" t="str">
            <v>-</v>
          </cell>
          <cell r="D413">
            <v>4.5678114896571522E-3</v>
          </cell>
          <cell r="E413">
            <v>3.6541777956954811E-3</v>
          </cell>
          <cell r="F413">
            <v>2.2833461253834474E-3</v>
          </cell>
        </row>
        <row r="414">
          <cell r="A414" t="str">
            <v>D-T-ELC-LGV</v>
          </cell>
          <cell r="B414" t="str">
            <v>VAR_fout</v>
          </cell>
          <cell r="C414" t="str">
            <v>T-ELC-LGV_BatSTGin</v>
          </cell>
          <cell r="D414">
            <v>3.4871828180992409E-2</v>
          </cell>
          <cell r="E414">
            <v>6.5072679050375656E-2</v>
          </cell>
          <cell r="F414">
            <v>0.2972865515364464</v>
          </cell>
          <cell r="G414">
            <v>1.224021615191595</v>
          </cell>
          <cell r="H414">
            <v>2.8937128844026461</v>
          </cell>
          <cell r="I414">
            <v>5.0981721825268806</v>
          </cell>
          <cell r="J414">
            <v>5.2732336004060443</v>
          </cell>
          <cell r="K414">
            <v>5.4853252724958148</v>
          </cell>
          <cell r="L414">
            <v>5.8069432357528292</v>
          </cell>
          <cell r="M414">
            <v>6.3225602887393331</v>
          </cell>
          <cell r="N414">
            <v>6.9127872823608332</v>
          </cell>
          <cell r="O414">
            <v>7.5313518426918336</v>
          </cell>
        </row>
        <row r="415">
          <cell r="A415" t="str">
            <v>D-T-ELC-LGV</v>
          </cell>
          <cell r="B415" t="str">
            <v>VAR_fin</v>
          </cell>
          <cell r="C415" t="str">
            <v>TELC</v>
          </cell>
          <cell r="D415">
            <v>3.4871828180992409E-2</v>
          </cell>
          <cell r="E415">
            <v>6.5072679050375656E-2</v>
          </cell>
          <cell r="F415">
            <v>0.2972865515364464</v>
          </cell>
          <cell r="G415">
            <v>1.224021615191595</v>
          </cell>
          <cell r="H415">
            <v>2.8937128844026461</v>
          </cell>
          <cell r="I415">
            <v>5.0981721825268806</v>
          </cell>
          <cell r="J415">
            <v>5.2732336004060443</v>
          </cell>
          <cell r="K415">
            <v>5.4853252724958148</v>
          </cell>
          <cell r="L415">
            <v>5.8069432357528292</v>
          </cell>
          <cell r="M415">
            <v>6.3225602887393331</v>
          </cell>
          <cell r="N415">
            <v>6.9127872823608332</v>
          </cell>
          <cell r="O415">
            <v>7.5313518426918336</v>
          </cell>
        </row>
        <row r="416">
          <cell r="A416" t="str">
            <v>D-T-ELC-LGV</v>
          </cell>
          <cell r="B416" t="str">
            <v>VAR_ncap</v>
          </cell>
          <cell r="C416" t="str">
            <v>-</v>
          </cell>
          <cell r="D416">
            <v>3.7006330212396698E-3</v>
          </cell>
          <cell r="E416">
            <v>3.1875519423100198E-3</v>
          </cell>
          <cell r="F416">
            <v>2.45452201508389E-2</v>
          </cell>
          <cell r="G416">
            <v>9.9362543182081098E-2</v>
          </cell>
          <cell r="H416">
            <v>0.19392910859653301</v>
          </cell>
          <cell r="I416">
            <v>0.32408045102481398</v>
          </cell>
          <cell r="J416">
            <v>0.13274624446610001</v>
          </cell>
          <cell r="K416">
            <v>0.33634886669123198</v>
          </cell>
          <cell r="L416">
            <v>0.217734154942019</v>
          </cell>
          <cell r="M416">
            <v>0.27823798011360401</v>
          </cell>
          <cell r="N416">
            <v>0.41387765658934</v>
          </cell>
          <cell r="O416">
            <v>0.19442514307640399</v>
          </cell>
        </row>
        <row r="417">
          <cell r="A417" t="str">
            <v>D-T-ELC-LGV</v>
          </cell>
          <cell r="B417" t="str">
            <v>VAR_cap</v>
          </cell>
          <cell r="C417" t="str">
            <v>-</v>
          </cell>
          <cell r="D417">
            <v>3.7006330212396698E-3</v>
          </cell>
          <cell r="E417">
            <v>6.88818496354969E-3</v>
          </cell>
          <cell r="F417">
            <v>3.14334051143886E-2</v>
          </cell>
          <cell r="G417">
            <v>0.129380720391261</v>
          </cell>
          <cell r="H417">
            <v>0.30586724311409202</v>
          </cell>
          <cell r="I417">
            <v>0.53887538942816504</v>
          </cell>
          <cell r="J417">
            <v>0.55738107075327703</v>
          </cell>
          <cell r="K417">
            <v>0.57980009793282705</v>
          </cell>
          <cell r="L417">
            <v>0.61379369730316602</v>
          </cell>
          <cell r="M417">
            <v>0.66829839115218204</v>
          </cell>
          <cell r="N417">
            <v>0.73068112898589899</v>
          </cell>
          <cell r="O417">
            <v>0.79607527170896697</v>
          </cell>
        </row>
        <row r="418">
          <cell r="A418" t="str">
            <v>T_B_c-FCLH2O-S1</v>
          </cell>
          <cell r="B418" t="str">
            <v>VAR_ncap</v>
          </cell>
          <cell r="C418" t="str">
            <v>-</v>
          </cell>
          <cell r="G418">
            <v>1.1012915087666501E-8</v>
          </cell>
        </row>
        <row r="419">
          <cell r="A419" t="str">
            <v>T_B_c-FCLH2O-S1</v>
          </cell>
          <cell r="B419" t="str">
            <v>VAR_cap</v>
          </cell>
          <cell r="C419" t="str">
            <v>-</v>
          </cell>
          <cell r="G419">
            <v>1.1012915087666501E-8</v>
          </cell>
          <cell r="H419">
            <v>1.1012915087666501E-8</v>
          </cell>
          <cell r="I419">
            <v>2.31267844538858E-9</v>
          </cell>
        </row>
        <row r="420">
          <cell r="A420" t="str">
            <v>T_B_c-FCLH2O-S2</v>
          </cell>
          <cell r="B420" t="str">
            <v>VAR_ncap</v>
          </cell>
          <cell r="C420" t="str">
            <v>-</v>
          </cell>
          <cell r="G420">
            <v>1.0924821832379201E-8</v>
          </cell>
        </row>
        <row r="421">
          <cell r="A421" t="str">
            <v>T_B_c-FCLH2O-S2</v>
          </cell>
          <cell r="B421" t="str">
            <v>VAR_cap</v>
          </cell>
          <cell r="C421" t="str">
            <v>-</v>
          </cell>
          <cell r="G421">
            <v>1.0924821832379201E-8</v>
          </cell>
          <cell r="H421">
            <v>1.0924821832379201E-8</v>
          </cell>
          <cell r="I421">
            <v>2.2941791315315999E-9</v>
          </cell>
        </row>
        <row r="422">
          <cell r="A422" t="str">
            <v>T_B_c-FCLH2O-S3</v>
          </cell>
          <cell r="B422" t="str">
            <v>VAR_fout</v>
          </cell>
          <cell r="C422" t="str">
            <v>TPBSc</v>
          </cell>
          <cell r="G422">
            <v>8.7844207984947208E-8</v>
          </cell>
        </row>
        <row r="423">
          <cell r="A423" t="str">
            <v>T_B_c-FCLH2O-S3</v>
          </cell>
          <cell r="B423" t="str">
            <v>VAR_fin</v>
          </cell>
          <cell r="C423" t="str">
            <v>TH2O</v>
          </cell>
          <cell r="G423">
            <v>7.7663740875511046E-7</v>
          </cell>
        </row>
        <row r="424">
          <cell r="A424" t="str">
            <v>T_B_c-FCLH2O-S3</v>
          </cell>
          <cell r="B424" t="str">
            <v>VAR_ncap</v>
          </cell>
          <cell r="C424" t="str">
            <v>-</v>
          </cell>
          <cell r="G424">
            <v>1.3324890839318001E-8</v>
          </cell>
        </row>
        <row r="425">
          <cell r="A425" t="str">
            <v>T_B_c-FCLH2O-S3</v>
          </cell>
          <cell r="B425" t="str">
            <v>VAR_cap</v>
          </cell>
          <cell r="C425" t="str">
            <v>-</v>
          </cell>
          <cell r="G425">
            <v>1.3324890839318001E-8</v>
          </cell>
          <cell r="H425">
            <v>1.01160189306417E-8</v>
          </cell>
        </row>
        <row r="426">
          <cell r="A426" t="str">
            <v>T_C-HYBGSLEXT</v>
          </cell>
          <cell r="B426" t="str">
            <v>VAR_fout</v>
          </cell>
          <cell r="C426" t="str">
            <v>CO2_T</v>
          </cell>
          <cell r="D426">
            <v>92.554109016280904</v>
          </cell>
          <cell r="E426">
            <v>91.725127378424503</v>
          </cell>
          <cell r="F426">
            <v>68.277342147579802</v>
          </cell>
          <cell r="G426">
            <v>32.395651147195998</v>
          </cell>
        </row>
        <row r="427">
          <cell r="A427" t="str">
            <v>T_C-HYBGSLEXT</v>
          </cell>
          <cell r="B427" t="str">
            <v>VAR_fout</v>
          </cell>
          <cell r="C427" t="str">
            <v>TPCAR</v>
          </cell>
          <cell r="D427">
            <v>0.61927897524450926</v>
          </cell>
          <cell r="E427">
            <v>0.62769842363513007</v>
          </cell>
          <cell r="F427">
            <v>0.48283321780761168</v>
          </cell>
          <cell r="G427">
            <v>0.24142207383114306</v>
          </cell>
        </row>
        <row r="428">
          <cell r="A428" t="str">
            <v>T_C-HYBGSLEXT</v>
          </cell>
          <cell r="B428" t="str">
            <v>VAR_fin</v>
          </cell>
          <cell r="C428" t="str">
            <v>TGSL</v>
          </cell>
          <cell r="D428">
            <v>1.2541207183777914</v>
          </cell>
          <cell r="E428">
            <v>1.2428879048567003</v>
          </cell>
          <cell r="F428">
            <v>0.92516723777208443</v>
          </cell>
          <cell r="G428">
            <v>0.43896546269913228</v>
          </cell>
        </row>
        <row r="429">
          <cell r="A429" t="str">
            <v>T_C-HYBGSLEXT</v>
          </cell>
          <cell r="B429" t="str">
            <v>VAR_cap</v>
          </cell>
          <cell r="C429" t="str">
            <v>-</v>
          </cell>
          <cell r="D429">
            <v>6.5792131885046942E-2</v>
          </cell>
          <cell r="E429">
            <v>5.7063034851820175E-2</v>
          </cell>
          <cell r="F429">
            <v>4.3894533432426691E-2</v>
          </cell>
          <cell r="G429">
            <v>2.1947264349410005E-2</v>
          </cell>
        </row>
        <row r="430">
          <cell r="A430" t="str">
            <v>T_B_c-FCLH2O-S4</v>
          </cell>
          <cell r="B430" t="str">
            <v>VAR_ncap</v>
          </cell>
          <cell r="C430" t="str">
            <v>-</v>
          </cell>
          <cell r="G430">
            <v>1.01063185927492E-8</v>
          </cell>
        </row>
        <row r="431">
          <cell r="A431" t="str">
            <v>T_B_c-FCLH2O-S4</v>
          </cell>
          <cell r="B431" t="str">
            <v>VAR_cap</v>
          </cell>
          <cell r="C431" t="str">
            <v>-</v>
          </cell>
          <cell r="G431">
            <v>1.01063185927492E-8</v>
          </cell>
          <cell r="H431">
            <v>2.62091723536421E-9</v>
          </cell>
        </row>
        <row r="432">
          <cell r="A432" t="str">
            <v>TPAVDKEREXT</v>
          </cell>
          <cell r="B432" t="str">
            <v>VAR_fout</v>
          </cell>
          <cell r="C432" t="str">
            <v>CO2_T</v>
          </cell>
          <cell r="D432">
            <v>79.576349423418094</v>
          </cell>
          <cell r="E432">
            <v>100.796237247683</v>
          </cell>
          <cell r="F432">
            <v>132.626068984081</v>
          </cell>
          <cell r="G432">
            <v>185.675788544743</v>
          </cell>
          <cell r="H432">
            <v>170.02894982493601</v>
          </cell>
          <cell r="I432">
            <v>154.38211110512901</v>
          </cell>
          <cell r="J432">
            <v>138.735272385321</v>
          </cell>
          <cell r="K432">
            <v>123.088433665514</v>
          </cell>
          <cell r="L432">
            <v>109.90751284479499</v>
          </cell>
          <cell r="M432">
            <v>98.138070491291401</v>
          </cell>
          <cell r="N432">
            <v>87.628958480337403</v>
          </cell>
          <cell r="O432">
            <v>78.245214379164594</v>
          </cell>
        </row>
        <row r="433">
          <cell r="A433" t="str">
            <v>TPAVDKEREXT</v>
          </cell>
          <cell r="B433" t="str">
            <v>VAR_fout</v>
          </cell>
          <cell r="C433" t="str">
            <v>TPAVD</v>
          </cell>
          <cell r="D433">
            <v>1.0930817228491501</v>
          </cell>
          <cell r="E433">
            <v>1.3845636984571901</v>
          </cell>
          <cell r="F433">
            <v>1.82178666186924</v>
          </cell>
          <cell r="G433">
            <v>2.5504916008893299</v>
          </cell>
          <cell r="H433">
            <v>2.33556249759528</v>
          </cell>
          <cell r="I433">
            <v>2.1206333943012199</v>
          </cell>
          <cell r="J433">
            <v>1.90570429100716</v>
          </cell>
          <cell r="K433">
            <v>1.6907751877131001</v>
          </cell>
          <cell r="L433">
            <v>1.5097185830329001</v>
          </cell>
          <cell r="M433">
            <v>1.34805041883642</v>
          </cell>
          <cell r="N433">
            <v>1.2036944846200199</v>
          </cell>
          <cell r="O433">
            <v>1.0747969008127001</v>
          </cell>
        </row>
        <row r="434">
          <cell r="A434" t="str">
            <v>TPAVDKEREXT</v>
          </cell>
          <cell r="B434" t="str">
            <v>VAR_fin</v>
          </cell>
          <cell r="C434" t="str">
            <v>TKER</v>
          </cell>
          <cell r="D434">
            <v>1.0930817228491501</v>
          </cell>
          <cell r="E434">
            <v>1.3845636984571901</v>
          </cell>
          <cell r="F434">
            <v>1.82178666186924</v>
          </cell>
          <cell r="G434">
            <v>2.5504916008893299</v>
          </cell>
          <cell r="H434">
            <v>2.33556249759528</v>
          </cell>
          <cell r="I434">
            <v>2.1206333943012199</v>
          </cell>
          <cell r="J434">
            <v>1.90570429100716</v>
          </cell>
          <cell r="K434">
            <v>1.6907751877131001</v>
          </cell>
          <cell r="L434">
            <v>1.5097185830329001</v>
          </cell>
          <cell r="M434">
            <v>1.34805041883642</v>
          </cell>
          <cell r="N434">
            <v>1.2036944846200199</v>
          </cell>
          <cell r="O434">
            <v>1.0747969008127001</v>
          </cell>
        </row>
        <row r="435">
          <cell r="A435" t="str">
            <v>TPAVDKEREXT</v>
          </cell>
          <cell r="B435" t="str">
            <v>VAR_ncap</v>
          </cell>
          <cell r="C435" t="str">
            <v>-</v>
          </cell>
          <cell r="D435">
            <v>5.8061984838416701E-2</v>
          </cell>
          <cell r="E435">
            <v>1.89937463212563</v>
          </cell>
          <cell r="F435">
            <v>1.23179641596131</v>
          </cell>
          <cell r="G435">
            <v>0.79987202831808901</v>
          </cell>
          <cell r="H435">
            <v>1.15333356583233</v>
          </cell>
          <cell r="I435">
            <v>0.58775320912647999</v>
          </cell>
          <cell r="J435">
            <v>0.62879056085636098</v>
          </cell>
          <cell r="K435">
            <v>0.57517584159978097</v>
          </cell>
          <cell r="L435">
            <v>0.59819098847877905</v>
          </cell>
          <cell r="M435">
            <v>0.725538296013304</v>
          </cell>
          <cell r="N435">
            <v>0.58827868227491997</v>
          </cell>
          <cell r="O435">
            <v>0.56166711622637699</v>
          </cell>
        </row>
        <row r="436">
          <cell r="A436" t="str">
            <v>TPAVDKEREXT</v>
          </cell>
          <cell r="B436" t="str">
            <v>VAR_cap</v>
          </cell>
          <cell r="C436" t="str">
            <v>-</v>
          </cell>
          <cell r="D436">
            <v>1.1511437076875668</v>
          </cell>
          <cell r="E436">
            <v>3.0505183398132001</v>
          </cell>
          <cell r="F436">
            <v>3.5070184073387032</v>
          </cell>
          <cell r="G436">
            <v>3.2718831753756508</v>
          </cell>
          <cell r="H436">
            <v>3.3615764966538202</v>
          </cell>
          <cell r="I436">
            <v>2.6354415503479638</v>
          </cell>
          <cell r="J436">
            <v>2.03739804143243</v>
          </cell>
          <cell r="K436">
            <v>1.9249873473503103</v>
          </cell>
          <cell r="L436">
            <v>1.62883195231186</v>
          </cell>
          <cell r="M436">
            <v>1.6181086494012209</v>
          </cell>
          <cell r="N436">
            <v>1.4862562552473702</v>
          </cell>
          <cell r="O436">
            <v>1.2880697750614098</v>
          </cell>
        </row>
        <row r="437">
          <cell r="A437" t="str">
            <v>T_C-ICE-GSL-S1</v>
          </cell>
          <cell r="B437" t="str">
            <v>VAR_fout</v>
          </cell>
          <cell r="C437" t="str">
            <v>CO2_T</v>
          </cell>
          <cell r="D437">
            <v>36.525403591976627</v>
          </cell>
          <cell r="E437">
            <v>40.707322384071063</v>
          </cell>
          <cell r="F437">
            <v>28.536053708202758</v>
          </cell>
          <cell r="G437">
            <v>21.90082840220315</v>
          </cell>
          <cell r="H437">
            <v>1.6600064345275363</v>
          </cell>
          <cell r="I437">
            <v>0.50390097865557215</v>
          </cell>
          <cell r="J437">
            <v>0.32183773784535163</v>
          </cell>
          <cell r="K437">
            <v>0.21112075453543072</v>
          </cell>
          <cell r="L437">
            <v>0.11908754567531561</v>
          </cell>
          <cell r="M437">
            <v>0.11162910578620919</v>
          </cell>
          <cell r="N437">
            <v>0.1225000545989617</v>
          </cell>
          <cell r="O437">
            <v>0.15741685947949668</v>
          </cell>
        </row>
        <row r="438">
          <cell r="A438" t="str">
            <v>T_C-ICE-GSL-S1</v>
          </cell>
          <cell r="B438" t="str">
            <v>VAR_fout</v>
          </cell>
          <cell r="C438" t="str">
            <v>TPCAR</v>
          </cell>
          <cell r="D438">
            <v>0.33777011158599407</v>
          </cell>
          <cell r="E438">
            <v>0.37287222338664583</v>
          </cell>
          <cell r="F438">
            <v>0.26143884954835112</v>
          </cell>
          <cell r="G438">
            <v>0.20246239734477894</v>
          </cell>
          <cell r="H438">
            <v>1.3692173722614517E-2</v>
          </cell>
          <cell r="I438">
            <v>4.3166240879903145E-3</v>
          </cell>
          <cell r="J438">
            <v>2.9193491525017646E-3</v>
          </cell>
          <cell r="K438">
            <v>2.0476912517903355E-3</v>
          </cell>
          <cell r="L438">
            <v>1.2563136655854537E-3</v>
          </cell>
          <cell r="M438">
            <v>1.3008113609346296E-3</v>
          </cell>
          <cell r="N438">
            <v>1.4909653549871704E-3</v>
          </cell>
          <cell r="O438">
            <v>1.9514214951329553E-3</v>
          </cell>
        </row>
        <row r="439">
          <cell r="A439" t="str">
            <v>T_C-ICE-GSL-S1</v>
          </cell>
          <cell r="B439" t="str">
            <v>VAR_fin</v>
          </cell>
          <cell r="C439" t="str">
            <v>TGSL</v>
          </cell>
          <cell r="D439">
            <v>0.49492416791296362</v>
          </cell>
          <cell r="E439">
            <v>0.55158973420150648</v>
          </cell>
          <cell r="F439">
            <v>0.38666739442009018</v>
          </cell>
          <cell r="G439">
            <v>0.29675919244177817</v>
          </cell>
          <cell r="H439">
            <v>2.2493312120969333E-2</v>
          </cell>
          <cell r="I439">
            <v>6.8279265400484016E-3</v>
          </cell>
          <cell r="J439">
            <v>4.3609449572540714E-3</v>
          </cell>
          <cell r="K439">
            <v>2.8607148311033904E-3</v>
          </cell>
          <cell r="L439">
            <v>1.6136523804243317E-3</v>
          </cell>
          <cell r="M439">
            <v>1.5125895092982246E-3</v>
          </cell>
          <cell r="N439">
            <v>1.6598923387393172E-3</v>
          </cell>
          <cell r="O439">
            <v>2.1330197761449416E-3</v>
          </cell>
        </row>
        <row r="440">
          <cell r="A440" t="str">
            <v>T_C-ICE-GSL-S1</v>
          </cell>
          <cell r="B440" t="str">
            <v>VAR_ncap</v>
          </cell>
          <cell r="C440" t="str">
            <v>-</v>
          </cell>
          <cell r="E440">
            <v>9.1807390622747199E-5</v>
          </cell>
          <cell r="F440">
            <v>3.0657978747189202E-4</v>
          </cell>
          <cell r="G440">
            <v>3.3423011891765901E-4</v>
          </cell>
          <cell r="H440">
            <v>2.2703215364006899E-4</v>
          </cell>
          <cell r="I440">
            <v>2.6600807431915302E-4</v>
          </cell>
          <cell r="J440">
            <v>7.7540609562794507E-5</v>
          </cell>
          <cell r="K440">
            <v>7.6708321013558696E-5</v>
          </cell>
          <cell r="L440">
            <v>5.4007628270699097E-5</v>
          </cell>
          <cell r="M440">
            <v>8.1269545941770196E-5</v>
          </cell>
          <cell r="N440">
            <v>8.7926768707293496E-5</v>
          </cell>
          <cell r="O440">
            <v>1.12854490065934E-4</v>
          </cell>
        </row>
        <row r="441">
          <cell r="A441" t="str">
            <v>T_C-ICE-GSL-S1</v>
          </cell>
          <cell r="B441" t="str">
            <v>VAR_cap</v>
          </cell>
          <cell r="C441" t="str">
            <v>-</v>
          </cell>
          <cell r="D441">
            <v>3.6540680869476629E-2</v>
          </cell>
          <cell r="E441">
            <v>3.9846861076248657E-2</v>
          </cell>
          <cell r="F441">
            <v>3.9679773970865286E-2</v>
          </cell>
          <cell r="G441">
            <v>3.0737875166269617E-2</v>
          </cell>
          <cell r="H441">
            <v>2.0553933785808125E-3</v>
          </cell>
          <cell r="I441">
            <v>6.3756900306536442E-4</v>
          </cell>
          <cell r="J441">
            <v>4.3120308440422196E-4</v>
          </cell>
          <cell r="K441">
            <v>2.9721860968649489E-4</v>
          </cell>
          <cell r="L441">
            <v>1.802703117691268E-4</v>
          </cell>
          <cell r="M441">
            <v>1.825221964297423E-4</v>
          </cell>
          <cell r="N441">
            <v>2.1239658594679231E-4</v>
          </cell>
          <cell r="O441">
            <v>2.8192483737236857E-4</v>
          </cell>
        </row>
        <row r="442">
          <cell r="A442" t="str">
            <v>V2G</v>
          </cell>
          <cell r="B442" t="str">
            <v>VAR_fout</v>
          </cell>
          <cell r="C442" t="str">
            <v>ELC35</v>
          </cell>
          <cell r="G442">
            <v>1.1296071450952923</v>
          </cell>
          <cell r="H442">
            <v>1.012199747825979</v>
          </cell>
          <cell r="I442">
            <v>1.0637793599928682</v>
          </cell>
          <cell r="J442">
            <v>0.68733942807067516</v>
          </cell>
          <cell r="K442">
            <v>1.6043189786750141</v>
          </cell>
          <cell r="L442">
            <v>2.5516954802975054</v>
          </cell>
          <cell r="M442">
            <v>2.9003206880950767</v>
          </cell>
          <cell r="N442">
            <v>2.7026228899477225</v>
          </cell>
          <cell r="O442">
            <v>2.8880692448704406</v>
          </cell>
        </row>
        <row r="443">
          <cell r="A443" t="str">
            <v>V2G</v>
          </cell>
          <cell r="B443" t="str">
            <v>VAR_fin</v>
          </cell>
          <cell r="C443" t="str">
            <v>T-ELC-Bus_c_BatSTGout_S1</v>
          </cell>
          <cell r="G443">
            <v>3.814005812385543E-3</v>
          </cell>
          <cell r="H443">
            <v>1.055155589531165E-2</v>
          </cell>
          <cell r="I443">
            <v>5.6718481315446347E-3</v>
          </cell>
          <cell r="J443">
            <v>6.2187568329405687E-3</v>
          </cell>
          <cell r="K443">
            <v>5.6485616145746593E-3</v>
          </cell>
          <cell r="L443">
            <v>5.1346714179763588E-3</v>
          </cell>
          <cell r="M443">
            <v>7.1307724554029164E-3</v>
          </cell>
          <cell r="N443">
            <v>6.1525606134817988E-3</v>
          </cell>
          <cell r="O443">
            <v>8.939968638352825E-3</v>
          </cell>
        </row>
        <row r="444">
          <cell r="A444" t="str">
            <v>V2G</v>
          </cell>
          <cell r="B444" t="str">
            <v>VAR_fin</v>
          </cell>
          <cell r="C444" t="str">
            <v>T-ELC-Bus_c_BatSTGout_S2</v>
          </cell>
          <cell r="G444">
            <v>3.2053365453288464E-3</v>
          </cell>
          <cell r="H444">
            <v>4.8528580421531506E-3</v>
          </cell>
          <cell r="I444">
            <v>4.2307586787915952E-3</v>
          </cell>
          <cell r="J444">
            <v>4.6189553299557581E-3</v>
          </cell>
          <cell r="K444">
            <v>5.8949480391458902E-3</v>
          </cell>
          <cell r="L444">
            <v>5.0349838028831157E-3</v>
          </cell>
          <cell r="M444">
            <v>6.7880428832966791E-3</v>
          </cell>
          <cell r="N444">
            <v>5.7933661933312255E-3</v>
          </cell>
          <cell r="O444">
            <v>7.8734175928344904E-3</v>
          </cell>
        </row>
        <row r="445">
          <cell r="A445" t="str">
            <v>V2G</v>
          </cell>
          <cell r="B445" t="str">
            <v>VAR_fin</v>
          </cell>
          <cell r="C445" t="str">
            <v>T-ELC-Bus_c_BatSTGout_S3</v>
          </cell>
          <cell r="G445">
            <v>8.5036237987472251E-4</v>
          </cell>
          <cell r="H445">
            <v>5.8774588796865355E-4</v>
          </cell>
          <cell r="I445">
            <v>6.4402011217966413E-4</v>
          </cell>
          <cell r="J445">
            <v>1.3297837153724407E-3</v>
          </cell>
          <cell r="K445">
            <v>2.0328990584148558E-3</v>
          </cell>
          <cell r="L445">
            <v>1.9763721263029062E-3</v>
          </cell>
          <cell r="M445">
            <v>2.5239918621186991E-3</v>
          </cell>
          <cell r="N445">
            <v>2.804402593004459E-3</v>
          </cell>
          <cell r="O445">
            <v>4.5051783445935467E-3</v>
          </cell>
        </row>
        <row r="446">
          <cell r="A446" t="str">
            <v>V2G</v>
          </cell>
          <cell r="B446" t="str">
            <v>VAR_fin</v>
          </cell>
          <cell r="C446" t="str">
            <v>T-ELC-Bus_c_BatSTGout_S4</v>
          </cell>
          <cell r="G446">
            <v>6.5544110197664446E-4</v>
          </cell>
          <cell r="H446">
            <v>5.9741426918914406E-4</v>
          </cell>
          <cell r="I446">
            <v>9.6084467306731898E-4</v>
          </cell>
          <cell r="J446">
            <v>1.0385660584144617E-3</v>
          </cell>
          <cell r="K446">
            <v>1.7669720265707301E-3</v>
          </cell>
          <cell r="L446">
            <v>1.710322982353157E-3</v>
          </cell>
          <cell r="M446">
            <v>1.8140471301193084E-3</v>
          </cell>
          <cell r="N446">
            <v>2.2774036992101012E-3</v>
          </cell>
          <cell r="O446">
            <v>3.0929692621382535E-3</v>
          </cell>
        </row>
        <row r="447">
          <cell r="A447" t="str">
            <v>V2G</v>
          </cell>
          <cell r="B447" t="str">
            <v>VAR_fin</v>
          </cell>
          <cell r="C447" t="str">
            <v>T-ELC-car-BatSTGOut_S1</v>
          </cell>
          <cell r="G447">
            <v>8.026570813628521E-2</v>
          </cell>
          <cell r="H447">
            <v>7.5325809376661473E-2</v>
          </cell>
          <cell r="I447">
            <v>0.25114430225695156</v>
          </cell>
          <cell r="J447">
            <v>0.17962391881434756</v>
          </cell>
          <cell r="K447">
            <v>0.39007251564638928</v>
          </cell>
          <cell r="L447">
            <v>0.55805811984154818</v>
          </cell>
          <cell r="M447">
            <v>0.65259301325273733</v>
          </cell>
          <cell r="N447">
            <v>0.70444593916390186</v>
          </cell>
          <cell r="O447">
            <v>0.80428526759235541</v>
          </cell>
        </row>
        <row r="448">
          <cell r="A448" t="str">
            <v>V2G</v>
          </cell>
          <cell r="B448" t="str">
            <v>VAR_fin</v>
          </cell>
          <cell r="C448" t="str">
            <v>T-ELC-car-BatSTGOut_S2</v>
          </cell>
          <cell r="G448">
            <v>0.16394134271353053</v>
          </cell>
          <cell r="H448">
            <v>0.11083738498079186</v>
          </cell>
          <cell r="I448">
            <v>0.10900139523707751</v>
          </cell>
          <cell r="J448">
            <v>5.9164583288345354E-2</v>
          </cell>
          <cell r="K448">
            <v>0.11340587951716433</v>
          </cell>
          <cell r="L448">
            <v>0.21055184912191463</v>
          </cell>
          <cell r="M448">
            <v>0.2337301812311387</v>
          </cell>
          <cell r="N448">
            <v>0.22981030360642962</v>
          </cell>
          <cell r="O448">
            <v>0.27831307257042676</v>
          </cell>
        </row>
        <row r="449">
          <cell r="A449" t="str">
            <v>V2G</v>
          </cell>
          <cell r="B449" t="str">
            <v>VAR_fin</v>
          </cell>
          <cell r="C449" t="str">
            <v>T-ELC-car-BatSTGOut_S3</v>
          </cell>
          <cell r="G449">
            <v>0.17408643199510906</v>
          </cell>
          <cell r="H449">
            <v>0.10599055299083773</v>
          </cell>
          <cell r="I449">
            <v>0.10772879934129051</v>
          </cell>
          <cell r="J449">
            <v>6.1361770947257435E-2</v>
          </cell>
          <cell r="K449">
            <v>0.1224700499192386</v>
          </cell>
          <cell r="L449">
            <v>0.21831069256129579</v>
          </cell>
          <cell r="M449">
            <v>0.24032769659908318</v>
          </cell>
          <cell r="N449">
            <v>0.22483978894476064</v>
          </cell>
          <cell r="O449">
            <v>0.27955307563451937</v>
          </cell>
        </row>
        <row r="450">
          <cell r="A450" t="str">
            <v>V2G</v>
          </cell>
          <cell r="B450" t="str">
            <v>VAR_fin</v>
          </cell>
          <cell r="C450" t="str">
            <v>T-ELC-car-BatSTGOut_S4</v>
          </cell>
          <cell r="G450">
            <v>0.27350928772869476</v>
          </cell>
          <cell r="H450">
            <v>0.20729059220259141</v>
          </cell>
          <cell r="I450">
            <v>0.18607034625989943</v>
          </cell>
          <cell r="J450">
            <v>9.0848836866902746E-2</v>
          </cell>
          <cell r="K450">
            <v>0.18462392971841141</v>
          </cell>
          <cell r="L450">
            <v>0.34652892608231617</v>
          </cell>
          <cell r="M450">
            <v>0.41817758875343375</v>
          </cell>
          <cell r="N450">
            <v>0.36984692367451377</v>
          </cell>
          <cell r="O450">
            <v>0.48570339745044622</v>
          </cell>
        </row>
        <row r="451">
          <cell r="A451" t="str">
            <v>V2G</v>
          </cell>
          <cell r="B451" t="str">
            <v>VAR_fin</v>
          </cell>
          <cell r="C451" t="str">
            <v>T-ELC-car-PlgSTGOut_S1</v>
          </cell>
          <cell r="G451">
            <v>1.1330734015939758E-3</v>
          </cell>
          <cell r="H451">
            <v>3.1527238290500934E-3</v>
          </cell>
          <cell r="I451">
            <v>4.8249026768788983E-3</v>
          </cell>
          <cell r="J451">
            <v>6.7190433481283847E-3</v>
          </cell>
          <cell r="K451">
            <v>1.4146330008530139E-2</v>
          </cell>
          <cell r="L451">
            <v>1.5604005071576079E-2</v>
          </cell>
          <cell r="M451">
            <v>1.8645618983806265E-2</v>
          </cell>
          <cell r="N451">
            <v>1.8485304987584345E-2</v>
          </cell>
          <cell r="O451">
            <v>2.4692628160027326E-2</v>
          </cell>
        </row>
        <row r="452">
          <cell r="A452" t="str">
            <v>V2G</v>
          </cell>
          <cell r="B452" t="str">
            <v>VAR_fin</v>
          </cell>
          <cell r="C452" t="str">
            <v>T-ELC-car-PlgSTGOut_S2</v>
          </cell>
          <cell r="G452">
            <v>6.1788932274463879E-4</v>
          </cell>
          <cell r="H452">
            <v>1.3821060087129508E-3</v>
          </cell>
          <cell r="I452">
            <v>2.331820794989497E-3</v>
          </cell>
          <cell r="J452">
            <v>3.6497098068583168E-3</v>
          </cell>
          <cell r="K452">
            <v>8.1747609674490251E-3</v>
          </cell>
          <cell r="L452">
            <v>1.3079833633088563E-2</v>
          </cell>
          <cell r="M452">
            <v>9.2206850023063471E-3</v>
          </cell>
          <cell r="N452">
            <v>8.2304793970415391E-3</v>
          </cell>
          <cell r="O452">
            <v>1.2486229848028142E-2</v>
          </cell>
        </row>
        <row r="453">
          <cell r="A453" t="str">
            <v>V2G</v>
          </cell>
          <cell r="B453" t="str">
            <v>VAR_fin</v>
          </cell>
          <cell r="C453" t="str">
            <v>T-ELC-car-PlgSTGOut_S3</v>
          </cell>
          <cell r="G453">
            <v>0.38370946863371291</v>
          </cell>
          <cell r="H453">
            <v>0.18690669383875835</v>
          </cell>
          <cell r="I453">
            <v>4.7754338825977329E-2</v>
          </cell>
          <cell r="J453">
            <v>4.8937286090698986E-2</v>
          </cell>
          <cell r="K453">
            <v>0.20055692357159177</v>
          </cell>
          <cell r="L453">
            <v>0.51173232924165246</v>
          </cell>
          <cell r="M453">
            <v>0.55041944866494885</v>
          </cell>
          <cell r="N453">
            <v>0.55260457238698479</v>
          </cell>
          <cell r="O453">
            <v>8.5730124358170262E-2</v>
          </cell>
        </row>
        <row r="454">
          <cell r="A454" t="str">
            <v>V2G</v>
          </cell>
          <cell r="B454" t="str">
            <v>VAR_fin</v>
          </cell>
          <cell r="C454" t="str">
            <v>T-ELC-TWSTGout_S1</v>
          </cell>
          <cell r="G454">
            <v>7.4117263831685841E-3</v>
          </cell>
          <cell r="H454">
            <v>1.1713100120689875E-2</v>
          </cell>
          <cell r="I454">
            <v>1.0814643298280417E-2</v>
          </cell>
          <cell r="J454">
            <v>1.1740608597685978E-2</v>
          </cell>
          <cell r="K454">
            <v>2.3921529187142253E-2</v>
          </cell>
          <cell r="L454">
            <v>1.754887344746937E-2</v>
          </cell>
          <cell r="M454">
            <v>3.0627364673995065E-2</v>
          </cell>
          <cell r="N454">
            <v>2.2862580563590296E-2</v>
          </cell>
          <cell r="O454">
            <v>4.9849504581176568E-2</v>
          </cell>
        </row>
        <row r="455">
          <cell r="A455" t="str">
            <v>V2G</v>
          </cell>
          <cell r="B455" t="str">
            <v>VAR_fin</v>
          </cell>
          <cell r="C455" t="str">
            <v>T-ELC-car-PlgSTGOut_S4</v>
          </cell>
          <cell r="G455">
            <v>5.9362833578990024E-4</v>
          </cell>
          <cell r="H455">
            <v>0.22517243418534968</v>
          </cell>
          <cell r="I455">
            <v>0.26283576919788026</v>
          </cell>
          <cell r="J455">
            <v>0.14437092972439941</v>
          </cell>
          <cell r="K455">
            <v>0.39859603154129525</v>
          </cell>
          <cell r="L455">
            <v>0.53987316317543832</v>
          </cell>
          <cell r="M455">
            <v>0.56776676602033838</v>
          </cell>
          <cell r="N455">
            <v>0.4078692911405431</v>
          </cell>
          <cell r="O455">
            <v>0.5639381359075637</v>
          </cell>
        </row>
        <row r="456">
          <cell r="A456" t="str">
            <v>V2G</v>
          </cell>
          <cell r="B456" t="str">
            <v>VAR_fin</v>
          </cell>
          <cell r="C456" t="str">
            <v>T-ELC-TWSTGout_S2</v>
          </cell>
          <cell r="G456">
            <v>8.7247525618916865E-3</v>
          </cell>
          <cell r="H456">
            <v>1.3935468083700452E-2</v>
          </cell>
          <cell r="I456">
            <v>1.3559159792733042E-2</v>
          </cell>
          <cell r="J456">
            <v>1.2910386303636784E-2</v>
          </cell>
          <cell r="K456">
            <v>2.5951493884546328E-2</v>
          </cell>
          <cell r="L456">
            <v>2.2339367939007534E-2</v>
          </cell>
          <cell r="M456">
            <v>3.5772271395401997E-2</v>
          </cell>
          <cell r="N456">
            <v>2.7591681220062524E-2</v>
          </cell>
          <cell r="O456">
            <v>5.5666534670143597E-2</v>
          </cell>
        </row>
        <row r="457">
          <cell r="A457" t="str">
            <v>V2G</v>
          </cell>
          <cell r="B457" t="str">
            <v>VAR_fin</v>
          </cell>
          <cell r="C457" t="str">
            <v>T-ELC-TWSTGout_S3</v>
          </cell>
          <cell r="G457">
            <v>1.0128998815649682E-2</v>
          </cell>
          <cell r="H457">
            <v>2.293500071274979E-2</v>
          </cell>
          <cell r="I457">
            <v>2.2349567140174557E-2</v>
          </cell>
          <cell r="J457">
            <v>1.9598902819108047E-2</v>
          </cell>
          <cell r="K457">
            <v>4.1498085233376815E-2</v>
          </cell>
          <cell r="L457">
            <v>3.2457967885732311E-2</v>
          </cell>
          <cell r="M457">
            <v>4.5539450677503465E-2</v>
          </cell>
          <cell r="N457">
            <v>4.4798938434432882E-2</v>
          </cell>
          <cell r="O457">
            <v>7.9202432672633688E-2</v>
          </cell>
        </row>
        <row r="458">
          <cell r="A458" t="str">
            <v>V2G</v>
          </cell>
          <cell r="B458" t="str">
            <v>VAR_fin</v>
          </cell>
          <cell r="C458" t="str">
            <v>T-ELC-TWSTGout_S4</v>
          </cell>
          <cell r="G458">
            <v>1.1755964706006339E-2</v>
          </cell>
          <cell r="H458">
            <v>2.3470092565461786E-2</v>
          </cell>
          <cell r="I458">
            <v>2.6542383604280361E-2</v>
          </cell>
          <cell r="J458">
            <v>2.7105566598945724E-2</v>
          </cell>
          <cell r="K458">
            <v>4.9234568008333195E-2</v>
          </cell>
          <cell r="L458">
            <v>4.0362839635395012E-2</v>
          </cell>
          <cell r="M458">
            <v>6.0510566632358272E-2</v>
          </cell>
          <cell r="N458">
            <v>5.7089816399347758E-2</v>
          </cell>
          <cell r="O458">
            <v>0.10347229688352295</v>
          </cell>
        </row>
        <row r="459">
          <cell r="A459" t="str">
            <v>V2G</v>
          </cell>
          <cell r="B459" t="str">
            <v>VAR_fin</v>
          </cell>
          <cell r="C459" t="str">
            <v>T-ELC-Bus_u_BatSTGout_S1</v>
          </cell>
          <cell r="G459">
            <v>4.6855495947058923E-4</v>
          </cell>
          <cell r="H459">
            <v>8.529505662118207E-4</v>
          </cell>
          <cell r="I459">
            <v>7.5620632900023422E-4</v>
          </cell>
          <cell r="J459">
            <v>1.0683492486148656E-3</v>
          </cell>
          <cell r="K459">
            <v>2.3089337258132342E-3</v>
          </cell>
          <cell r="L459">
            <v>1.7577201190996702E-3</v>
          </cell>
          <cell r="M459">
            <v>3.0903909548571549E-3</v>
          </cell>
          <cell r="N459">
            <v>2.5136397805653019E-3</v>
          </cell>
          <cell r="O459">
            <v>5.9016078276348518E-3</v>
          </cell>
        </row>
        <row r="460">
          <cell r="A460" t="str">
            <v>V2G</v>
          </cell>
          <cell r="B460" t="str">
            <v>VAR_fin</v>
          </cell>
          <cell r="C460" t="str">
            <v>T-ELC-Bus_u_BatSTGout_S2</v>
          </cell>
          <cell r="G460">
            <v>4.180339420247734E-4</v>
          </cell>
          <cell r="H460">
            <v>7.2724101271126715E-4</v>
          </cell>
          <cell r="I460">
            <v>7.2457376261163742E-4</v>
          </cell>
          <cell r="J460">
            <v>9.6443160396919201E-4</v>
          </cell>
          <cell r="K460">
            <v>2.1890386534703112E-3</v>
          </cell>
          <cell r="L460">
            <v>1.6310117971884272E-3</v>
          </cell>
          <cell r="M460">
            <v>2.8753159710165148E-3</v>
          </cell>
          <cell r="N460">
            <v>2.2287809482715551E-3</v>
          </cell>
          <cell r="O460">
            <v>5.0344032774473236E-3</v>
          </cell>
        </row>
        <row r="461">
          <cell r="A461" t="str">
            <v>V2G</v>
          </cell>
          <cell r="B461" t="str">
            <v>VAR_fin</v>
          </cell>
          <cell r="C461" t="str">
            <v>T-ELC-Bus_u_BatSTGout_S3</v>
          </cell>
          <cell r="G461">
            <v>1.6729062942725061E-4</v>
          </cell>
          <cell r="H461">
            <v>2.8085312516354908E-4</v>
          </cell>
          <cell r="I461">
            <v>2.9424332729915644E-4</v>
          </cell>
          <cell r="J461">
            <v>4.2730256133327479E-4</v>
          </cell>
          <cell r="K461">
            <v>9.8524109303109149E-4</v>
          </cell>
          <cell r="L461">
            <v>6.6782143580715748E-4</v>
          </cell>
          <cell r="M461">
            <v>1.0152030164747596E-3</v>
          </cell>
          <cell r="N461">
            <v>8.8384563444624225E-4</v>
          </cell>
          <cell r="O461">
            <v>1.9219172549999124E-3</v>
          </cell>
        </row>
        <row r="462">
          <cell r="A462" t="str">
            <v>V2G</v>
          </cell>
          <cell r="B462" t="str">
            <v>VAR_fin</v>
          </cell>
          <cell r="C462" t="str">
            <v>T-ELC-Bus_u_BatSTGout_S4</v>
          </cell>
          <cell r="G462">
            <v>3.9109572093077726E-4</v>
          </cell>
          <cell r="H462">
            <v>5.0258580067421654E-4</v>
          </cell>
          <cell r="I462">
            <v>6.099887793112786E-4</v>
          </cell>
          <cell r="J462">
            <v>6.8533372990987635E-4</v>
          </cell>
          <cell r="K462">
            <v>1.6458735193433231E-3</v>
          </cell>
          <cell r="L462">
            <v>1.1859951760308436E-3</v>
          </cell>
          <cell r="M462">
            <v>1.6270409248009209E-3</v>
          </cell>
          <cell r="N462">
            <v>1.7046736229159292E-3</v>
          </cell>
          <cell r="O462">
            <v>3.0645806677802598E-3</v>
          </cell>
        </row>
        <row r="463">
          <cell r="A463" t="str">
            <v>V2G</v>
          </cell>
          <cell r="B463" t="str">
            <v>VAR_fin</v>
          </cell>
          <cell r="C463" t="str">
            <v>T-ELC-LGV_BatSTGout</v>
          </cell>
          <cell r="G463">
            <v>2.1948917739229761E-3</v>
          </cell>
          <cell r="H463">
            <v>2.5670315461694998E-3</v>
          </cell>
          <cell r="I463">
            <v>1.9912336289498326E-3</v>
          </cell>
          <cell r="J463">
            <v>2.4965950364599361E-3</v>
          </cell>
          <cell r="K463">
            <v>4.837853597591403E-3</v>
          </cell>
          <cell r="L463">
            <v>2.9171449436402445E-3</v>
          </cell>
          <cell r="M463">
            <v>5.4231361751665673E-3</v>
          </cell>
          <cell r="N463">
            <v>3.6969893824091095E-3</v>
          </cell>
          <cell r="O463">
            <v>8.9766297729333908E-3</v>
          </cell>
        </row>
        <row r="464">
          <cell r="A464" t="str">
            <v>V2G</v>
          </cell>
          <cell r="B464" t="str">
            <v>VAR_fin</v>
          </cell>
          <cell r="C464" t="str">
            <v>T-ELC-HGV_BatSTGout</v>
          </cell>
          <cell r="G464">
            <v>1.6523302006951404E-3</v>
          </cell>
          <cell r="H464">
            <v>2.6776603328324284E-3</v>
          </cell>
          <cell r="I464">
            <v>3.0555842774012579E-3</v>
          </cell>
          <cell r="J464">
            <v>2.5847516778313615E-3</v>
          </cell>
          <cell r="K464">
            <v>4.5689426507442357E-3</v>
          </cell>
          <cell r="L464">
            <v>3.3979952535294448E-3</v>
          </cell>
          <cell r="M464">
            <v>4.945438419855383E-3</v>
          </cell>
          <cell r="N464">
            <v>6.2651740672461037E-3</v>
          </cell>
          <cell r="O464">
            <v>1.6148293386166426E-2</v>
          </cell>
        </row>
        <row r="465">
          <cell r="A465" t="str">
            <v>V2G</v>
          </cell>
          <cell r="B465" t="str">
            <v>VAR_ncap</v>
          </cell>
          <cell r="C465" t="str">
            <v>-</v>
          </cell>
          <cell r="G465">
            <v>0.26283334595364499</v>
          </cell>
          <cell r="H465">
            <v>2.2891782187651698E-3</v>
          </cell>
          <cell r="I465">
            <v>0.159275160616978</v>
          </cell>
          <cell r="J465">
            <v>0.16814550408416101</v>
          </cell>
          <cell r="K465">
            <v>3.2774024025869097E-2</v>
          </cell>
          <cell r="L465">
            <v>0.34347292818804198</v>
          </cell>
          <cell r="M465">
            <v>0.43515249268769601</v>
          </cell>
          <cell r="N465">
            <v>0.67384996429196597</v>
          </cell>
          <cell r="O465">
            <v>0.34644800019993999</v>
          </cell>
        </row>
        <row r="466">
          <cell r="A466" t="str">
            <v>V2G</v>
          </cell>
          <cell r="B466" t="str">
            <v>VAR_cap</v>
          </cell>
          <cell r="C466" t="str">
            <v>-</v>
          </cell>
          <cell r="G466">
            <v>0.26283334595364499</v>
          </cell>
          <cell r="H466">
            <v>0.26509113954672442</v>
          </cell>
          <cell r="I466">
            <v>0.37433781134078653</v>
          </cell>
          <cell r="J466">
            <v>0.32968129375786909</v>
          </cell>
          <cell r="K466">
            <v>0.36014178029853705</v>
          </cell>
          <cell r="L466">
            <v>0.5465286577977847</v>
          </cell>
          <cell r="M466">
            <v>0.81134318344940659</v>
          </cell>
          <cell r="N466">
            <v>1.3493098913639587</v>
          </cell>
          <cell r="O466">
            <v>1.4553870582688346</v>
          </cell>
        </row>
        <row r="467">
          <cell r="A467" t="str">
            <v>TPSHPELCEXT</v>
          </cell>
          <cell r="B467" t="str">
            <v>VAR_fout</v>
          </cell>
          <cell r="C467" t="str">
            <v>TPSHP</v>
          </cell>
          <cell r="E467">
            <v>9.2367419308610008E-6</v>
          </cell>
          <cell r="F467">
            <v>3.2608715736093199E-5</v>
          </cell>
          <cell r="G467">
            <v>6.2835138134982704E-5</v>
          </cell>
          <cell r="H467">
            <v>5.4317036653062502E-4</v>
          </cell>
          <cell r="I467">
            <v>1.46667163689792</v>
          </cell>
          <cell r="J467">
            <v>3.2943568868447999</v>
          </cell>
          <cell r="K467">
            <v>4.0392293569415401</v>
          </cell>
          <cell r="L467">
            <v>4.03980978764596</v>
          </cell>
          <cell r="M467">
            <v>10.533167529060901</v>
          </cell>
          <cell r="N467">
            <v>14.1318083925623</v>
          </cell>
          <cell r="O467">
            <v>14.131813806676799</v>
          </cell>
        </row>
        <row r="468">
          <cell r="A468" t="str">
            <v>TPSHPELCEXT</v>
          </cell>
          <cell r="B468" t="str">
            <v>VAR_fin</v>
          </cell>
          <cell r="C468" t="str">
            <v>TELC</v>
          </cell>
          <cell r="E468">
            <v>3.7435253640493824E-6</v>
          </cell>
          <cell r="F468">
            <v>1.3215867170575151E-5</v>
          </cell>
          <cell r="G468">
            <v>2.5466223385103048E-5</v>
          </cell>
          <cell r="H468">
            <v>2.2013953180976905E-4</v>
          </cell>
          <cell r="I468">
            <v>0.59442198499827403</v>
          </cell>
          <cell r="J468">
            <v>1.3351578572234373</v>
          </cell>
          <cell r="K468">
            <v>1.637044497086438</v>
          </cell>
          <cell r="L468">
            <v>1.6372797377243442</v>
          </cell>
          <cell r="M468">
            <v>4.2689489545092405</v>
          </cell>
          <cell r="N468">
            <v>5.7274289520516497</v>
          </cell>
          <cell r="O468">
            <v>5.7274311463183363</v>
          </cell>
        </row>
        <row r="469">
          <cell r="A469" t="str">
            <v>TPSHPELCEXT</v>
          </cell>
          <cell r="B469" t="str">
            <v>VAR_ncap</v>
          </cell>
          <cell r="C469" t="str">
            <v>-</v>
          </cell>
          <cell r="D469">
            <v>5.1799544713344604E-6</v>
          </cell>
          <cell r="E469">
            <v>7.6995948384104892E-6</v>
          </cell>
          <cell r="F469">
            <v>1.0101430616866901E-5</v>
          </cell>
          <cell r="G469">
            <v>1.99952892186098E-5</v>
          </cell>
          <cell r="H469">
            <v>5.0661764954397699E-4</v>
          </cell>
          <cell r="I469">
            <v>1.46614180054162</v>
          </cell>
          <cell r="J469">
            <v>1.8277112299828999</v>
          </cell>
          <cell r="K469">
            <v>0.74489889492569605</v>
          </cell>
          <cell r="L469">
            <v>0.19520748951709699</v>
          </cell>
          <cell r="M469">
            <v>7.7654108663914299</v>
          </cell>
          <cell r="N469">
            <v>5.4263635096449399</v>
          </cell>
          <cell r="O469">
            <v>0.74491228342263305</v>
          </cell>
        </row>
        <row r="470">
          <cell r="A470" t="str">
            <v>TPSHPELCEXT</v>
          </cell>
          <cell r="B470" t="str">
            <v>VAR_cap</v>
          </cell>
          <cell r="C470" t="str">
            <v>-</v>
          </cell>
          <cell r="D470">
            <v>5.1799544713344604E-6</v>
          </cell>
          <cell r="E470">
            <v>1.031175215380953E-5</v>
          </cell>
          <cell r="F470">
            <v>1.5344076952473E-5</v>
          </cell>
          <cell r="G470">
            <v>3.1064459026425498E-5</v>
          </cell>
          <cell r="H470">
            <v>5.2986885741161639E-4</v>
          </cell>
          <cell r="I470">
            <v>1.4666627712972098</v>
          </cell>
          <cell r="J470">
            <v>3.2943525760705996</v>
          </cell>
          <cell r="K470">
            <v>4.0392147136098151</v>
          </cell>
          <cell r="L470">
            <v>4.0398027714160394</v>
          </cell>
          <cell r="M470">
            <v>10.533156530985696</v>
          </cell>
          <cell r="N470">
            <v>14.1318049828397</v>
          </cell>
          <cell r="O470">
            <v>14.131810977282752</v>
          </cell>
        </row>
        <row r="471">
          <cell r="A471" t="str">
            <v>TFLGV-ICEGSL</v>
          </cell>
          <cell r="B471" t="str">
            <v>VAR_fout</v>
          </cell>
          <cell r="C471" t="str">
            <v>CO2_T</v>
          </cell>
          <cell r="D471">
            <v>28.879004610412032</v>
          </cell>
          <cell r="E471">
            <v>42.788847460507206</v>
          </cell>
          <cell r="F471">
            <v>68.660905526333963</v>
          </cell>
          <cell r="G471">
            <v>108.86229784475958</v>
          </cell>
          <cell r="H471">
            <v>146.76646095993951</v>
          </cell>
          <cell r="I471">
            <v>88.348895822722852</v>
          </cell>
          <cell r="J471">
            <v>97.032553301204217</v>
          </cell>
          <cell r="K471">
            <v>106.9913470071448</v>
          </cell>
          <cell r="L471">
            <v>107.4631672613031</v>
          </cell>
          <cell r="M471">
            <v>109.06888449838868</v>
          </cell>
          <cell r="N471">
            <v>109.15360124458513</v>
          </cell>
          <cell r="O471">
            <v>109.6096024194637</v>
          </cell>
        </row>
        <row r="472">
          <cell r="A472" t="str">
            <v>TFLGV-ICEGSL</v>
          </cell>
          <cell r="B472" t="str">
            <v>VAR_fout</v>
          </cell>
          <cell r="C472" t="str">
            <v>TFLGV</v>
          </cell>
          <cell r="D472">
            <v>0.13744121394000999</v>
          </cell>
          <cell r="E472">
            <v>0.20364106095075424</v>
          </cell>
          <cell r="F472">
            <v>0.32677158832397302</v>
          </cell>
          <cell r="G472">
            <v>0.5180984098976954</v>
          </cell>
          <cell r="H472">
            <v>0.69849223794716409</v>
          </cell>
          <cell r="I472">
            <v>0.42047084572148108</v>
          </cell>
          <cell r="J472">
            <v>0.46179818512885945</v>
          </cell>
          <cell r="K472">
            <v>0.50919416413809138</v>
          </cell>
          <cell r="L472">
            <v>0.5114396552610645</v>
          </cell>
          <cell r="M472">
            <v>0.51908159892521333</v>
          </cell>
          <cell r="N472">
            <v>0.51948478361233652</v>
          </cell>
          <cell r="O472">
            <v>0.52165498843341263</v>
          </cell>
        </row>
        <row r="473">
          <cell r="A473" t="str">
            <v>TFLGV-ICEGSL</v>
          </cell>
          <cell r="B473" t="str">
            <v>VAR_fin</v>
          </cell>
          <cell r="C473" t="str">
            <v>TGSL</v>
          </cell>
          <cell r="D473">
            <v>0.39131442561533958</v>
          </cell>
          <cell r="E473">
            <v>0.57979468103668375</v>
          </cell>
          <cell r="F473">
            <v>0.93036457352756263</v>
          </cell>
          <cell r="G473">
            <v>1.4750988867853614</v>
          </cell>
          <cell r="H473">
            <v>1.9887054330615082</v>
          </cell>
          <cell r="I473">
            <v>1.1971395097929944</v>
          </cell>
          <cell r="J473">
            <v>1.3148042452737698</v>
          </cell>
          <cell r="K473">
            <v>1.4497472494193051</v>
          </cell>
          <cell r="L473">
            <v>1.4561404777954328</v>
          </cell>
          <cell r="M473">
            <v>1.4778981639348068</v>
          </cell>
          <cell r="N473">
            <v>1.4790460873250029</v>
          </cell>
          <cell r="O473">
            <v>1.4852249650333842</v>
          </cell>
        </row>
        <row r="474">
          <cell r="A474" t="str">
            <v>TFLGV-ICEGSL</v>
          </cell>
          <cell r="B474" t="str">
            <v>VAR_ncap</v>
          </cell>
          <cell r="C474" t="str">
            <v>-</v>
          </cell>
          <cell r="E474">
            <v>1.3447843939055299E-4</v>
          </cell>
          <cell r="F474">
            <v>1.2386848542909799E-2</v>
          </cell>
          <cell r="G474">
            <v>2.7510145679773002E-2</v>
          </cell>
          <cell r="H474">
            <v>3.5504456854661103E-2</v>
          </cell>
          <cell r="I474">
            <v>3.5930822951037199E-4</v>
          </cell>
          <cell r="J474">
            <v>2.7053208092098099E-2</v>
          </cell>
          <cell r="K474">
            <v>2.3246604079096098E-2</v>
          </cell>
          <cell r="L474">
            <v>1.50717933183818E-2</v>
          </cell>
          <cell r="M474">
            <v>2.3638171104325801E-2</v>
          </cell>
          <cell r="N474">
            <v>2.4439291173127702E-2</v>
          </cell>
          <cell r="O474">
            <v>1.01363770676801E-2</v>
          </cell>
        </row>
        <row r="475">
          <cell r="A475" t="str">
            <v>TFLGV-ICEGSL</v>
          </cell>
          <cell r="B475" t="str">
            <v>VAR_cap</v>
          </cell>
          <cell r="C475" t="str">
            <v>-</v>
          </cell>
          <cell r="D475">
            <v>1.2434883995678419E-2</v>
          </cell>
          <cell r="E475">
            <v>1.4256385275072968E-2</v>
          </cell>
          <cell r="F475">
            <v>2.6643177847363385E-2</v>
          </cell>
          <cell r="G475">
            <v>4.7713231036724112E-2</v>
          </cell>
          <cell r="H475">
            <v>6.936087193761302E-2</v>
          </cell>
          <cell r="I475">
            <v>4.1640700867226682E-2</v>
          </cell>
          <cell r="J475">
            <v>4.5821831364899007E-2</v>
          </cell>
          <cell r="K475">
            <v>5.04224572772623E-2</v>
          </cell>
          <cell r="L475">
            <v>5.0487117436918347E-2</v>
          </cell>
          <cell r="M475">
            <v>5.0620060537740395E-2</v>
          </cell>
          <cell r="N475">
            <v>5.0746924160936777E-2</v>
          </cell>
          <cell r="O475">
            <v>5.052787474672063E-2</v>
          </cell>
        </row>
        <row r="476">
          <cell r="A476" t="str">
            <v>T_C-ICE-GSL-S2</v>
          </cell>
          <cell r="B476" t="str">
            <v>VAR_fout</v>
          </cell>
          <cell r="C476" t="str">
            <v>CO2_T</v>
          </cell>
          <cell r="D476">
            <v>277.94540839391829</v>
          </cell>
          <cell r="E476">
            <v>391.75047099226538</v>
          </cell>
          <cell r="F476">
            <v>390.61772453682431</v>
          </cell>
          <cell r="G476">
            <v>306.38704044289744</v>
          </cell>
          <cell r="H476">
            <v>15.680459780599165</v>
          </cell>
          <cell r="I476">
            <v>2.2530673875182412</v>
          </cell>
          <cell r="J476">
            <v>1.013903060937986</v>
          </cell>
          <cell r="K476">
            <v>0.52815303114021095</v>
          </cell>
          <cell r="L476">
            <v>0.29209155645845608</v>
          </cell>
          <cell r="M476">
            <v>0.27933757131634462</v>
          </cell>
          <cell r="N476">
            <v>0.31172559937080802</v>
          </cell>
          <cell r="O476">
            <v>0.38532510266543701</v>
          </cell>
        </row>
        <row r="477">
          <cell r="A477" t="str">
            <v>T_C-ICE-GSL-S2</v>
          </cell>
          <cell r="B477" t="str">
            <v>VAR_fout</v>
          </cell>
          <cell r="C477" t="str">
            <v>TPCAR</v>
          </cell>
          <cell r="D477">
            <v>2.2819275098785541</v>
          </cell>
          <cell r="E477">
            <v>3.208633926554612</v>
          </cell>
          <cell r="F477">
            <v>3.1969829372880083</v>
          </cell>
          <cell r="G477">
            <v>2.5263834018670259</v>
          </cell>
          <cell r="H477">
            <v>0.12475644257358605</v>
          </cell>
          <cell r="I477">
            <v>1.5641047512466554E-2</v>
          </cell>
          <cell r="J477">
            <v>7.2954317147945402E-3</v>
          </cell>
          <cell r="K477">
            <v>4.1174535855607137E-3</v>
          </cell>
          <cell r="L477">
            <v>2.4780489160378181E-3</v>
          </cell>
          <cell r="M477">
            <v>2.6236648712646771E-3</v>
          </cell>
          <cell r="N477">
            <v>3.0583667057288732E-3</v>
          </cell>
          <cell r="O477">
            <v>3.8479340650684046E-3</v>
          </cell>
        </row>
        <row r="478">
          <cell r="A478" t="str">
            <v>T_C-ICE-GSL-S2</v>
          </cell>
          <cell r="B478" t="str">
            <v>VAR_fin</v>
          </cell>
          <cell r="C478" t="str">
            <v>TGSL</v>
          </cell>
          <cell r="D478">
            <v>3.7661979457170491</v>
          </cell>
          <cell r="E478">
            <v>5.3082719646648391</v>
          </cell>
          <cell r="F478">
            <v>5.2929230967049294</v>
          </cell>
          <cell r="G478">
            <v>4.151585913860397</v>
          </cell>
          <cell r="H478">
            <v>0.21247235475066611</v>
          </cell>
          <cell r="I478">
            <v>3.0529368394556108E-2</v>
          </cell>
          <cell r="J478">
            <v>1.3738523860948303E-2</v>
          </cell>
          <cell r="K478">
            <v>7.1565451374012408E-3</v>
          </cell>
          <cell r="L478">
            <v>3.9578801688137698E-3</v>
          </cell>
          <cell r="M478">
            <v>3.7850619419558936E-3</v>
          </cell>
          <cell r="N478">
            <v>4.2239241107155422E-3</v>
          </cell>
          <cell r="O478">
            <v>5.2212073531902083E-3</v>
          </cell>
        </row>
        <row r="479">
          <cell r="A479" t="str">
            <v>T_C-ICE-GSL-S2</v>
          </cell>
          <cell r="B479" t="str">
            <v>VAR_ncap</v>
          </cell>
          <cell r="C479" t="str">
            <v>-</v>
          </cell>
          <cell r="E479">
            <v>8.0127436553176204E-5</v>
          </cell>
          <cell r="F479">
            <v>2.5556383357246901E-3</v>
          </cell>
          <cell r="G479">
            <v>7.0960155010883904E-4</v>
          </cell>
          <cell r="H479">
            <v>5.4165137835835201E-4</v>
          </cell>
          <cell r="I479">
            <v>3.6181459244935099E-4</v>
          </cell>
          <cell r="J479">
            <v>1.00185869094637E-4</v>
          </cell>
          <cell r="K479">
            <v>1.02483920643455E-4</v>
          </cell>
          <cell r="L479">
            <v>7.14307018667533E-5</v>
          </cell>
          <cell r="M479">
            <v>1.13697654731278E-4</v>
          </cell>
          <cell r="N479">
            <v>1.2478584917985299E-4</v>
          </cell>
          <cell r="O479">
            <v>1.4665702501609501E-4</v>
          </cell>
        </row>
        <row r="480">
          <cell r="A480" t="str">
            <v>T_C-ICE-GSL-S2</v>
          </cell>
          <cell r="B480" t="str">
            <v>VAR_cap</v>
          </cell>
          <cell r="C480" t="str">
            <v>-</v>
          </cell>
          <cell r="D480">
            <v>0.21743002169160475</v>
          </cell>
          <cell r="E480">
            <v>0.24345089903637626</v>
          </cell>
          <cell r="F480">
            <v>0.2426244420632537</v>
          </cell>
          <cell r="G480">
            <v>0.19256354024689734</v>
          </cell>
          <cell r="H480">
            <v>1.2915858511151825E-2</v>
          </cell>
          <cell r="I480">
            <v>1.3974679306166392E-3</v>
          </cell>
          <cell r="J480">
            <v>7.2557172594307372E-4</v>
          </cell>
          <cell r="K480">
            <v>3.9810031391861704E-4</v>
          </cell>
          <cell r="L480">
            <v>2.4016061813755325E-4</v>
          </cell>
          <cell r="M480">
            <v>2.4836113198400131E-4</v>
          </cell>
          <cell r="N480">
            <v>2.9575993757561175E-4</v>
          </cell>
          <cell r="O480">
            <v>3.8506414852247997E-4</v>
          </cell>
        </row>
        <row r="481">
          <cell r="A481" t="str">
            <v>T_C-ICE-DSL-S1</v>
          </cell>
          <cell r="B481" t="str">
            <v>VAR_fout</v>
          </cell>
          <cell r="C481" t="str">
            <v>CO2_T</v>
          </cell>
          <cell r="D481">
            <v>0.3664028396541355</v>
          </cell>
          <cell r="E481">
            <v>0.49221033316187379</v>
          </cell>
          <cell r="F481">
            <v>0.46632585757170075</v>
          </cell>
          <cell r="G481">
            <v>0.50674683869071135</v>
          </cell>
          <cell r="H481">
            <v>0.50429039123130925</v>
          </cell>
          <cell r="I481">
            <v>3.0580870866424523</v>
          </cell>
          <cell r="J481">
            <v>2.5085811595255785</v>
          </cell>
          <cell r="K481">
            <v>1.7686721385345991</v>
          </cell>
          <cell r="L481">
            <v>0.31580223283451203</v>
          </cell>
          <cell r="M481">
            <v>8.1238556695829106E-2</v>
          </cell>
          <cell r="N481">
            <v>4.89623582878543E-2</v>
          </cell>
          <cell r="O481">
            <v>4.4159270203699801E-2</v>
          </cell>
        </row>
        <row r="482">
          <cell r="A482" t="str">
            <v>T_C-ICE-DSL-S1</v>
          </cell>
          <cell r="B482" t="str">
            <v>VAR_fout</v>
          </cell>
          <cell r="C482" t="str">
            <v>TPCAR</v>
          </cell>
          <cell r="D482">
            <v>3.7519680480146123E-3</v>
          </cell>
          <cell r="E482">
            <v>5.3060767892297387E-3</v>
          </cell>
          <cell r="F482">
            <v>5.0791565372225369E-3</v>
          </cell>
          <cell r="G482">
            <v>5.1911938747564099E-3</v>
          </cell>
          <cell r="H482">
            <v>4.6447603812884552E-3</v>
          </cell>
          <cell r="I482">
            <v>2.8682560566583571E-2</v>
          </cell>
          <cell r="J482">
            <v>2.3634713444878566E-2</v>
          </cell>
          <cell r="K482">
            <v>1.6828904703422933E-2</v>
          </cell>
          <cell r="L482">
            <v>3.1204218507187315E-3</v>
          </cell>
          <cell r="M482">
            <v>9.0547645516993224E-4</v>
          </cell>
          <cell r="N482">
            <v>5.7361712850678389E-4</v>
          </cell>
          <cell r="O482">
            <v>5.3533466694940179E-4</v>
          </cell>
        </row>
        <row r="483">
          <cell r="A483" t="str">
            <v>T_C-ICE-DSL-S1</v>
          </cell>
          <cell r="B483" t="str">
            <v>VAR_fin</v>
          </cell>
          <cell r="C483" t="str">
            <v>TDSL</v>
          </cell>
          <cell r="D483">
            <v>4.9986744836853459E-3</v>
          </cell>
          <cell r="E483">
            <v>6.7150113664648679E-3</v>
          </cell>
          <cell r="F483">
            <v>6.3618807308553835E-3</v>
          </cell>
          <cell r="G483">
            <v>6.9133265851393216E-3</v>
          </cell>
          <cell r="H483">
            <v>6.8798143414912603E-3</v>
          </cell>
          <cell r="I483">
            <v>4.172015125023807E-2</v>
          </cell>
          <cell r="J483">
            <v>3.4223481030362608E-2</v>
          </cell>
          <cell r="K483">
            <v>2.4129224263773626E-2</v>
          </cell>
          <cell r="L483">
            <v>4.3083524261188621E-3</v>
          </cell>
          <cell r="M483">
            <v>1.1083022741586496E-3</v>
          </cell>
          <cell r="N483">
            <v>6.6797214580974359E-4</v>
          </cell>
          <cell r="O483">
            <v>6.024457053710752E-4</v>
          </cell>
        </row>
        <row r="484">
          <cell r="A484" t="str">
            <v>T_C-ICE-DSL-S1</v>
          </cell>
          <cell r="B484" t="str">
            <v>VAR_ncap</v>
          </cell>
          <cell r="C484" t="str">
            <v>-</v>
          </cell>
          <cell r="E484">
            <v>1.09448194244818E-4</v>
          </cell>
          <cell r="F484">
            <v>1.7385209523217501E-4</v>
          </cell>
          <cell r="G484">
            <v>2.17279440948094E-4</v>
          </cell>
          <cell r="H484">
            <v>3.8130372642758398E-4</v>
          </cell>
          <cell r="I484">
            <v>4.0176864269646003E-3</v>
          </cell>
          <cell r="J484">
            <v>7.7711111957761396E-5</v>
          </cell>
          <cell r="K484">
            <v>1.11376946067059E-4</v>
          </cell>
          <cell r="L484">
            <v>3.3630794079201301E-5</v>
          </cell>
          <cell r="M484">
            <v>2.3131175110695302E-5</v>
          </cell>
          <cell r="N484">
            <v>2.1910456176499101E-5</v>
          </cell>
          <cell r="O484">
            <v>2.7903655958205099E-5</v>
          </cell>
        </row>
        <row r="485">
          <cell r="A485" t="str">
            <v>T_C-ICE-DSL-S1</v>
          </cell>
          <cell r="B485" t="str">
            <v>VAR_cap</v>
          </cell>
          <cell r="C485" t="str">
            <v>-</v>
          </cell>
          <cell r="D485">
            <v>4.4448408217013233E-4</v>
          </cell>
          <cell r="E485">
            <v>5.808772042299185E-4</v>
          </cell>
          <cell r="F485">
            <v>7.4292581878220259E-4</v>
          </cell>
          <cell r="G485">
            <v>7.6975514755693987E-4</v>
          </cell>
          <cell r="H485">
            <v>6.8690823784181771E-4</v>
          </cell>
          <cell r="I485">
            <v>4.3434419557480163E-3</v>
          </cell>
          <cell r="J485">
            <v>3.5792982908233518E-3</v>
          </cell>
          <cell r="K485">
            <v>2.5423441635944477E-3</v>
          </cell>
          <cell r="L485">
            <v>4.6256899057437188E-4</v>
          </cell>
          <cell r="M485">
            <v>1.2514734881308504E-4</v>
          </cell>
          <cell r="N485">
            <v>7.715015124571378E-5</v>
          </cell>
          <cell r="O485">
            <v>7.2820262309923657E-5</v>
          </cell>
        </row>
        <row r="486">
          <cell r="A486" t="str">
            <v>T_C-ICE-GSL-S3</v>
          </cell>
          <cell r="B486" t="str">
            <v>VAR_fout</v>
          </cell>
          <cell r="C486" t="str">
            <v>CO2_T</v>
          </cell>
          <cell r="D486">
            <v>280.43082612220036</v>
          </cell>
          <cell r="E486">
            <v>423.86891140328254</v>
          </cell>
          <cell r="F486">
            <v>555.31912765864024</v>
          </cell>
          <cell r="G486">
            <v>464.56492294376358</v>
          </cell>
          <cell r="H486">
            <v>170.09058738319484</v>
          </cell>
          <cell r="I486">
            <v>73.246965858516262</v>
          </cell>
          <cell r="J486">
            <v>40.486150548706</v>
          </cell>
          <cell r="K486">
            <v>2.6853414812762231</v>
          </cell>
          <cell r="L486">
            <v>0.68971398774252601</v>
          </cell>
          <cell r="M486">
            <v>0.49736761924226397</v>
          </cell>
          <cell r="N486">
            <v>0.52486484839474778</v>
          </cell>
          <cell r="O486">
            <v>0.56724857669951101</v>
          </cell>
        </row>
        <row r="487">
          <cell r="A487" t="str">
            <v>T_C-ICE-GSL-S3</v>
          </cell>
          <cell r="B487" t="str">
            <v>VAR_fout</v>
          </cell>
          <cell r="C487" t="str">
            <v>TPCAR</v>
          </cell>
          <cell r="D487">
            <v>1.9629156617880981</v>
          </cell>
          <cell r="E487">
            <v>2.9637844700323446</v>
          </cell>
          <cell r="F487">
            <v>3.819835401812675</v>
          </cell>
          <cell r="G487">
            <v>3.2042897551719336</v>
          </cell>
          <cell r="H487">
            <v>1.1063751657409115</v>
          </cell>
          <cell r="I487">
            <v>0.46811897822576964</v>
          </cell>
          <cell r="J487">
            <v>0.25911225335539834</v>
          </cell>
          <cell r="K487">
            <v>1.8826076797682088E-2</v>
          </cell>
          <cell r="L487">
            <v>5.2897919464571482E-3</v>
          </cell>
          <cell r="M487">
            <v>4.3389222936362059E-3</v>
          </cell>
          <cell r="N487">
            <v>4.785647884641882E-3</v>
          </cell>
          <cell r="O487">
            <v>5.270417858181089E-3</v>
          </cell>
        </row>
        <row r="488">
          <cell r="A488" t="str">
            <v>T_C-ICE-GSL-S3</v>
          </cell>
          <cell r="B488" t="str">
            <v>VAR_fin</v>
          </cell>
          <cell r="C488" t="str">
            <v>TGSL</v>
          </cell>
          <cell r="D488">
            <v>3.7998756927127451</v>
          </cell>
          <cell r="E488">
            <v>5.7434811843263187</v>
          </cell>
          <cell r="F488">
            <v>7.524649426268839</v>
          </cell>
          <cell r="G488">
            <v>6.2949176550645465</v>
          </cell>
          <cell r="H488">
            <v>2.3047505065473586</v>
          </cell>
          <cell r="I488">
            <v>0.9925063124460205</v>
          </cell>
          <cell r="J488">
            <v>0.54859282586322344</v>
          </cell>
          <cell r="K488">
            <v>3.6386740938702221E-2</v>
          </cell>
          <cell r="L488">
            <v>9.3457179910911257E-3</v>
          </cell>
          <cell r="M488">
            <v>6.739398634719021E-3</v>
          </cell>
          <cell r="N488">
            <v>7.1119898156469736E-3</v>
          </cell>
          <cell r="O488">
            <v>7.686295077229152E-3</v>
          </cell>
        </row>
        <row r="489">
          <cell r="A489" t="str">
            <v>T_C-ICE-GSL-S3</v>
          </cell>
          <cell r="B489" t="str">
            <v>VAR_ncap</v>
          </cell>
          <cell r="C489" t="str">
            <v>-</v>
          </cell>
          <cell r="E489">
            <v>1.5145180130944399E-4</v>
          </cell>
          <cell r="F489">
            <v>6.2911872087322795E-2</v>
          </cell>
          <cell r="G489">
            <v>3.02908133279918E-3</v>
          </cell>
          <cell r="H489">
            <v>2.6251143646730001E-2</v>
          </cell>
          <cell r="I489">
            <v>1.83153481416829E-3</v>
          </cell>
          <cell r="J489">
            <v>1.45520991109725E-4</v>
          </cell>
          <cell r="K489">
            <v>1.5356236750801899E-4</v>
          </cell>
          <cell r="L489">
            <v>1.06013935836187E-4</v>
          </cell>
          <cell r="M489">
            <v>1.59063329814344E-4</v>
          </cell>
          <cell r="N489">
            <v>1.61791628702117E-4</v>
          </cell>
          <cell r="O489">
            <v>1.6898262459787399E-4</v>
          </cell>
        </row>
        <row r="490">
          <cell r="A490" t="str">
            <v>T_C-ICE-GSL-S3</v>
          </cell>
          <cell r="B490" t="str">
            <v>VAR_cap</v>
          </cell>
          <cell r="C490" t="str">
            <v>-</v>
          </cell>
          <cell r="D490">
            <v>0.18201189457399061</v>
          </cell>
          <cell r="E490">
            <v>0.20380323969991093</v>
          </cell>
          <cell r="F490">
            <v>0.26273478373343723</v>
          </cell>
          <cell r="G490">
            <v>0.22037437424570827</v>
          </cell>
          <cell r="H490">
            <v>7.6143840380793401E-2</v>
          </cell>
          <cell r="I490">
            <v>3.2231229915675612E-2</v>
          </cell>
          <cell r="J490">
            <v>1.7869936532067008E-2</v>
          </cell>
          <cell r="K490">
            <v>1.3525088742120338E-3</v>
          </cell>
          <cell r="L490">
            <v>4.498460682173544E-4</v>
          </cell>
          <cell r="M490">
            <v>3.5991582961204859E-4</v>
          </cell>
          <cell r="N490">
            <v>4.0601504841297249E-4</v>
          </cell>
          <cell r="O490">
            <v>4.8977062883935477E-4</v>
          </cell>
        </row>
        <row r="491">
          <cell r="A491" t="str">
            <v>T_C-ICE-DSL-S2</v>
          </cell>
          <cell r="B491" t="str">
            <v>VAR_fout</v>
          </cell>
          <cell r="C491" t="str">
            <v>CO2_T</v>
          </cell>
          <cell r="D491">
            <v>89.067324298235931</v>
          </cell>
          <cell r="E491">
            <v>94.122745215253119</v>
          </cell>
          <cell r="F491">
            <v>93.482660255767527</v>
          </cell>
          <cell r="G491">
            <v>56.732813871620607</v>
          </cell>
          <cell r="H491">
            <v>2.131764662424966</v>
          </cell>
          <cell r="I491">
            <v>0.58639342235487235</v>
          </cell>
          <cell r="J491">
            <v>0.46809383361172635</v>
          </cell>
          <cell r="K491">
            <v>0.39394557587802942</v>
          </cell>
          <cell r="L491">
            <v>0.24134666686904238</v>
          </cell>
          <cell r="M491">
            <v>0.16791063389619179</v>
          </cell>
          <cell r="N491">
            <v>0.1017299889106478</v>
          </cell>
          <cell r="O491">
            <v>8.835379799567139E-2</v>
          </cell>
        </row>
        <row r="492">
          <cell r="A492" t="str">
            <v>T_C-ICE-DSL-S2</v>
          </cell>
          <cell r="B492" t="str">
            <v>VAR_fout</v>
          </cell>
          <cell r="C492" t="str">
            <v>TPCAR</v>
          </cell>
          <cell r="D492">
            <v>0.84739896019055838</v>
          </cell>
          <cell r="E492">
            <v>0.90375746995819406</v>
          </cell>
          <cell r="F492">
            <v>0.89665275614944684</v>
          </cell>
          <cell r="G492">
            <v>0.58527426258475823</v>
          </cell>
          <cell r="H492">
            <v>2.2143579783245698E-2</v>
          </cell>
          <cell r="I492">
            <v>4.3043192989255857E-3</v>
          </cell>
          <cell r="J492">
            <v>3.5297079950225478E-3</v>
          </cell>
          <cell r="K492">
            <v>3.1796486575882904E-3</v>
          </cell>
          <cell r="L492">
            <v>2.0540305097638168E-3</v>
          </cell>
          <cell r="M492">
            <v>1.506048477360004E-3</v>
          </cell>
          <cell r="N492">
            <v>9.5942508277032886E-4</v>
          </cell>
          <cell r="O492">
            <v>8.6222863635558166E-4</v>
          </cell>
        </row>
        <row r="493">
          <cell r="A493" t="str">
            <v>T_C-ICE-DSL-S2</v>
          </cell>
          <cell r="B493" t="str">
            <v>VAR_fin</v>
          </cell>
          <cell r="C493" t="str">
            <v>TDSL</v>
          </cell>
          <cell r="D493">
            <v>1.2151067434957155</v>
          </cell>
          <cell r="E493">
            <v>1.2840756509584308</v>
          </cell>
          <cell r="F493">
            <v>1.2753432504197471</v>
          </cell>
          <cell r="G493">
            <v>0.77398108965375945</v>
          </cell>
          <cell r="H493">
            <v>2.90827375501359E-2</v>
          </cell>
          <cell r="I493">
            <v>7.9999102640501037E-3</v>
          </cell>
          <cell r="J493">
            <v>6.3860004585501486E-3</v>
          </cell>
          <cell r="K493">
            <v>5.3744280474492508E-3</v>
          </cell>
          <cell r="L493">
            <v>3.2925875425517384E-3</v>
          </cell>
          <cell r="M493">
            <v>2.2907317039043903E-3</v>
          </cell>
          <cell r="N493">
            <v>1.3878579660388519E-3</v>
          </cell>
          <cell r="O493">
            <v>1.2053724146749174E-3</v>
          </cell>
        </row>
        <row r="494">
          <cell r="A494" t="str">
            <v>T_C-ICE-DSL-S2</v>
          </cell>
          <cell r="B494" t="str">
            <v>VAR_ncap</v>
          </cell>
          <cell r="C494" t="str">
            <v>-</v>
          </cell>
          <cell r="E494">
            <v>6.83014349185153E-5</v>
          </cell>
          <cell r="F494">
            <v>1.64452808171364E-4</v>
          </cell>
          <cell r="G494">
            <v>1.2463634211469201E-4</v>
          </cell>
          <cell r="H494">
            <v>1.6988876121661799E-4</v>
          </cell>
          <cell r="I494">
            <v>2.04655913139471E-4</v>
          </cell>
          <cell r="J494">
            <v>7.5136801652163197E-5</v>
          </cell>
          <cell r="K494">
            <v>1.21135758610311E-4</v>
          </cell>
          <cell r="L494">
            <v>3.7956211298763399E-5</v>
          </cell>
          <cell r="M494">
            <v>2.5917183977424799E-5</v>
          </cell>
          <cell r="N494">
            <v>2.44944787141012E-5</v>
          </cell>
          <cell r="O494">
            <v>2.9773881108667101E-5</v>
          </cell>
        </row>
        <row r="495">
          <cell r="A495" t="str">
            <v>T_C-ICE-DSL-S2</v>
          </cell>
          <cell r="B495" t="str">
            <v>VAR_cap</v>
          </cell>
          <cell r="C495" t="str">
            <v>-</v>
          </cell>
          <cell r="D495">
            <v>6.4569015624725321E-2</v>
          </cell>
          <cell r="E495">
            <v>6.8572017006886865E-2</v>
          </cell>
          <cell r="F495">
            <v>6.8110063809436669E-2</v>
          </cell>
          <cell r="G495">
            <v>5.1773140189333523E-2</v>
          </cell>
          <cell r="H495">
            <v>2.1470664976998197E-3</v>
          </cell>
          <cell r="I495">
            <v>4.1914930672476322E-4</v>
          </cell>
          <cell r="J495">
            <v>3.4363859899834719E-4</v>
          </cell>
          <cell r="K495">
            <v>3.0295011123088791E-4</v>
          </cell>
          <cell r="L495">
            <v>1.9809711547513393E-4</v>
          </cell>
          <cell r="M495">
            <v>1.3859770587126415E-4</v>
          </cell>
          <cell r="N495">
            <v>8.6358925600309996E-5</v>
          </cell>
          <cell r="O495">
            <v>8.0059273798952369E-5</v>
          </cell>
        </row>
        <row r="496">
          <cell r="A496" t="str">
            <v>TPRLPH2OFCL</v>
          </cell>
          <cell r="B496" t="str">
            <v>VAR_fout</v>
          </cell>
          <cell r="C496" t="str">
            <v>TPRLP</v>
          </cell>
          <cell r="I496">
            <v>1.1834910555576342E-5</v>
          </cell>
          <cell r="J496">
            <v>1.3068779934883335E-5</v>
          </cell>
          <cell r="K496">
            <v>2.1648329545919152E-5</v>
          </cell>
          <cell r="L496">
            <v>2.2302950538363384E-5</v>
          </cell>
          <cell r="M496">
            <v>2.9832330419107529E-5</v>
          </cell>
          <cell r="N496">
            <v>2.8794406552571389E-5</v>
          </cell>
          <cell r="O496">
            <v>5.795403784436199E-5</v>
          </cell>
        </row>
        <row r="497">
          <cell r="A497" t="str">
            <v>TPRLPH2OFCL</v>
          </cell>
          <cell r="B497" t="str">
            <v>VAR_fin</v>
          </cell>
          <cell r="C497" t="str">
            <v>TH2O</v>
          </cell>
          <cell r="I497">
            <v>6.5962474643703744E-4</v>
          </cell>
          <cell r="J497">
            <v>7.0145421869606127E-4</v>
          </cell>
          <cell r="K497">
            <v>1.1205094638515149E-3</v>
          </cell>
          <cell r="L497">
            <v>1.1543924022885785E-3</v>
          </cell>
          <cell r="M497">
            <v>1.5441102969377472E-3</v>
          </cell>
          <cell r="N497">
            <v>1.4903877446851965E-3</v>
          </cell>
          <cell r="O497">
            <v>2.9996793856668607E-3</v>
          </cell>
        </row>
        <row r="498">
          <cell r="A498" t="str">
            <v>TPRLPH2OFCL</v>
          </cell>
          <cell r="B498" t="str">
            <v>VAR_ncap</v>
          </cell>
          <cell r="C498" t="str">
            <v>-</v>
          </cell>
          <cell r="I498">
            <v>2.3447032832872899E-7</v>
          </cell>
          <cell r="J498">
            <v>1.57496725315084E-8</v>
          </cell>
          <cell r="K498">
            <v>1.4562883447519601E-7</v>
          </cell>
          <cell r="M498">
            <v>1.4048666156388801E-7</v>
          </cell>
          <cell r="O498">
            <v>7.0300095964763204E-7</v>
          </cell>
        </row>
        <row r="499">
          <cell r="A499" t="str">
            <v>TPRLPH2OFCL</v>
          </cell>
          <cell r="B499" t="str">
            <v>VAR_cap</v>
          </cell>
          <cell r="C499" t="str">
            <v>-</v>
          </cell>
          <cell r="I499">
            <v>2.3447032832872899E-7</v>
          </cell>
          <cell r="J499">
            <v>2.5022000086023801E-7</v>
          </cell>
          <cell r="K499">
            <v>3.9584883533543399E-7</v>
          </cell>
          <cell r="L499">
            <v>3.9584883533543399E-7</v>
          </cell>
          <cell r="M499">
            <v>5.3633549689932195E-7</v>
          </cell>
          <cell r="N499">
            <v>4.9962917409038297E-7</v>
          </cell>
          <cell r="O499">
            <v>1.0048661282182201E-6</v>
          </cell>
        </row>
        <row r="500">
          <cell r="A500" t="str">
            <v>T_C-ICE-GSL-S4</v>
          </cell>
          <cell r="B500" t="str">
            <v>VAR_fout</v>
          </cell>
          <cell r="C500" t="str">
            <v>CO2_T</v>
          </cell>
          <cell r="D500">
            <v>289.9993758775916</v>
          </cell>
          <cell r="E500">
            <v>387.93166282638384</v>
          </cell>
          <cell r="F500">
            <v>978.91105947591075</v>
          </cell>
          <cell r="G500">
            <v>1869.1854754761002</v>
          </cell>
          <cell r="H500">
            <v>2356.6298077866845</v>
          </cell>
          <cell r="I500">
            <v>2166.4355225582995</v>
          </cell>
          <cell r="J500">
            <v>1904.7801782474348</v>
          </cell>
          <cell r="K500">
            <v>1670.167671842921</v>
          </cell>
          <cell r="L500">
            <v>1491.3819884905442</v>
          </cell>
          <cell r="M500">
            <v>1324.386016088539</v>
          </cell>
          <cell r="N500">
            <v>1209.8001471717721</v>
          </cell>
          <cell r="O500">
            <v>1123.8709046422641</v>
          </cell>
        </row>
        <row r="501">
          <cell r="A501" t="str">
            <v>T_C-ICE-GSL-S4</v>
          </cell>
          <cell r="B501" t="str">
            <v>VAR_fout</v>
          </cell>
          <cell r="C501" t="str">
            <v>TPCAR</v>
          </cell>
          <cell r="D501">
            <v>1.7292485281902064</v>
          </cell>
          <cell r="E501">
            <v>2.277647087493508</v>
          </cell>
          <cell r="F501">
            <v>5.7572711106921552</v>
          </cell>
          <cell r="G501">
            <v>11.056631070641146</v>
          </cell>
          <cell r="H501">
            <v>14.484367565560664</v>
          </cell>
          <cell r="I501">
            <v>14.068902041050569</v>
          </cell>
          <cell r="J501">
            <v>13.379391506868393</v>
          </cell>
          <cell r="K501">
            <v>12.723673950647459</v>
          </cell>
          <cell r="L501">
            <v>12.10008874842657</v>
          </cell>
          <cell r="M501">
            <v>11.507069327366985</v>
          </cell>
          <cell r="N501">
            <v>10.943110669350503</v>
          </cell>
          <cell r="O501">
            <v>10.410731425597756</v>
          </cell>
        </row>
        <row r="502">
          <cell r="A502" t="str">
            <v>T_C-ICE-GSL-S4</v>
          </cell>
          <cell r="B502" t="str">
            <v>VAR_fin</v>
          </cell>
          <cell r="C502" t="str">
            <v>TGSL</v>
          </cell>
          <cell r="D502">
            <v>3.9295308384497472</v>
          </cell>
          <cell r="E502">
            <v>5.256526596563452</v>
          </cell>
          <cell r="F502">
            <v>13.264377499673593</v>
          </cell>
          <cell r="G502">
            <v>25.327716469865795</v>
          </cell>
          <cell r="H502">
            <v>31.932653222041765</v>
          </cell>
          <cell r="I502">
            <v>29.355494885613766</v>
          </cell>
          <cell r="J502">
            <v>25.810029515547889</v>
          </cell>
          <cell r="K502">
            <v>22.630998263454195</v>
          </cell>
          <cell r="L502">
            <v>20.208428028327138</v>
          </cell>
          <cell r="M502">
            <v>17.94560997409943</v>
          </cell>
          <cell r="N502">
            <v>16.39295592373675</v>
          </cell>
          <cell r="O502">
            <v>15.228603043933115</v>
          </cell>
        </row>
        <row r="503">
          <cell r="A503" t="str">
            <v>T_C-ICE-GSL-S4</v>
          </cell>
          <cell r="B503" t="str">
            <v>VAR_ncap</v>
          </cell>
          <cell r="C503" t="str">
            <v>-</v>
          </cell>
          <cell r="E503">
            <v>1.13663160740117E-4</v>
          </cell>
          <cell r="F503">
            <v>0.28085462702119501</v>
          </cell>
          <cell r="G503">
            <v>0.51193163828720001</v>
          </cell>
          <cell r="H503">
            <v>0.57511079252989095</v>
          </cell>
          <cell r="I503">
            <v>0.45770803360991302</v>
          </cell>
          <cell r="J503">
            <v>0.51336588377001702</v>
          </cell>
          <cell r="K503">
            <v>0.54662379770661795</v>
          </cell>
          <cell r="L503">
            <v>0.459274104071976</v>
          </cell>
          <cell r="M503">
            <v>0.44524000252687801</v>
          </cell>
          <cell r="N503">
            <v>0.426141943542859</v>
          </cell>
          <cell r="O503">
            <v>0.29963075714526699</v>
          </cell>
        </row>
        <row r="504">
          <cell r="A504" t="str">
            <v>T_C-ICE-GSL-S4</v>
          </cell>
          <cell r="B504" t="str">
            <v>VAR_cap</v>
          </cell>
          <cell r="C504" t="str">
            <v>-</v>
          </cell>
          <cell r="D504">
            <v>0.15707509217685475</v>
          </cell>
          <cell r="E504">
            <v>0.17937607472690262</v>
          </cell>
          <cell r="F504">
            <v>0.45358415919072692</v>
          </cell>
          <cell r="G504">
            <v>0.87082180145045407</v>
          </cell>
          <cell r="H504">
            <v>1.1409958124417907</v>
          </cell>
          <cell r="I504">
            <v>1.2047781708156462</v>
          </cell>
          <cell r="J504">
            <v>1.2208022020168789</v>
          </cell>
          <cell r="K504">
            <v>1.2386497352839454</v>
          </cell>
          <cell r="L504">
            <v>1.2420953239514119</v>
          </cell>
          <cell r="M504">
            <v>1.2423767056180828</v>
          </cell>
          <cell r="N504">
            <v>1.230690890263467</v>
          </cell>
          <cell r="O504">
            <v>1.1710126165397698</v>
          </cell>
        </row>
        <row r="505">
          <cell r="A505" t="str">
            <v>T_C-ICE-DSL-S3</v>
          </cell>
          <cell r="B505" t="str">
            <v>VAR_fout</v>
          </cell>
          <cell r="C505" t="str">
            <v>CO2_T</v>
          </cell>
          <cell r="D505">
            <v>367.48918012927697</v>
          </cell>
          <cell r="E505">
            <v>390.54870150870835</v>
          </cell>
          <cell r="F505">
            <v>386.89617936690894</v>
          </cell>
          <cell r="G505">
            <v>295.68255422554643</v>
          </cell>
          <cell r="H505">
            <v>10.617844675601177</v>
          </cell>
          <cell r="I505">
            <v>0.55942493981805086</v>
          </cell>
          <cell r="J505">
            <v>0.50141023060905698</v>
          </cell>
          <cell r="K505">
            <v>0.55574664071013902</v>
          </cell>
          <cell r="L505">
            <v>0.37319290058576643</v>
          </cell>
          <cell r="M505">
            <v>0.26235288806312962</v>
          </cell>
          <cell r="N505">
            <v>0.13961497819578811</v>
          </cell>
          <cell r="O505">
            <v>0.10869591634747469</v>
          </cell>
        </row>
        <row r="506">
          <cell r="A506" t="str">
            <v>T_C-ICE-DSL-S3</v>
          </cell>
          <cell r="B506" t="str">
            <v>VAR_fout</v>
          </cell>
          <cell r="C506" t="str">
            <v>TPCAR</v>
          </cell>
          <cell r="D506">
            <v>2.6477369285545906</v>
          </cell>
          <cell r="E506">
            <v>2.836877805894173</v>
          </cell>
          <cell r="F506">
            <v>2.8078978670299195</v>
          </cell>
          <cell r="G506">
            <v>2.18306734169848</v>
          </cell>
          <cell r="H506">
            <v>8.4986427804032608E-2</v>
          </cell>
          <cell r="I506">
            <v>3.7984611899032324E-3</v>
          </cell>
          <cell r="J506">
            <v>3.5422373136600118E-3</v>
          </cell>
          <cell r="K506">
            <v>4.2371183870654862E-3</v>
          </cell>
          <cell r="L506">
            <v>2.9700779643055718E-3</v>
          </cell>
          <cell r="M506">
            <v>2.1770923783064164E-3</v>
          </cell>
          <cell r="N506">
            <v>1.2202681873010027E-3</v>
          </cell>
          <cell r="O506">
            <v>9.8700776226444626E-4</v>
          </cell>
        </row>
        <row r="507">
          <cell r="A507" t="str">
            <v>T_C-ICE-DSL-S3</v>
          </cell>
          <cell r="B507" t="str">
            <v>VAR_fin</v>
          </cell>
          <cell r="C507" t="str">
            <v>TDSL</v>
          </cell>
          <cell r="D507">
            <v>5.0134949540147016</v>
          </cell>
          <cell r="E507">
            <v>5.3280859687408952</v>
          </cell>
          <cell r="F507">
            <v>5.2782561987300074</v>
          </cell>
          <cell r="G507">
            <v>4.0338684068969517</v>
          </cell>
          <cell r="H507">
            <v>0.144854634046401</v>
          </cell>
          <cell r="I507">
            <v>7.6319909934249855E-3</v>
          </cell>
          <cell r="J507">
            <v>6.8405215635615017E-3</v>
          </cell>
          <cell r="K507">
            <v>7.5818095594834805E-3</v>
          </cell>
          <cell r="L507">
            <v>5.0913083299558874E-3</v>
          </cell>
          <cell r="M507">
            <v>3.5791662764410618E-3</v>
          </cell>
          <cell r="N507">
            <v>1.9047063873913821E-3</v>
          </cell>
          <cell r="O507">
            <v>1.4828910825030659E-3</v>
          </cell>
        </row>
        <row r="508">
          <cell r="A508" t="str">
            <v>T_C-ICE-DSL-S3</v>
          </cell>
          <cell r="B508" t="str">
            <v>VAR_ncap</v>
          </cell>
          <cell r="C508" t="str">
            <v>-</v>
          </cell>
          <cell r="E508">
            <v>7.9764351297312804E-5</v>
          </cell>
          <cell r="F508">
            <v>1.09607232211455E-4</v>
          </cell>
          <cell r="G508">
            <v>8.8781398252308006E-5</v>
          </cell>
          <cell r="H508">
            <v>1.17573379321959E-4</v>
          </cell>
          <cell r="I508">
            <v>1.5157634029760899E-4</v>
          </cell>
          <cell r="J508">
            <v>8.3649182929789993E-5</v>
          </cell>
          <cell r="K508">
            <v>1.6827087147448601E-4</v>
          </cell>
          <cell r="L508">
            <v>4.53744399059907E-5</v>
          </cell>
          <cell r="M508">
            <v>2.7719694900625801E-5</v>
          </cell>
          <cell r="N508">
            <v>2.58042548662928E-5</v>
          </cell>
          <cell r="O508">
            <v>3.0661937692339801E-5</v>
          </cell>
        </row>
        <row r="509">
          <cell r="A509" t="str">
            <v>T_C-ICE-DSL-S3</v>
          </cell>
          <cell r="B509" t="str">
            <v>VAR_cap</v>
          </cell>
          <cell r="C509" t="str">
            <v>-</v>
          </cell>
          <cell r="D509">
            <v>0.1832408658654853</v>
          </cell>
          <cell r="E509">
            <v>0.19507511757414694</v>
          </cell>
          <cell r="F509">
            <v>0.19314487555377238</v>
          </cell>
          <cell r="G509">
            <v>0.15015839934179831</v>
          </cell>
          <cell r="H509">
            <v>5.8838430058818147E-3</v>
          </cell>
          <cell r="I509">
            <v>3.004459852439648E-4</v>
          </cell>
          <cell r="J509">
            <v>2.7628545207133455E-4</v>
          </cell>
          <cell r="K509">
            <v>3.2531351335539116E-4</v>
          </cell>
          <cell r="L509">
            <v>2.4714967145237553E-4</v>
          </cell>
          <cell r="M509">
            <v>1.7700325721474515E-4</v>
          </cell>
          <cell r="N509">
            <v>9.8475503149759143E-5</v>
          </cell>
          <cell r="O509">
            <v>8.4095740515134388E-5</v>
          </cell>
        </row>
        <row r="510">
          <cell r="A510" t="str">
            <v>T_C-ICE-DSL-S4</v>
          </cell>
          <cell r="B510" t="str">
            <v>VAR_fout</v>
          </cell>
          <cell r="C510" t="str">
            <v>CO2_T</v>
          </cell>
          <cell r="D510">
            <v>141.02406796402229</v>
          </cell>
          <cell r="E510">
            <v>162.07127028229624</v>
          </cell>
          <cell r="F510">
            <v>159.18852455887844</v>
          </cell>
          <cell r="G510">
            <v>121.33894333600658</v>
          </cell>
          <cell r="H510">
            <v>8.125604145433531</v>
          </cell>
          <cell r="I510">
            <v>0.43374360644569709</v>
          </cell>
          <cell r="J510">
            <v>0.42022297641549738</v>
          </cell>
          <cell r="K510">
            <v>0.50814037630114206</v>
          </cell>
          <cell r="L510">
            <v>0.3602194832053342</v>
          </cell>
          <cell r="M510">
            <v>0.2456833305097367</v>
          </cell>
          <cell r="N510">
            <v>0.1192277065845533</v>
          </cell>
          <cell r="O510">
            <v>9.4660708243542391E-2</v>
          </cell>
        </row>
        <row r="511">
          <cell r="A511" t="str">
            <v>T_C-ICE-DSL-S4</v>
          </cell>
          <cell r="B511" t="str">
            <v>VAR_fout</v>
          </cell>
          <cell r="C511" t="str">
            <v>TPCAR</v>
          </cell>
          <cell r="D511">
            <v>0.89697704104060705</v>
          </cell>
          <cell r="E511">
            <v>1.0076447463750016</v>
          </cell>
          <cell r="F511">
            <v>0.99192209013524912</v>
          </cell>
          <cell r="G511">
            <v>0.76800601633643595</v>
          </cell>
          <cell r="H511">
            <v>4.3493652799597035E-2</v>
          </cell>
          <cell r="I511">
            <v>2.781764493603562E-3</v>
          </cell>
          <cell r="J511">
            <v>2.809635031018855E-3</v>
          </cell>
          <cell r="K511">
            <v>3.6447910742739256E-3</v>
          </cell>
          <cell r="L511">
            <v>2.6900195178525968E-3</v>
          </cell>
          <cell r="M511">
            <v>1.9057492331719175E-3</v>
          </cell>
          <cell r="N511">
            <v>9.7144365481445256E-4</v>
          </cell>
          <cell r="O511">
            <v>8.0245387193223112E-4</v>
          </cell>
        </row>
        <row r="512">
          <cell r="A512" t="str">
            <v>T_C-ICE-DSL-S4</v>
          </cell>
          <cell r="B512" t="str">
            <v>VAR_fin</v>
          </cell>
          <cell r="C512" t="str">
            <v>TDSL</v>
          </cell>
          <cell r="D512">
            <v>1.9239299858666083</v>
          </cell>
          <cell r="E512">
            <v>2.2110678073983157</v>
          </cell>
          <cell r="F512">
            <v>2.1717397620583645</v>
          </cell>
          <cell r="G512">
            <v>1.6553743974898574</v>
          </cell>
          <cell r="H512">
            <v>0.11085408111096225</v>
          </cell>
          <cell r="I512">
            <v>5.9173752584679067E-3</v>
          </cell>
          <cell r="J512">
            <v>5.7329191871145751E-3</v>
          </cell>
          <cell r="K512">
            <v>6.9323380122938748E-3</v>
          </cell>
          <cell r="L512">
            <v>4.914317642637573E-3</v>
          </cell>
          <cell r="M512">
            <v>3.3517507572951855E-3</v>
          </cell>
          <cell r="N512">
            <v>1.6265717132954069E-3</v>
          </cell>
          <cell r="O512">
            <v>1.2914148464330481E-3</v>
          </cell>
        </row>
        <row r="513">
          <cell r="A513" t="str">
            <v>T_C-ICE-DSL-S4</v>
          </cell>
          <cell r="B513" t="str">
            <v>VAR_ncap</v>
          </cell>
          <cell r="C513" t="str">
            <v>-</v>
          </cell>
          <cell r="E513">
            <v>3.2033040704423498E-5</v>
          </cell>
          <cell r="F513">
            <v>5.5115255766832697E-5</v>
          </cell>
          <cell r="G513">
            <v>5.5177693750168102E-5</v>
          </cell>
          <cell r="H513">
            <v>9.3683547424253501E-5</v>
          </cell>
          <cell r="I513">
            <v>1.5456856652085199E-4</v>
          </cell>
          <cell r="J513">
            <v>8.5090809080774505E-5</v>
          </cell>
          <cell r="K513">
            <v>1.8046393028162499E-4</v>
          </cell>
          <cell r="L513">
            <v>4.4018522036536501E-5</v>
          </cell>
          <cell r="M513">
            <v>2.5174127530619701E-5</v>
          </cell>
          <cell r="N513">
            <v>2.2526083544465699E-5</v>
          </cell>
          <cell r="O513">
            <v>3.0906101216032299E-5</v>
          </cell>
        </row>
        <row r="514">
          <cell r="A514" t="str">
            <v>T_C-ICE-DSL-S4</v>
          </cell>
          <cell r="B514" t="str">
            <v>VAR_cap</v>
          </cell>
          <cell r="C514" t="str">
            <v>-</v>
          </cell>
          <cell r="D514">
            <v>7.1261813985126432E-2</v>
          </cell>
          <cell r="E514">
            <v>7.9369032041981993E-2</v>
          </cell>
          <cell r="F514">
            <v>7.8285712851166936E-2</v>
          </cell>
          <cell r="G514">
            <v>6.1173944733268412E-2</v>
          </cell>
          <cell r="H514">
            <v>3.54155920122239E-3</v>
          </cell>
          <cell r="I514">
            <v>2.6189639258242101E-4</v>
          </cell>
          <cell r="J514">
            <v>2.653194948369825E-4</v>
          </cell>
          <cell r="K514">
            <v>3.4030935143599094E-4</v>
          </cell>
          <cell r="L514">
            <v>2.5736304587422931E-4</v>
          </cell>
          <cell r="M514">
            <v>1.80625528798308E-4</v>
          </cell>
          <cell r="N514">
            <v>9.2721883672833687E-5</v>
          </cell>
          <cell r="O514">
            <v>7.8483029241439647E-5</v>
          </cell>
        </row>
        <row r="515">
          <cell r="A515" t="str">
            <v>TFLGV-ICENGAExt</v>
          </cell>
          <cell r="B515" t="str">
            <v>VAR_fout</v>
          </cell>
          <cell r="C515" t="str">
            <v>CO2_T</v>
          </cell>
          <cell r="D515">
            <v>6.0092709885506901</v>
          </cell>
          <cell r="E515">
            <v>1.8293455987026801</v>
          </cell>
          <cell r="F515">
            <v>3.93495284730857</v>
          </cell>
          <cell r="G515">
            <v>5.9399543308428105E-4</v>
          </cell>
        </row>
        <row r="516">
          <cell r="A516" t="str">
            <v>TFLGV-ICENGAExt</v>
          </cell>
          <cell r="B516" t="str">
            <v>VAR_fout</v>
          </cell>
          <cell r="C516" t="str">
            <v>TFLGV</v>
          </cell>
          <cell r="D516">
            <v>2.9575762553375327E-2</v>
          </cell>
          <cell r="E516">
            <v>9.087382611872542E-3</v>
          </cell>
          <cell r="F516">
            <v>1.9817857477111109E-2</v>
          </cell>
          <cell r="G516">
            <v>2.9915776101283625E-6</v>
          </cell>
        </row>
        <row r="517">
          <cell r="A517" t="str">
            <v>TFLGV-ICENGAExt</v>
          </cell>
          <cell r="B517" t="str">
            <v>VAR_fin</v>
          </cell>
          <cell r="C517" t="str">
            <v>TNGA</v>
          </cell>
          <cell r="D517">
            <v>0.10654735795302636</v>
          </cell>
          <cell r="E517">
            <v>3.2435205650756728E-2</v>
          </cell>
          <cell r="F517">
            <v>6.9768667505470977E-2</v>
          </cell>
          <cell r="G517">
            <v>1.0531833919934047E-5</v>
          </cell>
        </row>
        <row r="518">
          <cell r="A518" t="str">
            <v>TFLGV-ICENGAExt</v>
          </cell>
          <cell r="B518" t="str">
            <v>VAR_cap</v>
          </cell>
          <cell r="C518" t="str">
            <v>-</v>
          </cell>
          <cell r="D518">
            <v>2.0848453147526095E-3</v>
          </cell>
          <cell r="E518">
            <v>1.8065391718003114E-3</v>
          </cell>
          <cell r="F518">
            <v>1.389973879180573E-3</v>
          </cell>
          <cell r="G518">
            <v>5.2924875077950406E-8</v>
          </cell>
        </row>
        <row r="519">
          <cell r="A519" t="str">
            <v>D-TGSL</v>
          </cell>
          <cell r="B519" t="str">
            <v>VAR_fout</v>
          </cell>
          <cell r="C519" t="str">
            <v>CO2</v>
          </cell>
          <cell r="D519">
            <v>5893.5619464332704</v>
          </cell>
          <cell r="E519">
            <v>5605.5112775220196</v>
          </cell>
          <cell r="F519">
            <v>5896.9389534254597</v>
          </cell>
          <cell r="G519">
            <v>4304.49493999284</v>
          </cell>
          <cell r="H519">
            <v>3300.8621558607001</v>
          </cell>
          <cell r="I519">
            <v>2840.4641482192701</v>
          </cell>
          <cell r="J519">
            <v>2443.0184799549002</v>
          </cell>
          <cell r="K519">
            <v>2114.7016492278999</v>
          </cell>
          <cell r="L519">
            <v>1932.2534389079899</v>
          </cell>
          <cell r="M519">
            <v>1756.91700044653</v>
          </cell>
          <cell r="N519">
            <v>1623.77898823896</v>
          </cell>
          <cell r="O519">
            <v>1553.7303542008999</v>
          </cell>
        </row>
        <row r="520">
          <cell r="A520" t="str">
            <v>D-TGSL</v>
          </cell>
          <cell r="B520" t="str">
            <v>VAR_fout</v>
          </cell>
          <cell r="C520" t="str">
            <v>TGSL</v>
          </cell>
          <cell r="D520">
            <v>83.241857842708271</v>
          </cell>
          <cell r="E520">
            <v>79.173259155167102</v>
          </cell>
          <cell r="F520">
            <v>83.289657527846586</v>
          </cell>
          <cell r="G520">
            <v>61.523445266879037</v>
          </cell>
          <cell r="H520">
            <v>46.91817622211078</v>
          </cell>
          <cell r="I520">
            <v>40.120580108609886</v>
          </cell>
          <cell r="J520">
            <v>34.506996578876759</v>
          </cell>
          <cell r="K520">
            <v>29.871202727065622</v>
          </cell>
          <cell r="L520">
            <v>27.292863015758645</v>
          </cell>
          <cell r="M520">
            <v>24.817831750416239</v>
          </cell>
          <cell r="N520">
            <v>22.936672546999731</v>
          </cell>
          <cell r="O520">
            <v>21.950191212387466</v>
          </cell>
        </row>
        <row r="521">
          <cell r="A521" t="str">
            <v>D-TGSL</v>
          </cell>
          <cell r="B521" t="str">
            <v>VAR_fin</v>
          </cell>
          <cell r="C521" t="str">
            <v>GSL</v>
          </cell>
          <cell r="D521">
            <v>79.858562959800452</v>
          </cell>
          <cell r="E521">
            <v>75.955437364796921</v>
          </cell>
          <cell r="F521">
            <v>79.904321862133671</v>
          </cell>
          <cell r="G521">
            <v>58.326489701799971</v>
          </cell>
          <cell r="H521">
            <v>44.727129483207371</v>
          </cell>
          <cell r="I521">
            <v>38.488674095112096</v>
          </cell>
          <cell r="J521">
            <v>33.103231435703201</v>
          </cell>
          <cell r="K521">
            <v>28.65449389197704</v>
          </cell>
          <cell r="L521">
            <v>26.182295920162538</v>
          </cell>
          <cell r="M521">
            <v>23.806463420684633</v>
          </cell>
          <cell r="N521">
            <v>22.002425314891092</v>
          </cell>
          <cell r="O521">
            <v>21.053256831990549</v>
          </cell>
        </row>
        <row r="522">
          <cell r="A522" t="str">
            <v>D-TGSL</v>
          </cell>
          <cell r="B522" t="str">
            <v>VAR_fin</v>
          </cell>
          <cell r="C522" t="str">
            <v>ETH</v>
          </cell>
          <cell r="D522">
            <v>4.6248723578772539</v>
          </cell>
          <cell r="E522">
            <v>4.3987148264475247</v>
          </cell>
          <cell r="F522">
            <v>4.6276260248748589</v>
          </cell>
          <cell r="G522">
            <v>4.1145978564545</v>
          </cell>
          <cell r="H522">
            <v>2.8908454860732924</v>
          </cell>
          <cell r="I522">
            <v>2.2303165647268166</v>
          </cell>
          <cell r="J522">
            <v>1.9184474032037848</v>
          </cell>
          <cell r="K522">
            <v>1.6622468318320807</v>
          </cell>
          <cell r="L522">
            <v>1.5176483780118855</v>
          </cell>
          <cell r="M522">
            <v>1.3815337744453107</v>
          </cell>
          <cell r="N522">
            <v>1.27635462001412</v>
          </cell>
          <cell r="O522">
            <v>1.2243281017097454</v>
          </cell>
        </row>
        <row r="523">
          <cell r="A523" t="str">
            <v>T_TW-BEVELC-S1</v>
          </cell>
          <cell r="B523" t="str">
            <v>VAR_fout</v>
          </cell>
          <cell r="C523" t="str">
            <v>TPTWL</v>
          </cell>
          <cell r="D523">
            <v>1.7684653278865113E-2</v>
          </cell>
          <cell r="E523">
            <v>2.5773104745070864E-2</v>
          </cell>
          <cell r="F523">
            <v>2.6247985820298234E-2</v>
          </cell>
          <cell r="G523">
            <v>1.9313150652816826E-2</v>
          </cell>
          <cell r="H523">
            <v>7.7597774211431705E-3</v>
          </cell>
          <cell r="I523">
            <v>1.0412067814275805E-2</v>
          </cell>
          <cell r="J523">
            <v>1.6535471141382332E-2</v>
          </cell>
          <cell r="K523">
            <v>3.191773911872034E-2</v>
          </cell>
          <cell r="L523">
            <v>5.5526535792772821E-2</v>
          </cell>
          <cell r="M523">
            <v>7.139864939972973E-2</v>
          </cell>
          <cell r="N523">
            <v>6.5622590997021987E-2</v>
          </cell>
          <cell r="O523">
            <v>8.7544715470001977E-2</v>
          </cell>
        </row>
        <row r="524">
          <cell r="A524" t="str">
            <v>T_TW-BEVELC-S1</v>
          </cell>
          <cell r="B524" t="str">
            <v>VAR_fin</v>
          </cell>
          <cell r="C524" t="str">
            <v>T-ELC-TWSTGout_S1</v>
          </cell>
          <cell r="D524">
            <v>1.5933660307033751E-3</v>
          </cell>
          <cell r="E524">
            <v>2.3199842982351043E-3</v>
          </cell>
          <cell r="F524">
            <v>2.3617520014352529E-3</v>
          </cell>
          <cell r="G524">
            <v>1.7336627232784486E-3</v>
          </cell>
          <cell r="H524">
            <v>6.7638857263941895E-4</v>
          </cell>
          <cell r="I524">
            <v>9.0019625517252582E-4</v>
          </cell>
          <cell r="J524">
            <v>1.4134352769628151E-3</v>
          </cell>
          <cell r="K524">
            <v>2.6902570155896447E-3</v>
          </cell>
          <cell r="L524">
            <v>4.6644918093851784E-3</v>
          </cell>
          <cell r="M524">
            <v>5.9929052740437128E-3</v>
          </cell>
          <cell r="N524">
            <v>5.5080869874823656E-3</v>
          </cell>
          <cell r="O524">
            <v>7.3481388158697734E-3</v>
          </cell>
        </row>
        <row r="525">
          <cell r="A525" t="str">
            <v>T_TW-BEVELC-S1</v>
          </cell>
          <cell r="B525" t="str">
            <v>VAR_ncap</v>
          </cell>
          <cell r="C525" t="str">
            <v>-</v>
          </cell>
          <cell r="D525">
            <v>3.5529369532270497E-4</v>
          </cell>
          <cell r="E525">
            <v>6.3006138585670196E-4</v>
          </cell>
          <cell r="F525">
            <v>3.50060162094997E-4</v>
          </cell>
          <cell r="G525">
            <v>5.8814733893378904E-4</v>
          </cell>
          <cell r="H525">
            <v>2.0939930181938498E-3</v>
          </cell>
          <cell r="I525">
            <v>1.5802092869746901E-3</v>
          </cell>
          <cell r="J525">
            <v>3.3208737190002198E-3</v>
          </cell>
          <cell r="K525">
            <v>7.6391121170853301E-3</v>
          </cell>
          <cell r="L525">
            <v>1.03284675444085E-2</v>
          </cell>
          <cell r="M525">
            <v>1.11592762934111E-2</v>
          </cell>
          <cell r="N525">
            <v>1.0233848735240801E-2</v>
          </cell>
          <cell r="O525">
            <v>1.38836104083508E-2</v>
          </cell>
        </row>
        <row r="526">
          <cell r="A526" t="str">
            <v>T_TW-BEVELC-S1</v>
          </cell>
          <cell r="B526" t="str">
            <v>VAR_cap</v>
          </cell>
          <cell r="C526" t="str">
            <v>-</v>
          </cell>
          <cell r="D526">
            <v>6.2957359141063863E-3</v>
          </cell>
          <cell r="E526">
            <v>8.8796260405616181E-3</v>
          </cell>
          <cell r="F526">
            <v>9.228081844086404E-3</v>
          </cell>
          <cell r="G526">
            <v>6.9365482868995309E-3</v>
          </cell>
          <cell r="H526">
            <v>2.8610011757631798E-3</v>
          </cell>
          <cell r="I526">
            <v>3.7972356500197302E-3</v>
          </cell>
          <cell r="J526">
            <v>5.9861982943501422E-3</v>
          </cell>
          <cell r="K526">
            <v>1.1498733063885476E-2</v>
          </cell>
          <cell r="L526">
            <v>1.9460467593535619E-2</v>
          </cell>
          <cell r="M526">
            <v>2.539981531466683E-2</v>
          </cell>
          <cell r="N526">
            <v>2.3221454078902876E-2</v>
          </cell>
          <cell r="O526">
            <v>3.1645114193335211E-2</v>
          </cell>
        </row>
        <row r="527">
          <cell r="A527" t="str">
            <v>T_TW-BEVELC-S2</v>
          </cell>
          <cell r="B527" t="str">
            <v>VAR_fout</v>
          </cell>
          <cell r="C527" t="str">
            <v>TPTWL</v>
          </cell>
          <cell r="D527">
            <v>2.2660924421810352E-3</v>
          </cell>
          <cell r="E527">
            <v>3.4269446712730184E-3</v>
          </cell>
          <cell r="F527">
            <v>3.7896517930653037E-3</v>
          </cell>
          <cell r="G527">
            <v>3.7978311013599098E-3</v>
          </cell>
          <cell r="H527">
            <v>2.6413019658892644E-3</v>
          </cell>
          <cell r="I527">
            <v>2.8727822523048042E-3</v>
          </cell>
          <cell r="J527">
            <v>3.9971019803290214E-3</v>
          </cell>
          <cell r="K527">
            <v>5.4809650519329327E-3</v>
          </cell>
          <cell r="L527">
            <v>6.5315213637990553E-3</v>
          </cell>
          <cell r="M527">
            <v>8.4004864853650454E-3</v>
          </cell>
          <cell r="N527">
            <v>7.8625830124942099E-3</v>
          </cell>
          <cell r="O527">
            <v>1.0896963320096112E-2</v>
          </cell>
        </row>
        <row r="528">
          <cell r="A528" t="str">
            <v>T_TW-BEVELC-S2</v>
          </cell>
          <cell r="B528" t="str">
            <v>VAR_fin</v>
          </cell>
          <cell r="C528" t="str">
            <v>T-ELC-TWSTGout_S2</v>
          </cell>
          <cell r="D528">
            <v>3.605829671925026E-4</v>
          </cell>
          <cell r="E528">
            <v>5.4460461979270963E-4</v>
          </cell>
          <cell r="F528">
            <v>6.0131818276872799E-4</v>
          </cell>
          <cell r="G528">
            <v>6.0041660531797054E-4</v>
          </cell>
          <cell r="H528">
            <v>4.0892919865601887E-4</v>
          </cell>
          <cell r="I528">
            <v>4.3897263776049376E-4</v>
          </cell>
          <cell r="J528">
            <v>6.0498081926546241E-4</v>
          </cell>
          <cell r="K528">
            <v>8.1896995353473014E-4</v>
          </cell>
          <cell r="L528">
            <v>9.7012527236771959E-4</v>
          </cell>
          <cell r="M528">
            <v>1.2451346126771509E-3</v>
          </cell>
          <cell r="N528">
            <v>1.165405631085724E-3</v>
          </cell>
          <cell r="O528">
            <v>1.6151667199944789E-3</v>
          </cell>
        </row>
        <row r="529">
          <cell r="A529" t="str">
            <v>T_TW-BEVELC-S2</v>
          </cell>
          <cell r="B529" t="str">
            <v>VAR_ncap</v>
          </cell>
          <cell r="C529" t="str">
            <v>-</v>
          </cell>
          <cell r="D529">
            <v>6.9745144574470102E-5</v>
          </cell>
          <cell r="E529">
            <v>2.37855642982269E-4</v>
          </cell>
          <cell r="F529">
            <v>1.8680837964788299E-4</v>
          </cell>
          <cell r="G529">
            <v>2.1048350582132401E-4</v>
          </cell>
          <cell r="H529">
            <v>5.2194619679993596E-4</v>
          </cell>
          <cell r="I529">
            <v>4.4286313013029298E-4</v>
          </cell>
          <cell r="J529">
            <v>6.36278732554174E-4</v>
          </cell>
          <cell r="K529">
            <v>1.0212274018926899E-3</v>
          </cell>
          <cell r="L529">
            <v>9.7455760553323003E-4</v>
          </cell>
          <cell r="M529">
            <v>1.2214712832046E-3</v>
          </cell>
          <cell r="N529">
            <v>1.26706241756549E-3</v>
          </cell>
          <cell r="O529">
            <v>1.7426349255895801E-3</v>
          </cell>
        </row>
        <row r="530">
          <cell r="A530" t="str">
            <v>T_TW-BEVELC-S2</v>
          </cell>
          <cell r="B530" t="str">
            <v>VAR_cap</v>
          </cell>
          <cell r="C530" t="str">
            <v>-</v>
          </cell>
          <cell r="D530">
            <v>8.5449243738867312E-4</v>
          </cell>
          <cell r="E530">
            <v>1.2100951584769586E-3</v>
          </cell>
          <cell r="F530">
            <v>1.3965713943623937E-3</v>
          </cell>
          <cell r="G530">
            <v>1.4400968722101675E-3</v>
          </cell>
          <cell r="H530">
            <v>1.0105871418281424E-3</v>
          </cell>
          <cell r="I530">
            <v>1.0938976578639857E-3</v>
          </cell>
          <cell r="J530">
            <v>1.5189355813940788E-3</v>
          </cell>
          <cell r="K530">
            <v>2.0997325152111676E-3</v>
          </cell>
          <cell r="L530">
            <v>2.4607995554015278E-3</v>
          </cell>
          <cell r="M530">
            <v>3.2158500985082828E-3</v>
          </cell>
          <cell r="N530">
            <v>2.993142263032717E-3</v>
          </cell>
          <cell r="O530">
            <v>4.2297703504367437E-3</v>
          </cell>
        </row>
        <row r="531">
          <cell r="A531" t="str">
            <v>TFRLFH2OFCL</v>
          </cell>
          <cell r="B531" t="str">
            <v>VAR_fout</v>
          </cell>
          <cell r="C531" t="str">
            <v>TFRLF</v>
          </cell>
          <cell r="I531">
            <v>3.9690639479357465E-6</v>
          </cell>
          <cell r="J531">
            <v>6.0277924367370807E-6</v>
          </cell>
          <cell r="K531">
            <v>1.0821046128279985E-5</v>
          </cell>
          <cell r="L531">
            <v>1.1132516277716541E-5</v>
          </cell>
          <cell r="M531">
            <v>1.4860643582154476E-5</v>
          </cell>
          <cell r="N531">
            <v>1.4483809406733888E-5</v>
          </cell>
          <cell r="O531">
            <v>2.7283615315311059E-5</v>
          </cell>
        </row>
        <row r="532">
          <cell r="A532" t="str">
            <v>TFRLFH2OFCL</v>
          </cell>
          <cell r="B532" t="str">
            <v>VAR_fin</v>
          </cell>
          <cell r="C532" t="str">
            <v>TH2O</v>
          </cell>
          <cell r="I532">
            <v>5.4394039076749131E-4</v>
          </cell>
          <cell r="J532">
            <v>9.1116390588956279E-4</v>
          </cell>
          <cell r="K532">
            <v>1.8235362474633833E-3</v>
          </cell>
          <cell r="L532">
            <v>1.8760244358295734E-3</v>
          </cell>
          <cell r="M532">
            <v>2.5042793378240742E-3</v>
          </cell>
          <cell r="N532">
            <v>2.4407761635453396E-3</v>
          </cell>
          <cell r="O532">
            <v>4.5977681731983414E-3</v>
          </cell>
        </row>
        <row r="533">
          <cell r="A533" t="str">
            <v>TFRLFH2OFCL</v>
          </cell>
          <cell r="B533" t="str">
            <v>VAR_ncap</v>
          </cell>
          <cell r="C533" t="str">
            <v>-</v>
          </cell>
          <cell r="I533">
            <v>5.7380099169266597E-7</v>
          </cell>
          <cell r="J533">
            <v>4.6118411920509798E-8</v>
          </cell>
          <cell r="K533">
            <v>4.9453855546746899E-7</v>
          </cell>
          <cell r="M533">
            <v>3.9882572046923398E-7</v>
          </cell>
          <cell r="N533">
            <v>4.3618218507776198E-8</v>
          </cell>
          <cell r="O533">
            <v>1.7908178511264501E-6</v>
          </cell>
        </row>
        <row r="534">
          <cell r="A534" t="str">
            <v>TFRLFH2OFCL</v>
          </cell>
          <cell r="B534" t="str">
            <v>VAR_cap</v>
          </cell>
          <cell r="C534" t="str">
            <v>-</v>
          </cell>
          <cell r="I534">
            <v>5.7380099169266597E-7</v>
          </cell>
          <cell r="J534">
            <v>6.19919403613176E-7</v>
          </cell>
          <cell r="K534">
            <v>1.11445795908064E-6</v>
          </cell>
          <cell r="L534">
            <v>1.11445795908064E-6</v>
          </cell>
          <cell r="M534">
            <v>1.51328367954988E-6</v>
          </cell>
          <cell r="N534">
            <v>1.46707337016124E-6</v>
          </cell>
          <cell r="O534">
            <v>2.77391875749144E-6</v>
          </cell>
        </row>
        <row r="535">
          <cell r="A535" t="str">
            <v>T_TW-BEVELC-S3</v>
          </cell>
          <cell r="B535" t="str">
            <v>VAR_fout</v>
          </cell>
          <cell r="C535" t="str">
            <v>TPTWL</v>
          </cell>
          <cell r="D535">
            <v>6.0297535266550114E-4</v>
          </cell>
          <cell r="E535">
            <v>1.1924155680212174E-3</v>
          </cell>
          <cell r="F535">
            <v>1.6082822463478685E-3</v>
          </cell>
          <cell r="G535">
            <v>1.9110377526630963E-3</v>
          </cell>
          <cell r="H535">
            <v>2.6519512972915807E-3</v>
          </cell>
          <cell r="I535">
            <v>2.8830412850293936E-3</v>
          </cell>
          <cell r="J535">
            <v>2.7892195637679684E-3</v>
          </cell>
          <cell r="K535">
            <v>3.6968580947708612E-3</v>
          </cell>
          <cell r="L535">
            <v>4.4087757073831583E-3</v>
          </cell>
          <cell r="M535">
            <v>5.1322615966519543E-3</v>
          </cell>
          <cell r="N535">
            <v>5.8567881276977143E-3</v>
          </cell>
          <cell r="O535">
            <v>6.9325507232230917E-3</v>
          </cell>
        </row>
        <row r="536">
          <cell r="A536" t="str">
            <v>T_TW-BEVELC-S3</v>
          </cell>
          <cell r="B536" t="str">
            <v>VAR_fin</v>
          </cell>
          <cell r="C536" t="str">
            <v>T-ELC-TWSTGout_S3</v>
          </cell>
          <cell r="D536">
            <v>1.4742157238422759E-4</v>
          </cell>
          <cell r="E536">
            <v>2.908066355774751E-4</v>
          </cell>
          <cell r="F536">
            <v>3.9085682829245538E-4</v>
          </cell>
          <cell r="G536">
            <v>4.6229766583082176E-4</v>
          </cell>
          <cell r="H536">
            <v>6.3558923641708045E-4</v>
          </cell>
          <cell r="I536">
            <v>6.8162419854482189E-4</v>
          </cell>
          <cell r="J536">
            <v>6.462803463916563E-4</v>
          </cell>
          <cell r="K536">
            <v>8.4658584211675389E-4</v>
          </cell>
          <cell r="L536">
            <v>1.0017780880094398E-3</v>
          </cell>
          <cell r="M536">
            <v>1.1587561874282257E-3</v>
          </cell>
          <cell r="N536">
            <v>1.3193959944517112E-3</v>
          </cell>
          <cell r="O536">
            <v>1.5617398915793489E-3</v>
          </cell>
        </row>
        <row r="537">
          <cell r="A537" t="str">
            <v>T_TW-BEVELC-S3</v>
          </cell>
          <cell r="B537" t="str">
            <v>VAR_ncap</v>
          </cell>
          <cell r="C537" t="str">
            <v>-</v>
          </cell>
          <cell r="D537">
            <v>1.19649599063103E-4</v>
          </cell>
          <cell r="E537">
            <v>1.4682124004115299E-4</v>
          </cell>
          <cell r="F537">
            <v>1.6124480919525901E-4</v>
          </cell>
          <cell r="G537">
            <v>1.3887236021003799E-4</v>
          </cell>
          <cell r="H537">
            <v>2.9074129476613702E-4</v>
          </cell>
          <cell r="I537">
            <v>3.0625838276307298E-4</v>
          </cell>
          <cell r="J537">
            <v>3.50834089750167E-4</v>
          </cell>
          <cell r="K537">
            <v>4.80307584161196E-4</v>
          </cell>
          <cell r="L537">
            <v>5.0433667174993604E-4</v>
          </cell>
          <cell r="M537">
            <v>6.4697886212988201E-4</v>
          </cell>
          <cell r="N537">
            <v>6.21177310226575E-4</v>
          </cell>
          <cell r="O537">
            <v>9.2802695420931202E-4</v>
          </cell>
        </row>
        <row r="538">
          <cell r="A538" t="str">
            <v>T_TW-BEVELC-S3</v>
          </cell>
          <cell r="B538" t="str">
            <v>VAR_cap</v>
          </cell>
          <cell r="C538" t="str">
            <v>-</v>
          </cell>
          <cell r="D538">
            <v>2.2662596677220167E-4</v>
          </cell>
          <cell r="E538">
            <v>4.2826715482764227E-4</v>
          </cell>
          <cell r="F538">
            <v>5.8939609189171576E-4</v>
          </cell>
          <cell r="G538">
            <v>7.267741572781687E-4</v>
          </cell>
          <cell r="H538">
            <v>1.0165033049968106E-3</v>
          </cell>
          <cell r="I538">
            <v>1.1069993091902843E-3</v>
          </cell>
          <cell r="J538">
            <v>1.0708026375052368E-3</v>
          </cell>
          <cell r="K538">
            <v>1.4274533186002607E-3</v>
          </cell>
          <cell r="L538">
            <v>1.6885819851966853E-3</v>
          </cell>
          <cell r="M538">
            <v>1.9814884903141083E-3</v>
          </cell>
          <cell r="N538">
            <v>2.2519184737532405E-3</v>
          </cell>
          <cell r="O538">
            <v>2.6993191889243483E-3</v>
          </cell>
        </row>
        <row r="539">
          <cell r="A539" t="str">
            <v>T_TW-BEVELC-S4</v>
          </cell>
          <cell r="B539" t="str">
            <v>VAR_fout</v>
          </cell>
          <cell r="C539" t="str">
            <v>TPTWL</v>
          </cell>
          <cell r="D539">
            <v>4.2816354845330649E-4</v>
          </cell>
          <cell r="E539">
            <v>8.0888137455067206E-4</v>
          </cell>
          <cell r="F539">
            <v>1.0849837751145217E-3</v>
          </cell>
          <cell r="G539">
            <v>1.317495117754862E-3</v>
          </cell>
          <cell r="H539">
            <v>1.7480057397475891E-3</v>
          </cell>
          <cell r="I539">
            <v>2.2722765636383076E-3</v>
          </cell>
          <cell r="J539">
            <v>2.5048580459842854E-3</v>
          </cell>
          <cell r="K539">
            <v>2.7875245389404691E-3</v>
          </cell>
          <cell r="L539">
            <v>3.3369373794346949E-3</v>
          </cell>
          <cell r="M539">
            <v>3.8957382136294333E-3</v>
          </cell>
          <cell r="N539">
            <v>4.2884781684166913E-3</v>
          </cell>
          <cell r="O539">
            <v>5.1761679664202986E-3</v>
          </cell>
        </row>
        <row r="540">
          <cell r="A540" t="str">
            <v>T_TW-BEVELC-S4</v>
          </cell>
          <cell r="B540" t="str">
            <v>VAR_fin</v>
          </cell>
          <cell r="C540" t="str">
            <v>T-ELC-TWSTGout_S4</v>
          </cell>
          <cell r="D540">
            <v>1.1372044258895617E-4</v>
          </cell>
          <cell r="E540">
            <v>2.1423133489962195E-4</v>
          </cell>
          <cell r="F540">
            <v>2.862928890106251E-4</v>
          </cell>
          <cell r="G540">
            <v>3.4566978111865375E-4</v>
          </cell>
          <cell r="H540">
            <v>4.5456101397264159E-4</v>
          </cell>
          <cell r="I540">
            <v>5.8534870154437453E-4</v>
          </cell>
          <cell r="J540">
            <v>6.3405991936863165E-4</v>
          </cell>
          <cell r="K540">
            <v>6.9047684879771612E-4</v>
          </cell>
          <cell r="L540">
            <v>8.1978342531826036E-4</v>
          </cell>
          <cell r="M540">
            <v>9.5062723873386515E-4</v>
          </cell>
          <cell r="N540">
            <v>1.0418938210950972E-3</v>
          </cell>
          <cell r="O540">
            <v>1.2552066105070967E-3</v>
          </cell>
        </row>
        <row r="541">
          <cell r="A541" t="str">
            <v>T_TW-BEVELC-S4</v>
          </cell>
          <cell r="B541" t="str">
            <v>VAR_ncap</v>
          </cell>
          <cell r="C541" t="str">
            <v>-</v>
          </cell>
          <cell r="D541">
            <v>1.4786173103814801E-4</v>
          </cell>
          <cell r="E541">
            <v>1.14508148302069E-4</v>
          </cell>
          <cell r="F541">
            <v>1.05499180363772E-4</v>
          </cell>
          <cell r="G541">
            <v>1.06886534052552E-4</v>
          </cell>
          <cell r="H541">
            <v>1.6850207477402799E-4</v>
          </cell>
          <cell r="I541">
            <v>2.01285729348643E-4</v>
          </cell>
          <cell r="J541">
            <v>2.6140452001683398E-4</v>
          </cell>
          <cell r="K541">
            <v>3.3919654658995602E-4</v>
          </cell>
          <cell r="L541">
            <v>3.11737793110323E-4</v>
          </cell>
          <cell r="M541">
            <v>3.9295382398248899E-4</v>
          </cell>
          <cell r="N541">
            <v>3.89312685858645E-4</v>
          </cell>
          <cell r="O541">
            <v>5.7899995607518101E-4</v>
          </cell>
        </row>
        <row r="542">
          <cell r="A542" t="str">
            <v>T_TW-BEVELC-S4</v>
          </cell>
          <cell r="B542" t="str">
            <v>VAR_cap</v>
          </cell>
          <cell r="C542" t="str">
            <v>-</v>
          </cell>
          <cell r="D542">
            <v>1.60861731038148E-4</v>
          </cell>
          <cell r="E542">
            <v>2.892477681687245E-4</v>
          </cell>
          <cell r="F542">
            <v>3.9463306955636092E-4</v>
          </cell>
          <cell r="G542">
            <v>5.0003724057986782E-4</v>
          </cell>
          <cell r="H542">
            <v>6.6834301156445822E-4</v>
          </cell>
          <cell r="I542">
            <v>8.6929050264696712E-4</v>
          </cell>
          <cell r="J542">
            <v>9.6385070369323555E-4</v>
          </cell>
          <cell r="K542">
            <v>1.0767079952060912E-3</v>
          </cell>
          <cell r="L542">
            <v>1.2814245798906368E-3</v>
          </cell>
          <cell r="M542">
            <v>1.5055330907528838E-3</v>
          </cell>
          <cell r="N542">
            <v>1.6527253314197062E-3</v>
          </cell>
          <cell r="O542">
            <v>2.0113197695873514E-3</v>
          </cell>
        </row>
        <row r="543">
          <cell r="A543" t="str">
            <v>T_B_u-BeVELCEXT</v>
          </cell>
          <cell r="B543" t="str">
            <v>VAR_fout</v>
          </cell>
          <cell r="C543" t="str">
            <v>TPBSu</v>
          </cell>
          <cell r="D543">
            <v>1.9674219309991944E-3</v>
          </cell>
          <cell r="E543">
            <v>1.6054780168772837E-3</v>
          </cell>
          <cell r="F543">
            <v>1.0040890307858863E-3</v>
          </cell>
        </row>
        <row r="544">
          <cell r="A544" t="str">
            <v>T_B_u-BeVELCEXT</v>
          </cell>
          <cell r="B544" t="str">
            <v>VAR_fin</v>
          </cell>
          <cell r="C544" t="str">
            <v>TELC</v>
          </cell>
          <cell r="D544">
            <v>4.6948407205997262E-4</v>
          </cell>
          <cell r="E544">
            <v>4.7587333626158908E-4</v>
          </cell>
          <cell r="F544">
            <v>4.6735062273712234E-4</v>
          </cell>
        </row>
        <row r="545">
          <cell r="A545" t="str">
            <v>T_B_u-BeVELCEXT</v>
          </cell>
          <cell r="B545" t="str">
            <v>VAR_cap</v>
          </cell>
          <cell r="C545" t="str">
            <v>-</v>
          </cell>
          <cell r="D545">
            <v>3.7782406565222777E-5</v>
          </cell>
          <cell r="E545">
            <v>3.02316440049444E-5</v>
          </cell>
          <cell r="F545">
            <v>1.8894777503090199E-5</v>
          </cell>
        </row>
        <row r="546">
          <cell r="A546" t="str">
            <v>T_B_u-HYBDSL-S1</v>
          </cell>
          <cell r="B546" t="str">
            <v>VAR_fout</v>
          </cell>
          <cell r="C546" t="str">
            <v>CO2_T</v>
          </cell>
          <cell r="E546">
            <v>0.55095811617280399</v>
          </cell>
          <cell r="F546">
            <v>0.62966192521565623</v>
          </cell>
          <cell r="G546">
            <v>7.5224931769440201E-2</v>
          </cell>
          <cell r="H546">
            <v>0.17595247024656011</v>
          </cell>
          <cell r="I546">
            <v>0.23991663822087622</v>
          </cell>
          <cell r="J546">
            <v>0.43640121207652321</v>
          </cell>
          <cell r="K546">
            <v>0.94436637715923211</v>
          </cell>
          <cell r="L546">
            <v>1.6030558610704828</v>
          </cell>
          <cell r="M546">
            <v>4.1494202246118945</v>
          </cell>
          <cell r="N546">
            <v>16.21219809573018</v>
          </cell>
          <cell r="O546">
            <v>21.37578680917758</v>
          </cell>
        </row>
        <row r="547">
          <cell r="A547" t="str">
            <v>T_B_u-HYBDSL-S1</v>
          </cell>
          <cell r="B547" t="str">
            <v>VAR_fout</v>
          </cell>
          <cell r="C547" t="str">
            <v>TPBSu</v>
          </cell>
          <cell r="E547">
            <v>1.2215312664779724E-3</v>
          </cell>
          <cell r="F547">
            <v>1.4052751875178017E-3</v>
          </cell>
          <cell r="G547">
            <v>1.7998283600551893E-4</v>
          </cell>
          <cell r="H547">
            <v>4.5779607155671412E-4</v>
          </cell>
          <cell r="I547">
            <v>6.5044289839793275E-4</v>
          </cell>
          <cell r="J547">
            <v>1.2468571866612727E-3</v>
          </cell>
          <cell r="K547">
            <v>2.852301323896285E-3</v>
          </cell>
          <cell r="L547">
            <v>4.9032560162208154E-3</v>
          </cell>
          <cell r="M547">
            <v>1.2733164877425622E-2</v>
          </cell>
          <cell r="N547">
            <v>4.9749743386794755E-2</v>
          </cell>
          <cell r="O547">
            <v>6.5595047763911674E-2</v>
          </cell>
        </row>
        <row r="548">
          <cell r="A548" t="str">
            <v>T_B_u-HYBDSL-S1</v>
          </cell>
          <cell r="B548" t="str">
            <v>VAR_fin</v>
          </cell>
          <cell r="C548" t="str">
            <v>TDSL</v>
          </cell>
          <cell r="E548">
            <v>7.5164818031760467E-3</v>
          </cell>
          <cell r="F548">
            <v>8.5902036182217926E-3</v>
          </cell>
          <cell r="G548">
            <v>1.0262610064043689E-3</v>
          </cell>
          <cell r="H548">
            <v>2.4004429774428346E-3</v>
          </cell>
          <cell r="I548">
            <v>3.2730782840501645E-3</v>
          </cell>
          <cell r="J548">
            <v>5.953631815505088E-3</v>
          </cell>
          <cell r="K548">
            <v>1.2883579497397438E-2</v>
          </cell>
          <cell r="L548">
            <v>2.1869793466173022E-2</v>
          </cell>
          <cell r="M548">
            <v>5.6608734305755692E-2</v>
          </cell>
          <cell r="N548">
            <v>0.22117596310682361</v>
          </cell>
          <cell r="O548">
            <v>0.29162055674185056</v>
          </cell>
        </row>
        <row r="549">
          <cell r="A549" t="str">
            <v>T_B_u-HYBDSL-S1</v>
          </cell>
          <cell r="B549" t="str">
            <v>VAR_ncap</v>
          </cell>
          <cell r="C549" t="str">
            <v>-</v>
          </cell>
          <cell r="E549">
            <v>2.33791888178314E-5</v>
          </cell>
          <cell r="F549">
            <v>3.9529198130701001E-6</v>
          </cell>
          <cell r="G549">
            <v>1.8341218256457301E-6</v>
          </cell>
          <cell r="H549">
            <v>7.2429269387760599E-6</v>
          </cell>
          <cell r="I549">
            <v>6.2712668468760699E-6</v>
          </cell>
          <cell r="J549">
            <v>1.65793383819604E-5</v>
          </cell>
          <cell r="K549">
            <v>4.2405888904016703E-5</v>
          </cell>
          <cell r="L549">
            <v>5.4871710051353703E-5</v>
          </cell>
          <cell r="M549">
            <v>1.9090677887214499E-4</v>
          </cell>
          <cell r="N549">
            <v>8.3832621620814603E-4</v>
          </cell>
          <cell r="O549">
            <v>5.9273077255597598E-4</v>
          </cell>
        </row>
        <row r="550">
          <cell r="A550" t="str">
            <v>T_B_u-HYBDSL-S1</v>
          </cell>
          <cell r="B550" t="str">
            <v>VAR_cap</v>
          </cell>
          <cell r="C550" t="str">
            <v>-</v>
          </cell>
          <cell r="E550">
            <v>2.33791888178314E-5</v>
          </cell>
          <cell r="F550">
            <v>2.7315690455714824E-5</v>
          </cell>
          <cell r="G550">
            <v>3.8650314101751008E-6</v>
          </cell>
          <cell r="H550">
            <v>9.7758360455026597E-6</v>
          </cell>
          <cell r="I550">
            <v>1.3708329445073792E-5</v>
          </cell>
          <cell r="J550">
            <v>2.6483338343433454E-5</v>
          </cell>
          <cell r="K550">
            <v>6.1105210231121471E-5</v>
          </cell>
          <cell r="L550">
            <v>1.0470571687057067E-4</v>
          </cell>
          <cell r="M550">
            <v>2.6740524896940474E-4</v>
          </cell>
          <cell r="N550">
            <v>1.0389194554315049E-3</v>
          </cell>
          <cell r="O550">
            <v>1.5597220911603433E-3</v>
          </cell>
        </row>
        <row r="551">
          <cell r="A551" t="str">
            <v>T_B_u-HYBDSL-S2</v>
          </cell>
          <cell r="B551" t="str">
            <v>VAR_fout</v>
          </cell>
          <cell r="C551" t="str">
            <v>CO2_T</v>
          </cell>
          <cell r="E551">
            <v>7.3122168036105203E-2</v>
          </cell>
          <cell r="F551">
            <v>0.12893671363484849</v>
          </cell>
          <cell r="G551">
            <v>0.12072145520612559</v>
          </cell>
          <cell r="H551">
            <v>0.172805240957742</v>
          </cell>
          <cell r="I551">
            <v>0.21431657822570327</v>
          </cell>
          <cell r="J551">
            <v>0.3305572383827205</v>
          </cell>
          <cell r="K551">
            <v>0.50057664637819488</v>
          </cell>
          <cell r="L551">
            <v>0.70195411400599816</v>
          </cell>
          <cell r="M551">
            <v>1.0301516079055109</v>
          </cell>
          <cell r="N551">
            <v>1.353447706834662</v>
          </cell>
          <cell r="O551">
            <v>2.0390951174929661</v>
          </cell>
        </row>
        <row r="552">
          <cell r="A552" t="str">
            <v>T_B_u-HYBDSL-S2</v>
          </cell>
          <cell r="B552" t="str">
            <v>VAR_fout</v>
          </cell>
          <cell r="C552" t="str">
            <v>TPBSu</v>
          </cell>
          <cell r="E552">
            <v>1.1621131027656001E-4</v>
          </cell>
          <cell r="F552">
            <v>2.0928894195990159E-4</v>
          </cell>
          <cell r="G552">
            <v>2.0561671887726874E-4</v>
          </cell>
          <cell r="H552">
            <v>3.1847066519252336E-4</v>
          </cell>
          <cell r="I552">
            <v>4.1669785470966838E-4</v>
          </cell>
          <cell r="J552">
            <v>6.7386915881365267E-4</v>
          </cell>
          <cell r="K552">
            <v>1.0772211686776263E-3</v>
          </cell>
          <cell r="L552">
            <v>1.5361916088399903E-3</v>
          </cell>
          <cell r="M552">
            <v>2.2657557852894259E-3</v>
          </cell>
          <cell r="N552">
            <v>2.9768258849610244E-3</v>
          </cell>
          <cell r="O552">
            <v>4.484865648667599E-3</v>
          </cell>
        </row>
        <row r="553">
          <cell r="A553" t="str">
            <v>T_B_u-HYBDSL-S2</v>
          </cell>
          <cell r="B553" t="str">
            <v>VAR_fin</v>
          </cell>
          <cell r="C553" t="str">
            <v>TDSL</v>
          </cell>
          <cell r="E553">
            <v>9.9757391590866626E-4</v>
          </cell>
          <cell r="F553">
            <v>1.7590274711439089E-3</v>
          </cell>
          <cell r="G553">
            <v>1.6469502756633785E-3</v>
          </cell>
          <cell r="H553">
            <v>2.3575066979228121E-3</v>
          </cell>
          <cell r="I553">
            <v>2.9238278066262388E-3</v>
          </cell>
          <cell r="J553">
            <v>4.5096485454668581E-3</v>
          </cell>
          <cell r="K553">
            <v>6.829149336673875E-3</v>
          </cell>
          <cell r="L553">
            <v>9.5764544884856528E-3</v>
          </cell>
          <cell r="M553">
            <v>1.4053910066923758E-2</v>
          </cell>
          <cell r="N553">
            <v>1.8464498046857594E-2</v>
          </cell>
          <cell r="O553">
            <v>2.7818487278212352E-2</v>
          </cell>
        </row>
        <row r="554">
          <cell r="A554" t="str">
            <v>T_B_u-HYBDSL-S2</v>
          </cell>
          <cell r="B554" t="str">
            <v>VAR_ncap</v>
          </cell>
          <cell r="C554" t="str">
            <v>-</v>
          </cell>
          <cell r="E554">
            <v>2.3354207929584599E-6</v>
          </cell>
          <cell r="F554">
            <v>1.8381120418828201E-6</v>
          </cell>
          <cell r="G554">
            <v>1.6283080142167401E-6</v>
          </cell>
          <cell r="H554">
            <v>3.9994843971274899E-6</v>
          </cell>
          <cell r="I554">
            <v>4.0362126797926402E-6</v>
          </cell>
          <cell r="J554">
            <v>7.3877844990355097E-6</v>
          </cell>
          <cell r="K554">
            <v>1.2781969142695599E-5</v>
          </cell>
          <cell r="L554">
            <v>1.40262045757729E-5</v>
          </cell>
          <cell r="M554">
            <v>2.41535818093028E-5</v>
          </cell>
          <cell r="N554">
            <v>3.1035047537230402E-5</v>
          </cell>
          <cell r="O554">
            <v>4.0682830029704502E-5</v>
          </cell>
        </row>
        <row r="555">
          <cell r="A555" t="str">
            <v>T_B_u-HYBDSL-S2</v>
          </cell>
          <cell r="B555" t="str">
            <v>VAR_cap</v>
          </cell>
          <cell r="C555" t="str">
            <v>-</v>
          </cell>
          <cell r="E555">
            <v>2.3354207929584599E-6</v>
          </cell>
          <cell r="F555">
            <v>4.1735328348412801E-6</v>
          </cell>
          <cell r="G555">
            <v>4.1155870406691395E-6</v>
          </cell>
          <cell r="H555">
            <v>6.5116976167898545E-6</v>
          </cell>
          <cell r="I555">
            <v>8.3659216169341006E-6</v>
          </cell>
          <cell r="J555">
            <v>1.3484547815709403E-5</v>
          </cell>
          <cell r="K555">
            <v>2.1548512742832599E-5</v>
          </cell>
          <cell r="L555">
            <v>3.0117168477273036E-5</v>
          </cell>
          <cell r="M555">
            <v>4.4698638507780643E-5</v>
          </cell>
          <cell r="N555">
            <v>5.7669608042013298E-5</v>
          </cell>
          <cell r="O555">
            <v>8.8001051186117654E-5</v>
          </cell>
        </row>
        <row r="556">
          <cell r="A556" t="str">
            <v>T_B_u-HYBDSL-S3</v>
          </cell>
          <cell r="B556" t="str">
            <v>VAR_fout</v>
          </cell>
          <cell r="C556" t="str">
            <v>CO2_T</v>
          </cell>
          <cell r="E556">
            <v>2.7627419833544899</v>
          </cell>
          <cell r="F556">
            <v>42.24747670786472</v>
          </cell>
          <cell r="G556">
            <v>60.231600654693224</v>
          </cell>
          <cell r="H556">
            <v>64.114581779614099</v>
          </cell>
          <cell r="I556">
            <v>72.324099603309094</v>
          </cell>
          <cell r="J556">
            <v>77.595624986065602</v>
          </cell>
          <cell r="K556">
            <v>82.74012037181771</v>
          </cell>
          <cell r="L556">
            <v>87.855454094407662</v>
          </cell>
          <cell r="M556">
            <v>91.521131498546708</v>
          </cell>
          <cell r="N556">
            <v>75.349113053070198</v>
          </cell>
          <cell r="O556">
            <v>69.190667828202493</v>
          </cell>
        </row>
        <row r="557">
          <cell r="A557" t="str">
            <v>T_B_u-HYBDSL-S3</v>
          </cell>
          <cell r="B557" t="str">
            <v>VAR_fout</v>
          </cell>
          <cell r="C557" t="str">
            <v>TPBSu</v>
          </cell>
          <cell r="E557">
            <v>2.9487777226847155E-3</v>
          </cell>
          <cell r="F557">
            <v>4.7229149646468953E-2</v>
          </cell>
          <cell r="G557">
            <v>6.9181847864586254E-2</v>
          </cell>
          <cell r="H557">
            <v>8.1041431880219408E-2</v>
          </cell>
          <cell r="I557">
            <v>9.4060636151314311E-2</v>
          </cell>
          <cell r="J557">
            <v>0.10728376595725095</v>
          </cell>
          <cell r="K557">
            <v>0.11928310127582548</v>
          </cell>
          <cell r="L557">
            <v>0.1297088202886692</v>
          </cell>
          <cell r="M557">
            <v>0.13565813562447351</v>
          </cell>
          <cell r="N557">
            <v>0.11168699545524627</v>
          </cell>
          <cell r="O557">
            <v>0.10255857687178219</v>
          </cell>
        </row>
        <row r="558">
          <cell r="A558" t="str">
            <v>T_B_u-HYBDSL-S3</v>
          </cell>
          <cell r="B558" t="str">
            <v>VAR_fin</v>
          </cell>
          <cell r="C558" t="str">
            <v>TDSL</v>
          </cell>
          <cell r="E558">
            <v>3.7690886539624671E-2</v>
          </cell>
          <cell r="F558">
            <v>0.57636393871575442</v>
          </cell>
          <cell r="G558">
            <v>0.82171351507084989</v>
          </cell>
          <cell r="H558">
            <v>0.87468733669323484</v>
          </cell>
          <cell r="I558">
            <v>0.98668621559766867</v>
          </cell>
          <cell r="J558">
            <v>1.058603342238275</v>
          </cell>
          <cell r="K558">
            <v>1.1287874539129286</v>
          </cell>
          <cell r="L558">
            <v>1.1985737257081543</v>
          </cell>
          <cell r="M558">
            <v>1.2485829672380178</v>
          </cell>
          <cell r="N558">
            <v>1.0279551576135075</v>
          </cell>
          <cell r="O558">
            <v>0.94393816955255827</v>
          </cell>
        </row>
        <row r="559">
          <cell r="A559" t="str">
            <v>T_B_u-HYBDSL-S3</v>
          </cell>
          <cell r="B559" t="str">
            <v>VAR_ncap</v>
          </cell>
          <cell r="C559" t="str">
            <v>-</v>
          </cell>
          <cell r="E559">
            <v>5.5725237925785999E-5</v>
          </cell>
          <cell r="F559">
            <v>8.3514203837393997E-4</v>
          </cell>
          <cell r="G559">
            <v>4.3662249442134898E-4</v>
          </cell>
          <cell r="H559">
            <v>1.1972319409035801E-3</v>
          </cell>
          <cell r="I559">
            <v>5.7685017774615E-4</v>
          </cell>
          <cell r="J559">
            <v>1.32505687286822E-3</v>
          </cell>
          <cell r="K559">
            <v>9.2518736480166897E-4</v>
          </cell>
          <cell r="L559">
            <v>1.3178687225192699E-3</v>
          </cell>
          <cell r="M559">
            <v>1.55852968120683E-3</v>
          </cell>
          <cell r="N559">
            <v>5.4837100540768902E-4</v>
          </cell>
          <cell r="O559">
            <v>1.3871043437081499E-3</v>
          </cell>
        </row>
        <row r="560">
          <cell r="A560" t="str">
            <v>T_B_u-HYBDSL-S3</v>
          </cell>
          <cell r="B560" t="str">
            <v>VAR_cap</v>
          </cell>
          <cell r="C560" t="str">
            <v>-</v>
          </cell>
          <cell r="E560">
            <v>5.5725237925785999E-5</v>
          </cell>
          <cell r="F560">
            <v>8.9086727629972598E-4</v>
          </cell>
          <cell r="G560">
            <v>1.3047813877036199E-3</v>
          </cell>
          <cell r="H560">
            <v>1.52870793364323E-3</v>
          </cell>
          <cell r="I560">
            <v>1.77408211864973E-3</v>
          </cell>
          <cell r="J560">
            <v>2.0236545345597603E-3</v>
          </cell>
          <cell r="K560">
            <v>2.25024423766989E-3</v>
          </cell>
          <cell r="L560">
            <v>2.446653590512628E-3</v>
          </cell>
          <cell r="M560">
            <v>2.5590320572389099E-3</v>
          </cell>
          <cell r="N560">
            <v>2.1068863672193908E-3</v>
          </cell>
          <cell r="O560">
            <v>1.9354753491158401E-3</v>
          </cell>
        </row>
        <row r="561">
          <cell r="A561" t="str">
            <v>T_C-HY-GSL-S1</v>
          </cell>
          <cell r="B561" t="str">
            <v>VAR_fout</v>
          </cell>
          <cell r="C561" t="str">
            <v>CO2_T</v>
          </cell>
          <cell r="D561">
            <v>3.3237958820891569</v>
          </cell>
          <cell r="E561">
            <v>4.0250006066750394</v>
          </cell>
          <cell r="F561">
            <v>2.9010391345820827</v>
          </cell>
          <cell r="G561">
            <v>2.3007948826993152</v>
          </cell>
          <cell r="H561">
            <v>21.544274083835781</v>
          </cell>
          <cell r="I561">
            <v>39.326009821983526</v>
          </cell>
          <cell r="J561">
            <v>30.64205883791379</v>
          </cell>
          <cell r="K561">
            <v>12.578733379676715</v>
          </cell>
          <cell r="L561">
            <v>2.3326396624979964</v>
          </cell>
          <cell r="M561">
            <v>9.6595408485335525</v>
          </cell>
          <cell r="N561">
            <v>32.873119676117021</v>
          </cell>
          <cell r="O561">
            <v>43.914878574182005</v>
          </cell>
        </row>
        <row r="562">
          <cell r="A562" t="str">
            <v>T_C-HY-GSL-S1</v>
          </cell>
          <cell r="B562" t="str">
            <v>VAR_fout</v>
          </cell>
          <cell r="C562" t="str">
            <v>TPCAR</v>
          </cell>
          <cell r="D562">
            <v>5.1048039034533067E-2</v>
          </cell>
          <cell r="E562">
            <v>6.3434101848276067E-2</v>
          </cell>
          <cell r="F562">
            <v>4.559315350908949E-2</v>
          </cell>
          <cell r="G562">
            <v>3.7217790105401855E-2</v>
          </cell>
          <cell r="H562">
            <v>0.27096429436421077</v>
          </cell>
          <cell r="I562">
            <v>0.50486363892415242</v>
          </cell>
          <cell r="J562">
            <v>0.39424408592390631</v>
          </cell>
          <cell r="K562">
            <v>0.1653212933733329</v>
          </cell>
          <cell r="L562">
            <v>3.2148471746629312E-2</v>
          </cell>
          <cell r="M562">
            <v>0.15408825584030941</v>
          </cell>
          <cell r="N562">
            <v>0.52485809040428266</v>
          </cell>
          <cell r="O562">
            <v>0.70121740816243971</v>
          </cell>
        </row>
        <row r="563">
          <cell r="A563" t="str">
            <v>T_C-HY-GSL-S1</v>
          </cell>
          <cell r="B563" t="str">
            <v>VAR_fin</v>
          </cell>
          <cell r="C563" t="str">
            <v>TGSL</v>
          </cell>
          <cell r="D563">
            <v>4.5037884581153889E-2</v>
          </cell>
          <cell r="E563">
            <v>5.4539303613482977E-2</v>
          </cell>
          <cell r="F563">
            <v>3.9309473368320899E-2</v>
          </cell>
          <cell r="G563">
            <v>3.1176082421399954E-2</v>
          </cell>
          <cell r="H563">
            <v>0.29192783311430703</v>
          </cell>
          <cell r="I563">
            <v>0.53287276181549503</v>
          </cell>
          <cell r="J563">
            <v>0.41520404929422461</v>
          </cell>
          <cell r="K563">
            <v>0.17044354173003728</v>
          </cell>
          <cell r="L563">
            <v>3.1607583502682828E-2</v>
          </cell>
          <cell r="M563">
            <v>0.13088808737850344</v>
          </cell>
          <cell r="N563">
            <v>0.44543522596364521</v>
          </cell>
          <cell r="O563">
            <v>0.59505255520571876</v>
          </cell>
        </row>
        <row r="564">
          <cell r="A564" t="str">
            <v>T_C-HY-GSL-S1</v>
          </cell>
          <cell r="B564" t="str">
            <v>VAR_ncap</v>
          </cell>
          <cell r="C564" t="str">
            <v>-</v>
          </cell>
          <cell r="E564">
            <v>2.31374867590914E-4</v>
          </cell>
          <cell r="F564">
            <v>2.1749405663534899E-4</v>
          </cell>
          <cell r="G564">
            <v>1.4188199949505099E-4</v>
          </cell>
          <cell r="H564">
            <v>4.1395913155752299E-2</v>
          </cell>
          <cell r="I564">
            <v>4.18543687899222E-2</v>
          </cell>
          <cell r="J564">
            <v>2.42654218773521E-4</v>
          </cell>
          <cell r="K564">
            <v>2.43812307218891E-4</v>
          </cell>
          <cell r="L564">
            <v>1.4981916089784001E-3</v>
          </cell>
          <cell r="M564">
            <v>2.3106735554200501E-2</v>
          </cell>
          <cell r="N564">
            <v>7.9092225961756996E-2</v>
          </cell>
          <cell r="O564">
            <v>2.6923180120424502E-2</v>
          </cell>
        </row>
        <row r="565">
          <cell r="A565" t="str">
            <v>T_C-HY-GSL-S1</v>
          </cell>
          <cell r="B565" t="str">
            <v>VAR_cap</v>
          </cell>
          <cell r="C565" t="str">
            <v>-</v>
          </cell>
          <cell r="D565">
            <v>5.6683831509442952E-3</v>
          </cell>
          <cell r="E565">
            <v>6.787895618526908E-3</v>
          </cell>
          <cell r="F565">
            <v>6.8818535953885001E-3</v>
          </cell>
          <cell r="G565">
            <v>5.6272872000990275E-3</v>
          </cell>
          <cell r="H565">
            <v>4.1154346949076007E-2</v>
          </cell>
          <cell r="I565">
            <v>7.6707419024811194E-2</v>
          </cell>
          <cell r="J565">
            <v>5.9899462202776303E-2</v>
          </cell>
          <cell r="K565">
            <v>2.5106878830961611E-2</v>
          </cell>
          <cell r="L565">
            <v>4.870751280448879E-3</v>
          </cell>
          <cell r="M565">
            <v>2.339554803496469E-2</v>
          </cell>
          <cell r="N565">
            <v>7.9745129328517406E-2</v>
          </cell>
          <cell r="O565">
            <v>0.1065504993409272</v>
          </cell>
        </row>
        <row r="566">
          <cell r="A566" t="str">
            <v>T_B_u-HYBDSL-S4</v>
          </cell>
          <cell r="B566" t="str">
            <v>VAR_fout</v>
          </cell>
          <cell r="C566" t="str">
            <v>CO2_T</v>
          </cell>
          <cell r="E566">
            <v>1.2549994444900001E-2</v>
          </cell>
          <cell r="F566">
            <v>2.3641262053316701E-2</v>
          </cell>
          <cell r="G566">
            <v>2.007404467426626E-2</v>
          </cell>
          <cell r="H566">
            <v>1.8135816264630792E-2</v>
          </cell>
          <cell r="I566">
            <v>2.9486610280360599E-2</v>
          </cell>
          <cell r="J566">
            <v>2.6415737954686401E-2</v>
          </cell>
          <cell r="K566">
            <v>3.4325184761650501E-2</v>
          </cell>
          <cell r="L566">
            <v>3.6194086476326298E-2</v>
          </cell>
          <cell r="M566">
            <v>3.3390442046626591E-2</v>
          </cell>
          <cell r="N566">
            <v>4.9357957359857096E-2</v>
          </cell>
          <cell r="O566">
            <v>6.3563107406236191E-2</v>
          </cell>
        </row>
        <row r="567">
          <cell r="A567" t="str">
            <v>T_B_u-HYBDSL-S4</v>
          </cell>
          <cell r="B567" t="str">
            <v>VAR_fout</v>
          </cell>
          <cell r="C567" t="str">
            <v>TPBSu</v>
          </cell>
          <cell r="E567">
            <v>9.0317909527042324E-6</v>
          </cell>
          <cell r="F567">
            <v>1.7400929296220568E-5</v>
          </cell>
          <cell r="G567">
            <v>1.5640418518554827E-5</v>
          </cell>
          <cell r="H567">
            <v>1.5578931685208484E-5</v>
          </cell>
          <cell r="I567">
            <v>2.6212833774118841E-5</v>
          </cell>
          <cell r="J567">
            <v>2.4861770256862871E-5</v>
          </cell>
          <cell r="K567">
            <v>3.3810507788330789E-5</v>
          </cell>
          <cell r="L567">
            <v>3.6260945752739051E-5</v>
          </cell>
          <cell r="M567">
            <v>3.3452122310218795E-5</v>
          </cell>
          <cell r="N567">
            <v>4.9449133505895426E-5</v>
          </cell>
          <cell r="O567">
            <v>6.3680523917646422E-5</v>
          </cell>
        </row>
        <row r="568">
          <cell r="A568" t="str">
            <v>T_B_u-HYBDSL-S4</v>
          </cell>
          <cell r="B568" t="str">
            <v>VAR_fin</v>
          </cell>
          <cell r="C568" t="str">
            <v>TDSL</v>
          </cell>
          <cell r="E568">
            <v>1.7121411248158185E-4</v>
          </cell>
          <cell r="F568">
            <v>3.2252744956775821E-4</v>
          </cell>
          <cell r="G568">
            <v>2.7386145531059047E-4</v>
          </cell>
          <cell r="H568">
            <v>2.4741904863070658E-4</v>
          </cell>
          <cell r="I568">
            <v>4.0227299154652952E-4</v>
          </cell>
          <cell r="J568">
            <v>3.6037841684428962E-4</v>
          </cell>
          <cell r="K568">
            <v>4.6828355745771514E-4</v>
          </cell>
          <cell r="L568">
            <v>4.9378017020909018E-4</v>
          </cell>
          <cell r="M568">
            <v>4.5553126939463265E-4</v>
          </cell>
          <cell r="N568">
            <v>6.7336913178522525E-4</v>
          </cell>
          <cell r="O568">
            <v>8.6716381181768415E-4</v>
          </cell>
        </row>
        <row r="569">
          <cell r="A569" t="str">
            <v>T_B_u-HYBDSL-S4</v>
          </cell>
          <cell r="B569" t="str">
            <v>VAR_ncap</v>
          </cell>
          <cell r="C569" t="str">
            <v>-</v>
          </cell>
          <cell r="E569">
            <v>2.0590952887361599E-7</v>
          </cell>
          <cell r="F569">
            <v>1.75797686002914E-7</v>
          </cell>
          <cell r="G569">
            <v>1.6696151005805501E-7</v>
          </cell>
          <cell r="H569">
            <v>3.0575445788588102E-7</v>
          </cell>
          <cell r="I569">
            <v>3.1734695131695001E-7</v>
          </cell>
          <cell r="J569">
            <v>3.7266710460673202E-7</v>
          </cell>
          <cell r="K569">
            <v>4.6515207107806399E-7</v>
          </cell>
          <cell r="L569">
            <v>4.4430797020727E-7</v>
          </cell>
          <cell r="M569">
            <v>6.00911619442968E-7</v>
          </cell>
          <cell r="N569">
            <v>6.5732468810775405E-7</v>
          </cell>
          <cell r="O569">
            <v>9.1094678343053903E-7</v>
          </cell>
        </row>
        <row r="570">
          <cell r="A570" t="str">
            <v>T_B_u-HYBDSL-S4</v>
          </cell>
          <cell r="B570" t="str">
            <v>VAR_cap</v>
          </cell>
          <cell r="C570" t="str">
            <v>-</v>
          </cell>
          <cell r="E570">
            <v>2.0590952887361599E-7</v>
          </cell>
          <cell r="F570">
            <v>3.8170721487653002E-7</v>
          </cell>
          <cell r="G570">
            <v>3.5809810519207797E-7</v>
          </cell>
          <cell r="H570">
            <v>3.4905334019773901E-7</v>
          </cell>
          <cell r="I570">
            <v>5.6493258384658097E-7</v>
          </cell>
          <cell r="J570">
            <v>5.3721498842896403E-7</v>
          </cell>
          <cell r="K570">
            <v>7.1665124977618799E-7</v>
          </cell>
          <cell r="L570">
            <v>7.8465823162834596E-7</v>
          </cell>
          <cell r="M570">
            <v>7.1613601161297105E-7</v>
          </cell>
          <cell r="N570">
            <v>1.0677390975003801E-6</v>
          </cell>
          <cell r="O570">
            <v>1.35455078591301E-6</v>
          </cell>
        </row>
        <row r="571">
          <cell r="A571" t="str">
            <v>TFRLFDSLEXT</v>
          </cell>
          <cell r="B571" t="str">
            <v>VAR_fout</v>
          </cell>
          <cell r="C571" t="str">
            <v>CO2_T</v>
          </cell>
          <cell r="D571">
            <v>29.033457938444499</v>
          </cell>
          <cell r="E571">
            <v>0.18632640383587001</v>
          </cell>
          <cell r="F571">
            <v>0.19351949902995799</v>
          </cell>
          <cell r="G571">
            <v>0.20142900233047001</v>
          </cell>
          <cell r="H571">
            <v>0.19626813886567601</v>
          </cell>
          <cell r="I571">
            <v>0.19581244531391401</v>
          </cell>
          <cell r="J571">
            <v>0.19634639168456</v>
          </cell>
          <cell r="K571">
            <v>0.16405163360286201</v>
          </cell>
          <cell r="L571">
            <v>8.5602110098644102E-2</v>
          </cell>
          <cell r="M571">
            <v>0.166875870821316</v>
          </cell>
          <cell r="N571">
            <v>0.169886051717871</v>
          </cell>
          <cell r="O571">
            <v>0.31964777810769401</v>
          </cell>
        </row>
        <row r="572">
          <cell r="A572" t="str">
            <v>TFRLFDSLEXT</v>
          </cell>
          <cell r="B572" t="str">
            <v>VAR_fout</v>
          </cell>
          <cell r="C572" t="str">
            <v>TFRLF</v>
          </cell>
          <cell r="D572">
            <v>1.6053854053669132E-3</v>
          </cell>
          <cell r="E572">
            <v>1.0302792384799665E-5</v>
          </cell>
          <cell r="F572">
            <v>1.0700529714899558E-5</v>
          </cell>
          <cell r="G572">
            <v>1.1137880346342237E-5</v>
          </cell>
          <cell r="H572">
            <v>1.0852513894194577E-5</v>
          </cell>
          <cell r="I572">
            <v>1.0827316627686782E-5</v>
          </cell>
          <cell r="J572">
            <v>1.085684083084927E-5</v>
          </cell>
          <cell r="K572">
            <v>9.0711240414769699E-6</v>
          </cell>
          <cell r="L572">
            <v>4.7333107379884472E-6</v>
          </cell>
          <cell r="M572">
            <v>9.22728832688225E-6</v>
          </cell>
          <cell r="N572">
            <v>9.3937342421118074E-6</v>
          </cell>
          <cell r="O572">
            <v>1.767470753638888E-5</v>
          </cell>
        </row>
        <row r="573">
          <cell r="A573" t="str">
            <v>TFRLFDSLEXT</v>
          </cell>
          <cell r="B573" t="str">
            <v>VAR_fin</v>
          </cell>
          <cell r="C573" t="str">
            <v>TDSL</v>
          </cell>
          <cell r="D573">
            <v>0.39609083135667739</v>
          </cell>
          <cell r="E573">
            <v>2.5419700386885365E-3</v>
          </cell>
          <cell r="F573">
            <v>2.6401023060021573E-3</v>
          </cell>
          <cell r="G573">
            <v>2.7480082173324681E-3</v>
          </cell>
          <cell r="H573">
            <v>2.6776008030787953E-3</v>
          </cell>
          <cell r="I573">
            <v>2.6713839742689522E-3</v>
          </cell>
          <cell r="J573">
            <v>2.6786683722313841E-3</v>
          </cell>
          <cell r="K573">
            <v>2.2380850423309876E-3</v>
          </cell>
          <cell r="L573">
            <v>1.1678323342243417E-3</v>
          </cell>
          <cell r="M573">
            <v>2.2766148816004963E-3</v>
          </cell>
          <cell r="N573">
            <v>2.3176814695480379E-3</v>
          </cell>
          <cell r="O573">
            <v>4.3608155267079694E-3</v>
          </cell>
        </row>
        <row r="574">
          <cell r="A574" t="str">
            <v>TFRLFDSLEXT</v>
          </cell>
          <cell r="B574" t="str">
            <v>VAR_ncap</v>
          </cell>
          <cell r="C574" t="str">
            <v>-</v>
          </cell>
          <cell r="D574">
            <v>1.4824092998416301E-4</v>
          </cell>
          <cell r="K574">
            <v>5.7037734828642998E-7</v>
          </cell>
          <cell r="L574">
            <v>3.7283357707552E-8</v>
          </cell>
          <cell r="M574">
            <v>3.5212970585951398E-7</v>
          </cell>
          <cell r="N574">
            <v>1.74719311775493E-8</v>
          </cell>
          <cell r="O574">
            <v>8.6794655968173097E-7</v>
          </cell>
        </row>
        <row r="575">
          <cell r="A575" t="str">
            <v>TFRLFDSLEXT</v>
          </cell>
          <cell r="B575" t="str">
            <v>VAR_cap</v>
          </cell>
          <cell r="C575" t="str">
            <v>-</v>
          </cell>
          <cell r="D575">
            <v>1.4824092998416301E-4</v>
          </cell>
          <cell r="E575">
            <v>1.0984475676090004E-6</v>
          </cell>
          <cell r="F575">
            <v>1.0964232208130137E-6</v>
          </cell>
          <cell r="G575">
            <v>1.094581564133019E-6</v>
          </cell>
          <cell r="H575">
            <v>1.0936889487249987E-6</v>
          </cell>
          <cell r="I575">
            <v>1.0875207542470006E-6</v>
          </cell>
          <cell r="J575">
            <v>1.0846164085050137E-6</v>
          </cell>
          <cell r="K575">
            <v>9.3922052960909936E-7</v>
          </cell>
          <cell r="L575">
            <v>6.0766070599398204E-7</v>
          </cell>
          <cell r="M575">
            <v>9.5979041185349491E-7</v>
          </cell>
          <cell r="N575">
            <v>9.77262343031044E-7</v>
          </cell>
          <cell r="O575">
            <v>1.84520890271278E-6</v>
          </cell>
        </row>
        <row r="576">
          <cell r="A576" t="str">
            <v>T_C-HY-GSL-S2</v>
          </cell>
          <cell r="B576" t="str">
            <v>VAR_fout</v>
          </cell>
          <cell r="C576" t="str">
            <v>CO2_T</v>
          </cell>
          <cell r="D576">
            <v>10.30335657519932</v>
          </cell>
          <cell r="E576">
            <v>15.320070013408396</v>
          </cell>
          <cell r="F576">
            <v>19.252278175495182</v>
          </cell>
          <cell r="G576">
            <v>15.497694292926168</v>
          </cell>
          <cell r="H576">
            <v>77.746946887549882</v>
          </cell>
          <cell r="I576">
            <v>66.63216401078239</v>
          </cell>
          <cell r="J576">
            <v>47.298919902724933</v>
          </cell>
          <cell r="K576">
            <v>0.97231347166084003</v>
          </cell>
          <cell r="L576">
            <v>0.63207809013561822</v>
          </cell>
          <cell r="M576">
            <v>0.84341750807782401</v>
          </cell>
          <cell r="N576">
            <v>1.155567924065668</v>
          </cell>
          <cell r="O576">
            <v>1.1572813303025291</v>
          </cell>
        </row>
        <row r="577">
          <cell r="A577" t="str">
            <v>T_C-HY-GSL-S2</v>
          </cell>
          <cell r="B577" t="str">
            <v>VAR_fout</v>
          </cell>
          <cell r="C577" t="str">
            <v>TPCAR</v>
          </cell>
          <cell r="D577">
            <v>0.2222048643024486</v>
          </cell>
          <cell r="E577">
            <v>0.39518374610877288</v>
          </cell>
          <cell r="F577">
            <v>0.49124690181025349</v>
          </cell>
          <cell r="G577">
            <v>0.40366727615204612</v>
          </cell>
          <cell r="H577">
            <v>0.88453253767826212</v>
          </cell>
          <cell r="I577">
            <v>0.69972900715586206</v>
          </cell>
          <cell r="J577">
            <v>0.49275667479914737</v>
          </cell>
          <cell r="K577">
            <v>1.1046330084563105E-2</v>
          </cell>
          <cell r="L577">
            <v>7.6086245477763569E-3</v>
          </cell>
          <cell r="M577">
            <v>1.0903331304115277E-2</v>
          </cell>
          <cell r="N577">
            <v>1.530760035277833E-2</v>
          </cell>
          <cell r="O577">
            <v>1.5455923394248618E-2</v>
          </cell>
        </row>
        <row r="578">
          <cell r="A578" t="str">
            <v>T_C-HY-GSL-S2</v>
          </cell>
          <cell r="B578" t="str">
            <v>VAR_fin</v>
          </cell>
          <cell r="C578" t="str">
            <v>TGSL</v>
          </cell>
          <cell r="D578">
            <v>0.13961187771272807</v>
          </cell>
          <cell r="E578">
            <v>0.20758902457192971</v>
          </cell>
          <cell r="F578">
            <v>0.26087097798774</v>
          </cell>
          <cell r="G578">
            <v>0.20999585762772566</v>
          </cell>
          <cell r="H578">
            <v>1.0534816651429526</v>
          </cell>
          <cell r="I578">
            <v>0.90287485109461241</v>
          </cell>
          <cell r="J578">
            <v>0.64090677374965699</v>
          </cell>
          <cell r="K578">
            <v>1.3174979290797298E-2</v>
          </cell>
          <cell r="L578">
            <v>8.5647437687753174E-3</v>
          </cell>
          <cell r="M578">
            <v>1.1428421518669704E-2</v>
          </cell>
          <cell r="N578">
            <v>1.565810195210933E-2</v>
          </cell>
          <cell r="O578">
            <v>1.5681318838787643E-2</v>
          </cell>
        </row>
        <row r="579">
          <cell r="A579" t="str">
            <v>T_C-HY-GSL-S2</v>
          </cell>
          <cell r="B579" t="str">
            <v>VAR_ncap</v>
          </cell>
          <cell r="C579" t="str">
            <v>-</v>
          </cell>
          <cell r="E579">
            <v>7.6359708137835E-4</v>
          </cell>
          <cell r="F579">
            <v>8.5532149618618401E-3</v>
          </cell>
          <cell r="G579">
            <v>1.6898808280695499E-4</v>
          </cell>
          <cell r="H579">
            <v>8.2242597948360294E-2</v>
          </cell>
          <cell r="I579">
            <v>9.2866347328364701E-4</v>
          </cell>
          <cell r="J579">
            <v>2.7900916117425399E-4</v>
          </cell>
          <cell r="K579">
            <v>3.3622361804976298E-4</v>
          </cell>
          <cell r="L579">
            <v>2.6378158211393397E-4</v>
          </cell>
          <cell r="M579">
            <v>6.2989378809089904E-4</v>
          </cell>
          <cell r="N579">
            <v>7.3311873972473302E-4</v>
          </cell>
          <cell r="O579">
            <v>2.47507173018096E-4</v>
          </cell>
        </row>
        <row r="580">
          <cell r="A580" t="str">
            <v>T_C-HY-GSL-S2</v>
          </cell>
          <cell r="B580" t="str">
            <v>VAR_cap</v>
          </cell>
          <cell r="C580" t="str">
            <v>-</v>
          </cell>
          <cell r="D580">
            <v>1.7226599866990246E-2</v>
          </cell>
          <cell r="E580">
            <v>2.9983843278404792E-2</v>
          </cell>
          <cell r="F580">
            <v>3.7297376694008948E-2</v>
          </cell>
          <cell r="G580">
            <v>3.0650601452832625E-2</v>
          </cell>
          <cell r="H580">
            <v>8.9967675840253059E-2</v>
          </cell>
          <cell r="I580">
            <v>7.3420671918835986E-2</v>
          </cell>
          <cell r="J580">
            <v>5.190186968551809E-2</v>
          </cell>
          <cell r="K580">
            <v>1.1123697841347196E-3</v>
          </cell>
          <cell r="L580">
            <v>7.7235068586783387E-4</v>
          </cell>
          <cell r="M580">
            <v>1.1012841101795529E-3</v>
          </cell>
          <cell r="N580">
            <v>1.5710462543795506E-3</v>
          </cell>
          <cell r="O580">
            <v>1.610355894786188E-3</v>
          </cell>
        </row>
        <row r="581">
          <cell r="A581" t="str">
            <v>TPSHPNGAEXT</v>
          </cell>
          <cell r="B581" t="str">
            <v>VAR_ncap</v>
          </cell>
          <cell r="C581" t="str">
            <v>-</v>
          </cell>
          <cell r="D581">
            <v>9.4681221514133398E-6</v>
          </cell>
          <cell r="E581">
            <v>1.18169013980155E-5</v>
          </cell>
          <cell r="F581">
            <v>1.02914881364317E-5</v>
          </cell>
          <cell r="G581">
            <v>1.28552486130743E-5</v>
          </cell>
          <cell r="H581">
            <v>3.5443327828108599E-5</v>
          </cell>
          <cell r="I581">
            <v>2.6944969140707298E-4</v>
          </cell>
          <cell r="J581">
            <v>2.5276892711876399E-5</v>
          </cell>
          <cell r="K581">
            <v>3.51825884224898E-5</v>
          </cell>
          <cell r="L581">
            <v>5.4057269534178899E-5</v>
          </cell>
          <cell r="M581">
            <v>2.1828362370689499E-4</v>
          </cell>
          <cell r="N581">
            <v>3.6253392533936602E-5</v>
          </cell>
          <cell r="O581">
            <v>6.3367435181017705E-5</v>
          </cell>
        </row>
        <row r="582">
          <cell r="A582" t="str">
            <v>TPSHPNGAEXT</v>
          </cell>
          <cell r="B582" t="str">
            <v>VAR_cap</v>
          </cell>
          <cell r="C582" t="str">
            <v>-</v>
          </cell>
          <cell r="D582">
            <v>9.4681221514133398E-6</v>
          </cell>
          <cell r="E582">
            <v>1.7057124556458209E-5</v>
          </cell>
          <cell r="F582">
            <v>1.6714862416926701E-5</v>
          </cell>
          <cell r="G582">
            <v>2.19974232248882E-5</v>
          </cell>
          <cell r="H582">
            <v>4.2388563208075197E-5</v>
          </cell>
          <cell r="I582">
            <v>3.056679835064587E-4</v>
          </cell>
          <cell r="J582">
            <v>3.035683828384248E-4</v>
          </cell>
          <cell r="K582">
            <v>3.0599654515275741E-4</v>
          </cell>
          <cell r="L582">
            <v>2.9240796175855328E-4</v>
          </cell>
          <cell r="M582">
            <v>2.952815932021314E-4</v>
          </cell>
          <cell r="N582">
            <v>2.9633726087766889E-4</v>
          </cell>
          <cell r="O582">
            <v>3.2005276481792289E-4</v>
          </cell>
        </row>
        <row r="583">
          <cell r="A583" t="str">
            <v>T_C-HY-DSL-S1</v>
          </cell>
          <cell r="B583" t="str">
            <v>VAR_fout</v>
          </cell>
          <cell r="C583" t="str">
            <v>CO2_T</v>
          </cell>
          <cell r="D583">
            <v>2.4245560097785799E-3</v>
          </cell>
          <cell r="E583">
            <v>10.731371542562048</v>
          </cell>
          <cell r="F583">
            <v>7.2252512661532569</v>
          </cell>
          <cell r="G583">
            <v>5.870890050847331</v>
          </cell>
          <cell r="H583">
            <v>55.421828183512375</v>
          </cell>
          <cell r="I583">
            <v>61.824037575800816</v>
          </cell>
          <cell r="J583">
            <v>74.872240538046299</v>
          </cell>
          <cell r="K583">
            <v>34.228969875693934</v>
          </cell>
          <cell r="L583">
            <v>36.19438631872589</v>
          </cell>
          <cell r="M583">
            <v>26.180504349525808</v>
          </cell>
          <cell r="N583">
            <v>0.19546382807270568</v>
          </cell>
          <cell r="O583">
            <v>0.19693370106081221</v>
          </cell>
        </row>
        <row r="584">
          <cell r="A584" t="str">
            <v>T_C-HY-DSL-S1</v>
          </cell>
          <cell r="B584" t="str">
            <v>VAR_fout</v>
          </cell>
          <cell r="C584" t="str">
            <v>TPCAR</v>
          </cell>
          <cell r="D584">
            <v>1.3834231349913089E-5</v>
          </cell>
          <cell r="E584">
            <v>0.24852483553954657</v>
          </cell>
          <cell r="F584">
            <v>0.16685560586235812</v>
          </cell>
          <cell r="G584">
            <v>0.13484711729305698</v>
          </cell>
          <cell r="H584">
            <v>0.7199179955937538</v>
          </cell>
          <cell r="I584">
            <v>0.78817992623283784</v>
          </cell>
          <cell r="J584">
            <v>0.98837694327987546</v>
          </cell>
          <cell r="K584">
            <v>0.46940761763679334</v>
          </cell>
          <cell r="L584">
            <v>0.52864030307676646</v>
          </cell>
          <cell r="M584">
            <v>0.42063134416632464</v>
          </cell>
          <cell r="N584">
            <v>3.0965839264881032E-3</v>
          </cell>
          <cell r="O584">
            <v>3.1651551629564823E-3</v>
          </cell>
        </row>
        <row r="585">
          <cell r="A585" t="str">
            <v>T_C-HY-DSL-S1</v>
          </cell>
          <cell r="B585" t="str">
            <v>VAR_fin</v>
          </cell>
          <cell r="C585" t="str">
            <v>TDSL</v>
          </cell>
          <cell r="D585">
            <v>3.3077162479926088E-5</v>
          </cell>
          <cell r="E585">
            <v>0.14640343168570322</v>
          </cell>
          <cell r="F585">
            <v>9.8570958610549209E-2</v>
          </cell>
          <cell r="G585">
            <v>8.0093997965174996E-2</v>
          </cell>
          <cell r="H585">
            <v>0.75609588244900916</v>
          </cell>
          <cell r="I585">
            <v>0.84343843896044757</v>
          </cell>
          <cell r="J585">
            <v>1.0214493934249163</v>
          </cell>
          <cell r="K585">
            <v>0.46697093964111752</v>
          </cell>
          <cell r="L585">
            <v>0.49378426082845833</v>
          </cell>
          <cell r="M585">
            <v>0.35716922714223531</v>
          </cell>
          <cell r="N585">
            <v>2.6666279409646057E-3</v>
          </cell>
          <cell r="O585">
            <v>2.686680778455827E-3</v>
          </cell>
        </row>
        <row r="586">
          <cell r="A586" t="str">
            <v>T_C-HY-DSL-S1</v>
          </cell>
          <cell r="B586" t="str">
            <v>VAR_ncap</v>
          </cell>
          <cell r="C586" t="str">
            <v>-</v>
          </cell>
          <cell r="E586">
            <v>2.6908810110478101E-2</v>
          </cell>
          <cell r="F586">
            <v>3.1463287237083401E-4</v>
          </cell>
          <cell r="G586">
            <v>1.1990021990357E-4</v>
          </cell>
          <cell r="H586">
            <v>0.104419639751752</v>
          </cell>
          <cell r="I586">
            <v>2.9677068738623798E-2</v>
          </cell>
          <cell r="J586">
            <v>6.40403573900655E-2</v>
          </cell>
          <cell r="K586">
            <v>2.4531230302063102E-4</v>
          </cell>
          <cell r="L586">
            <v>4.3593425843499102E-2</v>
          </cell>
          <cell r="M586">
            <v>6.3630015768014803E-2</v>
          </cell>
          <cell r="N586">
            <v>1.8912299707808601E-4</v>
          </cell>
          <cell r="O586">
            <v>1.3098028196896E-4</v>
          </cell>
        </row>
        <row r="587">
          <cell r="A587" t="str">
            <v>T_C-HY-DSL-S1</v>
          </cell>
          <cell r="B587" t="str">
            <v>VAR_cap</v>
          </cell>
          <cell r="C587" t="str">
            <v>-</v>
          </cell>
          <cell r="D587">
            <v>1.5999999999999999E-6</v>
          </cell>
          <cell r="E587">
            <v>2.6552169060454101E-2</v>
          </cell>
          <cell r="F587">
            <v>2.5342780646379619E-2</v>
          </cell>
          <cell r="G587">
            <v>2.0483025366095402E-2</v>
          </cell>
          <cell r="H587">
            <v>0.109388493104514</v>
          </cell>
          <cell r="I587">
            <v>0.11976518678089239</v>
          </cell>
          <cell r="J587">
            <v>0.15019311089538628</v>
          </cell>
          <cell r="K587">
            <v>7.131917855273763E-2</v>
          </cell>
          <cell r="L587">
            <v>8.0323947182546651E-2</v>
          </cell>
          <cell r="M587">
            <v>6.3903455017652988E-2</v>
          </cell>
          <cell r="N587">
            <v>4.5203070924770827E-4</v>
          </cell>
          <cell r="O587">
            <v>4.5936662543870355E-4</v>
          </cell>
        </row>
        <row r="588">
          <cell r="A588" t="str">
            <v>T_C-HY-GSL-S3</v>
          </cell>
          <cell r="B588" t="str">
            <v>VAR_fout</v>
          </cell>
          <cell r="C588" t="str">
            <v>CO2_T</v>
          </cell>
          <cell r="D588">
            <v>7.6364299203588857</v>
          </cell>
          <cell r="E588">
            <v>82.543512967877433</v>
          </cell>
          <cell r="F588">
            <v>78.107934851572409</v>
          </cell>
          <cell r="G588">
            <v>62.523281078578663</v>
          </cell>
          <cell r="H588">
            <v>19.968621115313166</v>
          </cell>
          <cell r="I588">
            <v>0.35689847158288934</v>
          </cell>
          <cell r="J588">
            <v>0.3883624642252248</v>
          </cell>
          <cell r="K588">
            <v>0.464982228276628</v>
          </cell>
          <cell r="L588">
            <v>0.4301301613189944</v>
          </cell>
          <cell r="M588">
            <v>0.47830611669955697</v>
          </cell>
          <cell r="N588">
            <v>0.47065762207216538</v>
          </cell>
          <cell r="O588">
            <v>0.42204994485791497</v>
          </cell>
        </row>
        <row r="589">
          <cell r="A589" t="str">
            <v>T_C-HY-GSL-S3</v>
          </cell>
          <cell r="B589" t="str">
            <v>VAR_fout</v>
          </cell>
          <cell r="C589" t="str">
            <v>TPCAR</v>
          </cell>
          <cell r="D589">
            <v>0.20178379156350526</v>
          </cell>
          <cell r="E589">
            <v>2.7854201390224484</v>
          </cell>
          <cell r="F589">
            <v>2.6325297924779218</v>
          </cell>
          <cell r="G589">
            <v>2.1208023166811354</v>
          </cell>
          <cell r="H589">
            <v>0.68442742112358068</v>
          </cell>
          <cell r="I589">
            <v>3.4854657285975461E-3</v>
          </cell>
          <cell r="J589">
            <v>3.8493152188283693E-3</v>
          </cell>
          <cell r="K589">
            <v>4.8750386511020698E-3</v>
          </cell>
          <cell r="L589">
            <v>4.7157376303485826E-3</v>
          </cell>
          <cell r="M589">
            <v>5.5067796765138361E-3</v>
          </cell>
          <cell r="N589">
            <v>5.582596660512828E-3</v>
          </cell>
          <cell r="O589">
            <v>5.082956184573017E-3</v>
          </cell>
        </row>
        <row r="590">
          <cell r="A590" t="str">
            <v>T_C-HY-GSL-S3</v>
          </cell>
          <cell r="B590" t="str">
            <v>VAR_fin</v>
          </cell>
          <cell r="C590" t="str">
            <v>TGSL</v>
          </cell>
          <cell r="D590">
            <v>0.10347466016746465</v>
          </cell>
          <cell r="E590">
            <v>1.1184757854725955</v>
          </cell>
          <cell r="F590">
            <v>1.0583731009698172</v>
          </cell>
          <cell r="G590">
            <v>0.84719893060404694</v>
          </cell>
          <cell r="H590">
            <v>0.27057752188771317</v>
          </cell>
          <cell r="I590">
            <v>4.8360226501746604E-3</v>
          </cell>
          <cell r="J590">
            <v>5.2623640138919417E-3</v>
          </cell>
          <cell r="K590">
            <v>6.30057219887029E-3</v>
          </cell>
          <cell r="L590">
            <v>5.8283219690920506E-3</v>
          </cell>
          <cell r="M590">
            <v>6.4811126924059223E-3</v>
          </cell>
          <cell r="N590">
            <v>6.3774745538233727E-3</v>
          </cell>
          <cell r="O590">
            <v>5.7188339411641583E-3</v>
          </cell>
        </row>
        <row r="591">
          <cell r="A591" t="str">
            <v>T_C-HY-GSL-S3</v>
          </cell>
          <cell r="B591" t="str">
            <v>VAR_ncap</v>
          </cell>
          <cell r="C591" t="str">
            <v>-</v>
          </cell>
          <cell r="E591">
            <v>0.167828027355021</v>
          </cell>
          <cell r="F591">
            <v>9.4968913235319997E-5</v>
          </cell>
          <cell r="G591">
            <v>5.5738791607596199E-5</v>
          </cell>
          <cell r="H591">
            <v>1.00456505636181E-4</v>
          </cell>
          <cell r="I591">
            <v>1.3866143653219401E-4</v>
          </cell>
          <cell r="J591">
            <v>1.1538748275484901E-4</v>
          </cell>
          <cell r="K591">
            <v>1.9230364229253199E-4</v>
          </cell>
          <cell r="L591">
            <v>1.5146347880301599E-4</v>
          </cell>
          <cell r="M591">
            <v>1.7954703140564599E-4</v>
          </cell>
          <cell r="N591">
            <v>1.70864551751944E-4</v>
          </cell>
          <cell r="O591">
            <v>1.28204244424871E-4</v>
          </cell>
        </row>
        <row r="592">
          <cell r="A592" t="str">
            <v>T_C-HY-GSL-S3</v>
          </cell>
          <cell r="B592" t="str">
            <v>VAR_cap</v>
          </cell>
          <cell r="C592" t="str">
            <v>-</v>
          </cell>
          <cell r="D592">
            <v>1.424838317109817E-2</v>
          </cell>
          <cell r="E592">
            <v>0.19152840778535213</v>
          </cell>
          <cell r="F592">
            <v>0.18106262190244329</v>
          </cell>
          <cell r="G592">
            <v>0.1458532065873433</v>
          </cell>
          <cell r="H592">
            <v>4.7098123037581492E-2</v>
          </cell>
          <cell r="I592">
            <v>2.5656379791700348E-4</v>
          </cell>
          <cell r="J592">
            <v>2.8565989835024951E-4</v>
          </cell>
          <cell r="K592">
            <v>3.6795165794309241E-4</v>
          </cell>
          <cell r="L592">
            <v>3.9019311372861777E-4</v>
          </cell>
          <cell r="M592">
            <v>4.4977708217307818E-4</v>
          </cell>
          <cell r="N592">
            <v>4.6980014669151726E-4</v>
          </cell>
          <cell r="O592">
            <v>4.7851500708643316E-4</v>
          </cell>
        </row>
        <row r="593">
          <cell r="A593" t="str">
            <v>T_C-HY-DSL-S2</v>
          </cell>
          <cell r="B593" t="str">
            <v>VAR_fout</v>
          </cell>
          <cell r="C593" t="str">
            <v>CO2_T</v>
          </cell>
          <cell r="D593">
            <v>0.19518341000259931</v>
          </cell>
          <cell r="E593">
            <v>42.568562964130152</v>
          </cell>
          <cell r="F593">
            <v>60.061161300978213</v>
          </cell>
          <cell r="G593">
            <v>49.878699806581146</v>
          </cell>
          <cell r="H593">
            <v>24.621584704945743</v>
          </cell>
          <cell r="I593">
            <v>2.8240650098521214</v>
          </cell>
          <cell r="J593">
            <v>1.8800653426629479</v>
          </cell>
          <cell r="K593">
            <v>1.3394847624298252</v>
          </cell>
          <cell r="L593">
            <v>0.98710750975054162</v>
          </cell>
          <cell r="M593">
            <v>1.1389002502710059</v>
          </cell>
          <cell r="N593">
            <v>29.039695722356157</v>
          </cell>
          <cell r="O593">
            <v>32.7253627504383</v>
          </cell>
        </row>
        <row r="594">
          <cell r="A594" t="str">
            <v>T_C-HY-DSL-S2</v>
          </cell>
          <cell r="B594" t="str">
            <v>VAR_fout</v>
          </cell>
          <cell r="C594" t="str">
            <v>TPCAR</v>
          </cell>
          <cell r="D594">
            <v>3.13352282401228E-3</v>
          </cell>
          <cell r="E594">
            <v>1.5566731401146874</v>
          </cell>
          <cell r="F594">
            <v>1.9986990524474775</v>
          </cell>
          <cell r="G594">
            <v>1.646511264262668</v>
          </cell>
          <cell r="H594">
            <v>0.74803744572223407</v>
          </cell>
          <cell r="I594">
            <v>5.3390760963123202E-2</v>
          </cell>
          <cell r="J594">
            <v>2.0867973532781556E-2</v>
          </cell>
          <cell r="K594">
            <v>1.5484834876237603E-2</v>
          </cell>
          <cell r="L594">
            <v>1.1781829418077757E-2</v>
          </cell>
          <cell r="M594">
            <v>1.4944760861717398E-2</v>
          </cell>
          <cell r="N594">
            <v>0.39019243037918266</v>
          </cell>
          <cell r="O594">
            <v>0.43986070089285273</v>
          </cell>
        </row>
        <row r="595">
          <cell r="A595" t="str">
            <v>T_C-HY-DSL-S2</v>
          </cell>
          <cell r="B595" t="str">
            <v>VAR_fin</v>
          </cell>
          <cell r="C595" t="str">
            <v>TDSL</v>
          </cell>
          <cell r="D595">
            <v>2.6628023192714809E-3</v>
          </cell>
          <cell r="E595">
            <v>0.58074437877394436</v>
          </cell>
          <cell r="F595">
            <v>0.81938828514295015</v>
          </cell>
          <cell r="G595">
            <v>0.68047339435990506</v>
          </cell>
          <cell r="H595">
            <v>0.33590156486965528</v>
          </cell>
          <cell r="I595">
            <v>3.8527489902484453E-2</v>
          </cell>
          <cell r="J595">
            <v>2.564891326961732E-2</v>
          </cell>
          <cell r="K595">
            <v>1.8274007672985336E-2</v>
          </cell>
          <cell r="L595">
            <v>1.3466678168493052E-2</v>
          </cell>
          <cell r="M595">
            <v>1.5537520467544422E-2</v>
          </cell>
          <cell r="N595">
            <v>0.39617593072791518</v>
          </cell>
          <cell r="O595">
            <v>0.4464578819977944</v>
          </cell>
        </row>
        <row r="596">
          <cell r="A596" t="str">
            <v>T_C-HY-DSL-S2</v>
          </cell>
          <cell r="B596" t="str">
            <v>VAR_ncap</v>
          </cell>
          <cell r="C596" t="str">
            <v>-</v>
          </cell>
          <cell r="E596">
            <v>0.119176159349958</v>
          </cell>
          <cell r="F596">
            <v>4.0851167895595702E-2</v>
          </cell>
          <cell r="G596">
            <v>1.3511460367669599E-4</v>
          </cell>
          <cell r="H596">
            <v>1.04714130691605E-3</v>
          </cell>
          <cell r="I596">
            <v>5.0104717868296698E-4</v>
          </cell>
          <cell r="J596">
            <v>1.1450358232653101E-3</v>
          </cell>
          <cell r="K596">
            <v>3.3141184403417799E-4</v>
          </cell>
          <cell r="L596">
            <v>2.73738586087089E-4</v>
          </cell>
          <cell r="M596">
            <v>1.0485249963045099E-3</v>
          </cell>
          <cell r="N596">
            <v>3.9840603982499202E-2</v>
          </cell>
          <cell r="O596">
            <v>5.4254264038753998E-3</v>
          </cell>
        </row>
        <row r="597">
          <cell r="A597" t="str">
            <v>T_C-HY-DSL-S2</v>
          </cell>
          <cell r="B597" t="str">
            <v>VAR_cap</v>
          </cell>
          <cell r="C597" t="str">
            <v>-</v>
          </cell>
          <cell r="D597">
            <v>2.5976823086611226E-4</v>
          </cell>
          <cell r="E597">
            <v>0.11811017492673409</v>
          </cell>
          <cell r="F597">
            <v>0.15165983345460676</v>
          </cell>
          <cell r="G597">
            <v>0.12496351968193101</v>
          </cell>
          <cell r="H597">
            <v>5.7063882912809102E-2</v>
          </cell>
          <cell r="I597">
            <v>5.5018144965966239E-3</v>
          </cell>
          <cell r="J597">
            <v>2.1541294137769188E-3</v>
          </cell>
          <cell r="K597">
            <v>1.5803257574244904E-3</v>
          </cell>
          <cell r="L597">
            <v>1.2119518247355604E-3</v>
          </cell>
          <cell r="M597">
            <v>1.5268941993550138E-3</v>
          </cell>
          <cell r="N597">
            <v>4.1103546740437952E-2</v>
          </cell>
          <cell r="O597">
            <v>4.6314410370873603E-2</v>
          </cell>
        </row>
        <row r="598">
          <cell r="A598" t="str">
            <v>D-T-ELC-Bus_c_S1</v>
          </cell>
          <cell r="B598" t="str">
            <v>VAR_fout</v>
          </cell>
          <cell r="C598" t="str">
            <v>T-ELC-Bus_c_BatSTGin_S1</v>
          </cell>
          <cell r="D598">
            <v>3.9218416544347452E-4</v>
          </cell>
          <cell r="E598">
            <v>7.6586888699354616E-4</v>
          </cell>
          <cell r="F598">
            <v>1.3387938227847778E-3</v>
          </cell>
          <cell r="G598">
            <v>0.14755217991960309</v>
          </cell>
          <cell r="H598">
            <v>0.14351023127203599</v>
          </cell>
          <cell r="I598">
            <v>0.13660029501112247</v>
          </cell>
          <cell r="J598">
            <v>0.12769730552529931</v>
          </cell>
          <cell r="K598">
            <v>0.11266097569069503</v>
          </cell>
          <cell r="L598">
            <v>0.11001077035067736</v>
          </cell>
          <cell r="M598">
            <v>0.10885084292354139</v>
          </cell>
          <cell r="N598">
            <v>0.11083368425222764</v>
          </cell>
          <cell r="O598">
            <v>0.10779246972294104</v>
          </cell>
        </row>
        <row r="599">
          <cell r="A599" t="str">
            <v>D-T-ELC-Bus_c_S1</v>
          </cell>
          <cell r="B599" t="str">
            <v>VAR_fin</v>
          </cell>
          <cell r="C599" t="str">
            <v>TELC</v>
          </cell>
          <cell r="D599">
            <v>3.9218416544347452E-4</v>
          </cell>
          <cell r="E599">
            <v>7.6586888699354616E-4</v>
          </cell>
          <cell r="F599">
            <v>1.3387938227847778E-3</v>
          </cell>
          <cell r="G599">
            <v>0.14755217991960309</v>
          </cell>
          <cell r="H599">
            <v>0.14351023127203599</v>
          </cell>
          <cell r="I599">
            <v>0.13660029501112247</v>
          </cell>
          <cell r="J599">
            <v>0.12769730552529931</v>
          </cell>
          <cell r="K599">
            <v>0.11266097569069503</v>
          </cell>
          <cell r="L599">
            <v>0.11001077035067736</v>
          </cell>
          <cell r="M599">
            <v>0.10885084292354139</v>
          </cell>
          <cell r="N599">
            <v>0.11083368425222764</v>
          </cell>
          <cell r="O599">
            <v>0.10779246972294104</v>
          </cell>
        </row>
        <row r="600">
          <cell r="A600" t="str">
            <v>D-T-ELC-Bus_c_S1</v>
          </cell>
          <cell r="B600" t="str">
            <v>VAR_ncap</v>
          </cell>
          <cell r="C600" t="str">
            <v>-</v>
          </cell>
          <cell r="D600">
            <v>6.1264001828601101E-5</v>
          </cell>
          <cell r="E600">
            <v>3.2782206288438899E-5</v>
          </cell>
          <cell r="F600">
            <v>7.4369186478531597E-5</v>
          </cell>
          <cell r="G600">
            <v>1.8205579269724801E-2</v>
          </cell>
          <cell r="H600">
            <v>3.3399362759697698E-4</v>
          </cell>
          <cell r="I600">
            <v>1.2620701911257101E-2</v>
          </cell>
          <cell r="J600">
            <v>2.7757557149308901E-3</v>
          </cell>
          <cell r="K600">
            <v>6.5827965787290501E-3</v>
          </cell>
          <cell r="L600">
            <v>5.3560758345499501E-3</v>
          </cell>
          <cell r="M600">
            <v>4.3788846708590302E-3</v>
          </cell>
          <cell r="N600">
            <v>7.9513594397329201E-3</v>
          </cell>
          <cell r="O600">
            <v>2.1019749018971398E-3</v>
          </cell>
        </row>
        <row r="601">
          <cell r="A601" t="str">
            <v>D-T-ELC-Bus_c_S1</v>
          </cell>
          <cell r="B601" t="str">
            <v>VAR_cap</v>
          </cell>
          <cell r="C601" t="str">
            <v>-</v>
          </cell>
          <cell r="D601">
            <v>6.1264001828601101E-5</v>
          </cell>
          <cell r="E601">
            <v>9.404620811704E-5</v>
          </cell>
          <cell r="F601">
            <v>1.68415394595572E-4</v>
          </cell>
          <cell r="G601">
            <v>1.8353213841415299E-2</v>
          </cell>
          <cell r="H601">
            <v>1.8577675488838898E-2</v>
          </cell>
          <cell r="I601">
            <v>1.6777811437573599E-2</v>
          </cell>
          <cell r="J601">
            <v>1.55696369947092E-2</v>
          </cell>
          <cell r="K601">
            <v>1.36697492009865E-2</v>
          </cell>
          <cell r="L601">
            <v>1.31874369199418E-2</v>
          </cell>
          <cell r="M601">
            <v>1.3107615511554699E-2</v>
          </cell>
          <cell r="N601">
            <v>1.3278922563539601E-2</v>
          </cell>
          <cell r="O601">
            <v>1.30084808644148E-2</v>
          </cell>
        </row>
        <row r="602">
          <cell r="A602" t="str">
            <v>T_C-HY-GSL-S4</v>
          </cell>
          <cell r="B602" t="str">
            <v>VAR_fout</v>
          </cell>
          <cell r="C602" t="str">
            <v>CO2_T</v>
          </cell>
          <cell r="D602">
            <v>6.6645734360021223</v>
          </cell>
          <cell r="E602">
            <v>10.088634252080215</v>
          </cell>
          <cell r="F602">
            <v>9.6976693883695582</v>
          </cell>
          <cell r="G602">
            <v>8.1195601965972273</v>
          </cell>
          <cell r="H602">
            <v>1.5667771338951033</v>
          </cell>
          <cell r="I602">
            <v>1.0655669441055191</v>
          </cell>
          <cell r="J602">
            <v>1.3660464825873411</v>
          </cell>
          <cell r="K602">
            <v>82.789546446520063</v>
          </cell>
          <cell r="L602">
            <v>78.014076959337331</v>
          </cell>
          <cell r="M602">
            <v>61.656769886085364</v>
          </cell>
          <cell r="N602">
            <v>20.097069292758466</v>
          </cell>
          <cell r="O602">
            <v>0.904474944484294</v>
          </cell>
        </row>
        <row r="603">
          <cell r="A603" t="str">
            <v>T_C-HY-GSL-S4</v>
          </cell>
          <cell r="B603" t="str">
            <v>VAR_fout</v>
          </cell>
          <cell r="C603" t="str">
            <v>TPCAR</v>
          </cell>
          <cell r="D603">
            <v>0.10297123327124491</v>
          </cell>
          <cell r="E603">
            <v>0.18187632860570987</v>
          </cell>
          <cell r="F603">
            <v>0.1745385664172184</v>
          </cell>
          <cell r="G603">
            <v>0.14692902530107202</v>
          </cell>
          <cell r="H603">
            <v>2.9424820753773704E-2</v>
          </cell>
          <cell r="I603">
            <v>1.0191932693090157E-2</v>
          </cell>
          <cell r="J603">
            <v>1.3385847394795288E-2</v>
          </cell>
          <cell r="K603">
            <v>0.87759379844317231</v>
          </cell>
          <cell r="L603">
            <v>0.83831565933192143</v>
          </cell>
          <cell r="M603">
            <v>0.66528676246980278</v>
          </cell>
          <cell r="N603">
            <v>0.22110880719796153</v>
          </cell>
          <cell r="O603">
            <v>1.0546487687863173E-2</v>
          </cell>
        </row>
        <row r="604">
          <cell r="A604" t="str">
            <v>T_C-HY-GSL-S4</v>
          </cell>
          <cell r="B604" t="str">
            <v>VAR_fin</v>
          </cell>
          <cell r="C604" t="str">
            <v>TGSL</v>
          </cell>
          <cell r="D604">
            <v>9.0305873116559965E-2</v>
          </cell>
          <cell r="E604">
            <v>0.13670236113929832</v>
          </cell>
          <cell r="F604">
            <v>0.13140473425975011</v>
          </cell>
          <cell r="G604">
            <v>0.11002114087530133</v>
          </cell>
          <cell r="H604">
            <v>2.1230042464703315E-2</v>
          </cell>
          <cell r="I604">
            <v>1.4438576478394572E-2</v>
          </cell>
          <cell r="J604">
            <v>1.8510114940207874E-2</v>
          </cell>
          <cell r="K604">
            <v>1.1218095724460713</v>
          </cell>
          <cell r="L604">
            <v>1.0571013138121597</v>
          </cell>
          <cell r="M604">
            <v>0.83545758653231961</v>
          </cell>
          <cell r="N604">
            <v>0.27231801209699813</v>
          </cell>
          <cell r="O604">
            <v>1.2255758055342724E-2</v>
          </cell>
        </row>
        <row r="605">
          <cell r="A605" t="str">
            <v>T_C-HY-GSL-S4</v>
          </cell>
          <cell r="B605" t="str">
            <v>VAR_ncap</v>
          </cell>
          <cell r="C605" t="str">
            <v>-</v>
          </cell>
          <cell r="E605">
            <v>2.6011696084283798E-4</v>
          </cell>
          <cell r="F605">
            <v>9.7239111932188299E-5</v>
          </cell>
          <cell r="G605">
            <v>6.7730282172358806E-5</v>
          </cell>
          <cell r="H605">
            <v>2.38531450410034E-4</v>
          </cell>
          <cell r="I605">
            <v>6.0307274398342604E-4</v>
          </cell>
          <cell r="J605">
            <v>4.9407893975871595E-4</v>
          </cell>
          <cell r="K605">
            <v>7.8106051542377403E-2</v>
          </cell>
          <cell r="L605">
            <v>2.5958042121096401E-2</v>
          </cell>
          <cell r="M605">
            <v>3.4238362308416302E-4</v>
          </cell>
          <cell r="N605">
            <v>2.1465415165221999E-4</v>
          </cell>
          <cell r="O605">
            <v>6.0620045343538905E-4</v>
          </cell>
        </row>
        <row r="606">
          <cell r="A606" t="str">
            <v>T_C-HY-GSL-S4</v>
          </cell>
          <cell r="B606" t="str">
            <v>VAR_cap</v>
          </cell>
          <cell r="C606" t="str">
            <v>-</v>
          </cell>
          <cell r="D606">
            <v>8.3200504418288763E-3</v>
          </cell>
          <cell r="E606">
            <v>1.4335814715162763E-2</v>
          </cell>
          <cell r="F606">
            <v>1.3839208722680093E-2</v>
          </cell>
          <cell r="G606">
            <v>1.1634714285356994E-2</v>
          </cell>
          <cell r="H606">
            <v>2.3765577395706439E-3</v>
          </cell>
          <cell r="I606">
            <v>8.3274437097066657E-4</v>
          </cell>
          <cell r="J606">
            <v>1.1123259580818796E-3</v>
          </cell>
          <cell r="K606">
            <v>7.7834957448012956E-2</v>
          </cell>
          <cell r="L606">
            <v>9.4019469626862626E-2</v>
          </cell>
          <cell r="M606">
            <v>7.4576839604474282E-2</v>
          </cell>
          <cell r="N606">
            <v>2.4805884211419289E-2</v>
          </cell>
          <cell r="O606">
            <v>1.1631286544148106E-3</v>
          </cell>
        </row>
        <row r="607">
          <cell r="A607" t="str">
            <v>T_C-HY-DSL-S3</v>
          </cell>
          <cell r="B607" t="str">
            <v>VAR_fout</v>
          </cell>
          <cell r="C607" t="str">
            <v>CO2_T</v>
          </cell>
          <cell r="D607">
            <v>2.0746284142883589</v>
          </cell>
          <cell r="E607">
            <v>3.5291146601611567</v>
          </cell>
          <cell r="F607">
            <v>3.4175292527837606</v>
          </cell>
          <cell r="G607">
            <v>2.6454011879110495</v>
          </cell>
          <cell r="H607">
            <v>0.7064087861367746</v>
          </cell>
          <cell r="I607">
            <v>0.29065341531872091</v>
          </cell>
          <cell r="J607">
            <v>0.35476952633782372</v>
          </cell>
          <cell r="K607">
            <v>0.45424307503569739</v>
          </cell>
          <cell r="L607">
            <v>0.44277480557891102</v>
          </cell>
          <cell r="M607">
            <v>0.53718507496321899</v>
          </cell>
          <cell r="N607">
            <v>0.667724901302718</v>
          </cell>
          <cell r="O607">
            <v>0.99413725389095298</v>
          </cell>
        </row>
        <row r="608">
          <cell r="A608" t="str">
            <v>T_C-HY-DSL-S3</v>
          </cell>
          <cell r="B608" t="str">
            <v>VAR_fout</v>
          </cell>
          <cell r="C608" t="str">
            <v>TPCAR</v>
          </cell>
          <cell r="D608">
            <v>2.5473860784277727E-2</v>
          </cell>
          <cell r="E608">
            <v>5.8515537662554636E-2</v>
          </cell>
          <cell r="F608">
            <v>5.6517040317476008E-2</v>
          </cell>
          <cell r="G608">
            <v>4.5714877580959129E-2</v>
          </cell>
          <cell r="H608">
            <v>1.2361153638761037E-2</v>
          </cell>
          <cell r="I608">
            <v>2.8402857488516839E-3</v>
          </cell>
          <cell r="J608">
            <v>3.5577108620836527E-3</v>
          </cell>
          <cell r="K608">
            <v>4.8020885159613764E-3</v>
          </cell>
          <cell r="L608">
            <v>4.8847219262847935E-3</v>
          </cell>
          <cell r="M608">
            <v>6.2543021419584101E-3</v>
          </cell>
          <cell r="N608">
            <v>8.0019333617001673E-3</v>
          </cell>
          <cell r="O608">
            <v>1.2049137219636068E-2</v>
          </cell>
        </row>
        <row r="609">
          <cell r="A609" t="str">
            <v>T_C-HY-DSL-S3</v>
          </cell>
          <cell r="B609" t="str">
            <v>VAR_fin</v>
          </cell>
          <cell r="C609" t="str">
            <v>TDSL</v>
          </cell>
          <cell r="D609">
            <v>2.8303252582378674E-2</v>
          </cell>
          <cell r="E609">
            <v>4.8146175445581932E-2</v>
          </cell>
          <cell r="F609">
            <v>4.6623864294457834E-2</v>
          </cell>
          <cell r="G609">
            <v>3.6090057133847823E-2</v>
          </cell>
          <cell r="H609">
            <v>9.6372276417022503E-3</v>
          </cell>
          <cell r="I609">
            <v>3.9652580534614065E-3</v>
          </cell>
          <cell r="J609">
            <v>4.8399662529034623E-3</v>
          </cell>
          <cell r="K609">
            <v>6.197040587117281E-3</v>
          </cell>
          <cell r="L609">
            <v>6.040583977884182E-3</v>
          </cell>
          <cell r="M609">
            <v>7.3285821959511417E-3</v>
          </cell>
          <cell r="N609">
            <v>9.1094802360534577E-3</v>
          </cell>
          <cell r="O609">
            <v>1.3562581908471393E-2</v>
          </cell>
        </row>
        <row r="610">
          <cell r="A610" t="str">
            <v>T_C-HY-DSL-S3</v>
          </cell>
          <cell r="B610" t="str">
            <v>VAR_ncap</v>
          </cell>
          <cell r="C610" t="str">
            <v>-</v>
          </cell>
          <cell r="E610">
            <v>3.6274020873111297E-4</v>
          </cell>
          <cell r="F610">
            <v>8.74495189408926E-5</v>
          </cell>
          <cell r="G610">
            <v>4.9807377533702799E-5</v>
          </cell>
          <cell r="H610">
            <v>8.55003528904071E-5</v>
          </cell>
          <cell r="I610">
            <v>1.11084587249917E-4</v>
          </cell>
          <cell r="J610">
            <v>1.33769331830432E-4</v>
          </cell>
          <cell r="K610">
            <v>1.88791638219939E-4</v>
          </cell>
          <cell r="L610">
            <v>1.58874475150938E-4</v>
          </cell>
          <cell r="M610">
            <v>2.36126163034908E-4</v>
          </cell>
          <cell r="N610">
            <v>2.7712698581367E-4</v>
          </cell>
          <cell r="O610">
            <v>5.0823601759441704E-4</v>
          </cell>
        </row>
        <row r="611">
          <cell r="A611" t="str">
            <v>T_C-HY-DSL-S3</v>
          </cell>
          <cell r="B611" t="str">
            <v>VAR_cap</v>
          </cell>
          <cell r="C611" t="str">
            <v>-</v>
          </cell>
          <cell r="D611">
            <v>1.8561888190062508E-3</v>
          </cell>
          <cell r="E611">
            <v>4.0322171721479021E-3</v>
          </cell>
          <cell r="F611">
            <v>3.9216099043848261E-3</v>
          </cell>
          <cell r="G611">
            <v>3.1705776161576067E-3</v>
          </cell>
          <cell r="H611">
            <v>8.7787649641154011E-4</v>
          </cell>
          <cell r="I611">
            <v>2.1336222730831733E-4</v>
          </cell>
          <cell r="J611">
            <v>2.7160799062204315E-4</v>
          </cell>
          <cell r="K611">
            <v>3.6361883937304428E-4</v>
          </cell>
          <cell r="L611">
            <v>4.0243511713897385E-4</v>
          </cell>
          <cell r="M611">
            <v>5.1159304000270261E-4</v>
          </cell>
          <cell r="N611">
            <v>6.3740680342068445E-4</v>
          </cell>
          <cell r="O611">
            <v>1.021399280975339E-3</v>
          </cell>
        </row>
        <row r="612">
          <cell r="A612" t="str">
            <v>D-T-ELC-Bus_c_S2</v>
          </cell>
          <cell r="B612" t="str">
            <v>VAR_fout</v>
          </cell>
          <cell r="C612" t="str">
            <v>T-ELC-Bus_c_BatSTGin_S2</v>
          </cell>
          <cell r="D612">
            <v>7.9470888698300319E-4</v>
          </cell>
          <cell r="E612">
            <v>9.5610461590354891E-4</v>
          </cell>
          <cell r="F612">
            <v>1.558721857385854E-3</v>
          </cell>
          <cell r="G612">
            <v>8.8954333135301683E-2</v>
          </cell>
          <cell r="H612">
            <v>9.5166903108665768E-2</v>
          </cell>
          <cell r="I612">
            <v>8.8428348458830061E-2</v>
          </cell>
          <cell r="J612">
            <v>8.9942652663550185E-2</v>
          </cell>
          <cell r="K612">
            <v>9.1907401010100906E-2</v>
          </cell>
          <cell r="L612">
            <v>8.9188463330665366E-2</v>
          </cell>
          <cell r="M612">
            <v>9.0162573277067268E-2</v>
          </cell>
          <cell r="N612">
            <v>8.1581174981692942E-2</v>
          </cell>
          <cell r="O612">
            <v>8.2577565665259908E-2</v>
          </cell>
        </row>
        <row r="613">
          <cell r="A613" t="str">
            <v>D-T-ELC-Bus_c_S2</v>
          </cell>
          <cell r="B613" t="str">
            <v>VAR_fin</v>
          </cell>
          <cell r="C613" t="str">
            <v>TELC</v>
          </cell>
          <cell r="D613">
            <v>7.9470888698300319E-4</v>
          </cell>
          <cell r="E613">
            <v>9.5610461590354891E-4</v>
          </cell>
          <cell r="F613">
            <v>1.558721857385854E-3</v>
          </cell>
          <cell r="G613">
            <v>8.8954333135301683E-2</v>
          </cell>
          <cell r="H613">
            <v>9.5166903108665768E-2</v>
          </cell>
          <cell r="I613">
            <v>8.8428348458830061E-2</v>
          </cell>
          <cell r="J613">
            <v>8.9942652663550185E-2</v>
          </cell>
          <cell r="K613">
            <v>9.1907401010100906E-2</v>
          </cell>
          <cell r="L613">
            <v>8.9188463330665366E-2</v>
          </cell>
          <cell r="M613">
            <v>9.0162573277067268E-2</v>
          </cell>
          <cell r="N613">
            <v>8.1581174981692942E-2</v>
          </cell>
          <cell r="O613">
            <v>8.2577565665259908E-2</v>
          </cell>
        </row>
        <row r="614">
          <cell r="A614" t="str">
            <v>D-T-ELC-Bus_c_S2</v>
          </cell>
          <cell r="B614" t="str">
            <v>VAR_ncap</v>
          </cell>
          <cell r="C614" t="str">
            <v>-</v>
          </cell>
          <cell r="D614">
            <v>9.6510546748347195E-5</v>
          </cell>
          <cell r="E614">
            <v>2.7356881969210301E-5</v>
          </cell>
          <cell r="F614">
            <v>6.7337880070403999E-5</v>
          </cell>
          <cell r="G614">
            <v>1.0803927785899401E-2</v>
          </cell>
          <cell r="H614">
            <v>7.8077235898530502E-4</v>
          </cell>
          <cell r="I614">
            <v>7.7811821684667503E-3</v>
          </cell>
          <cell r="J614">
            <v>2.7906998900263701E-3</v>
          </cell>
          <cell r="K614">
            <v>5.7106142323306297E-3</v>
          </cell>
          <cell r="L614">
            <v>3.88633971095521E-3</v>
          </cell>
          <cell r="M614">
            <v>4.11715796230353E-3</v>
          </cell>
          <cell r="N614">
            <v>5.0672402119703898E-3</v>
          </cell>
          <cell r="O614">
            <v>2.22039820324157E-3</v>
          </cell>
        </row>
        <row r="615">
          <cell r="A615" t="str">
            <v>D-T-ELC-Bus_c_S2</v>
          </cell>
          <cell r="B615" t="str">
            <v>VAR_cap</v>
          </cell>
          <cell r="C615" t="str">
            <v>-</v>
          </cell>
          <cell r="D615">
            <v>9.6510546748347195E-5</v>
          </cell>
          <cell r="E615">
            <v>1.23867428717557E-4</v>
          </cell>
          <cell r="F615">
            <v>1.91205308787961E-4</v>
          </cell>
          <cell r="G615">
            <v>1.0965614340108501E-2</v>
          </cell>
          <cell r="H615">
            <v>1.16192002901659E-2</v>
          </cell>
          <cell r="I615">
            <v>1.08307462794167E-2</v>
          </cell>
          <cell r="J615">
            <v>1.09767211120425E-2</v>
          </cell>
          <cell r="K615">
            <v>1.11593444550532E-2</v>
          </cell>
          <cell r="L615">
            <v>1.0852240499192801E-2</v>
          </cell>
          <cell r="M615">
            <v>1.09292954627683E-2</v>
          </cell>
          <cell r="N615">
            <v>9.8727541383241794E-3</v>
          </cell>
          <cell r="O615">
            <v>1.0066155309485399E-2</v>
          </cell>
        </row>
        <row r="616">
          <cell r="A616" t="str">
            <v>T_C-HY-DSL-S4</v>
          </cell>
          <cell r="B616" t="str">
            <v>VAR_fout</v>
          </cell>
          <cell r="C616" t="str">
            <v>CO2_T</v>
          </cell>
          <cell r="D616">
            <v>2.5461110508408797</v>
          </cell>
          <cell r="E616">
            <v>5.403931447785097</v>
          </cell>
          <cell r="F616">
            <v>5.1634014449326369</v>
          </cell>
          <cell r="G616">
            <v>4.2994381638868555</v>
          </cell>
          <cell r="H616">
            <v>1.2635830238028793</v>
          </cell>
          <cell r="I616">
            <v>0.62774612288737908</v>
          </cell>
          <cell r="J616">
            <v>10.257591850239711</v>
          </cell>
          <cell r="K616">
            <v>83.776677020130435</v>
          </cell>
          <cell r="L616">
            <v>79.37328433621829</v>
          </cell>
          <cell r="M616">
            <v>55.259528326719575</v>
          </cell>
          <cell r="N616">
            <v>12.235852410948867</v>
          </cell>
          <cell r="O616">
            <v>4.774549817030401</v>
          </cell>
        </row>
        <row r="617">
          <cell r="A617" t="str">
            <v>T_C-HY-DSL-S4</v>
          </cell>
          <cell r="B617" t="str">
            <v>VAR_fout</v>
          </cell>
          <cell r="C617" t="str">
            <v>TPCAR</v>
          </cell>
          <cell r="D617">
            <v>4.6731741922478989E-2</v>
          </cell>
          <cell r="E617">
            <v>0.11659431917579399</v>
          </cell>
          <cell r="F617">
            <v>0.11179398835091699</v>
          </cell>
          <cell r="G617">
            <v>9.4179740410335694E-2</v>
          </cell>
          <cell r="H617">
            <v>2.3775513418537318E-2</v>
          </cell>
          <cell r="I617">
            <v>6.035183821342144E-3</v>
          </cell>
          <cell r="J617">
            <v>0.10433749301748958</v>
          </cell>
          <cell r="K617">
            <v>0.88993167509801208</v>
          </cell>
          <cell r="L617">
            <v>0.84887634739481077</v>
          </cell>
          <cell r="M617">
            <v>0.59440868151371662</v>
          </cell>
          <cell r="N617">
            <v>0.13395782177961457</v>
          </cell>
          <cell r="O617">
            <v>5.6028374176616033E-2</v>
          </cell>
        </row>
        <row r="618">
          <cell r="A618" t="str">
            <v>T_C-HY-DSL-S4</v>
          </cell>
          <cell r="B618" t="str">
            <v>VAR_fin</v>
          </cell>
          <cell r="C618" t="str">
            <v>TDSL</v>
          </cell>
          <cell r="D618">
            <v>3.4735485004650436E-2</v>
          </cell>
          <cell r="E618">
            <v>7.372348496296173E-2</v>
          </cell>
          <cell r="F618">
            <v>7.0442038812178059E-2</v>
          </cell>
          <cell r="G618">
            <v>5.8655363763804286E-2</v>
          </cell>
          <cell r="H618">
            <v>1.7238513285168875E-2</v>
          </cell>
          <cell r="I618">
            <v>8.5640671608100839E-3</v>
          </cell>
          <cell r="J618">
            <v>0.13993986153123747</v>
          </cell>
          <cell r="K618">
            <v>1.14292874515867</v>
          </cell>
          <cell r="L618">
            <v>1.0828551751189375</v>
          </cell>
          <cell r="M618">
            <v>0.75388169613532818</v>
          </cell>
          <cell r="N618">
            <v>0.16692840942631482</v>
          </cell>
          <cell r="O618">
            <v>6.5137105280087315E-2</v>
          </cell>
        </row>
        <row r="619">
          <cell r="A619" t="str">
            <v>T_C-HY-DSL-S4</v>
          </cell>
          <cell r="B619" t="str">
            <v>VAR_ncap</v>
          </cell>
          <cell r="C619" t="str">
            <v>-</v>
          </cell>
          <cell r="E619">
            <v>4.2690269067408401E-4</v>
          </cell>
          <cell r="F619">
            <v>1.02709730755692E-4</v>
          </cell>
          <cell r="G619">
            <v>6.1275702529286696E-5</v>
          </cell>
          <cell r="H619">
            <v>1.83356924207126E-4</v>
          </cell>
          <cell r="I619">
            <v>3.2206662232593197E-4</v>
          </cell>
          <cell r="J619">
            <v>1.14792294891245E-2</v>
          </cell>
          <cell r="K619">
            <v>9.0937848182988806E-2</v>
          </cell>
          <cell r="L619">
            <v>1.00542694545656E-2</v>
          </cell>
          <cell r="M619">
            <v>3.2801977181004798E-4</v>
          </cell>
          <cell r="N619">
            <v>2.05371612627207E-4</v>
          </cell>
          <cell r="O619">
            <v>5.64810349948604E-3</v>
          </cell>
        </row>
        <row r="620">
          <cell r="A620" t="str">
            <v>T_C-HY-DSL-S4</v>
          </cell>
          <cell r="B620" t="str">
            <v>VAR_cap</v>
          </cell>
          <cell r="C620" t="str">
            <v>-</v>
          </cell>
          <cell r="D620">
            <v>3.7727534712277922E-3</v>
          </cell>
          <cell r="E620">
            <v>9.1910166811863276E-3</v>
          </cell>
          <cell r="F620">
            <v>8.8600353293310351E-3</v>
          </cell>
          <cell r="G620">
            <v>7.4736235835233446E-3</v>
          </cell>
          <cell r="H620">
            <v>1.9290362882892914E-3</v>
          </cell>
          <cell r="I620">
            <v>5.0984033069906005E-4</v>
          </cell>
          <cell r="J620">
            <v>1.1389722633645889E-2</v>
          </cell>
          <cell r="K620">
            <v>9.9522820095428219E-2</v>
          </cell>
          <cell r="L620">
            <v>9.5121655450537107E-2</v>
          </cell>
          <cell r="M620">
            <v>6.6589903076564816E-2</v>
          </cell>
          <cell r="N620">
            <v>1.4991324055085136E-2</v>
          </cell>
          <cell r="O620">
            <v>6.1813897999435687E-3</v>
          </cell>
        </row>
        <row r="621">
          <cell r="A621" t="str">
            <v>D-T-ELC-Bus_c_S3</v>
          </cell>
          <cell r="B621" t="str">
            <v>VAR_fout</v>
          </cell>
          <cell r="C621" t="str">
            <v>T-ELC-Bus_c_BatSTGin_S3</v>
          </cell>
          <cell r="D621">
            <v>4.7268264050215586E-4</v>
          </cell>
          <cell r="E621">
            <v>7.6735531647071796E-4</v>
          </cell>
          <cell r="F621">
            <v>1.0676873249763118E-3</v>
          </cell>
          <cell r="G621">
            <v>2.3851937236471347E-3</v>
          </cell>
          <cell r="H621">
            <v>3.6872975587531336E-3</v>
          </cell>
          <cell r="I621">
            <v>5.5494412399222206E-3</v>
          </cell>
          <cell r="J621">
            <v>7.8444142088616338E-3</v>
          </cell>
          <cell r="K621">
            <v>1.0929050738662046E-2</v>
          </cell>
          <cell r="L621">
            <v>1.2074288300704426E-2</v>
          </cell>
          <cell r="M621">
            <v>1.7069626503708801E-2</v>
          </cell>
          <cell r="N621">
            <v>2.2632370029242233E-2</v>
          </cell>
          <cell r="O621">
            <v>3.7275353409851185E-2</v>
          </cell>
        </row>
        <row r="622">
          <cell r="A622" t="str">
            <v>D-T-ELC-Bus_c_S3</v>
          </cell>
          <cell r="B622" t="str">
            <v>VAR_fin</v>
          </cell>
          <cell r="C622" t="str">
            <v>TELC</v>
          </cell>
          <cell r="D622">
            <v>4.7268264050215586E-4</v>
          </cell>
          <cell r="E622">
            <v>7.6735531647071796E-4</v>
          </cell>
          <cell r="F622">
            <v>1.0676873249763118E-3</v>
          </cell>
          <cell r="G622">
            <v>2.3851937236471347E-3</v>
          </cell>
          <cell r="H622">
            <v>3.6872975587531336E-3</v>
          </cell>
          <cell r="I622">
            <v>5.5494412399222206E-3</v>
          </cell>
          <cell r="J622">
            <v>7.8444142088616338E-3</v>
          </cell>
          <cell r="K622">
            <v>1.0929050738662046E-2</v>
          </cell>
          <cell r="L622">
            <v>1.2074288300704426E-2</v>
          </cell>
          <cell r="M622">
            <v>1.7069626503708801E-2</v>
          </cell>
          <cell r="N622">
            <v>2.2632370029242233E-2</v>
          </cell>
          <cell r="O622">
            <v>3.7275353409851185E-2</v>
          </cell>
        </row>
        <row r="623">
          <cell r="A623" t="str">
            <v>D-T-ELC-Bus_c_S3</v>
          </cell>
          <cell r="B623" t="str">
            <v>VAR_ncap</v>
          </cell>
          <cell r="C623" t="str">
            <v>-</v>
          </cell>
          <cell r="D623">
            <v>6.5333538107846902E-5</v>
          </cell>
          <cell r="E623">
            <v>2.9930271657682301E-5</v>
          </cell>
          <cell r="F623">
            <v>4.0180962245039703E-5</v>
          </cell>
          <cell r="G623">
            <v>2.4605026956961201E-4</v>
          </cell>
          <cell r="H623">
            <v>3.3814389816480799E-4</v>
          </cell>
          <cell r="I623">
            <v>4.0403884714129099E-4</v>
          </cell>
          <cell r="J623">
            <v>6.41739376697035E-4</v>
          </cell>
          <cell r="K623">
            <v>7.3794394143929004E-4</v>
          </cell>
          <cell r="L623">
            <v>6.8319514639805302E-4</v>
          </cell>
          <cell r="M623">
            <v>1.56434660589041E-3</v>
          </cell>
          <cell r="N623">
            <v>1.2269724620024799E-3</v>
          </cell>
          <cell r="O623">
            <v>3.3149514360376001E-3</v>
          </cell>
        </row>
        <row r="624">
          <cell r="A624" t="str">
            <v>D-T-ELC-Bus_c_S3</v>
          </cell>
          <cell r="B624" t="str">
            <v>VAR_cap</v>
          </cell>
          <cell r="C624" t="str">
            <v>-</v>
          </cell>
          <cell r="D624">
            <v>6.5333538107846902E-5</v>
          </cell>
          <cell r="E624">
            <v>9.5263809765529207E-5</v>
          </cell>
          <cell r="F624">
            <v>1.35444772010569E-4</v>
          </cell>
          <cell r="G624">
            <v>3.33352452372037E-4</v>
          </cell>
          <cell r="H624">
            <v>5.2494086444923095E-4</v>
          </cell>
          <cell r="I624">
            <v>7.4218274530609904E-4</v>
          </cell>
          <cell r="J624">
            <v>1.04241865211937E-3</v>
          </cell>
          <cell r="K624">
            <v>1.3796833181363201E-3</v>
          </cell>
          <cell r="L624">
            <v>1.51974496001757E-3</v>
          </cell>
          <cell r="M624">
            <v>2.0830161482998798E-3</v>
          </cell>
          <cell r="N624">
            <v>2.7913190678928901E-3</v>
          </cell>
          <cell r="O624">
            <v>4.5419238980400796E-3</v>
          </cell>
        </row>
        <row r="625">
          <cell r="A625" t="str">
            <v>D-T-ELC-Bus_c_S4</v>
          </cell>
          <cell r="B625" t="str">
            <v>VAR_fout</v>
          </cell>
          <cell r="C625" t="str">
            <v>T-ELC-Bus_c_BatSTGin_S4</v>
          </cell>
          <cell r="D625">
            <v>5.0224001296591063E-6</v>
          </cell>
          <cell r="E625">
            <v>1.4960396165062837E-4</v>
          </cell>
          <cell r="F625">
            <v>3.1247570065865159E-4</v>
          </cell>
          <cell r="G625">
            <v>9.552046898938484E-4</v>
          </cell>
          <cell r="H625">
            <v>9.0560646555064306E-4</v>
          </cell>
          <cell r="I625">
            <v>1.4164776356346228E-3</v>
          </cell>
          <cell r="J625">
            <v>1.4439402010074326E-3</v>
          </cell>
          <cell r="K625">
            <v>2.3007328855589341E-3</v>
          </cell>
          <cell r="L625">
            <v>2.226583639666498E-3</v>
          </cell>
          <cell r="M625">
            <v>2.3215049643140972E-3</v>
          </cell>
          <cell r="N625">
            <v>2.9865280793137114E-3</v>
          </cell>
          <cell r="O625">
            <v>4.0112904922139586E-3</v>
          </cell>
        </row>
        <row r="626">
          <cell r="A626" t="str">
            <v>D-T-ELC-Bus_c_S4</v>
          </cell>
          <cell r="B626" t="str">
            <v>VAR_fin</v>
          </cell>
          <cell r="C626" t="str">
            <v>TELC</v>
          </cell>
          <cell r="D626">
            <v>5.0224001296591063E-6</v>
          </cell>
          <cell r="E626">
            <v>1.4960396165062837E-4</v>
          </cell>
          <cell r="F626">
            <v>3.1247570065865159E-4</v>
          </cell>
          <cell r="G626">
            <v>9.552046898938484E-4</v>
          </cell>
          <cell r="H626">
            <v>9.0560646555064306E-4</v>
          </cell>
          <cell r="I626">
            <v>1.4164776356346228E-3</v>
          </cell>
          <cell r="J626">
            <v>1.4439402010074326E-3</v>
          </cell>
          <cell r="K626">
            <v>2.3007328855589341E-3</v>
          </cell>
          <cell r="L626">
            <v>2.226583639666498E-3</v>
          </cell>
          <cell r="M626">
            <v>2.3215049643140972E-3</v>
          </cell>
          <cell r="N626">
            <v>2.9865280793137114E-3</v>
          </cell>
          <cell r="O626">
            <v>4.0112904922139586E-3</v>
          </cell>
        </row>
        <row r="627">
          <cell r="A627" t="str">
            <v>D-T-ELC-Bus_c_S4</v>
          </cell>
          <cell r="B627" t="str">
            <v>VAR_ncap</v>
          </cell>
          <cell r="C627" t="str">
            <v>-</v>
          </cell>
          <cell r="D627">
            <v>1.6743395906566102E-5</v>
          </cell>
          <cell r="E627">
            <v>1.4481935052319301E-5</v>
          </cell>
          <cell r="F627">
            <v>2.30756480286317E-5</v>
          </cell>
          <cell r="G627">
            <v>1.5042042514359699E-4</v>
          </cell>
          <cell r="H627">
            <v>1.25202866719142E-4</v>
          </cell>
          <cell r="I627">
            <v>1.80348767762764E-4</v>
          </cell>
          <cell r="J627">
            <v>1.9251380786518201E-4</v>
          </cell>
          <cell r="K627">
            <v>2.55714574937079E-4</v>
          </cell>
          <cell r="L627">
            <v>2.4543759297502698E-4</v>
          </cell>
          <cell r="M627">
            <v>3.3284773379181599E-4</v>
          </cell>
          <cell r="N627">
            <v>3.4526205892601998E-4</v>
          </cell>
          <cell r="O627">
            <v>4.8664249721677201E-4</v>
          </cell>
        </row>
        <row r="628">
          <cell r="A628" t="str">
            <v>D-T-ELC-Bus_c_S4</v>
          </cell>
          <cell r="B628" t="str">
            <v>VAR_cap</v>
          </cell>
          <cell r="C628" t="str">
            <v>-</v>
          </cell>
          <cell r="D628">
            <v>1.6743395906566102E-5</v>
          </cell>
          <cell r="E628">
            <v>3.1225330958885399E-5</v>
          </cell>
          <cell r="F628">
            <v>5.4300978987517103E-5</v>
          </cell>
          <cell r="G628">
            <v>1.7427363638444901E-4</v>
          </cell>
          <cell r="H628">
            <v>1.64212074789479E-4</v>
          </cell>
          <cell r="I628">
            <v>2.81732182302386E-4</v>
          </cell>
          <cell r="J628">
            <v>2.8602662707506602E-4</v>
          </cell>
          <cell r="K628">
            <v>3.85634989075148E-4</v>
          </cell>
          <cell r="L628">
            <v>4.3254311790003101E-4</v>
          </cell>
          <cell r="M628">
            <v>3.9649817304237298E-4</v>
          </cell>
          <cell r="N628">
            <v>5.7259250430577902E-4</v>
          </cell>
          <cell r="O628">
            <v>7.1964702909556701E-4</v>
          </cell>
        </row>
        <row r="629">
          <cell r="A629" t="str">
            <v>D-TH2O</v>
          </cell>
          <cell r="B629" t="str">
            <v>VAR_fout</v>
          </cell>
          <cell r="C629" t="str">
            <v>TH2Ointl</v>
          </cell>
          <cell r="K629">
            <v>4.7653822835128703E-6</v>
          </cell>
          <cell r="L629">
            <v>5.4884484454101801E-6</v>
          </cell>
          <cell r="M629">
            <v>3.0824287421564701E-6</v>
          </cell>
          <cell r="N629">
            <v>3.78500506632122E-6</v>
          </cell>
          <cell r="O629">
            <v>5.5257488055109E-6</v>
          </cell>
        </row>
        <row r="630">
          <cell r="A630" t="str">
            <v>D-TH2O</v>
          </cell>
          <cell r="B630" t="str">
            <v>VAR_fout</v>
          </cell>
          <cell r="C630" t="str">
            <v>TH2O</v>
          </cell>
          <cell r="D630">
            <v>4.0159056985320076E-3</v>
          </cell>
          <cell r="E630">
            <v>4.2816175567933759E-3</v>
          </cell>
          <cell r="F630">
            <v>4.2340608738047555E-3</v>
          </cell>
          <cell r="G630">
            <v>6.2511030072849301E-4</v>
          </cell>
          <cell r="H630">
            <v>1.1517133058524651E-3</v>
          </cell>
          <cell r="I630">
            <v>2.9893636591869738E-3</v>
          </cell>
          <cell r="J630">
            <v>3.727951075575219E-3</v>
          </cell>
          <cell r="K630">
            <v>5.9234735683652319E-3</v>
          </cell>
          <cell r="L630">
            <v>6.7218195146817221E-3</v>
          </cell>
          <cell r="M630">
            <v>8.5963545794069396E-3</v>
          </cell>
          <cell r="N630">
            <v>8.6941326008584657E-3</v>
          </cell>
          <cell r="O630">
            <v>1.4002281899021612E-2</v>
          </cell>
        </row>
        <row r="631">
          <cell r="A631" t="str">
            <v>D-TH2O</v>
          </cell>
          <cell r="B631" t="str">
            <v>VAR_fin</v>
          </cell>
          <cell r="C631" t="str">
            <v>H2</v>
          </cell>
          <cell r="D631">
            <v>4.0159056985320076E-3</v>
          </cell>
          <cell r="E631">
            <v>4.2816175567933759E-3</v>
          </cell>
          <cell r="F631">
            <v>4.2340608738047555E-3</v>
          </cell>
          <cell r="G631">
            <v>6.2511030072849301E-4</v>
          </cell>
          <cell r="H631">
            <v>1.1517133058524651E-3</v>
          </cell>
          <cell r="I631">
            <v>2.9893636591869738E-3</v>
          </cell>
          <cell r="J631">
            <v>3.727951075575219E-3</v>
          </cell>
          <cell r="K631">
            <v>5.9282389506487444E-3</v>
          </cell>
          <cell r="L631">
            <v>6.7273079631271311E-3</v>
          </cell>
          <cell r="M631">
            <v>8.5994456566527797E-3</v>
          </cell>
          <cell r="N631">
            <v>8.6979268919852252E-3</v>
          </cell>
          <cell r="O631">
            <v>1.4007807647827136E-2</v>
          </cell>
        </row>
        <row r="632">
          <cell r="A632" t="str">
            <v>D-TH2O</v>
          </cell>
          <cell r="B632" t="str">
            <v>VAR_ncap</v>
          </cell>
          <cell r="C632" t="str">
            <v>-</v>
          </cell>
          <cell r="D632">
            <v>8.4929507256577795E-4</v>
          </cell>
          <cell r="E632">
            <v>3.3397088781338098E-6</v>
          </cell>
          <cell r="F632">
            <v>7.1106881787288696E-7</v>
          </cell>
          <cell r="G632">
            <v>4.0023341696248299E-7</v>
          </cell>
          <cell r="H632">
            <v>4.3233599840016302E-6</v>
          </cell>
          <cell r="I632">
            <v>7.8706789897431902E-5</v>
          </cell>
          <cell r="J632">
            <v>3.4585729624219601E-4</v>
          </cell>
          <cell r="K632">
            <v>6.7391038994179804E-4</v>
          </cell>
          <cell r="L632">
            <v>4.7044743344625001E-4</v>
          </cell>
          <cell r="M632">
            <v>1.2356737842397401E-3</v>
          </cell>
          <cell r="N632">
            <v>3.61274042309753E-4</v>
          </cell>
          <cell r="O632">
            <v>1.2712833433796301E-3</v>
          </cell>
        </row>
        <row r="633">
          <cell r="A633" t="str">
            <v>D-TH2O</v>
          </cell>
          <cell r="B633" t="str">
            <v>VAR_cap</v>
          </cell>
          <cell r="C633" t="str">
            <v>-</v>
          </cell>
          <cell r="D633">
            <v>8.4929507256577795E-4</v>
          </cell>
          <cell r="E633">
            <v>8.52634781443911E-4</v>
          </cell>
          <cell r="F633">
            <v>8.5334585026178398E-4</v>
          </cell>
          <cell r="G633">
            <v>8.5374608367874704E-4</v>
          </cell>
          <cell r="H633">
            <v>8.5806944366274797E-4</v>
          </cell>
          <cell r="I633">
            <v>9.3677623356018004E-4</v>
          </cell>
          <cell r="J633">
            <v>1.28263352980238E-3</v>
          </cell>
          <cell r="K633">
            <v>1.95654391974417E-3</v>
          </cell>
          <cell r="L633">
            <v>2.4269913531904199E-3</v>
          </cell>
          <cell r="M633">
            <v>3.0319929612487701E-3</v>
          </cell>
          <cell r="N633">
            <v>3.1705923958822201E-3</v>
          </cell>
          <cell r="O633">
            <v>4.4414764394408003E-3</v>
          </cell>
        </row>
        <row r="634">
          <cell r="A634" t="str">
            <v>TFHGV-HYBDSL</v>
          </cell>
          <cell r="B634" t="str">
            <v>VAR_fout</v>
          </cell>
          <cell r="C634" t="str">
            <v>CO2_T</v>
          </cell>
          <cell r="E634">
            <v>226.457771021436</v>
          </cell>
          <cell r="F634">
            <v>308.29173979674891</v>
          </cell>
          <cell r="G634">
            <v>821.42060771857905</v>
          </cell>
          <cell r="H634">
            <v>1083.5328244415791</v>
          </cell>
          <cell r="I634">
            <v>1128.4508735466611</v>
          </cell>
          <cell r="J634">
            <v>1174.1512473017519</v>
          </cell>
          <cell r="K634">
            <v>1219.2239550173681</v>
          </cell>
          <cell r="L634">
            <v>1258.123064288259</v>
          </cell>
          <cell r="M634">
            <v>1301.6704248393901</v>
          </cell>
          <cell r="N634">
            <v>1345.7042556925139</v>
          </cell>
          <cell r="O634">
            <v>1389.8081553792881</v>
          </cell>
        </row>
        <row r="635">
          <cell r="A635" t="str">
            <v>TFHGV-HYBDSL</v>
          </cell>
          <cell r="B635" t="str">
            <v>VAR_fout</v>
          </cell>
          <cell r="C635" t="str">
            <v>TFHGV</v>
          </cell>
          <cell r="E635">
            <v>0.50502508815446945</v>
          </cell>
          <cell r="F635">
            <v>0.68752360480228303</v>
          </cell>
          <cell r="G635">
            <v>1.8318559480376804</v>
          </cell>
          <cell r="H635">
            <v>2.4163942695085106</v>
          </cell>
          <cell r="I635">
            <v>2.5165663307572923</v>
          </cell>
          <cell r="J635">
            <v>2.6184830597803468</v>
          </cell>
          <cell r="K635">
            <v>2.7190000262980658</v>
          </cell>
          <cell r="L635">
            <v>2.8057492069512819</v>
          </cell>
          <cell r="M635">
            <v>2.9028644858928261</v>
          </cell>
          <cell r="N635">
            <v>3.0010646457198629</v>
          </cell>
          <cell r="O635">
            <v>3.0994210665519004</v>
          </cell>
        </row>
        <row r="636">
          <cell r="A636" t="str">
            <v>TFHGV-HYBDSL</v>
          </cell>
          <cell r="B636" t="str">
            <v>VAR_fin</v>
          </cell>
          <cell r="C636" t="str">
            <v>TDSL</v>
          </cell>
          <cell r="E636">
            <v>3.0894648161178218</v>
          </cell>
          <cell r="F636">
            <v>4.2058900381548296</v>
          </cell>
          <cell r="G636">
            <v>11.206283870649095</v>
          </cell>
          <cell r="H636">
            <v>14.782166772736392</v>
          </cell>
          <cell r="I636">
            <v>15.394964168440135</v>
          </cell>
          <cell r="J636">
            <v>16.018434478877936</v>
          </cell>
          <cell r="K636">
            <v>16.633341814698074</v>
          </cell>
          <cell r="L636">
            <v>17.164025433673391</v>
          </cell>
          <cell r="M636">
            <v>17.758123121956167</v>
          </cell>
          <cell r="N636">
            <v>18.358857512858325</v>
          </cell>
          <cell r="O636">
            <v>18.960547822364088</v>
          </cell>
        </row>
        <row r="637">
          <cell r="A637" t="str">
            <v>TFHGV-HYBDSL</v>
          </cell>
          <cell r="B637" t="str">
            <v>VAR_ncap</v>
          </cell>
          <cell r="C637" t="str">
            <v>-</v>
          </cell>
          <cell r="E637">
            <v>9.50084469804186E-3</v>
          </cell>
          <cell r="F637">
            <v>3.4353353588800302E-3</v>
          </cell>
          <cell r="G637">
            <v>2.90658485750078E-2</v>
          </cell>
          <cell r="H637">
            <v>3.9785467322058302E-2</v>
          </cell>
          <cell r="I637">
            <v>1.7063939812684299E-2</v>
          </cell>
          <cell r="J637">
            <v>4.2432799399494098E-2</v>
          </cell>
          <cell r="K637">
            <v>2.4614836698997399E-2</v>
          </cell>
          <cell r="L637">
            <v>3.7106376394227397E-2</v>
          </cell>
          <cell r="M637">
            <v>4.74021954648687E-2</v>
          </cell>
          <cell r="N637">
            <v>2.65738418662083E-2</v>
          </cell>
          <cell r="O637">
            <v>4.2918428105226399E-2</v>
          </cell>
        </row>
        <row r="638">
          <cell r="A638" t="str">
            <v>TFHGV-HYBDSL</v>
          </cell>
          <cell r="B638" t="str">
            <v>VAR_cap</v>
          </cell>
          <cell r="C638" t="str">
            <v>-</v>
          </cell>
          <cell r="E638">
            <v>9.50084469804186E-3</v>
          </cell>
          <cell r="F638">
            <v>1.2936167199281527E-2</v>
          </cell>
          <cell r="G638">
            <v>3.4463543966993158E-2</v>
          </cell>
          <cell r="H638">
            <v>4.7323240266703044E-2</v>
          </cell>
          <cell r="I638">
            <v>4.9280335423147421E-2</v>
          </cell>
          <cell r="J638">
            <v>5.1280639828384197E-2</v>
          </cell>
          <cell r="K638">
            <v>5.3251145686033736E-2</v>
          </cell>
          <cell r="L638">
            <v>5.5116972554584698E-2</v>
          </cell>
          <cell r="M638">
            <v>5.7025150712147657E-2</v>
          </cell>
          <cell r="N638">
            <v>5.8948875724145283E-2</v>
          </cell>
          <cell r="O638">
            <v>6.0852111734902417E-2</v>
          </cell>
        </row>
        <row r="639">
          <cell r="A639" t="str">
            <v>D-TKER</v>
          </cell>
          <cell r="B639" t="str">
            <v>VAR_fout</v>
          </cell>
          <cell r="C639" t="str">
            <v>CO2</v>
          </cell>
          <cell r="D639">
            <v>80.509639932364394</v>
          </cell>
          <cell r="E639">
            <v>102.2962274028</v>
          </cell>
          <cell r="F639">
            <v>134.18201611343099</v>
          </cell>
          <cell r="G639">
            <v>120.49865065924</v>
          </cell>
          <cell r="H639">
            <v>84.485790858289604</v>
          </cell>
          <cell r="I639">
            <v>71.635626164319902</v>
          </cell>
          <cell r="J639">
            <v>46.369387086414498</v>
          </cell>
          <cell r="K639">
            <v>27.6791952282964</v>
          </cell>
          <cell r="L639">
            <v>14.034865416277</v>
          </cell>
          <cell r="M639">
            <v>2.1164510356976501E-2</v>
          </cell>
          <cell r="N639">
            <v>1.3409404774917699E-2</v>
          </cell>
          <cell r="O639">
            <v>2.3087346794628101E-2</v>
          </cell>
        </row>
        <row r="640">
          <cell r="A640" t="str">
            <v>D-TKER</v>
          </cell>
          <cell r="B640" t="str">
            <v>VAR_fout</v>
          </cell>
          <cell r="C640" t="str">
            <v>TKER</v>
          </cell>
          <cell r="D640">
            <v>1.0896492009912</v>
          </cell>
          <cell r="E640">
            <v>1.38451746334374</v>
          </cell>
          <cell r="F640">
            <v>1.81607229604082</v>
          </cell>
          <cell r="G640">
            <v>1.6308762344691099</v>
          </cell>
          <cell r="H640">
            <v>1.14346399488538</v>
          </cell>
          <cell r="I640">
            <v>0.96954480082175498</v>
          </cell>
          <cell r="J640">
            <v>0.62758156205406102</v>
          </cell>
          <cell r="K640">
            <v>0.374621138411876</v>
          </cell>
          <cell r="L640">
            <v>0.189953400607839</v>
          </cell>
          <cell r="M640">
            <v>2.8644882549746202E-4</v>
          </cell>
          <cell r="N640">
            <v>1.81488169752489E-4</v>
          </cell>
          <cell r="O640">
            <v>3.1247325176100198E-4</v>
          </cell>
        </row>
        <row r="641">
          <cell r="A641" t="str">
            <v>D-TKER</v>
          </cell>
          <cell r="B641" t="str">
            <v>VAR_fin</v>
          </cell>
          <cell r="C641" t="str">
            <v>KER</v>
          </cell>
          <cell r="D641">
            <v>1.1059016474225796</v>
          </cell>
          <cell r="E641">
            <v>1.4051679588296668</v>
          </cell>
          <cell r="F641">
            <v>1.8431595619976713</v>
          </cell>
          <cell r="G641">
            <v>1.65520124531923</v>
          </cell>
          <cell r="H641">
            <v>1.1605191051962853</v>
          </cell>
          <cell r="I641">
            <v>0.98400585390549367</v>
          </cell>
          <cell r="J641">
            <v>0.63694213030789115</v>
          </cell>
          <cell r="K641">
            <v>0.3802087256634113</v>
          </cell>
          <cell r="L641">
            <v>0.1927866128609487</v>
          </cell>
          <cell r="M641">
            <v>2.9072129611231373E-4</v>
          </cell>
          <cell r="N641">
            <v>1.8419512053458476E-4</v>
          </cell>
          <cell r="O641">
            <v>3.1713388454159496E-4</v>
          </cell>
        </row>
        <row r="642">
          <cell r="A642" t="str">
            <v>T_B_u-BEVELC-S1</v>
          </cell>
          <cell r="B642" t="str">
            <v>VAR_fout</v>
          </cell>
          <cell r="C642" t="str">
            <v>TPBSu</v>
          </cell>
          <cell r="D642">
            <v>1.8153869396208529E-7</v>
          </cell>
          <cell r="E642">
            <v>6.2315041492702595E-4</v>
          </cell>
          <cell r="F642">
            <v>1.6223873746993142E-3</v>
          </cell>
          <cell r="G642">
            <v>0.11013156191077003</v>
          </cell>
          <cell r="H642">
            <v>0.11466970179513394</v>
          </cell>
          <cell r="I642">
            <v>0.11934575656080683</v>
          </cell>
          <cell r="J642">
            <v>0.12293017044820463</v>
          </cell>
          <cell r="K642">
            <v>0.12543969511758393</v>
          </cell>
          <cell r="L642">
            <v>0.12702896996058904</v>
          </cell>
          <cell r="M642">
            <v>0.12294085516103137</v>
          </cell>
          <cell r="N642">
            <v>9.0047372323844688E-2</v>
          </cell>
          <cell r="O642">
            <v>7.8890772272558446E-2</v>
          </cell>
        </row>
        <row r="643">
          <cell r="A643" t="str">
            <v>T_B_u-BEVELC-S1</v>
          </cell>
          <cell r="B643" t="str">
            <v>VAR_fin</v>
          </cell>
          <cell r="C643" t="str">
            <v>T-ELC-Bus_u_BatSTGout_S1</v>
          </cell>
          <cell r="D643">
            <v>4.793819529994707E-7</v>
          </cell>
          <cell r="E643">
            <v>1.5879667787746139E-3</v>
          </cell>
          <cell r="F643">
            <v>4.0063952903317893E-3</v>
          </cell>
          <cell r="G643">
            <v>0.24628076910800989</v>
          </cell>
          <cell r="H643">
            <v>0.24355348494104975</v>
          </cell>
          <cell r="I643">
            <v>0.25246996579885977</v>
          </cell>
          <cell r="J643">
            <v>0.24736349746091821</v>
          </cell>
          <cell r="K643">
            <v>0.23617919781400087</v>
          </cell>
          <cell r="L643">
            <v>0.23619843190016229</v>
          </cell>
          <cell r="M643">
            <v>0.22667877108497198</v>
          </cell>
          <cell r="N643">
            <v>0.16602965443069423</v>
          </cell>
          <cell r="O643">
            <v>0.14545907692983326</v>
          </cell>
        </row>
        <row r="644">
          <cell r="A644" t="str">
            <v>T_B_u-BEVELC-S1</v>
          </cell>
          <cell r="B644" t="str">
            <v>VAR_ncap</v>
          </cell>
          <cell r="C644" t="str">
            <v>-</v>
          </cell>
          <cell r="E644">
            <v>1.22850371044687E-5</v>
          </cell>
          <cell r="F644">
            <v>1.97642372419785E-5</v>
          </cell>
          <cell r="G644">
            <v>2.5485324904014899E-3</v>
          </cell>
          <cell r="H644">
            <v>2.5990203445482802E-3</v>
          </cell>
          <cell r="I644">
            <v>1.732391463017E-4</v>
          </cell>
          <cell r="J644">
            <v>1.3151449304210101E-3</v>
          </cell>
          <cell r="K644">
            <v>1.49653748635721E-3</v>
          </cell>
          <cell r="L644">
            <v>8.5859284076031796E-4</v>
          </cell>
          <cell r="M644">
            <v>1.30834458939248E-3</v>
          </cell>
          <cell r="N644">
            <v>8.8324897660817302E-4</v>
          </cell>
          <cell r="O644">
            <v>2.5574457454726499E-4</v>
          </cell>
        </row>
        <row r="645">
          <cell r="A645" t="str">
            <v>T_B_u-BEVELC-S1</v>
          </cell>
          <cell r="B645" t="str">
            <v>VAR_cap</v>
          </cell>
          <cell r="C645" t="str">
            <v>-</v>
          </cell>
          <cell r="D645">
            <v>3.02390998593531E-8</v>
          </cell>
          <cell r="E645">
            <v>1.2326527962415254E-5</v>
          </cell>
          <cell r="F645">
            <v>3.2022102494298136E-5</v>
          </cell>
          <cell r="G645">
            <v>2.5586902004018659E-3</v>
          </cell>
          <cell r="H645">
            <v>2.6221740247181096E-3</v>
          </cell>
          <cell r="I645">
            <v>2.6910503152600468E-3</v>
          </cell>
          <cell r="J645">
            <v>2.7917816504915609E-3</v>
          </cell>
          <cell r="K645">
            <v>2.8705578690128627E-3</v>
          </cell>
          <cell r="L645">
            <v>2.9461182092230163E-3</v>
          </cell>
          <cell r="M645">
            <v>2.9323548822940025E-3</v>
          </cell>
          <cell r="N645">
            <v>2.3432101305475767E-3</v>
          </cell>
          <cell r="O645">
            <v>2.0184381924936694E-3</v>
          </cell>
        </row>
        <row r="646">
          <cell r="A646" t="str">
            <v>TPSHPH2OEXT</v>
          </cell>
          <cell r="B646" t="str">
            <v>VAR_fout</v>
          </cell>
          <cell r="C646" t="str">
            <v>TPSHP</v>
          </cell>
          <cell r="H646">
            <v>1.47118506400625E-4</v>
          </cell>
          <cell r="I646">
            <v>1.6537376202610901E-4</v>
          </cell>
          <cell r="J646">
            <v>2.2421968447477799E-4</v>
          </cell>
          <cell r="K646">
            <v>3.6742372645743698E-4</v>
          </cell>
          <cell r="L646">
            <v>4.29835423633749E-4</v>
          </cell>
          <cell r="M646">
            <v>5.6631395117705502E-4</v>
          </cell>
          <cell r="N646">
            <v>6.1291010394953901E-4</v>
          </cell>
          <cell r="O646">
            <v>6.5615777275886101E-4</v>
          </cell>
        </row>
        <row r="647">
          <cell r="A647" t="str">
            <v>TPSHPH2OEXT</v>
          </cell>
          <cell r="B647" t="str">
            <v>VAR_fin</v>
          </cell>
          <cell r="C647" t="str">
            <v>TH2O</v>
          </cell>
          <cell r="H647">
            <v>8.2029712659742292E-5</v>
          </cell>
          <cell r="I647">
            <v>9.2208400644860314E-5</v>
          </cell>
          <cell r="J647">
            <v>1.250194604344216E-4</v>
          </cell>
          <cell r="K647">
            <v>2.0486656263081271E-4</v>
          </cell>
          <cell r="L647">
            <v>2.3966581196548326E-4</v>
          </cell>
          <cell r="M647">
            <v>3.1576293035326603E-4</v>
          </cell>
          <cell r="N647">
            <v>3.4174381553549909E-4</v>
          </cell>
          <cell r="O647">
            <v>3.6585766723524354E-4</v>
          </cell>
        </row>
        <row r="648">
          <cell r="A648" t="str">
            <v>TPSHPH2OEXT</v>
          </cell>
          <cell r="B648" t="str">
            <v>VAR_ncap</v>
          </cell>
          <cell r="C648" t="str">
            <v>-</v>
          </cell>
          <cell r="H648">
            <v>1.4363218471549001E-4</v>
          </cell>
          <cell r="I648">
            <v>2.56220166370199E-5</v>
          </cell>
          <cell r="J648">
            <v>6.9273154914569493E-5</v>
          </cell>
          <cell r="K648">
            <v>1.6889951271971401E-4</v>
          </cell>
          <cell r="L648">
            <v>1.7578373626267899E-4</v>
          </cell>
          <cell r="M648">
            <v>2.1902714727400501E-4</v>
          </cell>
          <cell r="N648">
            <v>1.2098101169959299E-4</v>
          </cell>
          <cell r="O648">
            <v>1.98263671627494E-4</v>
          </cell>
        </row>
        <row r="649">
          <cell r="A649" t="str">
            <v>TPSHPH2OEXT</v>
          </cell>
          <cell r="B649" t="str">
            <v>VAR_cap</v>
          </cell>
          <cell r="C649" t="str">
            <v>-</v>
          </cell>
          <cell r="H649">
            <v>1.4363218471549001E-4</v>
          </cell>
          <cell r="I649">
            <v>1.655255721433976E-4</v>
          </cell>
          <cell r="J649">
            <v>2.2465552187811961E-4</v>
          </cell>
          <cell r="K649">
            <v>3.6485406544413851E-4</v>
          </cell>
          <cell r="L649">
            <v>4.2953779409979169E-4</v>
          </cell>
          <cell r="M649">
            <v>5.6778950517401641E-4</v>
          </cell>
          <cell r="N649">
            <v>6.1445262508043796E-4</v>
          </cell>
          <cell r="O649">
            <v>6.6047585425700497E-4</v>
          </cell>
        </row>
        <row r="650">
          <cell r="A650" t="str">
            <v>T_B_u-BEVELC-S2</v>
          </cell>
          <cell r="B650" t="str">
            <v>VAR_fout</v>
          </cell>
          <cell r="C650" t="str">
            <v>TPBSu</v>
          </cell>
          <cell r="D650">
            <v>4.0435506944943238E-4</v>
          </cell>
          <cell r="E650">
            <v>6.9992418111520236E-4</v>
          </cell>
          <cell r="F650">
            <v>1.3906445010840353E-3</v>
          </cell>
          <cell r="G650">
            <v>3.963052717898858E-2</v>
          </cell>
          <cell r="H650">
            <v>4.1255012268869559E-2</v>
          </cell>
          <cell r="I650">
            <v>4.2924436458574688E-2</v>
          </cell>
          <cell r="J650">
            <v>4.4179525858924956E-2</v>
          </cell>
          <cell r="K650">
            <v>4.5287049226643783E-2</v>
          </cell>
          <cell r="L650">
            <v>4.6128750999080689E-2</v>
          </cell>
          <cell r="M650">
            <v>4.6756722949545526E-2</v>
          </cell>
          <cell r="N650">
            <v>4.7542874642704222E-2</v>
          </cell>
          <cell r="O650">
            <v>4.7764303859745005E-2</v>
          </cell>
        </row>
        <row r="651">
          <cell r="A651" t="str">
            <v>T_B_u-BEVELC-S2</v>
          </cell>
          <cell r="B651" t="str">
            <v>VAR_fin</v>
          </cell>
          <cell r="C651" t="str">
            <v>T-ELC-Bus_u_BatSTGout_S2</v>
          </cell>
          <cell r="D651">
            <v>1.4694165039696309E-3</v>
          </cell>
          <cell r="E651">
            <v>2.5138366542109209E-3</v>
          </cell>
          <cell r="F651">
            <v>4.8244106323028337E-3</v>
          </cell>
          <cell r="G651">
            <v>0.12254754519616584</v>
          </cell>
          <cell r="H651">
            <v>0.12161181395255781</v>
          </cell>
          <cell r="I651">
            <v>0.12491841454333513</v>
          </cell>
          <cell r="J651">
            <v>0.1234895708741237</v>
          </cell>
          <cell r="K651">
            <v>0.11811000978254832</v>
          </cell>
          <cell r="L651">
            <v>0.11854028030394929</v>
          </cell>
          <cell r="M651">
            <v>0.11915088882910019</v>
          </cell>
          <cell r="N651">
            <v>0.1211542514919506</v>
          </cell>
          <cell r="O651">
            <v>0.12171852303107472</v>
          </cell>
        </row>
        <row r="652">
          <cell r="A652" t="str">
            <v>T_B_u-BEVELC-S2</v>
          </cell>
          <cell r="B652" t="str">
            <v>VAR_ncap</v>
          </cell>
          <cell r="C652" t="str">
            <v>-</v>
          </cell>
          <cell r="E652">
            <v>3.4148612015616899E-6</v>
          </cell>
          <cell r="F652">
            <v>1.2807284640167799E-5</v>
          </cell>
          <cell r="G652">
            <v>7.2759686742292998E-4</v>
          </cell>
          <cell r="H652">
            <v>6.8939085360483602E-4</v>
          </cell>
          <cell r="I652">
            <v>1.17084310118691E-4</v>
          </cell>
          <cell r="J652">
            <v>3.6076796568351499E-4</v>
          </cell>
          <cell r="K652">
            <v>4.5651707241576997E-4</v>
          </cell>
          <cell r="L652">
            <v>2.5333450240130298E-4</v>
          </cell>
          <cell r="M652">
            <v>3.9878036341701702E-4</v>
          </cell>
          <cell r="N652">
            <v>4.5559276817700302E-4</v>
          </cell>
          <cell r="O652">
            <v>1.82917796434726E-4</v>
          </cell>
        </row>
        <row r="653">
          <cell r="A653" t="str">
            <v>T_B_u-BEVELC-S2</v>
          </cell>
          <cell r="B653" t="str">
            <v>VAR_cap</v>
          </cell>
          <cell r="C653" t="str">
            <v>-</v>
          </cell>
          <cell r="D653">
            <v>7.8464557672864101E-6</v>
          </cell>
          <cell r="E653">
            <v>1.4034168062891748E-5</v>
          </cell>
          <cell r="F653">
            <v>2.6883887006419307E-5</v>
          </cell>
          <cell r="G653">
            <v>7.4816821217741302E-4</v>
          </cell>
          <cell r="H653">
            <v>7.7976792436427892E-4</v>
          </cell>
          <cell r="I653">
            <v>8.1103321470186399E-4</v>
          </cell>
          <cell r="J653">
            <v>8.3512327644574814E-4</v>
          </cell>
          <cell r="K653">
            <v>8.5718672978692047E-4</v>
          </cell>
          <cell r="L653">
            <v>8.7196994917842509E-4</v>
          </cell>
          <cell r="M653">
            <v>8.8567462957114774E-4</v>
          </cell>
          <cell r="N653">
            <v>8.9914251244569874E-4</v>
          </cell>
          <cell r="O653">
            <v>9.0707340639302936E-4</v>
          </cell>
        </row>
        <row r="654">
          <cell r="A654" t="str">
            <v>TFHGV-ICEDSL</v>
          </cell>
          <cell r="B654" t="str">
            <v>VAR_fout</v>
          </cell>
          <cell r="C654" t="str">
            <v>CO2_T</v>
          </cell>
          <cell r="D654">
            <v>382.50426398997746</v>
          </cell>
          <cell r="E654">
            <v>448.51041240423456</v>
          </cell>
          <cell r="F654">
            <v>351.39712291910701</v>
          </cell>
          <cell r="G654">
            <v>32.987929136647068</v>
          </cell>
          <cell r="H654">
            <v>0.66938475571176292</v>
          </cell>
          <cell r="I654">
            <v>0.94993094346981699</v>
          </cell>
          <cell r="J654">
            <v>0.812339001401156</v>
          </cell>
          <cell r="K654">
            <v>0.96764106526571603</v>
          </cell>
          <cell r="L654">
            <v>1.0252514038286999</v>
          </cell>
          <cell r="M654">
            <v>0.91376488377941001</v>
          </cell>
          <cell r="N654">
            <v>1.2729316222834539</v>
          </cell>
          <cell r="O654">
            <v>1.6920901252098282</v>
          </cell>
        </row>
        <row r="655">
          <cell r="A655" t="str">
            <v>TFHGV-ICEDSL</v>
          </cell>
          <cell r="B655" t="str">
            <v>VAR_fout</v>
          </cell>
          <cell r="C655" t="str">
            <v>TFHGV</v>
          </cell>
          <cell r="D655">
            <v>0.61943520631654247</v>
          </cell>
          <cell r="E655">
            <v>0.72632690926032462</v>
          </cell>
          <cell r="F655">
            <v>0.56905966763324811</v>
          </cell>
          <cell r="G655">
            <v>5.342132523586704E-2</v>
          </cell>
          <cell r="H655">
            <v>1.084015325565967E-3</v>
          </cell>
          <cell r="I655">
            <v>1.5383375437877829E-3</v>
          </cell>
          <cell r="J655">
            <v>1.3155183466009293E-3</v>
          </cell>
          <cell r="K655">
            <v>1.5670176762236981E-3</v>
          </cell>
          <cell r="L655">
            <v>1.6603130334609775E-3</v>
          </cell>
          <cell r="M655">
            <v>1.4797694891148809E-3</v>
          </cell>
          <cell r="N655">
            <v>2.0614114306884319E-3</v>
          </cell>
          <cell r="O655">
            <v>2.7402052591053005E-3</v>
          </cell>
        </row>
        <row r="656">
          <cell r="A656" t="str">
            <v>TFHGV-ICEDSL</v>
          </cell>
          <cell r="B656" t="str">
            <v>VAR_fin</v>
          </cell>
          <cell r="C656" t="str">
            <v>TDSL</v>
          </cell>
          <cell r="D656">
            <v>5.2183392085944975</v>
          </cell>
          <cell r="E656">
            <v>6.1188323656784993</v>
          </cell>
          <cell r="F656">
            <v>4.7939580207245127</v>
          </cell>
          <cell r="G656">
            <v>0.45003996093652215</v>
          </cell>
          <cell r="H656">
            <v>9.1321249073910375E-3</v>
          </cell>
          <cell r="I656">
            <v>1.2959494453885625E-2</v>
          </cell>
          <cell r="J656">
            <v>1.1082387467955743E-2</v>
          </cell>
          <cell r="K656">
            <v>1.320110593814074E-2</v>
          </cell>
          <cell r="L656">
            <v>1.3987058715261924E-2</v>
          </cell>
          <cell r="M656">
            <v>1.246609664091965E-2</v>
          </cell>
          <cell r="N656">
            <v>1.7366052145749711E-2</v>
          </cell>
          <cell r="O656">
            <v>2.3084449184308721E-2</v>
          </cell>
        </row>
        <row r="657">
          <cell r="A657" t="str">
            <v>TFHGV-ICEDSL</v>
          </cell>
          <cell r="B657" t="str">
            <v>VAR_ncap</v>
          </cell>
          <cell r="C657" t="str">
            <v>-</v>
          </cell>
          <cell r="E657">
            <v>4.0173871966716103E-6</v>
          </cell>
          <cell r="F657">
            <v>1.4724827718635199E-5</v>
          </cell>
          <cell r="G657">
            <v>1.6802788476118699E-5</v>
          </cell>
          <cell r="H657">
            <v>2.08924354911234E-5</v>
          </cell>
          <cell r="I657">
            <v>1.9290632019396901E-5</v>
          </cell>
          <cell r="J657">
            <v>2.0884343368397201E-5</v>
          </cell>
          <cell r="K657">
            <v>2.1416218317492901E-5</v>
          </cell>
          <cell r="L657">
            <v>2.3621724640266201E-5</v>
          </cell>
          <cell r="M657">
            <v>2.77668154688117E-5</v>
          </cell>
          <cell r="N657">
            <v>2.9280884455352301E-5</v>
          </cell>
          <cell r="O657">
            <v>4.26550965747493E-5</v>
          </cell>
        </row>
        <row r="658">
          <cell r="A658" t="str">
            <v>TFHGV-ICEDSL</v>
          </cell>
          <cell r="B658" t="str">
            <v>VAR_cap</v>
          </cell>
          <cell r="C658" t="str">
            <v>-</v>
          </cell>
          <cell r="D658">
            <v>1.1662573501413455E-2</v>
          </cell>
          <cell r="E658">
            <v>1.3665543571354776E-2</v>
          </cell>
          <cell r="F658">
            <v>1.0716062452363393E-2</v>
          </cell>
          <cell r="G658">
            <v>1.008668824588263E-3</v>
          </cell>
          <cell r="H658">
            <v>2.5246245471177915E-5</v>
          </cell>
          <cell r="I658">
            <v>3.6196334204799391E-5</v>
          </cell>
          <cell r="J658">
            <v>3.0886748191296802E-5</v>
          </cell>
          <cell r="K658">
            <v>3.5501449533630865E-5</v>
          </cell>
          <cell r="L658">
            <v>3.9291902107424602E-5</v>
          </cell>
          <cell r="M658">
            <v>3.3886460118942154E-5</v>
          </cell>
          <cell r="N658">
            <v>4.8226646842970871E-5</v>
          </cell>
          <cell r="O658">
            <v>6.2402783039834894E-5</v>
          </cell>
        </row>
        <row r="659">
          <cell r="A659" t="str">
            <v>D-T-ELC-Bus_u_S1</v>
          </cell>
          <cell r="B659" t="str">
            <v>VAR_fout</v>
          </cell>
          <cell r="C659" t="str">
            <v>T-ELC-Bus_u_BatSTGin_S1</v>
          </cell>
          <cell r="D659">
            <v>7.8215630721092398E-6</v>
          </cell>
          <cell r="E659">
            <v>1.6012995680953471E-3</v>
          </cell>
          <cell r="F659">
            <v>4.0200894523351616E-3</v>
          </cell>
          <cell r="G659">
            <v>0.24678901687076973</v>
          </cell>
          <cell r="H659">
            <v>0.24443889449286063</v>
          </cell>
          <cell r="I659">
            <v>0.25326318467721226</v>
          </cell>
          <cell r="J659">
            <v>0.24846855403477269</v>
          </cell>
          <cell r="K659">
            <v>0.23852382542561018</v>
          </cell>
          <cell r="L659">
            <v>0.23799012536745304</v>
          </cell>
          <cell r="M659">
            <v>0.22980359387573987</v>
          </cell>
          <cell r="N659">
            <v>0.16857292289285164</v>
          </cell>
          <cell r="O659">
            <v>0.1513907418709971</v>
          </cell>
        </row>
        <row r="660">
          <cell r="A660" t="str">
            <v>D-T-ELC-Bus_u_S1</v>
          </cell>
          <cell r="B660" t="str">
            <v>VAR_fin</v>
          </cell>
          <cell r="C660" t="str">
            <v>TELC</v>
          </cell>
          <cell r="D660">
            <v>7.8215630721092398E-6</v>
          </cell>
          <cell r="E660">
            <v>1.6012995680953471E-3</v>
          </cell>
          <cell r="F660">
            <v>4.0200894523351616E-3</v>
          </cell>
          <cell r="G660">
            <v>0.24678901687076973</v>
          </cell>
          <cell r="H660">
            <v>0.24443889449286063</v>
          </cell>
          <cell r="I660">
            <v>0.25326318467721226</v>
          </cell>
          <cell r="J660">
            <v>0.24846855403477269</v>
          </cell>
          <cell r="K660">
            <v>0.23852382542561018</v>
          </cell>
          <cell r="L660">
            <v>0.23799012536745304</v>
          </cell>
          <cell r="M660">
            <v>0.22980359387573987</v>
          </cell>
          <cell r="N660">
            <v>0.16857292289285164</v>
          </cell>
          <cell r="O660">
            <v>0.1513907418709971</v>
          </cell>
        </row>
        <row r="661">
          <cell r="A661" t="str">
            <v>D-T-ELC-Bus_u_S1</v>
          </cell>
          <cell r="B661" t="str">
            <v>VAR_ncap</v>
          </cell>
          <cell r="C661" t="str">
            <v>-</v>
          </cell>
          <cell r="D661">
            <v>3.5464677410971298E-4</v>
          </cell>
          <cell r="E661">
            <v>3.6432995358503698E-4</v>
          </cell>
          <cell r="F661">
            <v>8.2211913972954603E-4</v>
          </cell>
          <cell r="G661">
            <v>2.46912292916419E-2</v>
          </cell>
          <cell r="H661">
            <v>7.7128084781603499E-4</v>
          </cell>
          <cell r="I661">
            <v>2.0817545808862799E-2</v>
          </cell>
          <cell r="J661">
            <v>5.0568616376320298E-3</v>
          </cell>
          <cell r="K661">
            <v>1.3051977699288401E-2</v>
          </cell>
          <cell r="L661">
            <v>9.8396377188875294E-3</v>
          </cell>
          <cell r="M661">
            <v>7.7865252780899199E-3</v>
          </cell>
          <cell r="N661">
            <v>8.3014587581175005E-3</v>
          </cell>
          <cell r="O661">
            <v>2.4991178365876602E-3</v>
          </cell>
        </row>
        <row r="662">
          <cell r="A662" t="str">
            <v>D-T-ELC-Bus_u_S1</v>
          </cell>
          <cell r="B662" t="str">
            <v>VAR_cap</v>
          </cell>
          <cell r="C662" t="str">
            <v>-</v>
          </cell>
          <cell r="D662">
            <v>3.5464677410971298E-4</v>
          </cell>
          <cell r="E662">
            <v>7.1897672769475002E-4</v>
          </cell>
          <cell r="F662">
            <v>1.5410958674243001E-3</v>
          </cell>
          <cell r="G662">
            <v>2.6088900225754001E-2</v>
          </cell>
          <cell r="H662">
            <v>2.5883717782607101E-2</v>
          </cell>
          <cell r="I662">
            <v>2.6773909200071701E-2</v>
          </cell>
          <cell r="J662">
            <v>2.6274325047133801E-2</v>
          </cell>
          <cell r="K662">
            <v>2.5220055475323001E-2</v>
          </cell>
          <cell r="L662">
            <v>2.5166245682608002E-2</v>
          </cell>
          <cell r="M662">
            <v>2.43132628338231E-2</v>
          </cell>
          <cell r="N662">
            <v>1.7830799593168901E-2</v>
          </cell>
          <cell r="O662">
            <v>1.6055413118090701E-2</v>
          </cell>
        </row>
        <row r="663">
          <cell r="A663" t="str">
            <v>T-Plg-DSL-mix_S1</v>
          </cell>
          <cell r="B663" t="str">
            <v>VAR_fout</v>
          </cell>
          <cell r="C663" t="str">
            <v>CO2_T</v>
          </cell>
          <cell r="D663">
            <v>1.3258138680644399E-3</v>
          </cell>
          <cell r="E663">
            <v>0.1193847333340752</v>
          </cell>
          <cell r="F663">
            <v>0.17253137599684021</v>
          </cell>
          <cell r="G663">
            <v>0.20388115888408101</v>
          </cell>
          <cell r="H663">
            <v>0.25367690944414062</v>
          </cell>
          <cell r="I663">
            <v>0.36200893573150228</v>
          </cell>
          <cell r="J663">
            <v>0.35319742469570203</v>
          </cell>
          <cell r="K663">
            <v>0.49230583673136297</v>
          </cell>
          <cell r="L663">
            <v>0.36214710512538878</v>
          </cell>
          <cell r="M663">
            <v>0.13289741463861748</v>
          </cell>
          <cell r="N663">
            <v>6.1562873228665396E-2</v>
          </cell>
          <cell r="O663">
            <v>4.6147939808902708E-2</v>
          </cell>
        </row>
        <row r="664">
          <cell r="A664" t="str">
            <v>T-Plg-DSL-mix_S1</v>
          </cell>
          <cell r="B664" t="str">
            <v>VAR_fout</v>
          </cell>
          <cell r="C664" t="str">
            <v>T-PEVmix-ELC_DSL_S1</v>
          </cell>
          <cell r="D664">
            <v>1.3175039196489355E-5</v>
          </cell>
          <cell r="E664">
            <v>1.1863645259912292E-3</v>
          </cell>
          <cell r="F664">
            <v>1.7144998224382167E-3</v>
          </cell>
          <cell r="G664">
            <v>2.0260327067214532E-3</v>
          </cell>
          <cell r="H664">
            <v>2.59078043992451E-3</v>
          </cell>
          <cell r="I664">
            <v>3.7739344677314782E-3</v>
          </cell>
          <cell r="J664">
            <v>3.9307311184652843E-3</v>
          </cell>
          <cell r="K664">
            <v>5.7964022780523936E-3</v>
          </cell>
          <cell r="L664">
            <v>4.4142575773765359E-3</v>
          </cell>
          <cell r="M664">
            <v>1.7398089821226968E-3</v>
          </cell>
          <cell r="N664">
            <v>8.1635002678840025E-4</v>
          </cell>
          <cell r="O664">
            <v>6.3814593420882186E-4</v>
          </cell>
        </row>
        <row r="665">
          <cell r="A665" t="str">
            <v>T-Plg-DSL-mix_S1</v>
          </cell>
          <cell r="B665" t="str">
            <v>VAR_fin</v>
          </cell>
          <cell r="C665" t="str">
            <v>TDSL</v>
          </cell>
          <cell r="D665">
            <v>1.8087501610701822E-5</v>
          </cell>
          <cell r="E665">
            <v>1.6287139609014341E-3</v>
          </cell>
          <cell r="F665">
            <v>2.3537704774466602E-3</v>
          </cell>
          <cell r="G665">
            <v>2.7814619220202018E-3</v>
          </cell>
          <cell r="H665">
            <v>3.4608036759091465E-3</v>
          </cell>
          <cell r="I665">
            <v>4.9387303646862418E-3</v>
          </cell>
          <cell r="J665">
            <v>4.8185187543751977E-3</v>
          </cell>
          <cell r="K665">
            <v>6.7163142801004586E-3</v>
          </cell>
          <cell r="L665">
            <v>4.9406153495960203E-3</v>
          </cell>
          <cell r="M665">
            <v>1.8130615912498977E-3</v>
          </cell>
          <cell r="N665">
            <v>8.3987548743063363E-4</v>
          </cell>
          <cell r="O665">
            <v>6.2957625933018695E-4</v>
          </cell>
        </row>
        <row r="666">
          <cell r="A666" t="str">
            <v>T_B_u-BEVELC-S3</v>
          </cell>
          <cell r="B666" t="str">
            <v>VAR_fout</v>
          </cell>
          <cell r="C666" t="str">
            <v>TPBSu</v>
          </cell>
          <cell r="D666">
            <v>8.1406415967594486E-4</v>
          </cell>
          <cell r="E666">
            <v>1.1534414666755002E-3</v>
          </cell>
          <cell r="F666">
            <v>1.4210339926664509E-3</v>
          </cell>
          <cell r="G666">
            <v>0.10491108225821312</v>
          </cell>
          <cell r="H666">
            <v>0.10064531208083725</v>
          </cell>
          <cell r="I666">
            <v>9.5352466077220158E-2</v>
          </cell>
          <cell r="J666">
            <v>8.8732406462088034E-2</v>
          </cell>
          <cell r="K666">
            <v>8.3334498242963712E-2</v>
          </cell>
          <cell r="L666">
            <v>7.8594694674249815E-2</v>
          </cell>
          <cell r="M666">
            <v>7.8573860797256007E-2</v>
          </cell>
          <cell r="N666">
            <v>0.10909123360315318</v>
          </cell>
          <cell r="O666">
            <v>0.12576238243727855</v>
          </cell>
        </row>
        <row r="667">
          <cell r="A667" t="str">
            <v>T_B_u-BEVELC-S3</v>
          </cell>
          <cell r="B667" t="str">
            <v>VAR_fin</v>
          </cell>
          <cell r="C667" t="str">
            <v>T-ELC-Bus_u_BatSTGout_S3</v>
          </cell>
          <cell r="D667">
            <v>4.4491575027101656E-3</v>
          </cell>
          <cell r="E667">
            <v>6.2239410764582679E-3</v>
          </cell>
          <cell r="F667">
            <v>7.5710928507537849E-3</v>
          </cell>
          <cell r="G667">
            <v>0.48618547323680456</v>
          </cell>
          <cell r="H667">
            <v>0.46084316224721528</v>
          </cell>
          <cell r="I667">
            <v>0.40342168315187354</v>
          </cell>
          <cell r="J667">
            <v>0.36757682756469878</v>
          </cell>
          <cell r="K667">
            <v>0.32188685038357279</v>
          </cell>
          <cell r="L667">
            <v>0.30042786228859297</v>
          </cell>
          <cell r="M667">
            <v>0.29973684301818759</v>
          </cell>
          <cell r="N667">
            <v>0.41615190636414084</v>
          </cell>
          <cell r="O667">
            <v>0.47974757889855696</v>
          </cell>
        </row>
        <row r="668">
          <cell r="A668" t="str">
            <v>T_B_u-BEVELC-S3</v>
          </cell>
          <cell r="B668" t="str">
            <v>VAR_ncap</v>
          </cell>
          <cell r="C668" t="str">
            <v>-</v>
          </cell>
          <cell r="E668">
            <v>2.2866946774913398E-6</v>
          </cell>
          <cell r="F668">
            <v>4.86846228874269E-6</v>
          </cell>
          <cell r="G668">
            <v>1.9630941351502398E-3</v>
          </cell>
          <cell r="H668">
            <v>4.0838753842208097E-4</v>
          </cell>
          <cell r="I668">
            <v>1.39015708239254E-3</v>
          </cell>
          <cell r="J668">
            <v>4.2906684311697698E-4</v>
          </cell>
          <cell r="K668">
            <v>1.14338653937761E-3</v>
          </cell>
          <cell r="L668">
            <v>2.7351138295942198E-4</v>
          </cell>
          <cell r="M668">
            <v>1.2750020350641401E-3</v>
          </cell>
          <cell r="N668">
            <v>7.8306177328036199E-4</v>
          </cell>
          <cell r="O668">
            <v>1.5902349498696201E-3</v>
          </cell>
        </row>
        <row r="669">
          <cell r="A669" t="str">
            <v>T_B_u-BEVELC-S3</v>
          </cell>
          <cell r="B669" t="str">
            <v>VAR_cap</v>
          </cell>
          <cell r="C669" t="str">
            <v>-</v>
          </cell>
          <cell r="D669">
            <v>1.9200886530462799E-5</v>
          </cell>
          <cell r="E669">
            <v>2.2478244336965937E-5</v>
          </cell>
          <cell r="F669">
            <v>2.7343704091550738E-5</v>
          </cell>
          <cell r="G669">
            <v>1.9787037404501396E-3</v>
          </cell>
          <cell r="H669">
            <v>1.8986363413474887E-3</v>
          </cell>
          <cell r="I669">
            <v>1.79854462081462E-3</v>
          </cell>
          <cell r="J669">
            <v>1.6739083009583134E-3</v>
          </cell>
          <cell r="K669">
            <v>1.572435709694955E-3</v>
          </cell>
          <cell r="L669">
            <v>1.4828006539398416E-3</v>
          </cell>
          <cell r="M669">
            <v>1.4826312036354239E-3</v>
          </cell>
          <cell r="N669">
            <v>2.058038328068354E-3</v>
          </cell>
          <cell r="O669">
            <v>2.3732625496094492E-3</v>
          </cell>
        </row>
        <row r="670">
          <cell r="A670" t="str">
            <v>D-T-ELC-Bus_u_S2</v>
          </cell>
          <cell r="B670" t="str">
            <v>VAR_fout</v>
          </cell>
          <cell r="C670" t="str">
            <v>T-ELC-Bus_u_BatSTGin_S2</v>
          </cell>
          <cell r="D670">
            <v>1.4336512319682996E-3</v>
          </cell>
          <cell r="E670">
            <v>2.5197548284529338E-3</v>
          </cell>
          <cell r="F670">
            <v>4.8301719412416127E-3</v>
          </cell>
          <cell r="G670">
            <v>0.12298320288185152</v>
          </cell>
          <cell r="H670">
            <v>0.12235410165493628</v>
          </cell>
          <cell r="I670">
            <v>0.12566220695578942</v>
          </cell>
          <cell r="J670">
            <v>0.12447327406282277</v>
          </cell>
          <cell r="K670">
            <v>0.12031464962941343</v>
          </cell>
          <cell r="L670">
            <v>0.12018594476348976</v>
          </cell>
          <cell r="M670">
            <v>0.12204031025461617</v>
          </cell>
          <cell r="N670">
            <v>0.12340046800829524</v>
          </cell>
          <cell r="O670">
            <v>0.12676972353288379</v>
          </cell>
        </row>
        <row r="671">
          <cell r="A671" t="str">
            <v>D-T-ELC-Bus_u_S2</v>
          </cell>
          <cell r="B671" t="str">
            <v>VAR_fin</v>
          </cell>
          <cell r="C671" t="str">
            <v>TELC</v>
          </cell>
          <cell r="D671">
            <v>1.4336512319682996E-3</v>
          </cell>
          <cell r="E671">
            <v>2.5197548284529338E-3</v>
          </cell>
          <cell r="F671">
            <v>4.8301719412416127E-3</v>
          </cell>
          <cell r="G671">
            <v>0.12298320288185152</v>
          </cell>
          <cell r="H671">
            <v>0.12235410165493628</v>
          </cell>
          <cell r="I671">
            <v>0.12566220695578942</v>
          </cell>
          <cell r="J671">
            <v>0.12447327406282277</v>
          </cell>
          <cell r="K671">
            <v>0.12031464962941343</v>
          </cell>
          <cell r="L671">
            <v>0.12018594476348976</v>
          </cell>
          <cell r="M671">
            <v>0.12204031025461617</v>
          </cell>
          <cell r="N671">
            <v>0.12340046800829524</v>
          </cell>
          <cell r="O671">
            <v>0.12676972353288379</v>
          </cell>
        </row>
        <row r="672">
          <cell r="A672" t="str">
            <v>D-T-ELC-Bus_u_S2</v>
          </cell>
          <cell r="B672" t="str">
            <v>VAR_ncap</v>
          </cell>
          <cell r="C672" t="str">
            <v>-</v>
          </cell>
          <cell r="D672">
            <v>3.2956112155270201E-4</v>
          </cell>
          <cell r="E672">
            <v>3.1627415034030299E-4</v>
          </cell>
          <cell r="F672">
            <v>6.5778895927966804E-4</v>
          </cell>
          <cell r="G672">
            <v>1.1830770280427699E-2</v>
          </cell>
          <cell r="H672">
            <v>7.84543693343996E-4</v>
          </cell>
          <cell r="I672">
            <v>1.0018712301789001E-2</v>
          </cell>
          <cell r="J672">
            <v>2.7441810426711601E-3</v>
          </cell>
          <cell r="K672">
            <v>6.5598494665113404E-3</v>
          </cell>
          <cell r="L672">
            <v>4.9217460132293198E-3</v>
          </cell>
          <cell r="M672">
            <v>4.6440053332794202E-3</v>
          </cell>
          <cell r="N672">
            <v>7.5415962964812903E-3</v>
          </cell>
          <cell r="O672">
            <v>2.7765638701046E-3</v>
          </cell>
        </row>
        <row r="673">
          <cell r="A673" t="str">
            <v>D-T-ELC-Bus_u_S2</v>
          </cell>
          <cell r="B673" t="str">
            <v>VAR_cap</v>
          </cell>
          <cell r="C673" t="str">
            <v>-</v>
          </cell>
          <cell r="D673">
            <v>3.2956112155270201E-4</v>
          </cell>
          <cell r="E673">
            <v>6.4583527189300603E-4</v>
          </cell>
          <cell r="F673">
            <v>1.30362423117267E-3</v>
          </cell>
          <cell r="G673">
            <v>1.30040673144923E-2</v>
          </cell>
          <cell r="H673">
            <v>1.2952328068005E-2</v>
          </cell>
          <cell r="I673">
            <v>1.32876815266192E-2</v>
          </cell>
          <cell r="J673">
            <v>1.31696878763443E-2</v>
          </cell>
          <cell r="K673">
            <v>1.2726394954090401E-2</v>
          </cell>
          <cell r="L673">
            <v>1.27159573622745E-2</v>
          </cell>
          <cell r="M673">
            <v>1.29266495420084E-2</v>
          </cell>
          <cell r="N673">
            <v>1.30573507494264E-2</v>
          </cell>
          <cell r="O673">
            <v>1.3452226771208799E-2</v>
          </cell>
        </row>
        <row r="674">
          <cell r="A674" t="str">
            <v>T-Plg-DSL-mix_S2</v>
          </cell>
          <cell r="B674" t="str">
            <v>VAR_fout</v>
          </cell>
          <cell r="C674" t="str">
            <v>CO2_T</v>
          </cell>
          <cell r="D674">
            <v>8.0725568178771298E-4</v>
          </cell>
          <cell r="E674">
            <v>0.14677458731523729</v>
          </cell>
          <cell r="F674">
            <v>0.72263050718532407</v>
          </cell>
          <cell r="G674">
            <v>0.86952982169246895</v>
          </cell>
          <cell r="H674">
            <v>1.8618210003200846</v>
          </cell>
          <cell r="I674">
            <v>2.1274906859977492</v>
          </cell>
          <cell r="J674">
            <v>1.7273378211758033</v>
          </cell>
          <cell r="K674">
            <v>1.4406325954248151</v>
          </cell>
          <cell r="L674">
            <v>0.92246505548171909</v>
          </cell>
          <cell r="M674">
            <v>0.51936476404880605</v>
          </cell>
          <cell r="N674">
            <v>0.15523713060888789</v>
          </cell>
          <cell r="O674">
            <v>8.3107021217285693E-2</v>
          </cell>
        </row>
        <row r="675">
          <cell r="A675" t="str">
            <v>T-Plg-DSL-mix_S2</v>
          </cell>
          <cell r="B675" t="str">
            <v>VAR_fout</v>
          </cell>
          <cell r="C675" t="str">
            <v>T-PEVmix-ELC_DSL_S2</v>
          </cell>
          <cell r="D675">
            <v>6.5585290485425478E-6</v>
          </cell>
          <cell r="E675">
            <v>1.1924665458693839E-3</v>
          </cell>
          <cell r="F675">
            <v>5.8709938866485572E-3</v>
          </cell>
          <cell r="G675">
            <v>7.0644737755389047E-3</v>
          </cell>
          <cell r="H675">
            <v>1.5569280376840638E-2</v>
          </cell>
          <cell r="I675">
            <v>1.820486237845427E-2</v>
          </cell>
          <cell r="J675">
            <v>1.5934712256869654E-2</v>
          </cell>
          <cell r="K675">
            <v>1.4103692369350246E-2</v>
          </cell>
          <cell r="L675">
            <v>9.4166841895854565E-3</v>
          </cell>
          <cell r="M675">
            <v>5.6292923066287538E-3</v>
          </cell>
          <cell r="N675">
            <v>1.6974103069355975E-3</v>
          </cell>
          <cell r="O675">
            <v>9.4757948363777072E-4</v>
          </cell>
        </row>
        <row r="676">
          <cell r="A676" t="str">
            <v>T-Plg-DSL-mix_S2</v>
          </cell>
          <cell r="B676" t="str">
            <v>VAR_fin</v>
          </cell>
          <cell r="C676" t="str">
            <v>TDSL</v>
          </cell>
          <cell r="D676">
            <v>1.1013037950719145E-5</v>
          </cell>
          <cell r="E676">
            <v>2.0023818187617616E-3</v>
          </cell>
          <cell r="F676">
            <v>9.8585335223100052E-3</v>
          </cell>
          <cell r="G676">
            <v>1.1862616939869964E-2</v>
          </cell>
          <cell r="H676">
            <v>2.5400013646931553E-2</v>
          </cell>
          <cell r="I676">
            <v>2.9024429549764589E-2</v>
          </cell>
          <cell r="J676">
            <v>2.3565318160652143E-2</v>
          </cell>
          <cell r="K676">
            <v>1.965392353921985E-2</v>
          </cell>
          <cell r="L676">
            <v>1.2584789297158528E-2</v>
          </cell>
          <cell r="M676">
            <v>7.0854674495062159E-3</v>
          </cell>
          <cell r="N676">
            <v>2.1178326140366692E-3</v>
          </cell>
          <cell r="O676">
            <v>1.1337929224732033E-3</v>
          </cell>
        </row>
        <row r="677">
          <cell r="A677" t="str">
            <v>T_B_u-BEVELC-S4</v>
          </cell>
          <cell r="B677" t="str">
            <v>VAR_fout</v>
          </cell>
          <cell r="C677" t="str">
            <v>TPBSu</v>
          </cell>
          <cell r="D677">
            <v>3.4851561868723066E-5</v>
          </cell>
          <cell r="E677">
            <v>5.7103204094944618E-5</v>
          </cell>
          <cell r="F677">
            <v>1.0685922662730186E-4</v>
          </cell>
          <cell r="G677">
            <v>4.5127758046159152E-5</v>
          </cell>
          <cell r="H677">
            <v>5.2043022374637594E-5</v>
          </cell>
          <cell r="I677">
            <v>7.2396403184850526E-5</v>
          </cell>
          <cell r="J677">
            <v>7.863597054585154E-5</v>
          </cell>
          <cell r="K677">
            <v>1.4061120609299259E-4</v>
          </cell>
          <cell r="L677">
            <v>1.0253758552411017E-4</v>
          </cell>
          <cell r="M677">
            <v>1.2163681555081712E-4</v>
          </cell>
          <cell r="N677">
            <v>1.3528823802149749E-4</v>
          </cell>
          <cell r="O677">
            <v>2.1076396435174447E-4</v>
          </cell>
        </row>
        <row r="678">
          <cell r="A678" t="str">
            <v>T_B_u-BEVELC-S4</v>
          </cell>
          <cell r="B678" t="str">
            <v>VAR_fin</v>
          </cell>
          <cell r="C678" t="str">
            <v>T-ELC-Bus_u_BatSTGout_S4</v>
          </cell>
          <cell r="D678">
            <v>2.856987339125235E-4</v>
          </cell>
          <cell r="E678">
            <v>4.5932633229145745E-4</v>
          </cell>
          <cell r="F678">
            <v>8.3854126260971386E-4</v>
          </cell>
          <cell r="G678">
            <v>3.2922008998259567E-4</v>
          </cell>
          <cell r="H678">
            <v>3.4588477977134176E-4</v>
          </cell>
          <cell r="I678">
            <v>4.6114812461896384E-4</v>
          </cell>
          <cell r="J678">
            <v>4.7638285666370722E-4</v>
          </cell>
          <cell r="K678">
            <v>8.1357604018503942E-4</v>
          </cell>
          <cell r="L678">
            <v>5.8433917049389506E-4</v>
          </cell>
          <cell r="M678">
            <v>6.9318148596126956E-4</v>
          </cell>
          <cell r="N678">
            <v>7.7097794315113884E-4</v>
          </cell>
          <cell r="O678">
            <v>1.2010975240912475E-3</v>
          </cell>
        </row>
        <row r="679">
          <cell r="A679" t="str">
            <v>T_B_u-BEVELC-S4</v>
          </cell>
          <cell r="B679" t="str">
            <v>VAR_ncap</v>
          </cell>
          <cell r="C679" t="str">
            <v>-</v>
          </cell>
          <cell r="E679">
            <v>7.1008780651583905E-7</v>
          </cell>
          <cell r="F679">
            <v>6.8684292045367697E-7</v>
          </cell>
          <cell r="G679">
            <v>6.9664279533041998E-7</v>
          </cell>
          <cell r="H679">
            <v>1.1578446509258999E-6</v>
          </cell>
          <cell r="I679">
            <v>1.14400801114291E-6</v>
          </cell>
          <cell r="J679">
            <v>1.3317365353117801E-6</v>
          </cell>
          <cell r="K679">
            <v>1.89655550437059E-6</v>
          </cell>
          <cell r="L679">
            <v>1.7264873272186899E-6</v>
          </cell>
          <cell r="M679">
            <v>2.2576018522486899E-6</v>
          </cell>
          <cell r="N679">
            <v>2.3213486276048298E-6</v>
          </cell>
          <cell r="O679">
            <v>3.3534259471531302E-6</v>
          </cell>
        </row>
        <row r="680">
          <cell r="A680" t="str">
            <v>T_B_u-BEVELC-S4</v>
          </cell>
          <cell r="B680" t="str">
            <v>VAR_cap</v>
          </cell>
          <cell r="C680" t="str">
            <v>-</v>
          </cell>
          <cell r="D680">
            <v>4.2334739803094299E-7</v>
          </cell>
          <cell r="E680">
            <v>1.290959817767598E-6</v>
          </cell>
          <cell r="F680">
            <v>1.8940947801266771E-6</v>
          </cell>
          <cell r="G680">
            <v>1.1006086035722746E-6</v>
          </cell>
          <cell r="H680">
            <v>1.33850817270363E-6</v>
          </cell>
          <cell r="I680">
            <v>1.6483034246724189E-6</v>
          </cell>
          <cell r="J680">
            <v>1.811746932873854E-6</v>
          </cell>
          <cell r="K680">
            <v>2.7634928266622789E-6</v>
          </cell>
          <cell r="L680">
            <v>2.2745467365480512E-6</v>
          </cell>
          <cell r="M680">
            <v>2.6984433268046717E-6</v>
          </cell>
          <cell r="N680">
            <v>3.1604891007372875E-6</v>
          </cell>
          <cell r="O680">
            <v>4.828302284811994E-6</v>
          </cell>
        </row>
        <row r="681">
          <cell r="A681" t="str">
            <v>D-TBDS1</v>
          </cell>
          <cell r="B681" t="str">
            <v>VAR_fout</v>
          </cell>
          <cell r="C681" t="str">
            <v>TDSL</v>
          </cell>
          <cell r="D681">
            <v>2.9743233402459959</v>
          </cell>
          <cell r="E681">
            <v>2.9709757547358127</v>
          </cell>
          <cell r="F681">
            <v>4.4720284107619808</v>
          </cell>
          <cell r="G681">
            <v>2.392042185507623</v>
          </cell>
          <cell r="H681">
            <v>1.7831901011656277</v>
          </cell>
          <cell r="I681">
            <v>1.8214766407652205</v>
          </cell>
          <cell r="J681">
            <v>1.6944375402760046</v>
          </cell>
          <cell r="K681">
            <v>1.6580934563622405</v>
          </cell>
          <cell r="L681">
            <v>1.6527864837285189</v>
          </cell>
          <cell r="M681">
            <v>1.6264424543790301</v>
          </cell>
          <cell r="N681">
            <v>1.7699214190681343</v>
          </cell>
          <cell r="O681">
            <v>1.90202121470828</v>
          </cell>
        </row>
        <row r="682">
          <cell r="A682" t="str">
            <v>D-TBDS1</v>
          </cell>
          <cell r="B682" t="str">
            <v>VAR_fout</v>
          </cell>
          <cell r="C682" t="str">
            <v>TKER</v>
          </cell>
          <cell r="D682">
            <v>3.4344208278865398E-3</v>
          </cell>
          <cell r="E682">
            <v>4.7058561587977702E-5</v>
          </cell>
          <cell r="F682">
            <v>5.7154662581354798E-3</v>
          </cell>
          <cell r="G682">
            <v>0.91961857944553704</v>
          </cell>
          <cell r="H682">
            <v>1.1920993504786801</v>
          </cell>
          <cell r="I682">
            <v>1.15108951963578</v>
          </cell>
          <cell r="J682">
            <v>1.2781236928988799</v>
          </cell>
          <cell r="K682">
            <v>1.31615614922364</v>
          </cell>
          <cell r="L682">
            <v>1.31976624943052</v>
          </cell>
          <cell r="M682">
            <v>1.3477661233587099</v>
          </cell>
          <cell r="N682">
            <v>1.2035149758258801</v>
          </cell>
          <cell r="O682">
            <v>1.0744884255298801</v>
          </cell>
        </row>
        <row r="683">
          <cell r="A683" t="str">
            <v>D-TBDS1</v>
          </cell>
          <cell r="B683" t="str">
            <v>VAR_fin</v>
          </cell>
          <cell r="C683" t="str">
            <v>BDS</v>
          </cell>
          <cell r="D683">
            <v>3.0221697955264286</v>
          </cell>
          <cell r="E683">
            <v>3.0153349856777028</v>
          </cell>
          <cell r="F683">
            <v>4.5445307772707197</v>
          </cell>
          <cell r="G683">
            <v>3.3610477505446879</v>
          </cell>
          <cell r="H683">
            <v>3.0196668350455038</v>
          </cell>
          <cell r="I683">
            <v>3.0169029250066375</v>
          </cell>
          <cell r="J683">
            <v>3.0168979233046707</v>
          </cell>
          <cell r="K683">
            <v>3.0186114758903844</v>
          </cell>
          <cell r="L683">
            <v>3.0168892926569155</v>
          </cell>
          <cell r="M683">
            <v>3.0185698355353789</v>
          </cell>
          <cell r="N683">
            <v>3.0177861583396499</v>
          </cell>
          <cell r="O683">
            <v>3.0209052446294837</v>
          </cell>
        </row>
        <row r="684">
          <cell r="A684" t="str">
            <v>D-T-ELC-Bus_u_S3</v>
          </cell>
          <cell r="B684" t="str">
            <v>VAR_fout</v>
          </cell>
          <cell r="C684" t="str">
            <v>T-ELC-Bus_u_BatSTGin_S3</v>
          </cell>
          <cell r="D684">
            <v>4.343429660270055E-3</v>
          </cell>
          <cell r="E684">
            <v>6.2152550555116225E-3</v>
          </cell>
          <cell r="F684">
            <v>7.559821359515188E-3</v>
          </cell>
          <cell r="G684">
            <v>0.48640003947451727</v>
          </cell>
          <cell r="H684">
            <v>0.46116460753981015</v>
          </cell>
          <cell r="I684">
            <v>0.40375567753217129</v>
          </cell>
          <cell r="J684">
            <v>0.36803818931927551</v>
          </cell>
          <cell r="K684">
            <v>0.32290060909083673</v>
          </cell>
          <cell r="L684">
            <v>0.3011203908157481</v>
          </cell>
          <cell r="M684">
            <v>0.30077171113752615</v>
          </cell>
          <cell r="N684">
            <v>0.4170726264018822</v>
          </cell>
          <cell r="O684">
            <v>0.48170493400502412</v>
          </cell>
        </row>
        <row r="685">
          <cell r="A685" t="str">
            <v>D-T-ELC-Bus_u_S3</v>
          </cell>
          <cell r="B685" t="str">
            <v>VAR_fin</v>
          </cell>
          <cell r="C685" t="str">
            <v>TELC</v>
          </cell>
          <cell r="D685">
            <v>4.343429660270055E-3</v>
          </cell>
          <cell r="E685">
            <v>6.2152550555116225E-3</v>
          </cell>
          <cell r="F685">
            <v>7.559821359515188E-3</v>
          </cell>
          <cell r="G685">
            <v>0.48640003947451727</v>
          </cell>
          <cell r="H685">
            <v>0.46116460753981015</v>
          </cell>
          <cell r="I685">
            <v>0.40375567753217129</v>
          </cell>
          <cell r="J685">
            <v>0.36803818931927551</v>
          </cell>
          <cell r="K685">
            <v>0.32290060909083673</v>
          </cell>
          <cell r="L685">
            <v>0.3011203908157481</v>
          </cell>
          <cell r="M685">
            <v>0.30077171113752615</v>
          </cell>
          <cell r="N685">
            <v>0.4170726264018822</v>
          </cell>
          <cell r="O685">
            <v>0.48170493400502412</v>
          </cell>
        </row>
        <row r="686">
          <cell r="A686" t="str">
            <v>D-T-ELC-Bus_u_S3</v>
          </cell>
          <cell r="B686" t="str">
            <v>VAR_ncap</v>
          </cell>
          <cell r="C686" t="str">
            <v>-</v>
          </cell>
          <cell r="D686">
            <v>4.6439661909844601E-4</v>
          </cell>
          <cell r="E686">
            <v>3.1197973980316203E-4</v>
          </cell>
          <cell r="F686">
            <v>4.5071971036102698E-4</v>
          </cell>
          <cell r="G686">
            <v>5.0570241105650199E-2</v>
          </cell>
          <cell r="H686">
            <v>1.03571188496706E-2</v>
          </cell>
          <cell r="I686">
            <v>3.2321884098556797E-2</v>
          </cell>
          <cell r="J686">
            <v>9.8116397147176206E-3</v>
          </cell>
          <cell r="K686">
            <v>2.43228639325371E-2</v>
          </cell>
          <cell r="L686">
            <v>6.00436084951221E-3</v>
          </cell>
          <cell r="M686">
            <v>2.7236624458419598E-2</v>
          </cell>
          <cell r="N686">
            <v>1.6854956122856701E-2</v>
          </cell>
          <cell r="O686">
            <v>3.4076097491346297E-2</v>
          </cell>
        </row>
        <row r="687">
          <cell r="A687" t="str">
            <v>D-T-ELC-Bus_u_S3</v>
          </cell>
          <cell r="B687" t="str">
            <v>VAR_cap</v>
          </cell>
          <cell r="C687" t="str">
            <v>-</v>
          </cell>
          <cell r="D687">
            <v>4.6439661909844601E-4</v>
          </cell>
          <cell r="E687">
            <v>7.7637635890160804E-4</v>
          </cell>
          <cell r="F687">
            <v>1.2270960692626399E-3</v>
          </cell>
          <cell r="G687">
            <v>5.1414697409561901E-2</v>
          </cell>
          <cell r="H687">
            <v>4.87491419079292E-2</v>
          </cell>
          <cell r="I687">
            <v>4.26790029482274E-2</v>
          </cell>
          <cell r="J687">
            <v>3.8908006645231002E-2</v>
          </cell>
          <cell r="K687">
            <v>3.4134503647254698E-2</v>
          </cell>
          <cell r="L687">
            <v>3.18348232351277E-2</v>
          </cell>
          <cell r="M687">
            <v>3.1795027881946498E-2</v>
          </cell>
          <cell r="N687">
            <v>4.4091580581276199E-2</v>
          </cell>
          <cell r="O687">
            <v>5.0931053614202998E-2</v>
          </cell>
        </row>
        <row r="688">
          <cell r="A688" t="str">
            <v>T-Plg-DSL-mix_S3</v>
          </cell>
          <cell r="B688" t="str">
            <v>VAR_fout</v>
          </cell>
          <cell r="C688" t="str">
            <v>CO2_T</v>
          </cell>
          <cell r="D688">
            <v>8.3140956712706299E-3</v>
          </cell>
          <cell r="E688">
            <v>58.834675813634504</v>
          </cell>
          <cell r="F688">
            <v>161.97061389601021</v>
          </cell>
          <cell r="G688">
            <v>523.06977571230664</v>
          </cell>
          <cell r="H688">
            <v>744.53215740238579</v>
          </cell>
          <cell r="I688">
            <v>471.9431136943183</v>
          </cell>
          <cell r="J688">
            <v>234.71417260273296</v>
          </cell>
          <cell r="K688">
            <v>158.51971492845294</v>
          </cell>
          <cell r="L688">
            <v>87.983961608998385</v>
          </cell>
          <cell r="M688">
            <v>42.707689947595384</v>
          </cell>
          <cell r="N688">
            <v>5.977245955280952</v>
          </cell>
          <cell r="O688">
            <v>9.4771266509227098E-2</v>
          </cell>
        </row>
        <row r="689">
          <cell r="A689" t="str">
            <v>T-Plg-DSL-mix_S3</v>
          </cell>
          <cell r="B689" t="str">
            <v>VAR_fout</v>
          </cell>
          <cell r="C689" t="str">
            <v>T-PEVmix-ELC_DSL_S3</v>
          </cell>
          <cell r="D689">
            <v>6.2790469123514314E-5</v>
          </cell>
          <cell r="E689">
            <v>0.44433658706063522</v>
          </cell>
          <cell r="F689">
            <v>1.2232491942445707</v>
          </cell>
          <cell r="G689">
            <v>3.9503751099231321</v>
          </cell>
          <cell r="H689">
            <v>5.7250330015814823</v>
          </cell>
          <cell r="I689">
            <v>3.7747948238986986</v>
          </cell>
          <cell r="J689">
            <v>2.0446677226204155</v>
          </cell>
          <cell r="K689">
            <v>1.4981277898974308</v>
          </cell>
          <cell r="L689">
            <v>0.88203070901908454</v>
          </cell>
          <cell r="M689">
            <v>0.45216896318365285</v>
          </cell>
          <cell r="N689">
            <v>6.289066420368658E-2</v>
          </cell>
          <cell r="O689">
            <v>1.0059758286035234E-3</v>
          </cell>
        </row>
        <row r="690">
          <cell r="A690" t="str">
            <v>T-Plg-DSL-mix_S3</v>
          </cell>
          <cell r="B690" t="str">
            <v>VAR_fin</v>
          </cell>
          <cell r="C690" t="str">
            <v>TDSL</v>
          </cell>
          <cell r="D690">
            <v>1.1342558896685714E-4</v>
          </cell>
          <cell r="E690">
            <v>0.8026558774029261</v>
          </cell>
          <cell r="F690">
            <v>2.2096945961256496</v>
          </cell>
          <cell r="G690">
            <v>7.1360133112183757</v>
          </cell>
          <cell r="H690">
            <v>10.15732820467101</v>
          </cell>
          <cell r="I690">
            <v>6.4385145115186617</v>
          </cell>
          <cell r="J690">
            <v>3.2021033097234941</v>
          </cell>
          <cell r="K690">
            <v>2.1626154833349731</v>
          </cell>
          <cell r="L690">
            <v>1.2003268978035253</v>
          </cell>
          <cell r="M690">
            <v>0.5826424276616019</v>
          </cell>
          <cell r="N690">
            <v>8.1544965283505438E-2</v>
          </cell>
          <cell r="O690">
            <v>1.2929231447370657E-3</v>
          </cell>
        </row>
        <row r="691">
          <cell r="A691" t="str">
            <v>D-T-ELC-Bus_u_S4</v>
          </cell>
          <cell r="B691" t="str">
            <v>VAR_fout</v>
          </cell>
          <cell r="C691" t="str">
            <v>T-ELC-Bus_u_BatSTGin_S4</v>
          </cell>
          <cell r="D691">
            <v>2.1186880116973492E-4</v>
          </cell>
          <cell r="E691">
            <v>4.3595871539123449E-4</v>
          </cell>
          <cell r="F691">
            <v>8.192208132715115E-4</v>
          </cell>
          <cell r="G691">
            <v>7.3402874182342545E-4</v>
          </cell>
          <cell r="H691">
            <v>8.4147727542017113E-4</v>
          </cell>
          <cell r="I691">
            <v>1.0640976586232074E-3</v>
          </cell>
          <cell r="J691">
            <v>1.1548154720258214E-3</v>
          </cell>
          <cell r="K691">
            <v>2.4522648098436722E-3</v>
          </cell>
          <cell r="L691">
            <v>1.7624628013166706E-3</v>
          </cell>
          <cell r="M691">
            <v>2.3101740131522682E-3</v>
          </cell>
          <cell r="N691">
            <v>2.467686059240711E-3</v>
          </cell>
          <cell r="O691">
            <v>4.2480243286937515E-3</v>
          </cell>
        </row>
        <row r="692">
          <cell r="A692" t="str">
            <v>D-T-ELC-Bus_u_S4</v>
          </cell>
          <cell r="B692" t="str">
            <v>VAR_fin</v>
          </cell>
          <cell r="C692" t="str">
            <v>TELC</v>
          </cell>
          <cell r="D692">
            <v>2.1186880116973492E-4</v>
          </cell>
          <cell r="E692">
            <v>4.3595871539123449E-4</v>
          </cell>
          <cell r="F692">
            <v>8.192208132715115E-4</v>
          </cell>
          <cell r="G692">
            <v>7.3402874182342545E-4</v>
          </cell>
          <cell r="H692">
            <v>8.4147727542017113E-4</v>
          </cell>
          <cell r="I692">
            <v>1.0640976586232074E-3</v>
          </cell>
          <cell r="J692">
            <v>1.1548154720258214E-3</v>
          </cell>
          <cell r="K692">
            <v>2.4522648098436722E-3</v>
          </cell>
          <cell r="L692">
            <v>1.7624628013166706E-3</v>
          </cell>
          <cell r="M692">
            <v>2.3101740131522682E-3</v>
          </cell>
          <cell r="N692">
            <v>2.467686059240711E-3</v>
          </cell>
          <cell r="O692">
            <v>4.2480243286937515E-3</v>
          </cell>
        </row>
        <row r="693">
          <cell r="A693" t="str">
            <v>D-T-ELC-Bus_u_S4</v>
          </cell>
          <cell r="B693" t="str">
            <v>VAR_ncap</v>
          </cell>
          <cell r="C693" t="str">
            <v>-</v>
          </cell>
          <cell r="D693">
            <v>2.1236116311751301E-4</v>
          </cell>
          <cell r="E693">
            <v>1.6375727107047401E-4</v>
          </cell>
          <cell r="F693">
            <v>1.18358561169073E-4</v>
          </cell>
          <cell r="G693">
            <v>1.4855076250043601E-4</v>
          </cell>
          <cell r="H693">
            <v>1.6359429687760001E-4</v>
          </cell>
          <cell r="I693">
            <v>1.8751271404604701E-4</v>
          </cell>
          <cell r="J693">
            <v>2.21868055381578E-4</v>
          </cell>
          <cell r="K693">
            <v>2.54707659812196E-4</v>
          </cell>
          <cell r="L693">
            <v>3.0179691715186802E-4</v>
          </cell>
          <cell r="M693">
            <v>3.2669908149878901E-4</v>
          </cell>
          <cell r="N693">
            <v>3.6693653512813099E-4</v>
          </cell>
          <cell r="O693">
            <v>5.1591152531778903E-4</v>
          </cell>
        </row>
        <row r="694">
          <cell r="A694" t="str">
            <v>D-T-ELC-Bus_u_S4</v>
          </cell>
          <cell r="B694" t="str">
            <v>VAR_cap</v>
          </cell>
          <cell r="C694" t="str">
            <v>-</v>
          </cell>
          <cell r="D694">
            <v>2.1236116311751301E-4</v>
          </cell>
          <cell r="E694">
            <v>3.7611843418798802E-4</v>
          </cell>
          <cell r="F694">
            <v>4.9447699535706E-4</v>
          </cell>
          <cell r="G694">
            <v>3.1749373477171799E-4</v>
          </cell>
          <cell r="H694">
            <v>2.02118636892294E-4</v>
          </cell>
          <cell r="I694">
            <v>3.1998370972912099E-4</v>
          </cell>
          <cell r="J694">
            <v>3.1909545951448899E-4</v>
          </cell>
          <cell r="K694">
            <v>4.0443816464626501E-4</v>
          </cell>
          <cell r="L694">
            <v>4.8816568554650101E-4</v>
          </cell>
          <cell r="M694">
            <v>4.0496543877656301E-4</v>
          </cell>
          <cell r="N694">
            <v>5.9006753516891797E-4</v>
          </cell>
          <cell r="O694">
            <v>7.6354335565184998E-4</v>
          </cell>
        </row>
        <row r="695">
          <cell r="A695" t="str">
            <v>T_C-FC-H2O-S1</v>
          </cell>
          <cell r="B695" t="str">
            <v>VAR_fout</v>
          </cell>
          <cell r="C695" t="str">
            <v>TPCAR</v>
          </cell>
          <cell r="E695">
            <v>7.3816962962001059E-5</v>
          </cell>
          <cell r="F695">
            <v>9.5554218574237364E-5</v>
          </cell>
          <cell r="G695">
            <v>1.2600032912469489E-5</v>
          </cell>
          <cell r="H695">
            <v>1.6076368308732057E-5</v>
          </cell>
          <cell r="I695">
            <v>1.7091939858238117E-5</v>
          </cell>
          <cell r="J695">
            <v>1.6538137631704285E-5</v>
          </cell>
          <cell r="K695">
            <v>1.7039562932851769E-5</v>
          </cell>
          <cell r="L695">
            <v>1.4047913867059976E-5</v>
          </cell>
          <cell r="M695">
            <v>1.2849118815745181E-5</v>
          </cell>
          <cell r="N695">
            <v>7.8352180880299675E-6</v>
          </cell>
          <cell r="O695">
            <v>4.6761470565242244E-5</v>
          </cell>
        </row>
        <row r="696">
          <cell r="A696" t="str">
            <v>T_C-FC-H2O-S1</v>
          </cell>
          <cell r="B696" t="str">
            <v>VAR_fin</v>
          </cell>
          <cell r="C696" t="str">
            <v>TH2O</v>
          </cell>
          <cell r="E696">
            <v>6.731625475021626E-5</v>
          </cell>
          <cell r="F696">
            <v>8.7139213832359812E-5</v>
          </cell>
          <cell r="G696">
            <v>1.1490408049346706E-5</v>
          </cell>
          <cell r="H696">
            <v>1.4325532989849137E-5</v>
          </cell>
          <cell r="I696">
            <v>1.4325170682485036E-5</v>
          </cell>
          <cell r="J696">
            <v>1.3202201857935049E-5</v>
          </cell>
          <cell r="K696">
            <v>1.2872509475736218E-5</v>
          </cell>
          <cell r="L696">
            <v>1.0047332106556974E-5</v>
          </cell>
          <cell r="M696">
            <v>8.5928063758417645E-6</v>
          </cell>
          <cell r="N696">
            <v>5.0218069681045245E-6</v>
          </cell>
          <cell r="O696">
            <v>2.9638470244490292E-5</v>
          </cell>
        </row>
        <row r="697">
          <cell r="A697" t="str">
            <v>T_C-FC-H2O-S1</v>
          </cell>
          <cell r="B697" t="str">
            <v>VAR_ncap</v>
          </cell>
          <cell r="C697" t="str">
            <v>-</v>
          </cell>
          <cell r="E697">
            <v>8.9313367028962395E-6</v>
          </cell>
          <cell r="F697">
            <v>3.9341635523421398E-6</v>
          </cell>
          <cell r="G697">
            <v>6.1259850428075505E-7</v>
          </cell>
          <cell r="H697">
            <v>7.6664542259365396E-7</v>
          </cell>
          <cell r="I697">
            <v>1.4130145025895499E-6</v>
          </cell>
          <cell r="J697">
            <v>9.7074485706685595E-7</v>
          </cell>
          <cell r="K697">
            <v>8.3082054305088395E-7</v>
          </cell>
          <cell r="L697">
            <v>6.1790699109998504E-7</v>
          </cell>
          <cell r="M697">
            <v>6.3382115313931198E-7</v>
          </cell>
          <cell r="N697">
            <v>4.5866994772885701E-7</v>
          </cell>
          <cell r="O697">
            <v>4.67081828480496E-6</v>
          </cell>
        </row>
        <row r="698">
          <cell r="A698" t="str">
            <v>T_C-FC-H2O-S1</v>
          </cell>
          <cell r="B698" t="str">
            <v>VAR_cap</v>
          </cell>
          <cell r="C698" t="str">
            <v>-</v>
          </cell>
          <cell r="E698">
            <v>8.8124324694713108E-6</v>
          </cell>
          <cell r="F698">
            <v>1.2170428144964195E-5</v>
          </cell>
          <cell r="G698">
            <v>1.4533393563091697E-6</v>
          </cell>
          <cell r="H698">
            <v>2.0741825683564195E-6</v>
          </cell>
          <cell r="I698">
            <v>2.4847808689445679E-6</v>
          </cell>
          <cell r="J698">
            <v>2.1405035268378676E-6</v>
          </cell>
          <cell r="K698">
            <v>1.981748085426954E-6</v>
          </cell>
          <cell r="L698">
            <v>1.7640870384144462E-6</v>
          </cell>
          <cell r="M698">
            <v>1.4433777222561558E-6</v>
          </cell>
          <cell r="N698">
            <v>1.0585043973975408E-6</v>
          </cell>
          <cell r="O698">
            <v>5.7633093856731303E-6</v>
          </cell>
        </row>
        <row r="699">
          <cell r="A699" t="str">
            <v>T_B_c-ICEDSL-S1</v>
          </cell>
          <cell r="B699" t="str">
            <v>VAR_fout</v>
          </cell>
          <cell r="C699" t="str">
            <v>CO2_T</v>
          </cell>
          <cell r="D699">
            <v>8.2833981301480506</v>
          </cell>
          <cell r="E699">
            <v>22.440441805870798</v>
          </cell>
          <cell r="F699">
            <v>27.15881397782001</v>
          </cell>
        </row>
        <row r="700">
          <cell r="A700" t="str">
            <v>T_B_c-ICEDSL-S1</v>
          </cell>
          <cell r="B700" t="str">
            <v>VAR_fout</v>
          </cell>
          <cell r="C700" t="str">
            <v>TPBSc</v>
          </cell>
          <cell r="D700">
            <v>1.4003708052426003E-2</v>
          </cell>
          <cell r="E700">
            <v>3.8782957817865067E-2</v>
          </cell>
          <cell r="F700">
            <v>4.7499677958215442E-2</v>
          </cell>
        </row>
        <row r="701">
          <cell r="A701" t="str">
            <v>T_B_c-ICEDSL-S1</v>
          </cell>
          <cell r="B701" t="str">
            <v>VAR_fin</v>
          </cell>
          <cell r="C701" t="str">
            <v>TDSL</v>
          </cell>
          <cell r="D701">
            <v>0.11300679577282467</v>
          </cell>
          <cell r="E701">
            <v>0.30614518152620523</v>
          </cell>
          <cell r="F701">
            <v>0.37051587964283716</v>
          </cell>
        </row>
        <row r="702">
          <cell r="A702" t="str">
            <v>T_B_c-ICEDSL-S1</v>
          </cell>
          <cell r="B702" t="str">
            <v>VAR_ncap</v>
          </cell>
          <cell r="C702" t="str">
            <v>-</v>
          </cell>
          <cell r="E702">
            <v>4.87787665998981E-4</v>
          </cell>
          <cell r="F702">
            <v>1.9034096248610701E-4</v>
          </cell>
        </row>
        <row r="703">
          <cell r="A703" t="str">
            <v>T_B_c-ICEDSL-S1</v>
          </cell>
          <cell r="B703" t="str">
            <v>VAR_cap</v>
          </cell>
          <cell r="C703" t="str">
            <v>-</v>
          </cell>
          <cell r="D703">
            <v>3.05805288461538E-4</v>
          </cell>
          <cell r="E703">
            <v>8.470372573281934E-4</v>
          </cell>
          <cell r="F703">
            <v>1.0373037369209963E-3</v>
          </cell>
          <cell r="G703">
            <v>-4.9589806959144528E-9</v>
          </cell>
          <cell r="H703">
            <v>4.2247256342012101E-9</v>
          </cell>
        </row>
        <row r="704">
          <cell r="A704" t="str">
            <v>T-Plg-DSL-mix_S4</v>
          </cell>
          <cell r="B704" t="str">
            <v>VAR_fout</v>
          </cell>
          <cell r="C704" t="str">
            <v>CO2_T</v>
          </cell>
          <cell r="D704">
            <v>0.40532893165191902</v>
          </cell>
          <cell r="E704">
            <v>1.8592921305388801</v>
          </cell>
          <cell r="F704">
            <v>2.4150714993466265</v>
          </cell>
          <cell r="G704">
            <v>2.794592081222977</v>
          </cell>
          <cell r="H704">
            <v>163.00669038504503</v>
          </cell>
          <cell r="I704">
            <v>322.26959126435645</v>
          </cell>
          <cell r="J704">
            <v>281.48798667921636</v>
          </cell>
          <cell r="K704">
            <v>163.55171583595313</v>
          </cell>
          <cell r="L704">
            <v>153.45697585446166</v>
          </cell>
          <cell r="M704">
            <v>186.37868400421044</v>
          </cell>
          <cell r="N704">
            <v>238.01074461074865</v>
          </cell>
          <cell r="O704">
            <v>232.4437448223608</v>
          </cell>
        </row>
        <row r="705">
          <cell r="A705" t="str">
            <v>T-Plg-DSL-mix_S4</v>
          </cell>
          <cell r="B705" t="str">
            <v>VAR_fout</v>
          </cell>
          <cell r="C705" t="str">
            <v>T-PEVmix-ELC_DSL_S4</v>
          </cell>
          <cell r="D705">
            <v>2.9141572718612519E-3</v>
          </cell>
          <cell r="E705">
            <v>1.3367586815582387E-2</v>
          </cell>
          <cell r="F705">
            <v>1.7363424177995055E-2</v>
          </cell>
          <cell r="G705">
            <v>2.0092029459114594E-2</v>
          </cell>
          <cell r="H705">
            <v>1.1749531379438991</v>
          </cell>
          <cell r="I705">
            <v>2.4462530931598945</v>
          </cell>
          <cell r="J705">
            <v>2.2517736092532434</v>
          </cell>
          <cell r="K705">
            <v>1.4532657868159338</v>
          </cell>
          <cell r="L705">
            <v>1.4412911022534969</v>
          </cell>
          <cell r="M705">
            <v>1.844651846170023</v>
          </cell>
          <cell r="N705">
            <v>2.3563572480637096</v>
          </cell>
          <cell r="O705">
            <v>2.302308934600517</v>
          </cell>
        </row>
        <row r="706">
          <cell r="A706" t="str">
            <v>T-Plg-DSL-mix_S4</v>
          </cell>
          <cell r="B706" t="str">
            <v>VAR_fin</v>
          </cell>
          <cell r="C706" t="str">
            <v>TDSL</v>
          </cell>
          <cell r="D706">
            <v>5.5297262162608283E-3</v>
          </cell>
          <cell r="E706">
            <v>2.5365513377065219E-2</v>
          </cell>
          <cell r="F706">
            <v>3.2947769431741221E-2</v>
          </cell>
          <cell r="G706">
            <v>3.8125403563751381E-2</v>
          </cell>
          <cell r="H706">
            <v>2.2238293367673316</v>
          </cell>
          <cell r="I706">
            <v>4.3965837825969523</v>
          </cell>
          <cell r="J706">
            <v>3.8402180993071822</v>
          </cell>
          <cell r="K706">
            <v>2.2312648818001817</v>
          </cell>
          <cell r="L706">
            <v>2.0935467374414913</v>
          </cell>
          <cell r="M706">
            <v>2.5426832742729917</v>
          </cell>
          <cell r="N706">
            <v>3.2470770069679267</v>
          </cell>
          <cell r="O706">
            <v>3.1711288516011003</v>
          </cell>
        </row>
        <row r="707">
          <cell r="A707" t="str">
            <v>T_C-FC-H2O-S2</v>
          </cell>
          <cell r="B707" t="str">
            <v>VAR_fout</v>
          </cell>
          <cell r="C707" t="str">
            <v>TPCAR</v>
          </cell>
          <cell r="D707">
            <v>8.1751462060300107E-5</v>
          </cell>
          <cell r="E707">
            <v>1.3945883161665292E-4</v>
          </cell>
          <cell r="F707">
            <v>1.6091751938414385E-4</v>
          </cell>
          <cell r="G707">
            <v>3.01452908796116E-5</v>
          </cell>
          <cell r="H707">
            <v>2.4686271834937457E-5</v>
          </cell>
          <cell r="I707">
            <v>2.0510243924836898E-5</v>
          </cell>
          <cell r="J707">
            <v>2.2226769831040061E-5</v>
          </cell>
          <cell r="K707">
            <v>2.4312993537633245E-5</v>
          </cell>
          <cell r="L707">
            <v>2.1211040994469752E-5</v>
          </cell>
          <cell r="M707">
            <v>2.3043751312440158E-5</v>
          </cell>
          <cell r="N707">
            <v>2.1237533117758832E-5</v>
          </cell>
          <cell r="O707">
            <v>7.6183515295208994E-5</v>
          </cell>
        </row>
        <row r="708">
          <cell r="A708" t="str">
            <v>T_C-FC-H2O-S2</v>
          </cell>
          <cell r="B708" t="str">
            <v>VAR_fin</v>
          </cell>
          <cell r="C708" t="str">
            <v>TH2O</v>
          </cell>
          <cell r="D708">
            <v>9.1701516999813764E-5</v>
          </cell>
          <cell r="E708">
            <v>1.5643251014686141E-4</v>
          </cell>
          <cell r="F708">
            <v>1.8050295698061731E-4</v>
          </cell>
          <cell r="G708">
            <v>3.3814305388471576E-5</v>
          </cell>
          <cell r="H708">
            <v>2.7124558275554522E-5</v>
          </cell>
          <cell r="I708">
            <v>2.1237485290234877E-5</v>
          </cell>
          <cell r="J708">
            <v>2.1738061226587108E-5</v>
          </cell>
          <cell r="K708">
            <v>2.2475563269116761E-5</v>
          </cell>
          <cell r="L708">
            <v>1.8446969138063961E-5</v>
          </cell>
          <cell r="M708">
            <v>1.8664083507672449E-5</v>
          </cell>
          <cell r="N708">
            <v>1.6603823508760004E-5</v>
          </cell>
          <cell r="O708">
            <v>5.8566109585048678E-5</v>
          </cell>
        </row>
        <row r="709">
          <cell r="A709" t="str">
            <v>T_C-FC-H2O-S2</v>
          </cell>
          <cell r="B709" t="str">
            <v>VAR_ncap</v>
          </cell>
          <cell r="C709" t="str">
            <v>-</v>
          </cell>
          <cell r="E709">
            <v>4.8666626336373201E-6</v>
          </cell>
          <cell r="F709">
            <v>2.2612221986354902E-6</v>
          </cell>
          <cell r="G709">
            <v>6.01097201051421E-7</v>
          </cell>
          <cell r="H709">
            <v>6.4418820814951297E-7</v>
          </cell>
          <cell r="I709">
            <v>9.5975174905329308E-7</v>
          </cell>
          <cell r="J709">
            <v>8.5274412448949703E-7</v>
          </cell>
          <cell r="K709">
            <v>7.3005535924466596E-7</v>
          </cell>
          <cell r="L709">
            <v>6.3029131182026804E-7</v>
          </cell>
          <cell r="M709">
            <v>7.8211569536099503E-7</v>
          </cell>
          <cell r="N709">
            <v>7.2229728532570804E-7</v>
          </cell>
          <cell r="O709">
            <v>4.68637294678515E-6</v>
          </cell>
        </row>
        <row r="710">
          <cell r="A710" t="str">
            <v>T_C-FC-H2O-S2</v>
          </cell>
          <cell r="B710" t="str">
            <v>VAR_cap</v>
          </cell>
          <cell r="C710" t="str">
            <v>-</v>
          </cell>
          <cell r="D710">
            <v>6.33333333333333E-6</v>
          </cell>
          <cell r="E710">
            <v>1.113520535286215E-5</v>
          </cell>
          <cell r="F710">
            <v>1.3091470731605741E-5</v>
          </cell>
          <cell r="G710">
            <v>2.0868866846785596E-6</v>
          </cell>
          <cell r="H710">
            <v>1.93355991701841E-6</v>
          </cell>
          <cell r="I710">
            <v>1.8799739713612809E-6</v>
          </cell>
          <cell r="J710">
            <v>1.816895154395246E-6</v>
          </cell>
          <cell r="K710">
            <v>1.751143422287797E-6</v>
          </cell>
          <cell r="L710">
            <v>1.7135564769548737E-6</v>
          </cell>
          <cell r="M710">
            <v>1.6719452579120821E-6</v>
          </cell>
          <cell r="N710">
            <v>1.650952197882994E-6</v>
          </cell>
          <cell r="O710">
            <v>6.1907859274718503E-6</v>
          </cell>
        </row>
        <row r="711">
          <cell r="A711" t="str">
            <v>T_B_c-ICEDSL-S2</v>
          </cell>
          <cell r="B711" t="str">
            <v>VAR_fout</v>
          </cell>
          <cell r="C711" t="str">
            <v>CO2_T</v>
          </cell>
          <cell r="D711">
            <v>38.017822230320697</v>
          </cell>
          <cell r="E711">
            <v>29.0941481334205</v>
          </cell>
          <cell r="F711">
            <v>31.601868440506966</v>
          </cell>
        </row>
        <row r="712">
          <cell r="A712" t="str">
            <v>T_B_c-ICEDSL-S2</v>
          </cell>
          <cell r="B712" t="str">
            <v>VAR_fout</v>
          </cell>
          <cell r="C712" t="str">
            <v>TPBSc</v>
          </cell>
          <cell r="D712">
            <v>4.536508928696182E-2</v>
          </cell>
          <cell r="E712">
            <v>3.4854881221750518E-2</v>
          </cell>
          <cell r="F712">
            <v>3.7858519308944974E-2</v>
          </cell>
        </row>
        <row r="713">
          <cell r="A713" t="str">
            <v>T_B_c-ICEDSL-S2</v>
          </cell>
          <cell r="B713" t="str">
            <v>VAR_fin</v>
          </cell>
          <cell r="C713" t="str">
            <v>TDSL</v>
          </cell>
          <cell r="D713">
            <v>0.51866060341501663</v>
          </cell>
          <cell r="E713">
            <v>0.39691880127449547</v>
          </cell>
          <cell r="F713">
            <v>0.43113053806967327</v>
          </cell>
        </row>
        <row r="714">
          <cell r="A714" t="str">
            <v>T_B_c-ICEDSL-S2</v>
          </cell>
          <cell r="B714" t="str">
            <v>VAR_ncap</v>
          </cell>
          <cell r="C714" t="str">
            <v>-</v>
          </cell>
          <cell r="E714">
            <v>2.0870392884411401E-6</v>
          </cell>
          <cell r="F714">
            <v>2.4556233888299902E-6</v>
          </cell>
        </row>
        <row r="715">
          <cell r="A715" t="str">
            <v>T_B_c-ICEDSL-S2</v>
          </cell>
          <cell r="B715" t="str">
            <v>VAR_cap</v>
          </cell>
          <cell r="C715" t="str">
            <v>-</v>
          </cell>
          <cell r="D715">
            <v>9.8784375000000001E-4</v>
          </cell>
          <cell r="E715">
            <v>8.2159857310155015E-4</v>
          </cell>
          <cell r="F715">
            <v>8.2403984769497101E-4</v>
          </cell>
          <cell r="G715">
            <v>-5.5914841838675816E-9</v>
          </cell>
          <cell r="H715">
            <v>2.6295333238601533E-9</v>
          </cell>
        </row>
        <row r="716">
          <cell r="A716" t="str">
            <v>T_TW-FCLH2O-S1</v>
          </cell>
          <cell r="B716" t="str">
            <v>VAR_fout</v>
          </cell>
          <cell r="C716" t="str">
            <v>TPTWL</v>
          </cell>
          <cell r="G716">
            <v>4.3688390141222232E-4</v>
          </cell>
          <cell r="H716">
            <v>1.1407913031386146E-3</v>
          </cell>
          <cell r="I716">
            <v>1.6424884703981869E-3</v>
          </cell>
          <cell r="J716">
            <v>2.4670705880837063E-3</v>
          </cell>
          <cell r="K716">
            <v>3.902870504079752E-3</v>
          </cell>
          <cell r="L716">
            <v>5.560011370289576E-3</v>
          </cell>
          <cell r="M716">
            <v>6.9084846692301161E-3</v>
          </cell>
          <cell r="N716">
            <v>6.6705210949630405E-3</v>
          </cell>
          <cell r="O716">
            <v>9.2820440349819285E-3</v>
          </cell>
        </row>
        <row r="717">
          <cell r="A717" t="str">
            <v>T_TW-FCLH2O-S1</v>
          </cell>
          <cell r="B717" t="str">
            <v>VAR_fin</v>
          </cell>
          <cell r="C717" t="str">
            <v>TH2O</v>
          </cell>
          <cell r="G717">
            <v>9.4173915442270512E-5</v>
          </cell>
          <cell r="H717">
            <v>2.4348819620436537E-4</v>
          </cell>
          <cell r="I717">
            <v>3.4596037967580433E-4</v>
          </cell>
          <cell r="J717">
            <v>5.1240059170194871E-4</v>
          </cell>
          <cell r="K717">
            <v>7.9612776361337402E-4</v>
          </cell>
          <cell r="L717">
            <v>1.1277958669355013E-3</v>
          </cell>
          <cell r="M717">
            <v>1.3991563568436229E-3</v>
          </cell>
          <cell r="N717">
            <v>1.3509622500931307E-3</v>
          </cell>
          <cell r="O717">
            <v>1.8798667924806555E-3</v>
          </cell>
        </row>
        <row r="718">
          <cell r="A718" t="str">
            <v>T_TW-FCLH2O-S1</v>
          </cell>
          <cell r="B718" t="str">
            <v>VAR_ncap</v>
          </cell>
          <cell r="C718" t="str">
            <v>-</v>
          </cell>
          <cell r="G718">
            <v>1.6708470061063999E-4</v>
          </cell>
          <cell r="H718">
            <v>2.7470226270067901E-4</v>
          </cell>
          <cell r="I718">
            <v>3.2822566407752297E-4</v>
          </cell>
          <cell r="J718">
            <v>4.87242467758511E-4</v>
          </cell>
          <cell r="K718">
            <v>9.2224576030382698E-4</v>
          </cell>
          <cell r="L718">
            <v>1.0045461674346901E-3</v>
          </cell>
          <cell r="M718">
            <v>1.2352981366265099E-3</v>
          </cell>
          <cell r="N718">
            <v>1.2058214936277901E-3</v>
          </cell>
          <cell r="O718">
            <v>1.66199733072349E-3</v>
          </cell>
        </row>
        <row r="719">
          <cell r="A719" t="str">
            <v>T_TW-FCLH2O-S1</v>
          </cell>
          <cell r="B719" t="str">
            <v>VAR_cap</v>
          </cell>
          <cell r="C719" t="str">
            <v>-</v>
          </cell>
          <cell r="G719">
            <v>1.6708470061063999E-4</v>
          </cell>
          <cell r="H719">
            <v>4.4147286150170276E-4</v>
          </cell>
          <cell r="I719">
            <v>6.3772346996713431E-4</v>
          </cell>
          <cell r="J719">
            <v>9.5731288060012991E-4</v>
          </cell>
          <cell r="K719">
            <v>1.5210619176385335E-3</v>
          </cell>
          <cell r="L719">
            <v>2.1452327660479711E-3</v>
          </cell>
          <cell r="M719">
            <v>2.7107582261642945E-3</v>
          </cell>
          <cell r="N719">
            <v>2.618317056705457E-3</v>
          </cell>
          <cell r="O719">
            <v>3.6971999651977802E-3</v>
          </cell>
        </row>
        <row r="720">
          <cell r="A720" t="str">
            <v>D-T-ELC-TW_Bat_S1</v>
          </cell>
          <cell r="B720" t="str">
            <v>VAR_fout</v>
          </cell>
          <cell r="C720" t="str">
            <v>T-ELC-TWSTGin_S1</v>
          </cell>
          <cell r="D720">
            <v>1.5936960402962962E-3</v>
          </cell>
          <cell r="E720">
            <v>2.3198087928492936E-3</v>
          </cell>
          <cell r="F720">
            <v>2.3617296313144971E-3</v>
          </cell>
          <cell r="G720">
            <v>9.1441953346579601E-3</v>
          </cell>
          <cell r="H720">
            <v>1.2390628405681269E-2</v>
          </cell>
          <cell r="I720">
            <v>1.1716515653488083E-2</v>
          </cell>
          <cell r="J720">
            <v>1.3156379909255124E-2</v>
          </cell>
          <cell r="K720">
            <v>2.6613341078257548E-2</v>
          </cell>
          <cell r="L720">
            <v>2.2216518182798198E-2</v>
          </cell>
          <cell r="M720">
            <v>3.662102015809042E-2</v>
          </cell>
          <cell r="N720">
            <v>2.8371848158075721E-2</v>
          </cell>
          <cell r="O720">
            <v>5.7202548069145542E-2</v>
          </cell>
        </row>
        <row r="721">
          <cell r="A721" t="str">
            <v>D-T-ELC-TW_Bat_S1</v>
          </cell>
          <cell r="B721" t="str">
            <v>VAR_fin</v>
          </cell>
          <cell r="C721" t="str">
            <v>TELC</v>
          </cell>
          <cell r="D721">
            <v>1.5936960402962962E-3</v>
          </cell>
          <cell r="E721">
            <v>2.3198087928492936E-3</v>
          </cell>
          <cell r="F721">
            <v>2.3617296313144971E-3</v>
          </cell>
          <cell r="G721">
            <v>9.1441953346579601E-3</v>
          </cell>
          <cell r="H721">
            <v>1.2390628405681269E-2</v>
          </cell>
          <cell r="I721">
            <v>1.1716515653488083E-2</v>
          </cell>
          <cell r="J721">
            <v>1.3156379909255124E-2</v>
          </cell>
          <cell r="K721">
            <v>2.6613341078257548E-2</v>
          </cell>
          <cell r="L721">
            <v>2.2216518182798198E-2</v>
          </cell>
          <cell r="M721">
            <v>3.662102015809042E-2</v>
          </cell>
          <cell r="N721">
            <v>2.8371848158075721E-2</v>
          </cell>
          <cell r="O721">
            <v>5.7202548069145542E-2</v>
          </cell>
        </row>
        <row r="722">
          <cell r="A722" t="str">
            <v>D-T-ELC-TW_Bat_S1</v>
          </cell>
          <cell r="B722" t="str">
            <v>VAR_ncap</v>
          </cell>
          <cell r="C722" t="str">
            <v>-</v>
          </cell>
          <cell r="D722">
            <v>3.34562386771069E-4</v>
          </cell>
          <cell r="E722">
            <v>2.0894396028776101E-6</v>
          </cell>
          <cell r="F722">
            <v>7.6407837219402399E-6</v>
          </cell>
          <cell r="G722">
            <v>7.1360899428183602E-4</v>
          </cell>
          <cell r="H722">
            <v>5.9679531821424999E-4</v>
          </cell>
          <cell r="I722">
            <v>4.9694351755320896E-4</v>
          </cell>
          <cell r="J722">
            <v>5.8857769509880204E-4</v>
          </cell>
          <cell r="K722">
            <v>2.0648879321295199E-3</v>
          </cell>
          <cell r="L722">
            <v>2.5465197745882099E-5</v>
          </cell>
          <cell r="M722">
            <v>2.8014132964090501E-3</v>
          </cell>
          <cell r="N722">
            <v>2.0357651892149799E-4</v>
          </cell>
          <cell r="O722">
            <v>3.9797836633312803E-3</v>
          </cell>
        </row>
        <row r="723">
          <cell r="A723" t="str">
            <v>D-T-ELC-TW_Bat_S1</v>
          </cell>
          <cell r="B723" t="str">
            <v>VAR_cap</v>
          </cell>
          <cell r="C723" t="str">
            <v>-</v>
          </cell>
          <cell r="D723">
            <v>3.34562386771069E-4</v>
          </cell>
          <cell r="E723">
            <v>3.3665182637394701E-4</v>
          </cell>
          <cell r="F723">
            <v>3.4429261009588701E-4</v>
          </cell>
          <cell r="G723">
            <v>9.67860589467095E-4</v>
          </cell>
          <cell r="H723">
            <v>1.3143190206543101E-3</v>
          </cell>
          <cell r="I723">
            <v>1.2435945394003E-3</v>
          </cell>
          <cell r="J723">
            <v>1.3949661475399801E-3</v>
          </cell>
          <cell r="K723">
            <v>2.8232201599837801E-3</v>
          </cell>
          <cell r="L723">
            <v>2.3551016506334799E-3</v>
          </cell>
          <cell r="M723">
            <v>3.8848110214837698E-3</v>
          </cell>
          <cell r="N723">
            <v>3.0095002601315201E-3</v>
          </cell>
          <cell r="O723">
            <v>6.0739299012634801E-3</v>
          </cell>
        </row>
        <row r="724">
          <cell r="A724" t="str">
            <v>T_C-FC-H2O-S3</v>
          </cell>
          <cell r="B724" t="str">
            <v>VAR_fout</v>
          </cell>
          <cell r="C724" t="str">
            <v>TPCAR</v>
          </cell>
          <cell r="D724">
            <v>6.7651122371238084E-4</v>
          </cell>
          <cell r="E724">
            <v>1.5698875067652021E-3</v>
          </cell>
          <cell r="F724">
            <v>1.4589241708066933E-3</v>
          </cell>
          <cell r="G724">
            <v>4.7252144025341662E-5</v>
          </cell>
          <cell r="H724">
            <v>3.1937471495064375E-5</v>
          </cell>
          <cell r="I724">
            <v>2.0515634206943278E-5</v>
          </cell>
          <cell r="J724">
            <v>2.2613723978054876E-5</v>
          </cell>
          <cell r="K724">
            <v>2.5299093942054327E-5</v>
          </cell>
          <cell r="L724">
            <v>2.3756484158535624E-5</v>
          </cell>
          <cell r="M724">
            <v>2.6375960369814829E-5</v>
          </cell>
          <cell r="N724">
            <v>3.0134792485708743E-5</v>
          </cell>
          <cell r="O724">
            <v>8.7451837281917342E-5</v>
          </cell>
        </row>
        <row r="725">
          <cell r="A725" t="str">
            <v>T_C-FC-H2O-S3</v>
          </cell>
          <cell r="B725" t="str">
            <v>VAR_fin</v>
          </cell>
          <cell r="C725" t="str">
            <v>TH2O</v>
          </cell>
          <cell r="D725">
            <v>8.1506878219648256E-4</v>
          </cell>
          <cell r="E725">
            <v>1.8914191715887838E-3</v>
          </cell>
          <cell r="F725">
            <v>1.7577292224230387E-3</v>
          </cell>
          <cell r="G725">
            <v>5.6929946077704842E-5</v>
          </cell>
          <cell r="H725">
            <v>3.7837047298459105E-5</v>
          </cell>
          <cell r="I725">
            <v>2.2879917399528332E-5</v>
          </cell>
          <cell r="J725">
            <v>2.3728286217617966E-5</v>
          </cell>
          <cell r="K725">
            <v>2.5074414982931069E-5</v>
          </cell>
          <cell r="L725">
            <v>2.2144446270800719E-5</v>
          </cell>
          <cell r="M725">
            <v>2.2844553835723031E-5</v>
          </cell>
          <cell r="N725">
            <v>2.5213849110275287E-5</v>
          </cell>
          <cell r="O725">
            <v>7.1955279077825639E-5</v>
          </cell>
        </row>
        <row r="726">
          <cell r="A726" t="str">
            <v>T_C-FC-H2O-S3</v>
          </cell>
          <cell r="B726" t="str">
            <v>VAR_ncap</v>
          </cell>
          <cell r="C726" t="str">
            <v>-</v>
          </cell>
          <cell r="E726">
            <v>4.1212688898546198E-6</v>
          </cell>
          <cell r="F726">
            <v>1.6756623147922E-6</v>
          </cell>
          <cell r="G726">
            <v>5.4712389484548699E-7</v>
          </cell>
          <cell r="H726">
            <v>5.9309855997933796E-7</v>
          </cell>
          <cell r="I726">
            <v>8.00067052535384E-7</v>
          </cell>
          <cell r="J726">
            <v>7.8444219389798295E-7</v>
          </cell>
          <cell r="K726">
            <v>6.8377650542472702E-7</v>
          </cell>
          <cell r="L726">
            <v>6.4152506504170197E-7</v>
          </cell>
          <cell r="M726">
            <v>8.5900330118951204E-7</v>
          </cell>
          <cell r="N726">
            <v>8.8936206790559495E-7</v>
          </cell>
          <cell r="O726">
            <v>4.8413456305761097E-6</v>
          </cell>
        </row>
        <row r="727">
          <cell r="A727" t="str">
            <v>T_C-FC-H2O-S3</v>
          </cell>
          <cell r="B727" t="str">
            <v>VAR_cap</v>
          </cell>
          <cell r="C727" t="str">
            <v>-</v>
          </cell>
          <cell r="D727">
            <v>5.3634829416900648E-5</v>
          </cell>
          <cell r="E727">
            <v>1.121240329201604E-4</v>
          </cell>
          <cell r="F727">
            <v>1.0835731947683773E-4</v>
          </cell>
          <cell r="G727">
            <v>2.7979672603888165E-6</v>
          </cell>
          <cell r="H727">
            <v>2.0987301969175211E-6</v>
          </cell>
          <cell r="I727">
            <v>1.6495649472319238E-6</v>
          </cell>
          <cell r="J727">
            <v>1.7098857149328632E-6</v>
          </cell>
          <cell r="K727">
            <v>1.699462753828039E-6</v>
          </cell>
          <cell r="L727">
            <v>1.6381500543369547E-6</v>
          </cell>
          <cell r="M727">
            <v>1.7581052781868801E-6</v>
          </cell>
          <cell r="N727">
            <v>1.921745199507819E-6</v>
          </cell>
          <cell r="O727">
            <v>6.5897109996712198E-6</v>
          </cell>
        </row>
        <row r="728">
          <cell r="A728" t="str">
            <v>T_B_c-ICEDSL-S3</v>
          </cell>
          <cell r="B728" t="str">
            <v>VAR_fout</v>
          </cell>
          <cell r="C728" t="str">
            <v>CO2_T</v>
          </cell>
          <cell r="D728">
            <v>11.5687088935373</v>
          </cell>
          <cell r="E728">
            <v>9.2443420921377069</v>
          </cell>
          <cell r="F728">
            <v>10.652880724667094</v>
          </cell>
        </row>
        <row r="729">
          <cell r="A729" t="str">
            <v>T_B_c-ICEDSL-S3</v>
          </cell>
          <cell r="B729" t="str">
            <v>VAR_fout</v>
          </cell>
          <cell r="C729" t="str">
            <v>TPBSc</v>
          </cell>
          <cell r="D729">
            <v>9.1459920845057777E-3</v>
          </cell>
          <cell r="E729">
            <v>7.3374874151242555E-3</v>
          </cell>
          <cell r="F729">
            <v>8.4550938592448891E-3</v>
          </cell>
        </row>
        <row r="730">
          <cell r="A730" t="str">
            <v>T_B_c-ICEDSL-S3</v>
          </cell>
          <cell r="B730" t="str">
            <v>VAR_fin</v>
          </cell>
          <cell r="C730" t="str">
            <v>TDSL</v>
          </cell>
          <cell r="D730">
            <v>0.15782686075767141</v>
          </cell>
          <cell r="E730">
            <v>0.12611653604553463</v>
          </cell>
          <cell r="F730">
            <v>0.1453326156161949</v>
          </cell>
        </row>
        <row r="731">
          <cell r="A731" t="str">
            <v>T_B_c-ICEDSL-S3</v>
          </cell>
          <cell r="B731" t="str">
            <v>VAR_ncap</v>
          </cell>
          <cell r="C731" t="str">
            <v>-</v>
          </cell>
          <cell r="E731">
            <v>8.61053008352823E-7</v>
          </cell>
          <cell r="F731">
            <v>7.7847257933773405E-7</v>
          </cell>
          <cell r="O731">
            <v>1.03917790153105E-8</v>
          </cell>
        </row>
        <row r="732">
          <cell r="A732" t="str">
            <v>T_B_c-ICEDSL-S3</v>
          </cell>
          <cell r="B732" t="str">
            <v>VAR_cap</v>
          </cell>
          <cell r="C732" t="str">
            <v>-</v>
          </cell>
          <cell r="D732">
            <v>2.0060406894048679E-4</v>
          </cell>
          <cell r="E732">
            <v>1.8374182392017402E-4</v>
          </cell>
          <cell r="F732">
            <v>1.8449964762952783E-4</v>
          </cell>
          <cell r="G732">
            <v>-1.2242386114732183E-9</v>
          </cell>
          <cell r="O732">
            <v>1.03917790153105E-8</v>
          </cell>
        </row>
        <row r="733">
          <cell r="A733" t="str">
            <v>T_TW-FCLH2O-S2</v>
          </cell>
          <cell r="B733" t="str">
            <v>VAR_fout</v>
          </cell>
          <cell r="C733" t="str">
            <v>TPTWL</v>
          </cell>
          <cell r="G733">
            <v>2.2869861505810715E-4</v>
          </cell>
          <cell r="H733">
            <v>5.5696245336309266E-4</v>
          </cell>
          <cell r="I733">
            <v>8.6186274733667933E-4</v>
          </cell>
          <cell r="J733">
            <v>1.1860727481090413E-3</v>
          </cell>
          <cell r="K733">
            <v>1.6799708313769872E-3</v>
          </cell>
          <cell r="L733">
            <v>1.9930577802767953E-3</v>
          </cell>
          <cell r="M733">
            <v>2.6523972678958578E-3</v>
          </cell>
          <cell r="N733">
            <v>2.5723990070654359E-3</v>
          </cell>
          <cell r="O733">
            <v>3.6470442643279206E-3</v>
          </cell>
        </row>
        <row r="734">
          <cell r="A734" t="str">
            <v>T_TW-FCLH2O-S2</v>
          </cell>
          <cell r="B734" t="str">
            <v>VAR_fin</v>
          </cell>
          <cell r="C734" t="str">
            <v>TH2O</v>
          </cell>
          <cell r="G734">
            <v>8.4675378005371089E-5</v>
          </cell>
          <cell r="H734">
            <v>2.044118609390349E-4</v>
          </cell>
          <cell r="I734">
            <v>3.1305975275879678E-4</v>
          </cell>
          <cell r="J734">
            <v>4.25160647016565E-4</v>
          </cell>
          <cell r="K734">
            <v>5.9338664307467196E-4</v>
          </cell>
          <cell r="L734">
            <v>6.9805160184561457E-4</v>
          </cell>
          <cell r="M734">
            <v>9.2646825040638698E-4</v>
          </cell>
          <cell r="N734">
            <v>8.9852528362527979E-4</v>
          </cell>
          <cell r="O734">
            <v>1.2738931530445247E-3</v>
          </cell>
        </row>
        <row r="735">
          <cell r="A735" t="str">
            <v>T_TW-FCLH2O-S2</v>
          </cell>
          <cell r="B735" t="str">
            <v>VAR_ncap</v>
          </cell>
          <cell r="C735" t="str">
            <v>-</v>
          </cell>
          <cell r="G735">
            <v>8.7669078219629901E-5</v>
          </cell>
          <cell r="H735">
            <v>1.2782396520116099E-4</v>
          </cell>
          <cell r="I735">
            <v>1.5374638724503201E-4</v>
          </cell>
          <cell r="J735">
            <v>2.0159215466622899E-4</v>
          </cell>
          <cell r="K735">
            <v>3.0216693149610999E-4</v>
          </cell>
          <cell r="L735">
            <v>3.3173452108823699E-4</v>
          </cell>
          <cell r="M735">
            <v>4.1540177476443103E-4</v>
          </cell>
          <cell r="N735">
            <v>4.3169392953708801E-4</v>
          </cell>
          <cell r="O735">
            <v>6.1583370295806696E-4</v>
          </cell>
        </row>
        <row r="736">
          <cell r="A736" t="str">
            <v>T_TW-FCLH2O-S2</v>
          </cell>
          <cell r="B736" t="str">
            <v>VAR_cap</v>
          </cell>
          <cell r="C736" t="str">
            <v>-</v>
          </cell>
          <cell r="G736">
            <v>8.7669078219629901E-5</v>
          </cell>
          <cell r="H736">
            <v>2.1531514573434386E-4</v>
          </cell>
          <cell r="I736">
            <v>3.3519135918176792E-4</v>
          </cell>
          <cell r="J736">
            <v>4.6275822799636269E-4</v>
          </cell>
          <cell r="K736">
            <v>6.5697419007405356E-4</v>
          </cell>
          <cell r="L736">
            <v>7.8085685506002031E-4</v>
          </cell>
          <cell r="M736">
            <v>1.0475816613641643E-3</v>
          </cell>
          <cell r="N736">
            <v>1.0184830929657696E-3</v>
          </cell>
          <cell r="O736">
            <v>1.4611335348755884E-3</v>
          </cell>
        </row>
        <row r="737">
          <cell r="A737" t="str">
            <v>D-T-ELC-TW_Bat_S2</v>
          </cell>
          <cell r="B737" t="str">
            <v>VAR_fout</v>
          </cell>
          <cell r="C737" t="str">
            <v>T-ELC-TWSTGin_S2</v>
          </cell>
          <cell r="D737">
            <v>3.6107823098572786E-4</v>
          </cell>
          <cell r="E737">
            <v>5.4425449975964045E-4</v>
          </cell>
          <cell r="F737">
            <v>6.0000932787476898E-4</v>
          </cell>
          <cell r="G737">
            <v>9.32223069049707E-3</v>
          </cell>
          <cell r="H737">
            <v>1.4342711521125245E-2</v>
          </cell>
          <cell r="I737">
            <v>1.3998471052540698E-2</v>
          </cell>
          <cell r="J737">
            <v>1.3517657893190352E-2</v>
          </cell>
          <cell r="K737">
            <v>2.677142380630983E-2</v>
          </cell>
          <cell r="L737">
            <v>2.3311063583826515E-2</v>
          </cell>
          <cell r="M737">
            <v>3.7018053209874689E-2</v>
          </cell>
          <cell r="N737">
            <v>2.875847690540536E-2</v>
          </cell>
          <cell r="O737">
            <v>5.7284132749718726E-2</v>
          </cell>
        </row>
        <row r="738">
          <cell r="A738" t="str">
            <v>D-T-ELC-TW_Bat_S2</v>
          </cell>
          <cell r="B738" t="str">
            <v>VAR_fin</v>
          </cell>
          <cell r="C738" t="str">
            <v>TELC</v>
          </cell>
          <cell r="D738">
            <v>3.6107823098572786E-4</v>
          </cell>
          <cell r="E738">
            <v>5.4425449975964045E-4</v>
          </cell>
          <cell r="F738">
            <v>6.0000932787476898E-4</v>
          </cell>
          <cell r="G738">
            <v>9.32223069049707E-3</v>
          </cell>
          <cell r="H738">
            <v>1.4342711521125245E-2</v>
          </cell>
          <cell r="I738">
            <v>1.3998471052540698E-2</v>
          </cell>
          <cell r="J738">
            <v>1.3517657893190352E-2</v>
          </cell>
          <cell r="K738">
            <v>2.677142380630983E-2</v>
          </cell>
          <cell r="L738">
            <v>2.3311063583826515E-2</v>
          </cell>
          <cell r="M738">
            <v>3.7018053209874689E-2</v>
          </cell>
          <cell r="N738">
            <v>2.875847690540536E-2</v>
          </cell>
          <cell r="O738">
            <v>5.7284132749718726E-2</v>
          </cell>
        </row>
        <row r="739">
          <cell r="A739" t="str">
            <v>D-T-ELC-TW_Bat_S2</v>
          </cell>
          <cell r="B739" t="str">
            <v>VAR_ncap</v>
          </cell>
          <cell r="C739" t="str">
            <v>-</v>
          </cell>
          <cell r="D739">
            <v>2.84449941450026E-4</v>
          </cell>
          <cell r="E739">
            <v>2.01324121475865E-6</v>
          </cell>
          <cell r="F739">
            <v>1.0618253992461201E-5</v>
          </cell>
          <cell r="G739">
            <v>6.8983653750974698E-4</v>
          </cell>
          <cell r="H739">
            <v>8.1925659650052495E-4</v>
          </cell>
          <cell r="I739">
            <v>2.4306635085420599E-4</v>
          </cell>
          <cell r="J739">
            <v>4.9924439251248804E-4</v>
          </cell>
          <cell r="K739">
            <v>2.0968644241282299E-3</v>
          </cell>
          <cell r="L739">
            <v>1.0459427766870101E-5</v>
          </cell>
          <cell r="M739">
            <v>1.8209306563505901E-3</v>
          </cell>
          <cell r="N739">
            <v>1.2245719697083499E-3</v>
          </cell>
          <cell r="O739">
            <v>3.0400916172325198E-3</v>
          </cell>
        </row>
        <row r="740">
          <cell r="A740" t="str">
            <v>D-T-ELC-TW_Bat_S2</v>
          </cell>
          <cell r="B740" t="str">
            <v>VAR_cap</v>
          </cell>
          <cell r="C740" t="str">
            <v>-</v>
          </cell>
          <cell r="D740">
            <v>2.84449941450026E-4</v>
          </cell>
          <cell r="E740">
            <v>2.86463182664784E-4</v>
          </cell>
          <cell r="F740">
            <v>2.9708143665724599E-4</v>
          </cell>
          <cell r="G740">
            <v>9.86917974166992E-4</v>
          </cell>
          <cell r="H740">
            <v>1.52023349093767E-3</v>
          </cell>
          <cell r="I740">
            <v>1.4864000331642801E-3</v>
          </cell>
          <cell r="J740">
            <v>1.4333127444612699E-3</v>
          </cell>
          <cell r="K740">
            <v>2.83917516749492E-3</v>
          </cell>
          <cell r="L740">
            <v>2.4726193543118001E-3</v>
          </cell>
          <cell r="M740">
            <v>3.9282545082456903E-3</v>
          </cell>
          <cell r="N740">
            <v>3.0509259543684999E-3</v>
          </cell>
          <cell r="O740">
            <v>6.0855942432914596E-3</v>
          </cell>
        </row>
        <row r="741">
          <cell r="A741" t="str">
            <v>T_C-FC-H2O-S4</v>
          </cell>
          <cell r="B741" t="str">
            <v>VAR_fout</v>
          </cell>
          <cell r="C741" t="str">
            <v>TPCAR</v>
          </cell>
          <cell r="E741">
            <v>6.1932569259302053E-5</v>
          </cell>
          <cell r="F741">
            <v>8.134881490704032E-5</v>
          </cell>
          <cell r="G741">
            <v>2.1874819980697577E-5</v>
          </cell>
          <cell r="H741">
            <v>2.3319528548770525E-5</v>
          </cell>
          <cell r="I741">
            <v>1.9830375917914783E-5</v>
          </cell>
          <cell r="J741">
            <v>2.2072473684272204E-5</v>
          </cell>
          <cell r="K741">
            <v>2.3780901712082852E-5</v>
          </cell>
          <cell r="L741">
            <v>2.0560400904660997E-5</v>
          </cell>
          <cell r="M741">
            <v>2.1621902703586118E-5</v>
          </cell>
          <cell r="N741">
            <v>1.8622955994135487E-5</v>
          </cell>
          <cell r="O741">
            <v>7.1968445464274706E-5</v>
          </cell>
        </row>
        <row r="742">
          <cell r="A742" t="str">
            <v>T_C-FC-H2O-S4</v>
          </cell>
          <cell r="B742" t="str">
            <v>VAR_fin</v>
          </cell>
          <cell r="C742" t="str">
            <v>TH2O</v>
          </cell>
          <cell r="E742">
            <v>7.4015369542182271E-5</v>
          </cell>
          <cell r="F742">
            <v>9.7219648226669193E-5</v>
          </cell>
          <cell r="G742">
            <v>2.6142511184401793E-5</v>
          </cell>
          <cell r="H742">
            <v>2.7313018500907814E-5</v>
          </cell>
          <cell r="I742">
            <v>2.1943706622837727E-5</v>
          </cell>
          <cell r="J742">
            <v>2.3162542988717872E-5</v>
          </cell>
          <cell r="K742">
            <v>2.3676131016243612E-5</v>
          </cell>
          <cell r="L742">
            <v>1.9336647269956294E-5</v>
          </cell>
          <cell r="M742">
            <v>1.9022061873654605E-5</v>
          </cell>
          <cell r="N742">
            <v>1.5841211727048288E-5</v>
          </cell>
          <cell r="O742">
            <v>6.0237923026502378E-5</v>
          </cell>
        </row>
        <row r="743">
          <cell r="A743" t="str">
            <v>T_C-FC-H2O-S4</v>
          </cell>
          <cell r="B743" t="str">
            <v>VAR_ncap</v>
          </cell>
          <cell r="C743" t="str">
            <v>-</v>
          </cell>
          <cell r="E743">
            <v>5.4201340991180596E-6</v>
          </cell>
          <cell r="F743">
            <v>2.1448588594481401E-6</v>
          </cell>
          <cell r="G743">
            <v>5.9707790097051198E-7</v>
          </cell>
          <cell r="H743">
            <v>6.5633530712187399E-7</v>
          </cell>
          <cell r="I743">
            <v>9.9321408891714794E-7</v>
          </cell>
          <cell r="J743">
            <v>8.8401244848252203E-7</v>
          </cell>
          <cell r="K743">
            <v>7.3021213119708199E-7</v>
          </cell>
          <cell r="L743">
            <v>6.1494246744288296E-7</v>
          </cell>
          <cell r="M743">
            <v>7.5066610656522397E-7</v>
          </cell>
          <cell r="N743">
            <v>6.4653576750981496E-7</v>
          </cell>
          <cell r="O743">
            <v>4.7858381203038402E-6</v>
          </cell>
        </row>
        <row r="744">
          <cell r="A744" t="str">
            <v>T_C-FC-H2O-S4</v>
          </cell>
          <cell r="B744" t="str">
            <v>VAR_cap</v>
          </cell>
          <cell r="C744" t="str">
            <v>-</v>
          </cell>
          <cell r="E744">
            <v>5.3479750358608197E-6</v>
          </cell>
          <cell r="F744">
            <v>7.1488016663625546E-6</v>
          </cell>
          <cell r="G744">
            <v>1.70204911841237E-6</v>
          </cell>
          <cell r="H744">
            <v>1.9339237964963098E-6</v>
          </cell>
          <cell r="I744">
            <v>1.9193332588188671E-6</v>
          </cell>
          <cell r="J744">
            <v>1.9083419900349461E-6</v>
          </cell>
          <cell r="K744">
            <v>1.8035076703491763E-6</v>
          </cell>
          <cell r="L744">
            <v>1.7389141077000878E-6</v>
          </cell>
          <cell r="M744">
            <v>1.6310064148682669E-6</v>
          </cell>
          <cell r="N744">
            <v>1.514140563472203E-6</v>
          </cell>
          <cell r="O744">
            <v>6.1830399943788803E-6</v>
          </cell>
        </row>
        <row r="745">
          <cell r="A745" t="str">
            <v>T_B_c-ICEDSL-S4</v>
          </cell>
          <cell r="B745" t="str">
            <v>VAR_fout</v>
          </cell>
          <cell r="C745" t="str">
            <v>CO2_T</v>
          </cell>
          <cell r="D745">
            <v>1.2793972711787971</v>
          </cell>
          <cell r="E745">
            <v>0.10966931898389749</v>
          </cell>
          <cell r="F745">
            <v>0.12312204945451372</v>
          </cell>
        </row>
        <row r="746">
          <cell r="A746" t="str">
            <v>T_B_c-ICEDSL-S4</v>
          </cell>
          <cell r="B746" t="str">
            <v>VAR_fout</v>
          </cell>
          <cell r="C746" t="str">
            <v>TPBSc</v>
          </cell>
          <cell r="D746">
            <v>6.7454574117874807E-4</v>
          </cell>
          <cell r="E746">
            <v>5.8307983056826842E-5</v>
          </cell>
          <cell r="F746">
            <v>6.6036084039080805E-5</v>
          </cell>
        </row>
        <row r="747">
          <cell r="A747" t="str">
            <v>T_B_c-ICEDSL-S4</v>
          </cell>
          <cell r="B747" t="str">
            <v>VAR_fin</v>
          </cell>
          <cell r="C747" t="str">
            <v>TDSL</v>
          </cell>
          <cell r="D747">
            <v>1.7454260179792618E-2</v>
          </cell>
          <cell r="E747">
            <v>1.4961707910490804E-3</v>
          </cell>
          <cell r="F747">
            <v>1.6797005382607627E-3</v>
          </cell>
        </row>
        <row r="748">
          <cell r="A748" t="str">
            <v>T_B_c-ICEDSL-S4</v>
          </cell>
          <cell r="B748" t="str">
            <v>VAR_ncap</v>
          </cell>
          <cell r="C748" t="str">
            <v>-</v>
          </cell>
          <cell r="E748">
            <v>2.1134784556983799E-7</v>
          </cell>
          <cell r="F748">
            <v>1.9025476987241801E-7</v>
          </cell>
        </row>
        <row r="749">
          <cell r="A749" t="str">
            <v>T_B_c-ICEDSL-S4</v>
          </cell>
          <cell r="B749" t="str">
            <v>VAR_cap</v>
          </cell>
          <cell r="C749" t="str">
            <v>-</v>
          </cell>
          <cell r="D749">
            <v>1.5564580321978001E-5</v>
          </cell>
          <cell r="E749">
            <v>1.5889763627645421E-6</v>
          </cell>
          <cell r="F749">
            <v>1.6870015057274607E-6</v>
          </cell>
          <cell r="G749">
            <v>-3.6201270273330247E-9</v>
          </cell>
        </row>
        <row r="750">
          <cell r="A750" t="str">
            <v>D-T-ELC-HGV</v>
          </cell>
          <cell r="B750" t="str">
            <v>VAR_fout</v>
          </cell>
          <cell r="C750" t="str">
            <v>T-ELC-HGV_BatSTGin</v>
          </cell>
          <cell r="D750">
            <v>6.0716161228815332E-3</v>
          </cell>
          <cell r="E750">
            <v>8.2475636772577562E-3</v>
          </cell>
          <cell r="F750">
            <v>8.9064868028824514E-3</v>
          </cell>
          <cell r="G750">
            <v>5.5452596027948517E-3</v>
          </cell>
          <cell r="H750">
            <v>4.7101273390124558E-3</v>
          </cell>
          <cell r="I750">
            <v>6.8738321815432889E-3</v>
          </cell>
          <cell r="J750">
            <v>7.8966523939905126E-3</v>
          </cell>
          <cell r="K750">
            <v>1.4159235058091163E-2</v>
          </cell>
          <cell r="L750">
            <v>1.7486823861896938E-2</v>
          </cell>
          <cell r="M750">
            <v>2.2267106252129694E-2</v>
          </cell>
          <cell r="N750">
            <v>3.7982640009897616E-2</v>
          </cell>
          <cell r="O750">
            <v>0.1037928399765688</v>
          </cell>
        </row>
        <row r="751">
          <cell r="A751" t="str">
            <v>D-T-ELC-HGV</v>
          </cell>
          <cell r="B751" t="str">
            <v>VAR_fin</v>
          </cell>
          <cell r="C751" t="str">
            <v>TELC</v>
          </cell>
          <cell r="D751">
            <v>6.0716161228815332E-3</v>
          </cell>
          <cell r="E751">
            <v>8.2475636772577562E-3</v>
          </cell>
          <cell r="F751">
            <v>8.9064868028824514E-3</v>
          </cell>
          <cell r="G751">
            <v>5.5452596027948517E-3</v>
          </cell>
          <cell r="H751">
            <v>4.7101273390124558E-3</v>
          </cell>
          <cell r="I751">
            <v>6.8738321815432889E-3</v>
          </cell>
          <cell r="J751">
            <v>7.8966523939905126E-3</v>
          </cell>
          <cell r="K751">
            <v>1.4159235058091163E-2</v>
          </cell>
          <cell r="L751">
            <v>1.7486823861896938E-2</v>
          </cell>
          <cell r="M751">
            <v>2.2267106252129694E-2</v>
          </cell>
          <cell r="N751">
            <v>3.7982640009897616E-2</v>
          </cell>
          <cell r="O751">
            <v>0.1037928399765688</v>
          </cell>
        </row>
        <row r="752">
          <cell r="A752" t="str">
            <v>D-T-ELC-HGV</v>
          </cell>
          <cell r="B752" t="str">
            <v>VAR_ncap</v>
          </cell>
          <cell r="C752" t="str">
            <v>-</v>
          </cell>
          <cell r="D752">
            <v>9.3059707344808E-4</v>
          </cell>
          <cell r="E752">
            <v>3.73824480166111E-4</v>
          </cell>
          <cell r="F752">
            <v>2.4727429694335198E-4</v>
          </cell>
          <cell r="G752">
            <v>3.8316971901651098E-4</v>
          </cell>
          <cell r="H752">
            <v>5.6909727412605602E-4</v>
          </cell>
          <cell r="I752">
            <v>5.2739521747188604E-4</v>
          </cell>
          <cell r="J752">
            <v>7.8042556375771299E-4</v>
          </cell>
          <cell r="K752">
            <v>1.3098137751999901E-3</v>
          </cell>
          <cell r="L752">
            <v>1.15754800071968E-3</v>
          </cell>
          <cell r="M752">
            <v>2.3717766322445301E-3</v>
          </cell>
          <cell r="N752">
            <v>2.8090234416586301E-3</v>
          </cell>
          <cell r="O752">
            <v>9.9484463346776707E-3</v>
          </cell>
        </row>
        <row r="753">
          <cell r="A753" t="str">
            <v>D-T-ELC-HGV</v>
          </cell>
          <cell r="B753" t="str">
            <v>VAR_cap</v>
          </cell>
          <cell r="C753" t="str">
            <v>-</v>
          </cell>
          <cell r="D753">
            <v>9.3059707344808E-4</v>
          </cell>
          <cell r="E753">
            <v>1.3044215536141899E-3</v>
          </cell>
          <cell r="F753">
            <v>1.5516958505575401E-3</v>
          </cell>
          <cell r="G753">
            <v>8.2056789951416304E-4</v>
          </cell>
          <cell r="H753">
            <v>6.68466407547255E-4</v>
          </cell>
          <cell r="I753">
            <v>9.8822352250996898E-4</v>
          </cell>
          <cell r="J753">
            <v>1.05388578328348E-3</v>
          </cell>
          <cell r="K753">
            <v>1.83649398360533E-3</v>
          </cell>
          <cell r="L753">
            <v>2.11593449090351E-3</v>
          </cell>
          <cell r="M753">
            <v>2.6719687821361998E-3</v>
          </cell>
          <cell r="N753">
            <v>4.4289144110431101E-3</v>
          </cell>
          <cell r="O753">
            <v>1.1844151857885701E-2</v>
          </cell>
        </row>
        <row r="754">
          <cell r="A754" t="str">
            <v>T_TW-FCLH2O-S3</v>
          </cell>
          <cell r="B754" t="str">
            <v>VAR_fout</v>
          </cell>
          <cell r="C754" t="str">
            <v>TPTWL</v>
          </cell>
          <cell r="G754">
            <v>1.3857654751511298E-4</v>
          </cell>
          <cell r="H754">
            <v>3.8258495400834893E-4</v>
          </cell>
          <cell r="I754">
            <v>6.1367715170529131E-4</v>
          </cell>
          <cell r="J754">
            <v>8.6614330635568354E-4</v>
          </cell>
          <cell r="K754">
            <v>1.2068128120242881E-3</v>
          </cell>
          <cell r="L754">
            <v>1.4630253135849403E-3</v>
          </cell>
          <cell r="M754">
            <v>1.7628849973524928E-3</v>
          </cell>
          <cell r="N754">
            <v>2.0593385910889529E-3</v>
          </cell>
          <cell r="O754">
            <v>2.486818409781899E-3</v>
          </cell>
        </row>
        <row r="755">
          <cell r="A755" t="str">
            <v>T_TW-FCLH2O-S3</v>
          </cell>
          <cell r="B755" t="str">
            <v>VAR_fin</v>
          </cell>
          <cell r="C755" t="str">
            <v>TH2O</v>
          </cell>
          <cell r="G755">
            <v>7.8707672057624914E-5</v>
          </cell>
          <cell r="H755">
            <v>2.1507185894394787E-4</v>
          </cell>
          <cell r="I755">
            <v>3.4217257157044935E-4</v>
          </cell>
          <cell r="J755">
            <v>4.7774310769149649E-4</v>
          </cell>
          <cell r="K755">
            <v>6.5618204216193762E-4</v>
          </cell>
          <cell r="L755">
            <v>7.8791687025928363E-4</v>
          </cell>
          <cell r="M755">
            <v>9.4252660522133578E-4</v>
          </cell>
          <cell r="N755">
            <v>1.0981820082346127E-3</v>
          </cell>
          <cell r="O755">
            <v>1.3261438634649149E-3</v>
          </cell>
        </row>
        <row r="756">
          <cell r="A756" t="str">
            <v>T_TW-FCLH2O-S3</v>
          </cell>
          <cell r="B756" t="str">
            <v>VAR_ncap</v>
          </cell>
          <cell r="C756" t="str">
            <v>-</v>
          </cell>
          <cell r="G756">
            <v>5.2716517696938E-5</v>
          </cell>
          <cell r="H756">
            <v>9.4632003195828596E-5</v>
          </cell>
          <cell r="I756">
            <v>9.0430599436234103E-5</v>
          </cell>
          <cell r="J756">
            <v>1.15629495973179E-4</v>
          </cell>
          <cell r="K756">
            <v>1.6940949104798101E-4</v>
          </cell>
          <cell r="L756">
            <v>1.8097023236648301E-4</v>
          </cell>
          <cell r="M756">
            <v>2.29114571745076E-4</v>
          </cell>
          <cell r="N756">
            <v>2.36479453707817E-4</v>
          </cell>
          <cell r="O756">
            <v>3.46845301185814E-4</v>
          </cell>
        </row>
        <row r="757">
          <cell r="A757" t="str">
            <v>T_TW-FCLH2O-S3</v>
          </cell>
          <cell r="B757" t="str">
            <v>VAR_cap</v>
          </cell>
          <cell r="C757" t="str">
            <v>-</v>
          </cell>
          <cell r="G757">
            <v>5.2716517696938E-5</v>
          </cell>
          <cell r="H757">
            <v>1.4721712295670547E-4</v>
          </cell>
          <cell r="I757">
            <v>2.3745014601635563E-4</v>
          </cell>
          <cell r="J757">
            <v>3.362234367001117E-4</v>
          </cell>
          <cell r="K757">
            <v>4.6958324513710184E-4</v>
          </cell>
          <cell r="L757">
            <v>5.7249156221872313E-4</v>
          </cell>
          <cell r="M757">
            <v>6.9411915487850465E-4</v>
          </cell>
          <cell r="N757">
            <v>8.1514227931089921E-4</v>
          </cell>
          <cell r="O757">
            <v>9.9233584537855341E-4</v>
          </cell>
        </row>
        <row r="758">
          <cell r="A758" t="str">
            <v>D-T-ELC-TW_Bat_S3</v>
          </cell>
          <cell r="B758" t="str">
            <v>VAR_fout</v>
          </cell>
          <cell r="C758" t="str">
            <v>T-ELC-TWSTGin_S3</v>
          </cell>
          <cell r="D758">
            <v>1.4811493127424183E-4</v>
          </cell>
          <cell r="E758">
            <v>2.8892702731424984E-4</v>
          </cell>
          <cell r="F758">
            <v>3.8801846835552614E-4</v>
          </cell>
          <cell r="G758">
            <v>1.0586534481894245E-2</v>
          </cell>
          <cell r="H758">
            <v>2.3564744695956978E-2</v>
          </cell>
          <cell r="I758">
            <v>2.3027466438495878E-2</v>
          </cell>
          <cell r="J758">
            <v>2.0243171145158008E-2</v>
          </cell>
          <cell r="K758">
            <v>4.2343498121481998E-2</v>
          </cell>
          <cell r="L758">
            <v>3.3457607470481827E-2</v>
          </cell>
          <cell r="M758">
            <v>4.6694490664093105E-2</v>
          </cell>
          <cell r="N758">
            <v>4.6115588704188831E-2</v>
          </cell>
          <cell r="O758">
            <v>8.0763219853896992E-2</v>
          </cell>
        </row>
        <row r="759">
          <cell r="A759" t="str">
            <v>D-T-ELC-TW_Bat_S3</v>
          </cell>
          <cell r="B759" t="str">
            <v>VAR_fin</v>
          </cell>
          <cell r="C759" t="str">
            <v>TELC</v>
          </cell>
          <cell r="D759">
            <v>1.4811493127424183E-4</v>
          </cell>
          <cell r="E759">
            <v>2.8892702731424984E-4</v>
          </cell>
          <cell r="F759">
            <v>3.8801846835552614E-4</v>
          </cell>
          <cell r="G759">
            <v>1.0586534481894245E-2</v>
          </cell>
          <cell r="H759">
            <v>2.3564744695956978E-2</v>
          </cell>
          <cell r="I759">
            <v>2.3027466438495878E-2</v>
          </cell>
          <cell r="J759">
            <v>2.0243171145158008E-2</v>
          </cell>
          <cell r="K759">
            <v>4.2343498121481998E-2</v>
          </cell>
          <cell r="L759">
            <v>3.3457607470481827E-2</v>
          </cell>
          <cell r="M759">
            <v>4.6694490664093105E-2</v>
          </cell>
          <cell r="N759">
            <v>4.6115588704188831E-2</v>
          </cell>
          <cell r="O759">
            <v>8.0763219853896992E-2</v>
          </cell>
        </row>
        <row r="760">
          <cell r="A760" t="str">
            <v>D-T-ELC-TW_Bat_S3</v>
          </cell>
          <cell r="B760" t="str">
            <v>VAR_ncap</v>
          </cell>
          <cell r="C760" t="str">
            <v>-</v>
          </cell>
          <cell r="D760">
            <v>3.1366909802431299E-4</v>
          </cell>
          <cell r="E760">
            <v>2.11357314695285E-6</v>
          </cell>
          <cell r="F760">
            <v>6.2131898254893402E-6</v>
          </cell>
          <cell r="G760">
            <v>7.9886651795164497E-4</v>
          </cell>
          <cell r="H760">
            <v>1.3754031703340499E-3</v>
          </cell>
          <cell r="I760">
            <v>1.2669084211291E-4</v>
          </cell>
          <cell r="J760">
            <v>9.5369138364253094E-5</v>
          </cell>
          <cell r="K760">
            <v>2.8913563549220599E-3</v>
          </cell>
          <cell r="L760">
            <v>2.9500410845363198E-5</v>
          </cell>
          <cell r="M760">
            <v>1.9335053618291199E-3</v>
          </cell>
          <cell r="N760">
            <v>3.38589181520536E-5</v>
          </cell>
          <cell r="O760">
            <v>6.5734308408616198E-3</v>
          </cell>
        </row>
        <row r="761">
          <cell r="A761" t="str">
            <v>D-T-ELC-TW_Bat_S3</v>
          </cell>
          <cell r="B761" t="str">
            <v>VAR_cap</v>
          </cell>
          <cell r="C761" t="str">
            <v>-</v>
          </cell>
          <cell r="D761">
            <v>3.1366909802431299E-4</v>
          </cell>
          <cell r="E761">
            <v>3.1578267117126599E-4</v>
          </cell>
          <cell r="F761">
            <v>3.2199586099675501E-4</v>
          </cell>
          <cell r="G761">
            <v>1.1208623789484E-3</v>
          </cell>
          <cell r="H761">
            <v>2.4962655492824499E-3</v>
          </cell>
          <cell r="I761">
            <v>2.4386055653282698E-3</v>
          </cell>
          <cell r="J761">
            <v>2.1441785379460298E-3</v>
          </cell>
          <cell r="K761">
            <v>4.4888195057332702E-3</v>
          </cell>
          <cell r="L761">
            <v>3.54364885654901E-3</v>
          </cell>
          <cell r="M761">
            <v>4.9497312659608E-3</v>
          </cell>
          <cell r="N761">
            <v>4.8882210457486001E-3</v>
          </cell>
          <cell r="O761">
            <v>8.5702955316881609E-3</v>
          </cell>
        </row>
        <row r="762">
          <cell r="A762" t="str">
            <v>T_TW-FCLH2O-S4</v>
          </cell>
          <cell r="B762" t="str">
            <v>VAR_fout</v>
          </cell>
          <cell r="C762" t="str">
            <v>TPTWL</v>
          </cell>
          <cell r="G762">
            <v>9.0387277852028265E-5</v>
          </cell>
          <cell r="H762">
            <v>2.2078572305157441E-4</v>
          </cell>
          <cell r="I762">
            <v>3.749274111731069E-4</v>
          </cell>
          <cell r="J762">
            <v>5.7847871038411525E-4</v>
          </cell>
          <cell r="K762">
            <v>8.836001164385835E-4</v>
          </cell>
          <cell r="L762">
            <v>1.0827243909084187E-3</v>
          </cell>
          <cell r="M762">
            <v>1.3243252441524651E-3</v>
          </cell>
          <cell r="N762">
            <v>1.5125798915626004E-3</v>
          </cell>
          <cell r="O762">
            <v>1.9017409301656204E-3</v>
          </cell>
        </row>
        <row r="763">
          <cell r="A763" t="str">
            <v>T_TW-FCLH2O-S4</v>
          </cell>
          <cell r="B763" t="str">
            <v>VAR_fin</v>
          </cell>
          <cell r="C763" t="str">
            <v>TH2O</v>
          </cell>
          <cell r="G763">
            <v>5.7864849590155023E-5</v>
          </cell>
          <cell r="H763">
            <v>1.3981230485298802E-4</v>
          </cell>
          <cell r="I763">
            <v>2.3494105971676098E-4</v>
          </cell>
          <cell r="J763">
            <v>3.5840994771992908E-4</v>
          </cell>
          <cell r="K763">
            <v>5.4027070792283464E-4</v>
          </cell>
          <cell r="L763">
            <v>6.5489567062560058E-4</v>
          </cell>
          <cell r="M763">
            <v>7.9465127330016403E-4</v>
          </cell>
          <cell r="N763">
            <v>9.0319830972762334E-4</v>
          </cell>
          <cell r="O763">
            <v>1.1333475810816251E-3</v>
          </cell>
        </row>
        <row r="764">
          <cell r="A764" t="str">
            <v>T_TW-FCLH2O-S4</v>
          </cell>
          <cell r="B764" t="str">
            <v>VAR_ncap</v>
          </cell>
          <cell r="C764" t="str">
            <v>-</v>
          </cell>
          <cell r="G764">
            <v>3.3913465535190901E-5</v>
          </cell>
          <cell r="H764">
            <v>5.01672947096568E-5</v>
          </cell>
          <cell r="I764">
            <v>6.0095474167716802E-5</v>
          </cell>
          <cell r="J764">
            <v>7.8364689723953702E-5</v>
          </cell>
          <cell r="K764">
            <v>1.1840616629600501E-4</v>
          </cell>
          <cell r="L764">
            <v>1.15135700918167E-4</v>
          </cell>
          <cell r="M764">
            <v>1.4614521383432999E-4</v>
          </cell>
          <cell r="N764">
            <v>1.5026072531634601E-4</v>
          </cell>
          <cell r="O764">
            <v>2.2440777147627201E-4</v>
          </cell>
        </row>
        <row r="765">
          <cell r="A765" t="str">
            <v>T_TW-FCLH2O-S4</v>
          </cell>
          <cell r="B765" t="str">
            <v>VAR_cap</v>
          </cell>
          <cell r="C765" t="str">
            <v>-</v>
          </cell>
          <cell r="G765">
            <v>3.3913465535190901E-5</v>
          </cell>
          <cell r="H765">
            <v>8.3991492612730409E-5</v>
          </cell>
          <cell r="I765">
            <v>1.4398568573901159E-4</v>
          </cell>
          <cell r="J765">
            <v>2.2221025543244885E-4</v>
          </cell>
          <cell r="K765">
            <v>3.4047780486497816E-4</v>
          </cell>
          <cell r="L765">
            <v>4.2154634900169453E-4</v>
          </cell>
          <cell r="M765">
            <v>5.1731217511426719E-4</v>
          </cell>
          <cell r="N765">
            <v>5.9536928651465954E-4</v>
          </cell>
          <cell r="O765">
            <v>7.5370840153242327E-4</v>
          </cell>
        </row>
        <row r="766">
          <cell r="A766" t="str">
            <v>D-T-ELC-TW_Bat_S4</v>
          </cell>
          <cell r="B766" t="str">
            <v>VAR_fout</v>
          </cell>
          <cell r="C766" t="str">
            <v>T-ELC-TWSTGin_S4</v>
          </cell>
          <cell r="D766">
            <v>1.1502851650287564E-4</v>
          </cell>
          <cell r="E766">
            <v>2.1225202235094053E-4</v>
          </cell>
          <cell r="F766">
            <v>2.8365467507115571E-4</v>
          </cell>
          <cell r="G766">
            <v>1.2097332190627152E-2</v>
          </cell>
          <cell r="H766">
            <v>2.3919190033144036E-2</v>
          </cell>
          <cell r="I766">
            <v>2.7121256373882505E-2</v>
          </cell>
          <cell r="J766">
            <v>2.7735992015350357E-2</v>
          </cell>
          <cell r="K766">
            <v>4.9923057179179824E-2</v>
          </cell>
          <cell r="L766">
            <v>4.1180706527379665E-2</v>
          </cell>
          <cell r="M766">
            <v>6.1455104388980414E-2</v>
          </cell>
          <cell r="N766">
            <v>5.8127558813098348E-2</v>
          </cell>
          <cell r="O766">
            <v>0.10472326511849987</v>
          </cell>
        </row>
        <row r="767">
          <cell r="A767" t="str">
            <v>D-T-ELC-TW_Bat_S4</v>
          </cell>
          <cell r="B767" t="str">
            <v>VAR_fin</v>
          </cell>
          <cell r="C767" t="str">
            <v>TELC</v>
          </cell>
          <cell r="D767">
            <v>1.1502851650287564E-4</v>
          </cell>
          <cell r="E767">
            <v>2.1225202235094053E-4</v>
          </cell>
          <cell r="F767">
            <v>2.8365467507115571E-4</v>
          </cell>
          <cell r="G767">
            <v>1.2097332190627152E-2</v>
          </cell>
          <cell r="H767">
            <v>2.3919190033144036E-2</v>
          </cell>
          <cell r="I767">
            <v>2.7121256373882505E-2</v>
          </cell>
          <cell r="J767">
            <v>2.7735992015350357E-2</v>
          </cell>
          <cell r="K767">
            <v>4.9923057179179824E-2</v>
          </cell>
          <cell r="L767">
            <v>4.1180706527379665E-2</v>
          </cell>
          <cell r="M767">
            <v>6.1455104388980414E-2</v>
          </cell>
          <cell r="N767">
            <v>5.8127558813098348E-2</v>
          </cell>
          <cell r="O767">
            <v>0.10472326511849987</v>
          </cell>
        </row>
        <row r="768">
          <cell r="A768" t="str">
            <v>D-T-ELC-TW_Bat_S4</v>
          </cell>
          <cell r="B768" t="str">
            <v>VAR_ncap</v>
          </cell>
          <cell r="C768" t="str">
            <v>-</v>
          </cell>
          <cell r="D768">
            <v>3.2260180198670399E-4</v>
          </cell>
          <cell r="E768">
            <v>2.15522711200331E-6</v>
          </cell>
          <cell r="F768">
            <v>6.41325602365078E-6</v>
          </cell>
          <cell r="G768">
            <v>9.4985109695255204E-4</v>
          </cell>
          <cell r="H768">
            <v>1.2525409346145599E-3</v>
          </cell>
          <cell r="I768">
            <v>3.3841332223351599E-4</v>
          </cell>
          <cell r="J768">
            <v>2.7437139653607799E-4</v>
          </cell>
          <cell r="K768">
            <v>2.4738727119088299E-3</v>
          </cell>
          <cell r="L768">
            <v>2.1777825651524399E-5</v>
          </cell>
          <cell r="M768">
            <v>3.4022833279192498E-3</v>
          </cell>
          <cell r="N768">
            <v>2.9021587368169401E-5</v>
          </cell>
          <cell r="O768">
            <v>5.1762167443418702E-3</v>
          </cell>
        </row>
        <row r="769">
          <cell r="A769" t="str">
            <v>D-T-ELC-TW_Bat_S4</v>
          </cell>
          <cell r="B769" t="str">
            <v>VAR_cap</v>
          </cell>
          <cell r="C769" t="str">
            <v>-</v>
          </cell>
          <cell r="D769">
            <v>3.2260180198670399E-4</v>
          </cell>
          <cell r="E769">
            <v>3.2475702909870799E-4</v>
          </cell>
          <cell r="F769">
            <v>3.3117028512235898E-4</v>
          </cell>
          <cell r="G769">
            <v>1.2810213820749099E-3</v>
          </cell>
          <cell r="H769">
            <v>2.5335623166894698E-3</v>
          </cell>
          <cell r="I769">
            <v>2.8719756389229902E-3</v>
          </cell>
          <cell r="J769">
            <v>2.93559356363022E-3</v>
          </cell>
          <cell r="K769">
            <v>5.2890494622455297E-3</v>
          </cell>
          <cell r="L769">
            <v>4.3609761909445101E-3</v>
          </cell>
          <cell r="M769">
            <v>6.5107185842491902E-3</v>
          </cell>
          <cell r="N769">
            <v>6.1583740155537496E-3</v>
          </cell>
          <cell r="O769">
            <v>1.1103172197189599E-2</v>
          </cell>
        </row>
        <row r="770">
          <cell r="A770" t="str">
            <v>T_B_u-ICENGA-S1</v>
          </cell>
          <cell r="B770" t="str">
            <v>VAR_fout</v>
          </cell>
          <cell r="C770" t="str">
            <v>CO2_T</v>
          </cell>
          <cell r="E770">
            <v>1.4911067763807099E-2</v>
          </cell>
          <cell r="F770">
            <v>0.1531426495370426</v>
          </cell>
          <cell r="J770">
            <v>3.02083611720333E-5</v>
          </cell>
          <cell r="K770">
            <v>1.4482389141396E-5</v>
          </cell>
          <cell r="L770">
            <v>1.50246444022698E-5</v>
          </cell>
          <cell r="M770">
            <v>1.44190981897033E-5</v>
          </cell>
          <cell r="O770">
            <v>6.6795557613948003E-5</v>
          </cell>
        </row>
        <row r="771">
          <cell r="A771" t="str">
            <v>T_B_u-ICENGA-S1</v>
          </cell>
          <cell r="B771" t="str">
            <v>VAR_fout</v>
          </cell>
          <cell r="C771" t="str">
            <v>TPBSu</v>
          </cell>
          <cell r="E771">
            <v>3.1788471714921398E-5</v>
          </cell>
          <cell r="F771">
            <v>3.4231680836583977E-4</v>
          </cell>
          <cell r="J771">
            <v>8.5962743419940189E-8</v>
          </cell>
          <cell r="K771">
            <v>4.3159736179920498E-8</v>
          </cell>
          <cell r="L771">
            <v>4.4775739849825499E-8</v>
          </cell>
          <cell r="M771">
            <v>4.2971119457156999E-8</v>
          </cell>
          <cell r="O771">
            <v>1.990609847907172E-7</v>
          </cell>
        </row>
        <row r="772">
          <cell r="A772" t="str">
            <v>T_B_u-ICENGA-S1</v>
          </cell>
          <cell r="B772" t="str">
            <v>VAR_fin</v>
          </cell>
          <cell r="C772" t="str">
            <v>TNGA</v>
          </cell>
          <cell r="E772">
            <v>2.6438063411005525E-4</v>
          </cell>
          <cell r="F772">
            <v>2.7152952045574924E-3</v>
          </cell>
          <cell r="J772">
            <v>5.3560924063888832E-7</v>
          </cell>
          <cell r="K772">
            <v>2.5677994931553155E-7</v>
          </cell>
          <cell r="L772">
            <v>2.6639440429556419E-7</v>
          </cell>
          <cell r="M772">
            <v>2.5565776932097997E-7</v>
          </cell>
          <cell r="O772">
            <v>1.1843183974104258E-6</v>
          </cell>
        </row>
        <row r="773">
          <cell r="A773" t="str">
            <v>T_B_u-ICENGA-S1</v>
          </cell>
          <cell r="B773" t="str">
            <v>VAR_ncap</v>
          </cell>
          <cell r="C773" t="str">
            <v>-</v>
          </cell>
          <cell r="E773">
            <v>7.7736290431317801E-7</v>
          </cell>
          <cell r="F773">
            <v>5.9771265831611E-6</v>
          </cell>
          <cell r="G773">
            <v>1.0818742812981101E-8</v>
          </cell>
          <cell r="H773">
            <v>1.03283906948891E-8</v>
          </cell>
          <cell r="I773">
            <v>1.20974681924103E-8</v>
          </cell>
          <cell r="J773">
            <v>1.23210843779969E-8</v>
          </cell>
          <cell r="K773">
            <v>1.3609568723467E-8</v>
          </cell>
          <cell r="L773">
            <v>1.41499800232774E-8</v>
          </cell>
          <cell r="M773">
            <v>1.36441852980632E-8</v>
          </cell>
          <cell r="N773">
            <v>1.28764902323612E-8</v>
          </cell>
          <cell r="O773">
            <v>1.6327176592548401E-8</v>
          </cell>
        </row>
        <row r="774">
          <cell r="A774" t="str">
            <v>T_B_u-ICENGA-S1</v>
          </cell>
          <cell r="B774" t="str">
            <v>VAR_cap</v>
          </cell>
          <cell r="C774" t="str">
            <v>-</v>
          </cell>
          <cell r="E774">
            <v>7.7736290431317801E-7</v>
          </cell>
          <cell r="F774">
            <v>6.75448948747428E-6</v>
          </cell>
          <cell r="G774">
            <v>2.4544780202920039E-8</v>
          </cell>
          <cell r="H774">
            <v>2.7253543361460163E-8</v>
          </cell>
          <cell r="I774">
            <v>2.4697761749585599E-8</v>
          </cell>
          <cell r="J774">
            <v>2.9773936717254899E-8</v>
          </cell>
          <cell r="K774">
            <v>3.00631148159017E-8</v>
          </cell>
          <cell r="L774">
            <v>3.3301703827328397E-8</v>
          </cell>
          <cell r="M774">
            <v>3.4766943461713697E-8</v>
          </cell>
          <cell r="N774">
            <v>2.9026947206252899E-8</v>
          </cell>
          <cell r="O774">
            <v>3.84116203954001E-8</v>
          </cell>
        </row>
        <row r="775">
          <cell r="A775" t="str">
            <v>T_B_u-ICENGA-S2</v>
          </cell>
          <cell r="B775" t="str">
            <v>VAR_fout</v>
          </cell>
          <cell r="C775" t="str">
            <v>CO2_T</v>
          </cell>
          <cell r="E775">
            <v>1.16141812519915E-2</v>
          </cell>
          <cell r="F775">
            <v>0.68149517360464695</v>
          </cell>
        </row>
        <row r="776">
          <cell r="A776" t="str">
            <v>T_B_u-ICENGA-S2</v>
          </cell>
          <cell r="B776" t="str">
            <v>VAR_fout</v>
          </cell>
          <cell r="C776" t="str">
            <v>TPBSu</v>
          </cell>
          <cell r="E776">
            <v>1.7503245805810658E-5</v>
          </cell>
          <cell r="F776">
            <v>1.079443906475029E-3</v>
          </cell>
        </row>
        <row r="777">
          <cell r="A777" t="str">
            <v>T_B_u-ICENGA-S2</v>
          </cell>
          <cell r="B777" t="str">
            <v>VAR_fin</v>
          </cell>
          <cell r="C777" t="str">
            <v>TNGA</v>
          </cell>
          <cell r="E777">
            <v>2.0592519950339463E-4</v>
          </cell>
          <cell r="F777">
            <v>1.2083247758947629E-2</v>
          </cell>
        </row>
        <row r="778">
          <cell r="A778" t="str">
            <v>T_B_u-ICENGA-S2</v>
          </cell>
          <cell r="B778" t="str">
            <v>VAR_ncap</v>
          </cell>
          <cell r="C778" t="str">
            <v>-</v>
          </cell>
          <cell r="E778">
            <v>4.2477657457544399E-7</v>
          </cell>
          <cell r="F778">
            <v>2.00542059982118E-5</v>
          </cell>
        </row>
        <row r="779">
          <cell r="A779" t="str">
            <v>T_B_u-ICENGA-S2</v>
          </cell>
          <cell r="B779" t="str">
            <v>VAR_cap</v>
          </cell>
          <cell r="C779" t="str">
            <v>-</v>
          </cell>
          <cell r="E779">
            <v>4.2477657457544399E-7</v>
          </cell>
          <cell r="F779">
            <v>2.0478982572787198E-5</v>
          </cell>
          <cell r="G779">
            <v>4.3232485217017317E-9</v>
          </cell>
          <cell r="H779">
            <v>2.2734835549001925E-9</v>
          </cell>
        </row>
        <row r="780">
          <cell r="A780" t="str">
            <v>T_B_c-ICEDSLEXT</v>
          </cell>
          <cell r="B780" t="str">
            <v>VAR_fout</v>
          </cell>
          <cell r="C780" t="str">
            <v>CO2_T</v>
          </cell>
          <cell r="D780">
            <v>0.44179848865367799</v>
          </cell>
          <cell r="E780">
            <v>0.44078675608173401</v>
          </cell>
          <cell r="F780">
            <v>0.43742782183943502</v>
          </cell>
        </row>
        <row r="781">
          <cell r="A781" t="str">
            <v>T_B_c-ICEDSLEXT</v>
          </cell>
          <cell r="B781" t="str">
            <v>VAR_fout</v>
          </cell>
          <cell r="C781" t="str">
            <v>TPBSc</v>
          </cell>
          <cell r="D781">
            <v>5.9972786254331813E-2</v>
          </cell>
          <cell r="E781">
            <v>4.7985782060048311E-2</v>
          </cell>
          <cell r="F781">
            <v>2.9981065615961904E-2</v>
          </cell>
        </row>
        <row r="782">
          <cell r="A782" t="str">
            <v>T_B_c-ICEDSLEXT</v>
          </cell>
          <cell r="B782" t="str">
            <v>VAR_fin</v>
          </cell>
          <cell r="C782" t="str">
            <v>TDSL</v>
          </cell>
          <cell r="D782">
            <v>6.0272645109642345E-3</v>
          </cell>
          <cell r="E782">
            <v>6.013461883789005E-3</v>
          </cell>
          <cell r="F782">
            <v>5.9676374057221638E-3</v>
          </cell>
        </row>
        <row r="783">
          <cell r="A783" t="str">
            <v>T_B_c-ICEDSLEXT</v>
          </cell>
          <cell r="B783" t="str">
            <v>VAR_cap</v>
          </cell>
          <cell r="C783" t="str">
            <v>-</v>
          </cell>
          <cell r="D783">
            <v>1.303311033585032E-3</v>
          </cell>
          <cell r="E783">
            <v>1.04265638017014E-3</v>
          </cell>
          <cell r="F783">
            <v>6.5164758361855094E-4</v>
          </cell>
        </row>
        <row r="784">
          <cell r="A784" t="str">
            <v>T_B_u-ICENGA-S3</v>
          </cell>
          <cell r="B784" t="str">
            <v>VAR_fout</v>
          </cell>
          <cell r="C784" t="str">
            <v>CO2_T</v>
          </cell>
          <cell r="E784">
            <v>1.05546147476654E-2</v>
          </cell>
          <cell r="F784">
            <v>5.3541187671256402E-2</v>
          </cell>
        </row>
        <row r="785">
          <cell r="A785" t="str">
            <v>T_B_u-ICENGA-S3</v>
          </cell>
          <cell r="B785" t="str">
            <v>VAR_fout</v>
          </cell>
          <cell r="C785" t="str">
            <v>TPBSu</v>
          </cell>
          <cell r="E785">
            <v>1.05587567717149E-5</v>
          </cell>
          <cell r="F785">
            <v>5.5691720609060242E-5</v>
          </cell>
        </row>
        <row r="786">
          <cell r="A786" t="str">
            <v>T_B_u-ICENGA-S3</v>
          </cell>
          <cell r="B786" t="str">
            <v>VAR_fin</v>
          </cell>
          <cell r="C786" t="str">
            <v>TNGA</v>
          </cell>
          <cell r="E786">
            <v>1.8713855935576998E-4</v>
          </cell>
          <cell r="F786">
            <v>9.4931183814284364E-4</v>
          </cell>
        </row>
        <row r="787">
          <cell r="A787" t="str">
            <v>T_B_u-ICENGA-S3</v>
          </cell>
          <cell r="B787" t="str">
            <v>VAR_ncap</v>
          </cell>
          <cell r="C787" t="str">
            <v>-</v>
          </cell>
          <cell r="E787">
            <v>2.44985523084357E-7</v>
          </cell>
          <cell r="F787">
            <v>8.39829265455931E-7</v>
          </cell>
        </row>
        <row r="788">
          <cell r="A788" t="str">
            <v>T_B_u-ICENGA-S3</v>
          </cell>
          <cell r="B788" t="str">
            <v>VAR_cap</v>
          </cell>
          <cell r="C788" t="str">
            <v>-</v>
          </cell>
          <cell r="E788">
            <v>2.44985523084357E-7</v>
          </cell>
          <cell r="F788">
            <v>1.08481478854029E-6</v>
          </cell>
          <cell r="G788">
            <v>2.3050551755748761E-9</v>
          </cell>
          <cell r="L788">
            <v>-1.6509028945348401E-9</v>
          </cell>
        </row>
        <row r="789">
          <cell r="A789" t="str">
            <v>T_B_u-ICENGA-S4</v>
          </cell>
          <cell r="B789" t="str">
            <v>VAR_fout</v>
          </cell>
          <cell r="C789" t="str">
            <v>CO2_T</v>
          </cell>
          <cell r="E789">
            <v>2.7014859705140502E-3</v>
          </cell>
          <cell r="F789">
            <v>1.200850746555116E-2</v>
          </cell>
        </row>
        <row r="790">
          <cell r="A790" t="str">
            <v>T_B_u-ICENGA-S4</v>
          </cell>
          <cell r="B790" t="str">
            <v>VAR_fout</v>
          </cell>
          <cell r="C790" t="str">
            <v>TPBSu</v>
          </cell>
          <cell r="E790">
            <v>1.805261186678781E-6</v>
          </cell>
          <cell r="F790">
            <v>8.3004189989508629E-6</v>
          </cell>
        </row>
        <row r="791">
          <cell r="A791" t="str">
            <v>T_B_u-ICENGA-S4</v>
          </cell>
          <cell r="B791" t="str">
            <v>VAR_fin</v>
          </cell>
          <cell r="C791" t="str">
            <v>TNGA</v>
          </cell>
          <cell r="E791">
            <v>4.7898687420461863E-5</v>
          </cell>
          <cell r="F791">
            <v>2.1291679903459503E-4</v>
          </cell>
        </row>
        <row r="792">
          <cell r="A792" t="str">
            <v>T_B_u-ICENGA-S4</v>
          </cell>
          <cell r="B792" t="str">
            <v>VAR_ncap</v>
          </cell>
          <cell r="C792" t="str">
            <v>-</v>
          </cell>
          <cell r="E792">
            <v>5.46848057106741E-8</v>
          </cell>
          <cell r="F792">
            <v>1.107662316612E-7</v>
          </cell>
        </row>
        <row r="793">
          <cell r="A793" t="str">
            <v>T_B_u-ICENGA-S4</v>
          </cell>
          <cell r="B793" t="str">
            <v>VAR_cap</v>
          </cell>
          <cell r="C793" t="str">
            <v>-</v>
          </cell>
          <cell r="E793">
            <v>5.46848057106741E-8</v>
          </cell>
          <cell r="F793">
            <v>1.6545103737187401E-7</v>
          </cell>
          <cell r="G793">
            <v>1.4386709818693936E-9</v>
          </cell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18.873146474697055</v>
          </cell>
          <cell r="C9">
            <v>22.215355081304814</v>
          </cell>
          <cell r="D9">
            <v>26.210983704458116</v>
          </cell>
          <cell r="E9">
            <v>30.732867620025775</v>
          </cell>
          <cell r="F9">
            <v>39.018633345724005</v>
          </cell>
          <cell r="G9">
            <v>42.05065508468946</v>
          </cell>
          <cell r="H9">
            <v>43.865630128963403</v>
          </cell>
          <cell r="I9">
            <v>47.289281074445086</v>
          </cell>
          <cell r="J9">
            <v>49.303527136153875</v>
          </cell>
          <cell r="K9">
            <v>52.475987213542787</v>
          </cell>
          <cell r="L9">
            <v>54.2948872396083</v>
          </cell>
          <cell r="M9">
            <v>55.741857232882978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8.8037297440942265E-4</v>
          </cell>
          <cell r="H28">
            <v>0.10047373294201802</v>
          </cell>
          <cell r="I28">
            <v>0.21514785453300361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</sheetData>
      <sheetData sheetId="56"/>
      <sheetData sheetId="57"/>
      <sheetData sheetId="58">
        <row r="14">
          <cell r="B14">
            <v>82.760005798075312</v>
          </cell>
          <cell r="C14">
            <v>83.109660595184607</v>
          </cell>
          <cell r="D14">
            <v>73.046668104287676</v>
          </cell>
          <cell r="E14">
            <v>73.071735004824745</v>
          </cell>
          <cell r="F14">
            <v>57.569503335680288</v>
          </cell>
          <cell r="G14">
            <v>33.158876230422791</v>
          </cell>
          <cell r="H14">
            <v>2.6986912728210166</v>
          </cell>
          <cell r="I14">
            <v>4.9107720963410078</v>
          </cell>
          <cell r="J14">
            <v>5.5319322954219512</v>
          </cell>
          <cell r="K14">
            <v>5.3244569629860496</v>
          </cell>
          <cell r="L14">
            <v>5.4831845964590942</v>
          </cell>
          <cell r="M14">
            <v>5.9182305094053467</v>
          </cell>
        </row>
        <row r="15">
          <cell r="B15">
            <v>66.745680000022219</v>
          </cell>
          <cell r="C15">
            <v>49.7987992616575</v>
          </cell>
          <cell r="D15">
            <v>68.526862096155028</v>
          </cell>
          <cell r="E15">
            <v>69.613958639460236</v>
          </cell>
          <cell r="F15">
            <v>70.697304527520572</v>
          </cell>
          <cell r="G15">
            <v>71.781630460397707</v>
          </cell>
          <cell r="H15">
            <v>72.865010275959506</v>
          </cell>
          <cell r="I15">
            <v>73.950114967489398</v>
          </cell>
          <cell r="J15">
            <v>73.950034467134302</v>
          </cell>
          <cell r="K15">
            <v>73.951165863516977</v>
          </cell>
          <cell r="L15">
            <v>73.951013813964806</v>
          </cell>
          <cell r="M15">
            <v>73.948738328836285</v>
          </cell>
        </row>
        <row r="16">
          <cell r="B16">
            <v>66.632400407028271</v>
          </cell>
          <cell r="C16">
            <v>55.764001579115615</v>
          </cell>
          <cell r="D16">
            <v>65.558562430748694</v>
          </cell>
          <cell r="E16">
            <v>64.478519889435219</v>
          </cell>
          <cell r="F16">
            <v>63.395197736717506</v>
          </cell>
          <cell r="G16">
            <v>62.310875791922619</v>
          </cell>
          <cell r="H16">
            <v>61.227496053006021</v>
          </cell>
          <cell r="I16">
            <v>60.142394894567914</v>
          </cell>
          <cell r="J16">
            <v>60.142479872037178</v>
          </cell>
          <cell r="K16">
            <v>60.141353371012684</v>
          </cell>
          <cell r="L16">
            <v>60.141520967362759</v>
          </cell>
          <cell r="M16">
            <v>60.143859019447433</v>
          </cell>
        </row>
        <row r="17">
          <cell r="B17">
            <v>12.841926476096717</v>
          </cell>
          <cell r="C17">
            <v>16.037625046685537</v>
          </cell>
          <cell r="D17">
            <v>6.1208107348950156</v>
          </cell>
          <cell r="E17">
            <v>12.733118888021384</v>
          </cell>
          <cell r="F17">
            <v>12.770162669698212</v>
          </cell>
          <cell r="G17">
            <v>12.800321087974408</v>
          </cell>
          <cell r="H17">
            <v>12.829907271644421</v>
          </cell>
          <cell r="I17">
            <v>12.862048783547216</v>
          </cell>
          <cell r="J17">
            <v>12.891144468545756</v>
          </cell>
          <cell r="K17">
            <v>12.927530862277287</v>
          </cell>
          <cell r="L17">
            <v>12.96640664761356</v>
          </cell>
          <cell r="M17">
            <v>13.029216437325477</v>
          </cell>
        </row>
        <row r="18">
          <cell r="B18">
            <v>3.9603134330969625E-2</v>
          </cell>
          <cell r="C18">
            <v>1.0360428128379687E-4</v>
          </cell>
          <cell r="D18">
            <v>9.708857912995441E-3</v>
          </cell>
          <cell r="E18">
            <v>4.4811538961342786E-3</v>
          </cell>
          <cell r="F18">
            <v>5.4328896720267769E-3</v>
          </cell>
          <cell r="G18">
            <v>6.9787614766485045E-3</v>
          </cell>
          <cell r="H18">
            <v>2.1778976248669344E-2</v>
          </cell>
          <cell r="I18">
            <v>4.1423459244778617E-2</v>
          </cell>
          <cell r="J18">
            <v>2.2277221610625619E-2</v>
          </cell>
          <cell r="K18">
            <v>3.8128181777556752E-2</v>
          </cell>
          <cell r="L18">
            <v>2.6465101416506463E-2</v>
          </cell>
          <cell r="M18">
            <v>5.7100895198917E-2</v>
          </cell>
        </row>
        <row r="19">
          <cell r="B19">
            <v>6.5070003240065519</v>
          </cell>
          <cell r="C19">
            <v>7.3027688545081206</v>
          </cell>
          <cell r="D19">
            <v>8.1976625740838038</v>
          </cell>
          <cell r="E19">
            <v>7.3981494654182063</v>
          </cell>
          <cell r="F19">
            <v>7.4918692978135297</v>
          </cell>
          <cell r="G19">
            <v>7.6680336810107521</v>
          </cell>
          <cell r="H19">
            <v>7.8484703195242398</v>
          </cell>
          <cell r="I19">
            <v>8.0333276156353524</v>
          </cell>
          <cell r="J19">
            <v>8.0333011282872544</v>
          </cell>
          <cell r="K19">
            <v>8.0333205907047986</v>
          </cell>
          <cell r="L19">
            <v>8.0333263419412333</v>
          </cell>
          <cell r="M19">
            <v>8.0334617339208574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0.22564623675996853</v>
          </cell>
          <cell r="H21">
            <v>5.4851372657915425</v>
          </cell>
          <cell r="I21">
            <v>9.205906914622755</v>
          </cell>
          <cell r="J21">
            <v>9.7863337712048466</v>
          </cell>
          <cell r="K21">
            <v>11.444104531880349</v>
          </cell>
          <cell r="L21">
            <v>12.074432306558872</v>
          </cell>
          <cell r="M21">
            <v>10.974587627284787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2.0071558255138126E-2</v>
          </cell>
          <cell r="G22">
            <v>6.7033204873744451E-2</v>
          </cell>
          <cell r="H22">
            <v>0.75459833163283518</v>
          </cell>
          <cell r="I22">
            <v>0.27025757452148208</v>
          </cell>
          <cell r="J22">
            <v>0.48324961564613661</v>
          </cell>
          <cell r="K22">
            <v>0.32438064410369011</v>
          </cell>
          <cell r="L22">
            <v>8.4305205170911016E-2</v>
          </cell>
          <cell r="M22">
            <v>0.2594226490544746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B24">
            <v>0.96588295682558345</v>
          </cell>
          <cell r="C24">
            <v>4.0032870713610383E-4</v>
          </cell>
          <cell r="D24">
            <v>2.1703244154201537E-2</v>
          </cell>
          <cell r="E24">
            <v>0.68207759238823662</v>
          </cell>
          <cell r="F24">
            <v>0.24084788349367856</v>
          </cell>
          <cell r="G24">
            <v>0.63314818672449613</v>
          </cell>
          <cell r="H24">
            <v>0.26436888272149656</v>
          </cell>
          <cell r="I24">
            <v>0.12064811294379214</v>
          </cell>
          <cell r="J24">
            <v>0.10997523976605154</v>
          </cell>
          <cell r="K24">
            <v>3.9037741845206447E-2</v>
          </cell>
          <cell r="L24">
            <v>1.1357192381042672E-2</v>
          </cell>
          <cell r="M24">
            <v>1.5915642827395143E-2</v>
          </cell>
        </row>
        <row r="25">
          <cell r="B25">
            <v>0.40339295109917378</v>
          </cell>
          <cell r="C25">
            <v>5.4858980042692254E-2</v>
          </cell>
          <cell r="D25">
            <v>0.68619388690396266</v>
          </cell>
          <cell r="E25">
            <v>1.0655445920971909</v>
          </cell>
          <cell r="F25">
            <v>1.2506854894181723</v>
          </cell>
          <cell r="G25">
            <v>1.288667802158652</v>
          </cell>
          <cell r="H25">
            <v>0.77666610603669162</v>
          </cell>
          <cell r="I25">
            <v>0.46970553955152516</v>
          </cell>
          <cell r="J25">
            <v>0.28399067164852099</v>
          </cell>
          <cell r="K25">
            <v>0.34777922956143026</v>
          </cell>
          <cell r="L25">
            <v>0.35081123286243493</v>
          </cell>
          <cell r="M25">
            <v>0.31262050433495003</v>
          </cell>
        </row>
        <row r="26">
          <cell r="B26">
            <v>1.5341728703272268</v>
          </cell>
          <cell r="C26">
            <v>1.4143325237059328</v>
          </cell>
          <cell r="D26">
            <v>1.3265854317246653</v>
          </cell>
          <cell r="E26">
            <v>1.4045833951222635</v>
          </cell>
          <cell r="F26">
            <v>1.3940204411019721</v>
          </cell>
          <cell r="G26">
            <v>1.3935793902431499</v>
          </cell>
          <cell r="H26">
            <v>1.3926099171157664</v>
          </cell>
          <cell r="I26">
            <v>1.3910626095513448</v>
          </cell>
          <cell r="J26">
            <v>1.3910610181747165</v>
          </cell>
          <cell r="K26">
            <v>1.3910542963094088</v>
          </cell>
          <cell r="L26">
            <v>1.391049887295936</v>
          </cell>
          <cell r="M26">
            <v>1.3910007265054116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1.803141574646544E-3</v>
          </cell>
          <cell r="C28">
            <v>7.0573866603733086E-5</v>
          </cell>
          <cell r="D28">
            <v>2.6994323470618652E-3</v>
          </cell>
          <cell r="E28">
            <v>1.8868866350573053E-3</v>
          </cell>
          <cell r="F28">
            <v>2.5235006933218276E-3</v>
          </cell>
          <cell r="G28">
            <v>2.8609273571540525E-3</v>
          </cell>
          <cell r="H28">
            <v>2.8184302247215957E-3</v>
          </cell>
          <cell r="I28">
            <v>4.3180561945554826E-3</v>
          </cell>
          <cell r="J28">
            <v>3.3668963077220166E-3</v>
          </cell>
          <cell r="K28">
            <v>4.341462478806301E-3</v>
          </cell>
          <cell r="L28">
            <v>3.2406479401013537E-3</v>
          </cell>
          <cell r="M28">
            <v>4.3418781024656987E-3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0.39559556300377602</v>
          </cell>
          <cell r="H29">
            <v>0.72283510226504977</v>
          </cell>
          <cell r="I29">
            <v>0.88158674588996222</v>
          </cell>
          <cell r="J29">
            <v>0.83052211545870491</v>
          </cell>
          <cell r="K29">
            <v>0.48566074770973477</v>
          </cell>
          <cell r="L29">
            <v>0.1246676204922739</v>
          </cell>
          <cell r="M29">
            <v>4.3853316887397062E-2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4.7327791452933272E-3</v>
          </cell>
          <cell r="H30">
            <v>4.7746892899170309E-3</v>
          </cell>
          <cell r="I30">
            <v>1.1086691684588382E-2</v>
          </cell>
          <cell r="J30">
            <v>1.1188385844782739E-2</v>
          </cell>
          <cell r="K30">
            <v>5.1033093216758127E-2</v>
          </cell>
          <cell r="L30">
            <v>5.1829128566715878E-2</v>
          </cell>
          <cell r="M30">
            <v>6.2134368358720278E-2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1.4938825984127976E-2</v>
          </cell>
          <cell r="I32">
            <v>2.3503314794420714E-2</v>
          </cell>
          <cell r="J32">
            <v>2.4709241744400725E-2</v>
          </cell>
          <cell r="K32">
            <v>2.7777486607999745E-2</v>
          </cell>
          <cell r="L32">
            <v>3.2135869677913292E-2</v>
          </cell>
          <cell r="M32">
            <v>5.7229793608533822E-2</v>
          </cell>
        </row>
        <row r="33">
          <cell r="B33">
            <v>0.52400000000000047</v>
          </cell>
          <cell r="C33">
            <v>0.54529302637759147</v>
          </cell>
          <cell r="D33">
            <v>0.50316562471114035</v>
          </cell>
          <cell r="E33">
            <v>0.56389216751934657</v>
          </cell>
          <cell r="F33">
            <v>0.56613504054168295</v>
          </cell>
          <cell r="G33">
            <v>0.56870496347360744</v>
          </cell>
          <cell r="H33">
            <v>0.58036305042839709</v>
          </cell>
          <cell r="I33">
            <v>0.58044372954834755</v>
          </cell>
          <cell r="J33">
            <v>0.58220676548390526</v>
          </cell>
          <cell r="K33">
            <v>0.5823498779490649</v>
          </cell>
          <cell r="L33">
            <v>0.58444918281009461</v>
          </cell>
          <cell r="M33">
            <v>0.59684864279550764</v>
          </cell>
        </row>
        <row r="34">
          <cell r="B34">
            <v>0</v>
          </cell>
          <cell r="C34">
            <v>0</v>
          </cell>
          <cell r="D34">
            <v>0.15618976333301607</v>
          </cell>
          <cell r="E34">
            <v>0.30237862956283768</v>
          </cell>
          <cell r="F34">
            <v>1.0553737620987678</v>
          </cell>
          <cell r="G34">
            <v>1.0612518126546735</v>
          </cell>
          <cell r="H34">
            <v>0.86710290071721363</v>
          </cell>
          <cell r="I34">
            <v>0.76190701927693305</v>
          </cell>
          <cell r="J34">
            <v>0.24222431206686859</v>
          </cell>
          <cell r="K34">
            <v>0.19785984260459472</v>
          </cell>
          <cell r="L34">
            <v>0.19971029213985989</v>
          </cell>
          <cell r="M34">
            <v>1.6653254975685723</v>
          </cell>
        </row>
        <row r="35">
          <cell r="B35">
            <v>3.517953999707534</v>
          </cell>
          <cell r="C35">
            <v>4.8486226008987279</v>
          </cell>
          <cell r="D35">
            <v>11.927072092541732</v>
          </cell>
          <cell r="E35">
            <v>14.116607143568489</v>
          </cell>
          <cell r="F35">
            <v>14.836718811243156</v>
          </cell>
          <cell r="G35">
            <v>15.59354245769409</v>
          </cell>
          <cell r="H35">
            <v>16.388974994190907</v>
          </cell>
          <cell r="I35">
            <v>17.224984168750087</v>
          </cell>
          <cell r="J35">
            <v>18.103639305753067</v>
          </cell>
          <cell r="K35">
            <v>19.027121576951131</v>
          </cell>
          <cell r="L35">
            <v>19.997727115338037</v>
          </cell>
          <cell r="M35">
            <v>21.017943069540127</v>
          </cell>
        </row>
        <row r="36">
          <cell r="B36">
            <v>2.1349390887346629</v>
          </cell>
          <cell r="C36">
            <v>3.39074895711946</v>
          </cell>
          <cell r="D36">
            <v>6.9699056392086884</v>
          </cell>
          <cell r="E36">
            <v>18.91638404044593</v>
          </cell>
          <cell r="F36">
            <v>19.881322410564309</v>
          </cell>
          <cell r="G36">
            <v>20.8954709595825</v>
          </cell>
          <cell r="H36">
            <v>21.961351828452528</v>
          </cell>
          <cell r="I36">
            <v>23.081606348898454</v>
          </cell>
          <cell r="J36">
            <v>24.259004878098594</v>
          </cell>
          <cell r="K36">
            <v>25.496470251187272</v>
          </cell>
          <cell r="L36">
            <v>26.797062210319741</v>
          </cell>
          <cell r="M36">
            <v>28.164266347371555</v>
          </cell>
        </row>
        <row r="37">
          <cell r="B37">
            <v>0.86248322578584768</v>
          </cell>
          <cell r="C37">
            <v>1.2876789795301395</v>
          </cell>
          <cell r="D37">
            <v>5.8107627371106076</v>
          </cell>
          <cell r="E37">
            <v>12.910305214125218</v>
          </cell>
          <cell r="F37">
            <v>13.568880600762526</v>
          </cell>
          <cell r="G37">
            <v>14.261031481636639</v>
          </cell>
          <cell r="H37">
            <v>14.988489641312128</v>
          </cell>
          <cell r="I37">
            <v>15.753057987260592</v>
          </cell>
          <cell r="J37">
            <v>16.556626777684759</v>
          </cell>
          <cell r="K37">
            <v>17.40119142670499</v>
          </cell>
          <cell r="L37">
            <v>18.288840912057474</v>
          </cell>
          <cell r="M37">
            <v>19.221869774791799</v>
          </cell>
        </row>
        <row r="38">
          <cell r="B38">
            <v>2.8396236857719668</v>
          </cell>
          <cell r="C38">
            <v>3.2944552945441319</v>
          </cell>
          <cell r="D38">
            <v>3.9360843650576216</v>
          </cell>
          <cell r="E38">
            <v>4.4090591128673529</v>
          </cell>
          <cell r="F38">
            <v>4.6339850440844899</v>
          </cell>
          <cell r="G38">
            <v>4.8703643768543285</v>
          </cell>
          <cell r="H38">
            <v>5.118804041763779</v>
          </cell>
          <cell r="I38">
            <v>5.3799176119421048</v>
          </cell>
          <cell r="J38">
            <v>5.6543509164856562</v>
          </cell>
          <cell r="K38">
            <v>5.9427878750057426</v>
          </cell>
          <cell r="L38">
            <v>6.2459410262808186</v>
          </cell>
          <cell r="M38">
            <v>6.5646837782631895</v>
          </cell>
        </row>
        <row r="39">
          <cell r="B39">
            <v>0.66998032210914271</v>
          </cell>
          <cell r="C39">
            <v>9.1266847754030683E-2</v>
          </cell>
          <cell r="D39">
            <v>5.8818191371725483E-2</v>
          </cell>
          <cell r="E39">
            <v>0.74228762237224644</v>
          </cell>
          <cell r="F39">
            <v>0.55884932644259977</v>
          </cell>
          <cell r="G39">
            <v>0.17022143146878352</v>
          </cell>
          <cell r="H39">
            <v>0.12042265864170826</v>
          </cell>
          <cell r="I39">
            <v>7.3336363454713588E-2</v>
          </cell>
          <cell r="J39">
            <v>4.4729225811464726E-2</v>
          </cell>
          <cell r="K39">
            <v>6.7379278640968002E-2</v>
          </cell>
          <cell r="L39">
            <v>0.11019898635368168</v>
          </cell>
          <cell r="M39">
            <v>0.11295360676061827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B41">
            <v>7.0506696955575487E-2</v>
          </cell>
          <cell r="C41">
            <v>0.17135999711245065</v>
          </cell>
          <cell r="D41">
            <v>3.0483021365038236E-3</v>
          </cell>
          <cell r="E41">
            <v>0.16516354809372127</v>
          </cell>
          <cell r="F41">
            <v>0.16359068805493493</v>
          </cell>
          <cell r="G41">
            <v>2.1198736010250831E-2</v>
          </cell>
          <cell r="H41">
            <v>2.4329572586778644E-2</v>
          </cell>
          <cell r="I41">
            <v>2.8854919761296317E-2</v>
          </cell>
          <cell r="J41">
            <v>2.7164892568203914E-2</v>
          </cell>
          <cell r="K41">
            <v>2.7986772436282305E-2</v>
          </cell>
          <cell r="L41">
            <v>2.7549581102389767E-2</v>
          </cell>
          <cell r="M41">
            <v>2.8389036021391995E-2</v>
          </cell>
        </row>
        <row r="42">
          <cell r="B42">
            <v>0.17269199049731196</v>
          </cell>
          <cell r="C42">
            <v>0.52122036619054346</v>
          </cell>
          <cell r="D42">
            <v>1.1583934462716263</v>
          </cell>
          <cell r="E42">
            <v>1.9728371813481045</v>
          </cell>
          <cell r="F42">
            <v>2.5917204110152712</v>
          </cell>
          <cell r="G42">
            <v>3.228447781494411</v>
          </cell>
          <cell r="H42">
            <v>4.405116817577249</v>
          </cell>
          <cell r="I42">
            <v>5.3529517571019252</v>
          </cell>
          <cell r="J42">
            <v>5.5453384185409194</v>
          </cell>
          <cell r="K42">
            <v>5.4764587815022798</v>
          </cell>
          <cell r="L42">
            <v>5.4765239148198708</v>
          </cell>
          <cell r="M42">
            <v>5.4672797639150588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0.23005108177801603</v>
          </cell>
          <cell r="C44">
            <v>0.23015920821970107</v>
          </cell>
          <cell r="D44">
            <v>0.33671027806550829</v>
          </cell>
          <cell r="E44">
            <v>0.33294802673439294</v>
          </cell>
          <cell r="F44">
            <v>0.3291893884353923</v>
          </cell>
          <cell r="G44">
            <v>0.32752728783397744</v>
          </cell>
          <cell r="H44">
            <v>0.32586597960914537</v>
          </cell>
          <cell r="I44">
            <v>0.3242090969954205</v>
          </cell>
          <cell r="J44">
            <v>0.32420435538443976</v>
          </cell>
          <cell r="K44">
            <v>0.32420888593535296</v>
          </cell>
          <cell r="L44">
            <v>0.32420624712160295</v>
          </cell>
          <cell r="M44">
            <v>0.32422017755861182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4.8566400825238165E-3</v>
          </cell>
          <cell r="F46">
            <v>1.4629301184321451E-2</v>
          </cell>
          <cell r="G46">
            <v>2.4231563976985074E-2</v>
          </cell>
          <cell r="H46">
            <v>2.3782016425570061E-2</v>
          </cell>
          <cell r="I46">
            <v>6.2528366509615088E-2</v>
          </cell>
          <cell r="J46">
            <v>5.6189356427558623E-2</v>
          </cell>
          <cell r="K46">
            <v>0.14811573889567822</v>
          </cell>
          <cell r="L46">
            <v>0.14256289448621584</v>
          </cell>
          <cell r="M46">
            <v>0.18302244024823439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3.8149692567829609E-3</v>
          </cell>
          <cell r="F47">
            <v>5.169638541081845E-3</v>
          </cell>
          <cell r="G47">
            <v>8.8321689173690137E-3</v>
          </cell>
          <cell r="H47">
            <v>1.547850855152005E-2</v>
          </cell>
          <cell r="I47">
            <v>2.4470627561742498E-2</v>
          </cell>
          <cell r="J47">
            <v>2.1539924257900613E-2</v>
          </cell>
          <cell r="K47">
            <v>3.1421032151813848E-2</v>
          </cell>
          <cell r="L47">
            <v>3.3531238777639978E-2</v>
          </cell>
          <cell r="M47">
            <v>5.5263046322483231E-2</v>
          </cell>
        </row>
        <row r="48">
          <cell r="B48">
            <v>1.7311436794303813E-2</v>
          </cell>
          <cell r="C48">
            <v>4.1753222851694111E-3</v>
          </cell>
          <cell r="D48">
            <v>1.7068346615737418E-2</v>
          </cell>
          <cell r="E48">
            <v>1.5161723021301894E-2</v>
          </cell>
          <cell r="F48">
            <v>3.3674943423247519E-2</v>
          </cell>
          <cell r="G48">
            <v>3.4203453803002007E-2</v>
          </cell>
          <cell r="H48">
            <v>3.9424194468780718E-2</v>
          </cell>
          <cell r="I48">
            <v>5.385345001020115E-2</v>
          </cell>
          <cell r="J48">
            <v>4.6519884895529218E-2</v>
          </cell>
          <cell r="K48">
            <v>5.056208821390655E-2</v>
          </cell>
          <cell r="L48">
            <v>0.16856884277853831</v>
          </cell>
          <cell r="M48">
            <v>0.16516486821597007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7.3737533019802698E-4</v>
          </cell>
          <cell r="F49">
            <v>2.607126760357677E-3</v>
          </cell>
          <cell r="G49">
            <v>2.6485718221919427E-3</v>
          </cell>
          <cell r="H49">
            <v>2.7987157914121956E-3</v>
          </cell>
          <cell r="I49">
            <v>6.6644698453375319E-3</v>
          </cell>
          <cell r="J49">
            <v>5.405112230415364E-3</v>
          </cell>
          <cell r="K49">
            <v>8.5752261726224459E-3</v>
          </cell>
          <cell r="L49">
            <v>8.2435163926668463E-3</v>
          </cell>
          <cell r="M49">
            <v>1.5022531791102318E-2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3.720179436576823E-3</v>
          </cell>
          <cell r="F50">
            <v>7.2092678398944059E-3</v>
          </cell>
          <cell r="G50">
            <v>7.3192264818403808E-3</v>
          </cell>
          <cell r="H50">
            <v>7.89359491409709E-3</v>
          </cell>
          <cell r="I50">
            <v>1.5830184520586488E-2</v>
          </cell>
          <cell r="J50">
            <v>1.4739629590230403E-2</v>
          </cell>
          <cell r="K50">
            <v>1.8864183154015519E-2</v>
          </cell>
          <cell r="L50">
            <v>1.380539282528143E-2</v>
          </cell>
          <cell r="M50">
            <v>2.3881576973059919E-2</v>
          </cell>
        </row>
        <row r="51">
          <cell r="B51">
            <v>2.8296227147672673E-2</v>
          </cell>
          <cell r="C51">
            <v>2.5404224509845568E-2</v>
          </cell>
          <cell r="D51">
            <v>0.12596843272263056</v>
          </cell>
          <cell r="E51">
            <v>0.62660383642723982</v>
          </cell>
          <cell r="F51">
            <v>0.66985107858308224</v>
          </cell>
          <cell r="G51">
            <v>0.75097436487679436</v>
          </cell>
          <cell r="H51">
            <v>0.74058065482243995</v>
          </cell>
          <cell r="I51">
            <v>0.72724786123152918</v>
          </cell>
          <cell r="J51">
            <v>0.70977450937552244</v>
          </cell>
          <cell r="K51">
            <v>0.68787460667437528</v>
          </cell>
          <cell r="L51">
            <v>0.60266387949739353</v>
          </cell>
          <cell r="M51">
            <v>0.54076318199083417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3.1310704454395105E-3</v>
          </cell>
          <cell r="F52">
            <v>1.23032707122302E-2</v>
          </cell>
          <cell r="G52">
            <v>1.2565816536735913E-2</v>
          </cell>
          <cell r="H52">
            <v>1.4130709338458659E-2</v>
          </cell>
          <cell r="I52">
            <v>3.8101453745280942E-2</v>
          </cell>
          <cell r="J52">
            <v>3.336984531927973E-2</v>
          </cell>
          <cell r="K52">
            <v>6.5113279062824769E-2</v>
          </cell>
          <cell r="L52">
            <v>6.3269036603922052E-2</v>
          </cell>
          <cell r="M52">
            <v>0.11380778678839634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9.6367707948283553E-3</v>
          </cell>
          <cell r="F53">
            <v>1.2264123957807828E-2</v>
          </cell>
          <cell r="G53">
            <v>1.1285576342583103E-2</v>
          </cell>
          <cell r="H53">
            <v>1.3697900201202356E-2</v>
          </cell>
          <cell r="I53">
            <v>3.0057310445430575E-2</v>
          </cell>
          <cell r="J53">
            <v>2.8152489024036876E-2</v>
          </cell>
          <cell r="K53">
            <v>2.5255812122062592E-2</v>
          </cell>
          <cell r="L53">
            <v>2.6809564896671668E-2</v>
          </cell>
          <cell r="M53">
            <v>4.584506773461567E-2</v>
          </cell>
        </row>
        <row r="54">
          <cell r="B54">
            <v>0.95937142062843517</v>
          </cell>
          <cell r="C54">
            <v>1.1061197708492967</v>
          </cell>
          <cell r="D54">
            <v>1.1061202942024164</v>
          </cell>
          <cell r="E54">
            <v>1.1061184455650488</v>
          </cell>
          <cell r="F54">
            <v>1.1061191710409983</v>
          </cell>
          <cell r="G54">
            <v>1.1061209391546785</v>
          </cell>
          <cell r="H54">
            <v>1.1061269760134509</v>
          </cell>
          <cell r="I54">
            <v>1.1061420325186193</v>
          </cell>
          <cell r="J54">
            <v>1.1061518890338238</v>
          </cell>
          <cell r="K54">
            <v>1.1061800074934498</v>
          </cell>
          <cell r="L54">
            <v>1.1062134962771784</v>
          </cell>
          <cell r="M54">
            <v>1.1425432066680894</v>
          </cell>
        </row>
        <row r="55">
          <cell r="B55">
            <v>0.59442730529032106</v>
          </cell>
          <cell r="C55">
            <v>0.6259127368918731</v>
          </cell>
          <cell r="D55">
            <v>0.52889980646974999</v>
          </cell>
          <cell r="E55">
            <v>2.2379538137678892</v>
          </cell>
          <cell r="F55">
            <v>4.00715465500409</v>
          </cell>
          <cell r="G55">
            <v>3.8250165384616261</v>
          </cell>
          <cell r="H55">
            <v>3.739977519756216</v>
          </cell>
          <cell r="I55">
            <v>2.64402224484712</v>
          </cell>
          <cell r="J55">
            <v>2.6441483258475529</v>
          </cell>
          <cell r="K55">
            <v>2.7031174669823086</v>
          </cell>
          <cell r="L55">
            <v>2.9429158148231362</v>
          </cell>
          <cell r="M55">
            <v>3.1140321314270669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1.0626669483631619E-2</v>
          </cell>
          <cell r="F56">
            <v>8.1675241732325713E-3</v>
          </cell>
          <cell r="G56">
            <v>6.5730460082648514E-3</v>
          </cell>
          <cell r="H56">
            <v>1.1144298916709183E-2</v>
          </cell>
          <cell r="I56">
            <v>1.5700070972418143E-2</v>
          </cell>
          <cell r="J56">
            <v>1.4319220594239785E-2</v>
          </cell>
          <cell r="K56">
            <v>1.8309224323175801E-2</v>
          </cell>
          <cell r="L56">
            <v>1.8756560337101182E-2</v>
          </cell>
          <cell r="M56">
            <v>3.7236995813218626E-2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3.2495313665129792E-3</v>
          </cell>
          <cell r="F57">
            <v>7.8258616140021858E-3</v>
          </cell>
          <cell r="G57">
            <v>8.7991059489721975E-3</v>
          </cell>
          <cell r="H57">
            <v>1.0918149462690633E-2</v>
          </cell>
          <cell r="I57">
            <v>2.6196335338277532E-2</v>
          </cell>
          <cell r="J57">
            <v>2.4337695094511957E-2</v>
          </cell>
          <cell r="K57">
            <v>5.5263911468519597E-2</v>
          </cell>
          <cell r="L57">
            <v>4.2605351657326401E-2</v>
          </cell>
          <cell r="M57">
            <v>7.5838329463297174E-2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4.1608024903605108E-3</v>
          </cell>
          <cell r="F58">
            <v>1.2775076391886197E-2</v>
          </cell>
          <cell r="G58">
            <v>1.2400392840036805E-2</v>
          </cell>
          <cell r="H58">
            <v>9.2257753439436655E-3</v>
          </cell>
          <cell r="I58">
            <v>2.177277005515919E-2</v>
          </cell>
          <cell r="J58">
            <v>2.2023025752343172E-2</v>
          </cell>
          <cell r="K58">
            <v>4.5426104567490778E-2</v>
          </cell>
          <cell r="L58">
            <v>3.4833711750090271E-2</v>
          </cell>
          <cell r="M58">
            <v>7.5068190413372399E-2</v>
          </cell>
        </row>
        <row r="70">
          <cell r="B70">
            <v>9.4650584105559751E-2</v>
          </cell>
          <cell r="C70">
            <v>1.2392244792462922E-2</v>
          </cell>
          <cell r="D70">
            <v>9.4229072449902931E-2</v>
          </cell>
          <cell r="E70">
            <v>4.6160741550133208E-2</v>
          </cell>
          <cell r="F70">
            <v>4.2927642888613206E-2</v>
          </cell>
          <cell r="G70">
            <v>3.8379101319349719E-2</v>
          </cell>
          <cell r="H70">
            <v>8.28229741354926E-3</v>
          </cell>
          <cell r="I70">
            <v>3.172324400779529E-2</v>
          </cell>
          <cell r="J70">
            <v>7.5984337970941743E-2</v>
          </cell>
          <cell r="K70">
            <v>9.4189536708737379E-2</v>
          </cell>
          <cell r="L70">
            <v>9.4281591610153981E-2</v>
          </cell>
          <cell r="M70">
            <v>9.4267876819352545E-2</v>
          </cell>
        </row>
        <row r="71">
          <cell r="B71">
            <v>9.2475116178565801E-3</v>
          </cell>
          <cell r="C71">
            <v>7.5133922283555608E-3</v>
          </cell>
          <cell r="D71">
            <v>8.9306646055141662E-3</v>
          </cell>
          <cell r="E71">
            <v>8.3842168271776405E-3</v>
          </cell>
          <cell r="F71">
            <v>2.0099160391847535E-2</v>
          </cell>
          <cell r="G71">
            <v>0.16093455318785424</v>
          </cell>
          <cell r="H71">
            <v>0.18922064904932101</v>
          </cell>
          <cell r="I71">
            <v>0.29696083430342834</v>
          </cell>
          <cell r="J71">
            <v>0.30143325532277693</v>
          </cell>
          <cell r="K71">
            <v>0.37969788056131859</v>
          </cell>
          <cell r="L71">
            <v>0.38294499080408045</v>
          </cell>
          <cell r="M71">
            <v>0.41364545537847713</v>
          </cell>
        </row>
        <row r="72">
          <cell r="B72">
            <v>8.4912144153567529E-3</v>
          </cell>
          <cell r="C72">
            <v>6.8823461636031173E-3</v>
          </cell>
          <cell r="D72">
            <v>7.9147958387957539E-3</v>
          </cell>
          <cell r="E72">
            <v>8.0214073304272094E-3</v>
          </cell>
          <cell r="F72">
            <v>1.9863148019189165E-2</v>
          </cell>
          <cell r="G72">
            <v>8.229237439876369E-2</v>
          </cell>
          <cell r="H72">
            <v>0.39779395183490629</v>
          </cell>
          <cell r="I72">
            <v>0.77236481460421491</v>
          </cell>
          <cell r="J72">
            <v>1.2321347535007616</v>
          </cell>
          <cell r="K72">
            <v>1.7320585280458398</v>
          </cell>
          <cell r="L72">
            <v>1.9853230453095636</v>
          </cell>
          <cell r="M72">
            <v>2.3633095914704354</v>
          </cell>
        </row>
        <row r="73">
          <cell r="B73">
            <v>2.7528902008559348E-3</v>
          </cell>
          <cell r="C73">
            <v>2.7373899675858099E-3</v>
          </cell>
          <cell r="D73">
            <v>2.7297019580452887E-3</v>
          </cell>
          <cell r="E73">
            <v>4.6674425248688867E-2</v>
          </cell>
          <cell r="F73">
            <v>6.5301730694296845E-2</v>
          </cell>
          <cell r="G73">
            <v>6.9367600039078103E-2</v>
          </cell>
          <cell r="H73">
            <v>7.3076971306905422E-2</v>
          </cell>
          <cell r="I73">
            <v>8.7718912334976085E-2</v>
          </cell>
          <cell r="J73">
            <v>8.6917097297787044E-2</v>
          </cell>
          <cell r="K73">
            <v>0.10275633990815933</v>
          </cell>
          <cell r="L73">
            <v>0.12868138756933936</v>
          </cell>
          <cell r="M73">
            <v>0.12264296067857501</v>
          </cell>
        </row>
        <row r="74">
          <cell r="B74">
            <v>5.5235869520659691E-3</v>
          </cell>
          <cell r="C74">
            <v>5.4902265369076381E-3</v>
          </cell>
          <cell r="D74">
            <v>5.4796403787024306E-3</v>
          </cell>
          <cell r="E74">
            <v>7.847522782752453E-2</v>
          </cell>
          <cell r="F74">
            <v>0.10751802688733586</v>
          </cell>
          <cell r="G74">
            <v>0.11145996347003106</v>
          </cell>
          <cell r="H74">
            <v>0.12491480738097815</v>
          </cell>
          <cell r="I74">
            <v>0.13435831521982156</v>
          </cell>
          <cell r="J74">
            <v>0.14264803506018467</v>
          </cell>
          <cell r="K74">
            <v>0.14623790097950345</v>
          </cell>
          <cell r="L74">
            <v>0.14570636934611769</v>
          </cell>
          <cell r="M74">
            <v>0.15898414288068408</v>
          </cell>
        </row>
        <row r="75">
          <cell r="B75">
            <v>5.521340885550432E-3</v>
          </cell>
          <cell r="C75">
            <v>5.4873995043054017E-3</v>
          </cell>
          <cell r="D75">
            <v>5.4732063787036626E-3</v>
          </cell>
          <cell r="E75">
            <v>7.8217041575353613E-2</v>
          </cell>
          <cell r="F75">
            <v>0.10834850873946791</v>
          </cell>
          <cell r="G75">
            <v>0.11955615767130481</v>
          </cell>
          <cell r="H75">
            <v>0.12769786172385209</v>
          </cell>
          <cell r="I75">
            <v>0.13431911316456357</v>
          </cell>
          <cell r="J75">
            <v>0.14257032976295017</v>
          </cell>
          <cell r="K75">
            <v>0.14618343250666874</v>
          </cell>
          <cell r="L75">
            <v>0.14563276176375675</v>
          </cell>
          <cell r="M75">
            <v>0.15896060869857051</v>
          </cell>
        </row>
        <row r="76">
          <cell r="B76">
            <v>2.7614962053215159E-3</v>
          </cell>
          <cell r="C76">
            <v>2.7456883885230844E-3</v>
          </cell>
          <cell r="D76">
            <v>2.7354930070155672E-3</v>
          </cell>
          <cell r="E76">
            <v>5.4323436183451618E-2</v>
          </cell>
          <cell r="F76">
            <v>7.1620335491518083E-2</v>
          </cell>
          <cell r="G76">
            <v>7.9845101278625777E-2</v>
          </cell>
          <cell r="H76">
            <v>8.3463514650334664E-2</v>
          </cell>
          <cell r="I76">
            <v>9.0596469617543418E-2</v>
          </cell>
          <cell r="J76">
            <v>9.2932600460069709E-2</v>
          </cell>
          <cell r="K76">
            <v>9.6578410674642373E-2</v>
          </cell>
          <cell r="L76">
            <v>9.6256817998285116E-2</v>
          </cell>
          <cell r="M76">
            <v>0.10655836436633587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7.4831702824800926E-4</v>
          </cell>
          <cell r="H90">
            <v>7.4932575732333502E-4</v>
          </cell>
          <cell r="I90">
            <v>7.5171131416585854E-4</v>
          </cell>
          <cell r="J90">
            <v>7.5369934859225156E-4</v>
          </cell>
          <cell r="K90">
            <v>7.6239150932650844E-4</v>
          </cell>
          <cell r="L90">
            <v>7.7241484487761722E-4</v>
          </cell>
          <cell r="M90">
            <v>1.2540586757928836E-3</v>
          </cell>
        </row>
        <row r="91">
          <cell r="B91">
            <v>1.8035553414014855</v>
          </cell>
          <cell r="C91">
            <v>7.6925361495522987E-4</v>
          </cell>
          <cell r="D91">
            <v>4.3471517247776599E-2</v>
          </cell>
          <cell r="E91">
            <v>1.4587810351825519</v>
          </cell>
          <cell r="F91">
            <v>0.51233962341150485</v>
          </cell>
          <cell r="G91">
            <v>1.3395735770984321</v>
          </cell>
          <cell r="H91">
            <v>0.55635923079605909</v>
          </cell>
          <cell r="I91">
            <v>0.25254387129897576</v>
          </cell>
          <cell r="J91">
            <v>0.23020312643009128</v>
          </cell>
          <cell r="K91">
            <v>8.171485000309521E-2</v>
          </cell>
          <cell r="L91">
            <v>2.3773180209888469E-2</v>
          </cell>
          <cell r="M91">
            <v>3.3315051149740836E-2</v>
          </cell>
        </row>
        <row r="92">
          <cell r="B92">
            <v>1.2837163229072102</v>
          </cell>
          <cell r="C92">
            <v>0.39202464565385253</v>
          </cell>
          <cell r="D92">
            <v>2.0400886638930391</v>
          </cell>
          <cell r="E92">
            <v>2.7869904929285063</v>
          </cell>
          <cell r="F92">
            <v>3.2711027956271632</v>
          </cell>
          <cell r="G92">
            <v>3.370934911237268</v>
          </cell>
          <cell r="H92">
            <v>2.0322137625678147</v>
          </cell>
          <cell r="I92">
            <v>1.2434400824613376</v>
          </cell>
          <cell r="J92">
            <v>0.85242990234637017</v>
          </cell>
          <cell r="K92">
            <v>1.0809110898573553</v>
          </cell>
          <cell r="L92">
            <v>1.4406102278845965</v>
          </cell>
          <cell r="M92">
            <v>1.4239567781968794</v>
          </cell>
        </row>
        <row r="93">
          <cell r="B93">
            <v>14.326464682601873</v>
          </cell>
          <cell r="C93">
            <v>13.051650355319127</v>
          </cell>
          <cell r="D93">
            <v>12.149473471988973</v>
          </cell>
          <cell r="E93">
            <v>12.779629735421334</v>
          </cell>
          <cell r="F93">
            <v>12.34293916380026</v>
          </cell>
          <cell r="G93">
            <v>12.034785888990461</v>
          </cell>
          <cell r="H93">
            <v>11.72005509538681</v>
          </cell>
          <cell r="I93">
            <v>11.399037741212208</v>
          </cell>
          <cell r="J93">
            <v>11.399056887241155</v>
          </cell>
          <cell r="K93">
            <v>11.399047441673835</v>
          </cell>
          <cell r="L93">
            <v>11.399026711782131</v>
          </cell>
          <cell r="M93">
            <v>11.398883741466665</v>
          </cell>
        </row>
        <row r="94">
          <cell r="B94">
            <v>9.2732995267536481E-3</v>
          </cell>
          <cell r="C94">
            <v>3.6295131396205571E-4</v>
          </cell>
          <cell r="D94">
            <v>1.3882794927746725E-2</v>
          </cell>
          <cell r="E94">
            <v>9.7039884088661373E-3</v>
          </cell>
          <cell r="F94">
            <v>1.297800356565511E-2</v>
          </cell>
          <cell r="G94">
            <v>1.4713340693935116E-2</v>
          </cell>
          <cell r="H94">
            <v>1.4494784012853921E-2</v>
          </cell>
          <cell r="I94">
            <v>2.220714614342818E-2</v>
          </cell>
          <cell r="J94">
            <v>1.7315466725427487E-2</v>
          </cell>
          <cell r="K94">
            <v>2.2327521319575216E-2</v>
          </cell>
          <cell r="L94">
            <v>1.666618940623554E-2</v>
          </cell>
          <cell r="M94">
            <v>2.2329658812680724E-2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0.5043843428298147</v>
          </cell>
          <cell r="H95">
            <v>0.93968563294456486</v>
          </cell>
          <cell r="I95">
            <v>1.1681024383042</v>
          </cell>
          <cell r="J95">
            <v>1.1004418029827847</v>
          </cell>
          <cell r="K95">
            <v>0.64350049071539916</v>
          </cell>
          <cell r="L95">
            <v>0.165184597152263</v>
          </cell>
          <cell r="M95">
            <v>5.8105644875801145E-2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5.7469461049990175E-3</v>
          </cell>
          <cell r="H96">
            <v>5.9115200732305926E-3</v>
          </cell>
          <cell r="I96">
            <v>1.3990349030551991E-2</v>
          </cell>
          <cell r="J96">
            <v>1.4118677375559148E-2</v>
          </cell>
          <cell r="K96">
            <v>6.4398903344956585E-2</v>
          </cell>
          <cell r="L96">
            <v>6.5403424143712766E-2</v>
          </cell>
          <cell r="M96">
            <v>7.8407655309813556E-2</v>
          </cell>
        </row>
        <row r="97">
          <cell r="B97">
            <v>1.7329118779207788</v>
          </cell>
          <cell r="C97">
            <v>1.9784321402393805</v>
          </cell>
          <cell r="D97">
            <v>1.5835910214220736</v>
          </cell>
          <cell r="E97">
            <v>0.53469218505794436</v>
          </cell>
          <cell r="F97">
            <v>1.5141954206369315</v>
          </cell>
          <cell r="G97">
            <v>1.5499012718325678</v>
          </cell>
          <cell r="H97">
            <v>4.3257277769871228E-3</v>
          </cell>
          <cell r="I97">
            <v>1.35848036854068E-2</v>
          </cell>
          <cell r="J97">
            <v>1.0038426972969387E-2</v>
          </cell>
          <cell r="K97">
            <v>1.2806661532994321E-2</v>
          </cell>
          <cell r="L97">
            <v>3.0558547236582854E-3</v>
          </cell>
          <cell r="M97">
            <v>4.7466699813762184E-3</v>
          </cell>
        </row>
        <row r="98">
          <cell r="B98">
            <v>0.90177656910431103</v>
          </cell>
          <cell r="C98">
            <v>1.5138624994385568</v>
          </cell>
          <cell r="D98">
            <v>1.5138634064196617</v>
          </cell>
          <cell r="E98">
            <v>1.5138633802338493</v>
          </cell>
          <cell r="F98">
            <v>1.5138668427160322</v>
          </cell>
          <cell r="G98">
            <v>1.5138719239107019</v>
          </cell>
          <cell r="H98">
            <v>1.5138775511492033</v>
          </cell>
          <cell r="I98">
            <v>1.5138865942755915</v>
          </cell>
          <cell r="J98">
            <v>1.5138933279044096</v>
          </cell>
          <cell r="K98">
            <v>1.5139100229908888</v>
          </cell>
          <cell r="L98">
            <v>1.5139280048632533</v>
          </cell>
          <cell r="M98">
            <v>1.5140160256846191</v>
          </cell>
        </row>
        <row r="99">
          <cell r="B99">
            <v>2.9000664718865621</v>
          </cell>
          <cell r="C99">
            <v>7.603676744897709</v>
          </cell>
          <cell r="D99">
            <v>7.5989401252884203</v>
          </cell>
          <cell r="E99">
            <v>2.299264066438151</v>
          </cell>
          <cell r="F99">
            <v>1.4054179611657838</v>
          </cell>
          <cell r="G99">
            <v>0</v>
          </cell>
          <cell r="H99">
            <v>5.4757596986347385</v>
          </cell>
          <cell r="I99">
            <v>9.3349909344282818</v>
          </cell>
          <cell r="J99">
            <v>9.3353334601893128</v>
          </cell>
          <cell r="K99">
            <v>9.3354702697572591</v>
          </cell>
          <cell r="L99">
            <v>9.3346420894308331</v>
          </cell>
          <cell r="M99">
            <v>8.1584741919960102</v>
          </cell>
        </row>
        <row r="100">
          <cell r="B100">
            <v>0.18408846093124132</v>
          </cell>
          <cell r="C100">
            <v>0.18580595205516853</v>
          </cell>
          <cell r="D100">
            <v>3.6282123923757816E-3</v>
          </cell>
          <cell r="E100">
            <v>3.6094334045338266E-3</v>
          </cell>
          <cell r="F100">
            <v>2.9698784268752535E-3</v>
          </cell>
          <cell r="G100">
            <v>2.6293849679437098E-3</v>
          </cell>
          <cell r="H100">
            <v>2.6651718360870534E-3</v>
          </cell>
          <cell r="I100">
            <v>1.168082491565125E-3</v>
          </cell>
          <cell r="J100">
            <v>2.1077645958373519E-3</v>
          </cell>
          <cell r="K100">
            <v>1.1312981502597378E-3</v>
          </cell>
          <cell r="L100">
            <v>2.2186312784331402E-3</v>
          </cell>
          <cell r="M100">
            <v>1.1241261343010642E-3</v>
          </cell>
        </row>
        <row r="101">
          <cell r="B101">
            <v>1.3666093497075225</v>
          </cell>
          <cell r="C101">
            <v>1.2333625271226043</v>
          </cell>
          <cell r="D101">
            <v>1.0574640706360943</v>
          </cell>
          <cell r="E101">
            <v>0.81826870872943913</v>
          </cell>
          <cell r="F101">
            <v>0.68775047275913204</v>
          </cell>
          <cell r="G101">
            <v>0.53229966903497139</v>
          </cell>
          <cell r="H101">
            <v>0.41188910708057624</v>
          </cell>
          <cell r="I101">
            <v>0.31872786691897342</v>
          </cell>
          <cell r="J101">
            <v>0.24666658591098925</v>
          </cell>
          <cell r="K101">
            <v>0.19092487177836001</v>
          </cell>
          <cell r="L101">
            <v>0.14778721316502694</v>
          </cell>
          <cell r="M101">
            <v>0.11453400102077894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1.244240645279912E-4</v>
          </cell>
          <cell r="F102">
            <v>1.8065828681974901E-4</v>
          </cell>
          <cell r="G102">
            <v>1.9065013702174974E-4</v>
          </cell>
          <cell r="H102">
            <v>1.953893192596005E-4</v>
          </cell>
          <cell r="I102">
            <v>2.0691519266394139E-4</v>
          </cell>
          <cell r="J102">
            <v>2.1125114118433007E-4</v>
          </cell>
          <cell r="K102">
            <v>2.4267664036462785E-4</v>
          </cell>
          <cell r="L102">
            <v>2.6149621937849839E-4</v>
          </cell>
          <cell r="M102">
            <v>4.4118592746730302E-4</v>
          </cell>
        </row>
        <row r="103">
          <cell r="F103">
            <v>0.9095224686544946</v>
          </cell>
          <cell r="G103">
            <v>0.19279417155459841</v>
          </cell>
          <cell r="H103">
            <v>0.13474520310264684</v>
          </cell>
          <cell r="I103">
            <v>8.1055980660473079E-2</v>
          </cell>
          <cell r="J103">
            <v>4.94375653705664E-2</v>
          </cell>
          <cell r="K103">
            <v>7.4471834287385866E-2</v>
          </cell>
          <cell r="L103">
            <v>0.12179887965406964</v>
          </cell>
          <cell r="M103">
            <v>0.12484346010384159</v>
          </cell>
        </row>
        <row r="104">
          <cell r="B104">
            <v>0.92940645986895043</v>
          </cell>
          <cell r="C104">
            <v>2.070938405665474</v>
          </cell>
          <cell r="D104">
            <v>3.1825931444956441E-2</v>
          </cell>
          <cell r="E104">
            <v>1.2716385977451705</v>
          </cell>
          <cell r="F104">
            <v>0.81108173455037502</v>
          </cell>
          <cell r="G104">
            <v>4.6991661308867429E-2</v>
          </cell>
          <cell r="H104">
            <v>5.3931849249623243E-2</v>
          </cell>
          <cell r="I104">
            <v>6.3963276671859429E-2</v>
          </cell>
          <cell r="J104">
            <v>6.0216959654553613E-2</v>
          </cell>
          <cell r="K104">
            <v>6.2038837165488324E-2</v>
          </cell>
          <cell r="L104">
            <v>6.1069706407903691E-2</v>
          </cell>
          <cell r="M104">
            <v>6.293054288507581E-2</v>
          </cell>
        </row>
        <row r="105">
          <cell r="B105">
            <v>0.66044813026674132</v>
          </cell>
          <cell r="C105">
            <v>1.8152122309921928</v>
          </cell>
          <cell r="D105">
            <v>3.4403201586048295</v>
          </cell>
          <cell r="E105">
            <v>4.1733094220825375</v>
          </cell>
          <cell r="F105">
            <v>5.4824854848400051</v>
          </cell>
          <cell r="G105">
            <v>6.8294087685458775</v>
          </cell>
          <cell r="H105">
            <v>9.3185163448749631</v>
          </cell>
          <cell r="I105">
            <v>11.323551793869488</v>
          </cell>
          <cell r="J105">
            <v>11.730523577682733</v>
          </cell>
          <cell r="K105">
            <v>11.584816653177928</v>
          </cell>
          <cell r="L105">
            <v>11.584954435195908</v>
          </cell>
          <cell r="M105">
            <v>11.565399500589573</v>
          </cell>
        </row>
        <row r="106">
          <cell r="B106">
            <v>1.9348727378798576</v>
          </cell>
          <cell r="C106">
            <v>1.8587804687164697</v>
          </cell>
          <cell r="D106">
            <v>2.5503198741922724</v>
          </cell>
          <cell r="E106">
            <v>2.2433473932518968</v>
          </cell>
          <cell r="F106">
            <v>1.9426896969541281</v>
          </cell>
          <cell r="G106">
            <v>1.6589384644381573</v>
          </cell>
          <cell r="H106">
            <v>1.3779709305886723</v>
          </cell>
          <cell r="I106">
            <v>1.0997974320142716</v>
          </cell>
          <cell r="J106">
            <v>1.0997813472972522</v>
          </cell>
          <cell r="K106">
            <v>1.0997967160463289</v>
          </cell>
          <cell r="L106">
            <v>1.0997877645375256</v>
          </cell>
          <cell r="M106">
            <v>1.0998350200247728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1.9074846283914813E-3</v>
          </cell>
          <cell r="F107">
            <v>2.4543926101007825E-3</v>
          </cell>
          <cell r="G107">
            <v>3.9704245591842364E-3</v>
          </cell>
          <cell r="H107">
            <v>6.6019712959163313E-3</v>
          </cell>
          <cell r="I107">
            <v>9.87411287579084E-3</v>
          </cell>
          <cell r="J107">
            <v>8.6915483847669166E-3</v>
          </cell>
          <cell r="K107">
            <v>1.2678662096345933E-2</v>
          </cell>
          <cell r="L107">
            <v>1.3530148980451231E-2</v>
          </cell>
          <cell r="M107">
            <v>2.2299123954686213E-2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3.6302158192602282E-3</v>
          </cell>
          <cell r="F108">
            <v>9.8563069595377847E-3</v>
          </cell>
          <cell r="G108">
            <v>1.4538938386191051E-2</v>
          </cell>
          <cell r="H108">
            <v>1.3080109034063526E-2</v>
          </cell>
          <cell r="I108">
            <v>3.1264183254807537E-2</v>
          </cell>
          <cell r="J108">
            <v>2.8094678213779315E-2</v>
          </cell>
          <cell r="K108">
            <v>7.4057869447839153E-2</v>
          </cell>
          <cell r="L108">
            <v>7.1281447243107934E-2</v>
          </cell>
          <cell r="M108">
            <v>9.1511220124117207E-2</v>
          </cell>
        </row>
        <row r="109">
          <cell r="B109">
            <v>4.1675681171472245E-2</v>
          </cell>
          <cell r="C109">
            <v>9.9500801970386493E-3</v>
          </cell>
          <cell r="D109">
            <v>4.005191388401879E-2</v>
          </cell>
          <cell r="E109">
            <v>3.6307087645476542E-2</v>
          </cell>
          <cell r="F109">
            <v>8.1979648755163087E-2</v>
          </cell>
          <cell r="G109">
            <v>8.2422728171542753E-2</v>
          </cell>
          <cell r="H109">
            <v>9.2853948663855976E-2</v>
          </cell>
          <cell r="I109">
            <v>0.13032091729904319</v>
          </cell>
          <cell r="J109">
            <v>0.11187066406146309</v>
          </cell>
          <cell r="K109">
            <v>0.12699223018924882</v>
          </cell>
          <cell r="L109">
            <v>0.38268831192491704</v>
          </cell>
          <cell r="M109">
            <v>0.38885150143069147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1.0042876699754595E-2</v>
          </cell>
          <cell r="F110">
            <v>1.905980195563578E-2</v>
          </cell>
          <cell r="G110">
            <v>1.8942271091476223E-2</v>
          </cell>
          <cell r="H110">
            <v>2.0023413207137811E-2</v>
          </cell>
          <cell r="I110">
            <v>3.9343017326410212E-2</v>
          </cell>
          <cell r="J110">
            <v>3.6632643264465185E-2</v>
          </cell>
          <cell r="K110">
            <v>4.6883463911102416E-2</v>
          </cell>
          <cell r="L110">
            <v>3.4310769303832735E-2</v>
          </cell>
          <cell r="M110">
            <v>5.9353275093617541E-2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B112">
            <v>6.1471114148392375E-2</v>
          </cell>
          <cell r="C112">
            <v>5.4651202980031045E-2</v>
          </cell>
          <cell r="D112">
            <v>0.26699516085118508</v>
          </cell>
          <cell r="E112">
            <v>1.3019948597474154</v>
          </cell>
          <cell r="F112">
            <v>1.3943422392162672</v>
          </cell>
          <cell r="G112">
            <v>1.5408993159733844</v>
          </cell>
          <cell r="H112">
            <v>1.5043960548470245</v>
          </cell>
          <cell r="I112">
            <v>1.5072390215267959</v>
          </cell>
          <cell r="J112">
            <v>1.4633927574742638</v>
          </cell>
          <cell r="K112">
            <v>1.4837862680332903</v>
          </cell>
          <cell r="L112">
            <v>1.3124250618962643</v>
          </cell>
          <cell r="M112">
            <v>1.2916979639458528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2.5634759749789737E-2</v>
          </cell>
          <cell r="F113">
            <v>3.2623778015843499E-2</v>
          </cell>
          <cell r="G113">
            <v>3.0020744950713701E-2</v>
          </cell>
          <cell r="H113">
            <v>3.6437764082016141E-2</v>
          </cell>
          <cell r="I113">
            <v>7.9955407096219344E-2</v>
          </cell>
          <cell r="J113">
            <v>7.4888394448176937E-2</v>
          </cell>
          <cell r="K113">
            <v>6.71829485020385E-2</v>
          </cell>
          <cell r="L113">
            <v>7.1316083961589713E-2</v>
          </cell>
          <cell r="M113">
            <v>0.12195239692951965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B115">
            <v>1.424318480075953</v>
          </cell>
          <cell r="C115">
            <v>1.5785750949686741</v>
          </cell>
          <cell r="D115">
            <v>1.4831586338876217</v>
          </cell>
          <cell r="E115">
            <v>1.3241277409395629</v>
          </cell>
          <cell r="F115">
            <v>1.1651000909257894</v>
          </cell>
          <cell r="G115">
            <v>1.0060731806383227</v>
          </cell>
          <cell r="H115">
            <v>1.0060786714680234</v>
          </cell>
          <cell r="I115">
            <v>1.0060923661242847</v>
          </cell>
          <cell r="J115">
            <v>1.0061013311255349</v>
          </cell>
          <cell r="K115">
            <v>1.0061269062928679</v>
          </cell>
          <cell r="L115">
            <v>1.0061573660427634</v>
          </cell>
          <cell r="M115">
            <v>1.0392010830458855</v>
          </cell>
        </row>
        <row r="116">
          <cell r="B116">
            <v>0.69261055055655318</v>
          </cell>
          <cell r="C116">
            <v>0.75025377877274713</v>
          </cell>
          <cell r="D116">
            <v>0.66053219399566498</v>
          </cell>
          <cell r="E116">
            <v>2.9822668590784769</v>
          </cell>
          <cell r="F116">
            <v>5.6753059277481519</v>
          </cell>
          <cell r="G116">
            <v>5.7375248076924343</v>
          </cell>
          <cell r="H116">
            <v>5.6099662796343202</v>
          </cell>
          <cell r="I116">
            <v>3.9660333672706778</v>
          </cell>
          <cell r="J116">
            <v>3.9662224887713311</v>
          </cell>
          <cell r="K116">
            <v>4.0546762004734598</v>
          </cell>
          <cell r="L116">
            <v>4.4143737222347017</v>
          </cell>
          <cell r="M116">
            <v>4.6710481971405953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1.6983207539732852E-2</v>
          </cell>
          <cell r="F117">
            <v>1.2771762811940869E-2</v>
          </cell>
          <cell r="G117">
            <v>1.0052039937831684E-2</v>
          </cell>
          <cell r="H117">
            <v>1.6704623748979176E-2</v>
          </cell>
          <cell r="I117">
            <v>2.3057062357892413E-2</v>
          </cell>
          <cell r="J117">
            <v>2.1029150934274553E-2</v>
          </cell>
          <cell r="K117">
            <v>2.6888854686437386E-2</v>
          </cell>
          <cell r="L117">
            <v>2.7545810593587624E-2</v>
          </cell>
          <cell r="M117">
            <v>5.4686105304511401E-2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1.2482407471081532E-3</v>
          </cell>
          <cell r="F118">
            <v>3.8011087952907331E-3</v>
          </cell>
          <cell r="G118">
            <v>3.6591323134534818E-3</v>
          </cell>
          <cell r="H118">
            <v>2.7004054219316883E-3</v>
          </cell>
          <cell r="I118">
            <v>6.3211267902075E-3</v>
          </cell>
          <cell r="J118">
            <v>6.3937816700351188E-3</v>
          </cell>
          <cell r="K118">
            <v>1.3188223906690862E-2</v>
          </cell>
          <cell r="L118">
            <v>1.0113013088735882E-2</v>
          </cell>
          <cell r="M118">
            <v>2.1793990765172619E-2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2.4456999232176611E-3</v>
          </cell>
          <cell r="F119">
            <v>5.4086924663635022E-3</v>
          </cell>
          <cell r="G119">
            <v>5.5401778197232375E-3</v>
          </cell>
          <cell r="H119">
            <v>6.522759179803903E-3</v>
          </cell>
          <cell r="I119">
            <v>1.4806624321635134E-2</v>
          </cell>
          <cell r="J119">
            <v>1.3756088531680692E-2</v>
          </cell>
          <cell r="K119">
            <v>3.1236123873511115E-2</v>
          </cell>
          <cell r="L119">
            <v>2.4081285719358435E-2</v>
          </cell>
          <cell r="M119">
            <v>4.286514274012454E-2</v>
          </cell>
        </row>
        <row r="123">
          <cell r="B123">
            <v>0</v>
          </cell>
          <cell r="C123">
            <v>3.3246110134158084</v>
          </cell>
          <cell r="D123">
            <v>3.4253511833544135</v>
          </cell>
          <cell r="E123">
            <v>3.6000788997044588</v>
          </cell>
          <cell r="F123">
            <v>3.7837215531870987</v>
          </cell>
          <cell r="G123">
            <v>3.9767314703356922</v>
          </cell>
          <cell r="H123">
            <v>4.1795870814946277</v>
          </cell>
          <cell r="I123">
            <v>4.3927926530247365</v>
          </cell>
          <cell r="J123">
            <v>4.6168720470454963</v>
          </cell>
          <cell r="K123">
            <v>4.8523871734503592</v>
          </cell>
          <cell r="L123">
            <v>5.0999178211557528</v>
          </cell>
          <cell r="M123">
            <v>5.3600997332659901</v>
          </cell>
        </row>
      </sheetData>
      <sheetData sheetId="59">
        <row r="13">
          <cell r="B13">
            <v>16.052413682579232</v>
          </cell>
          <cell r="C13">
            <v>20.047035336894901</v>
          </cell>
          <cell r="D13">
            <v>7.6510141159331289</v>
          </cell>
          <cell r="E13">
            <v>15.916399742891477</v>
          </cell>
          <cell r="F13">
            <v>15.962706252449165</v>
          </cell>
          <cell r="G13">
            <v>16.000400272978442</v>
          </cell>
          <cell r="H13">
            <v>16.037381913540347</v>
          </cell>
          <cell r="I13">
            <v>16.077559799259088</v>
          </cell>
          <cell r="J13">
            <v>16.113929662676977</v>
          </cell>
          <cell r="K13">
            <v>16.159412094360672</v>
          </cell>
          <cell r="L13">
            <v>16.208007000690024</v>
          </cell>
          <cell r="M13">
            <v>16.286518254077752</v>
          </cell>
        </row>
        <row r="14">
          <cell r="B14">
            <v>250.94822050099737</v>
          </cell>
          <cell r="C14">
            <v>254.39227640808022</v>
          </cell>
          <cell r="D14">
            <v>224.07675972322787</v>
          </cell>
          <cell r="E14">
            <v>221.50615815365498</v>
          </cell>
          <cell r="F14">
            <v>174.32481921688751</v>
          </cell>
          <cell r="G14">
            <v>100.00284405132813</v>
          </cell>
          <cell r="H14">
            <v>10.573387569910059</v>
          </cell>
          <cell r="I14">
            <v>18.960487767411362</v>
          </cell>
          <cell r="J14">
            <v>20.834040217021769</v>
          </cell>
          <cell r="K14">
            <v>20.208293096839316</v>
          </cell>
          <cell r="L14">
            <v>20.686842005602589</v>
          </cell>
          <cell r="M14">
            <v>21.47587676284132</v>
          </cell>
        </row>
        <row r="15">
          <cell r="B15">
            <v>66.745680000022219</v>
          </cell>
          <cell r="C15">
            <v>49.7987992616575</v>
          </cell>
          <cell r="D15">
            <v>68.526862096155028</v>
          </cell>
          <cell r="E15">
            <v>69.613958639460236</v>
          </cell>
          <cell r="F15">
            <v>70.697304527520572</v>
          </cell>
          <cell r="G15">
            <v>71.781630460397707</v>
          </cell>
          <cell r="H15">
            <v>72.865010275959506</v>
          </cell>
          <cell r="I15">
            <v>73.950114967489398</v>
          </cell>
          <cell r="J15">
            <v>73.950034467134302</v>
          </cell>
          <cell r="K15">
            <v>73.951165863516977</v>
          </cell>
          <cell r="L15">
            <v>73.951013813964806</v>
          </cell>
          <cell r="M15">
            <v>73.948738328836285</v>
          </cell>
        </row>
        <row r="16">
          <cell r="B16">
            <v>66.632400407028271</v>
          </cell>
          <cell r="C16">
            <v>55.764001579115615</v>
          </cell>
          <cell r="D16">
            <v>65.558562430748694</v>
          </cell>
          <cell r="E16">
            <v>64.478519889435219</v>
          </cell>
          <cell r="F16">
            <v>63.395197736717506</v>
          </cell>
          <cell r="G16">
            <v>62.310875791922619</v>
          </cell>
          <cell r="H16">
            <v>61.227496053006021</v>
          </cell>
          <cell r="I16">
            <v>60.142394894567914</v>
          </cell>
          <cell r="J16">
            <v>60.142479872037178</v>
          </cell>
          <cell r="K16">
            <v>60.141353371012684</v>
          </cell>
          <cell r="L16">
            <v>60.141520967362759</v>
          </cell>
          <cell r="M16">
            <v>60.143859019447433</v>
          </cell>
        </row>
        <row r="18">
          <cell r="B18">
            <v>0.1344558784361253</v>
          </cell>
          <cell r="C18">
            <v>6.4649137511205222E-4</v>
          </cell>
          <cell r="D18">
            <v>3.2867690041453124E-2</v>
          </cell>
          <cell r="E18">
            <v>1.4610848701044106E-2</v>
          </cell>
          <cell r="F18">
            <v>1.7956217131760783E-2</v>
          </cell>
          <cell r="G18">
            <v>2.2256563197873794E-2</v>
          </cell>
          <cell r="H18">
            <v>6.6783622662444225E-2</v>
          </cell>
          <cell r="I18">
            <v>0.12729354053777311</v>
          </cell>
          <cell r="J18">
            <v>6.9400124942370994E-2</v>
          </cell>
          <cell r="K18">
            <v>0.11660909377006851</v>
          </cell>
          <cell r="L18">
            <v>8.2649274276174481E-2</v>
          </cell>
          <cell r="M18">
            <v>0.17597675444213287</v>
          </cell>
        </row>
        <row r="19">
          <cell r="B19">
            <v>18.203591385082948</v>
          </cell>
          <cell r="C19">
            <v>20.429785398461942</v>
          </cell>
          <cell r="D19">
            <v>22.933286058225594</v>
          </cell>
          <cell r="E19">
            <v>20.696616438973969</v>
          </cell>
          <cell r="F19">
            <v>20.958801385747147</v>
          </cell>
          <cell r="G19">
            <v>21.451628232012443</v>
          </cell>
          <cell r="H19">
            <v>21.956406881904268</v>
          </cell>
          <cell r="I19">
            <v>22.473552496688228</v>
          </cell>
          <cell r="J19">
            <v>22.473478397281809</v>
          </cell>
          <cell r="K19">
            <v>22.473532844166499</v>
          </cell>
          <cell r="L19">
            <v>22.47354893347844</v>
          </cell>
          <cell r="M19">
            <v>22.473927697909236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0.37494531221165284</v>
          </cell>
          <cell r="H21">
            <v>8.7773224751949943</v>
          </cell>
          <cell r="I21">
            <v>14.678428475072298</v>
          </cell>
          <cell r="J21">
            <v>15.699569479286813</v>
          </cell>
          <cell r="K21">
            <v>18.357660197779857</v>
          </cell>
          <cell r="L21">
            <v>19.37005167209557</v>
          </cell>
          <cell r="M21">
            <v>17.60905386973495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5.0396958892943731E-2</v>
          </cell>
          <cell r="G22">
            <v>0.17597341335379582</v>
          </cell>
          <cell r="H22">
            <v>1.7641646389623762</v>
          </cell>
          <cell r="I22">
            <v>0.6252841999134201</v>
          </cell>
          <cell r="J22">
            <v>1.0937582629893612</v>
          </cell>
          <cell r="K22">
            <v>0.73729443087011204</v>
          </cell>
          <cell r="L22">
            <v>0.19530943414558807</v>
          </cell>
          <cell r="M22">
            <v>0.59296643159579632</v>
          </cell>
          <cell r="P22">
            <v>2.5940313546568468</v>
          </cell>
          <cell r="Q22">
            <v>1.1735797554266296</v>
          </cell>
          <cell r="R22">
            <v>1.0442402701684022</v>
          </cell>
          <cell r="S22">
            <v>3.6931960728698634</v>
          </cell>
          <cell r="T22">
            <v>4.8364035986683689</v>
          </cell>
          <cell r="U22">
            <v>5.3685451712479635</v>
          </cell>
          <cell r="V22">
            <v>7.3444730870612656</v>
          </cell>
          <cell r="W22">
            <v>7.7650669742354381</v>
          </cell>
          <cell r="X22">
            <v>8.0727220486664688</v>
          </cell>
          <cell r="Y22">
            <v>8.4729250568266075</v>
          </cell>
          <cell r="Z22">
            <v>8.5534728513240097</v>
          </cell>
          <cell r="AA22">
            <v>8.2786060412966442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8.833313428302091E-4</v>
          </cell>
          <cell r="H23">
            <v>1.3929868193572914E-3</v>
          </cell>
          <cell r="I23">
            <v>3.1933916538272921E-3</v>
          </cell>
          <cell r="J23">
            <v>1.6575044427335288E-3</v>
          </cell>
          <cell r="K23">
            <v>2.7573596745897743E-3</v>
          </cell>
          <cell r="L23">
            <v>2.0779571497178554E-3</v>
          </cell>
          <cell r="M23">
            <v>4.1557843935353632E-3</v>
          </cell>
          <cell r="P23">
            <v>7.0850356809832107E-2</v>
          </cell>
          <cell r="Q23">
            <v>5.3760370292821269E-2</v>
          </cell>
          <cell r="R23">
            <v>9.571549688419298E-2</v>
          </cell>
          <cell r="S23">
            <v>0.16073402616204621</v>
          </cell>
          <cell r="T23">
            <v>0.15260036208688318</v>
          </cell>
          <cell r="U23">
            <v>0.12457629317429277</v>
          </cell>
          <cell r="V23">
            <v>0.12303522465402142</v>
          </cell>
          <cell r="W23">
            <v>0.1198842168879419</v>
          </cell>
          <cell r="X23">
            <v>0.1167765013612328</v>
          </cell>
          <cell r="Y23">
            <v>0.1216291048778215</v>
          </cell>
          <cell r="Z23">
            <v>0.12931926568863911</v>
          </cell>
          <cell r="AA23">
            <v>0.1349072340679543</v>
          </cell>
        </row>
        <row r="24">
          <cell r="B24">
            <v>3.7071426574985855</v>
          </cell>
          <cell r="C24">
            <v>1.9229917478021843E-3</v>
          </cell>
          <cell r="D24">
            <v>9.1791050929147466E-2</v>
          </cell>
          <cell r="E24">
            <v>2.7675098094433421</v>
          </cell>
          <cell r="F24">
            <v>0.9734539633294893</v>
          </cell>
          <cell r="G24">
            <v>2.5446108610164218</v>
          </cell>
          <cell r="H24">
            <v>1.0626084459573206</v>
          </cell>
          <cell r="I24">
            <v>0.48881951740485452</v>
          </cell>
          <cell r="J24">
            <v>0.44177656399366089</v>
          </cell>
          <cell r="K24">
            <v>0.16162770887687269</v>
          </cell>
          <cell r="L24">
            <v>5.1899165450568135E-2</v>
          </cell>
          <cell r="M24">
            <v>7.5169152532784181E-2</v>
          </cell>
        </row>
        <row r="25">
          <cell r="B25">
            <v>1.6561959881542505</v>
          </cell>
          <cell r="C25">
            <v>0.21946096028124226</v>
          </cell>
          <cell r="D25">
            <v>2.64670011776502</v>
          </cell>
          <cell r="E25">
            <v>3.8754808737863637</v>
          </cell>
          <cell r="F25">
            <v>4.304571338371705</v>
          </cell>
          <cell r="G25">
            <v>4.2095713180975993</v>
          </cell>
          <cell r="H25">
            <v>2.5383075902102288</v>
          </cell>
          <cell r="I25">
            <v>1.538258142374904</v>
          </cell>
          <cell r="J25">
            <v>0.92958346822938265</v>
          </cell>
          <cell r="K25">
            <v>1.140014732279756</v>
          </cell>
          <cell r="L25">
            <v>1.1493956575291426</v>
          </cell>
          <cell r="M25">
            <v>1.029750020427836</v>
          </cell>
        </row>
        <row r="26">
          <cell r="B26">
            <v>40.032316297146906</v>
          </cell>
          <cell r="C26">
            <v>37.616269590317494</v>
          </cell>
          <cell r="D26">
            <v>35.472426511786026</v>
          </cell>
          <cell r="E26">
            <v>37.382948628481508</v>
          </cell>
          <cell r="F26">
            <v>37.14169147135614</v>
          </cell>
          <cell r="G26">
            <v>36.922519637578169</v>
          </cell>
          <cell r="H26">
            <v>36.694130710586073</v>
          </cell>
          <cell r="I26">
            <v>36.453358908392083</v>
          </cell>
          <cell r="J26">
            <v>36.453082454916895</v>
          </cell>
          <cell r="K26">
            <v>36.45257345730122</v>
          </cell>
          <cell r="L26">
            <v>36.452345600486638</v>
          </cell>
          <cell r="M26">
            <v>36.449161923554833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3.0848925592397144E-2</v>
          </cell>
          <cell r="C28">
            <v>1.0193489796577928E-3</v>
          </cell>
          <cell r="D28">
            <v>2.8279206646720147E-2</v>
          </cell>
          <cell r="E28">
            <v>1.8136880423452628E-2</v>
          </cell>
          <cell r="F28">
            <v>2.4232584901744642E-2</v>
          </cell>
          <cell r="G28">
            <v>2.6544279360648005E-2</v>
          </cell>
          <cell r="H28">
            <v>2.7074828473272271E-2</v>
          </cell>
          <cell r="I28">
            <v>4.3054892175286581E-2</v>
          </cell>
          <cell r="J28">
            <v>3.249152748692858E-2</v>
          </cell>
          <cell r="K28">
            <v>4.3060038870372609E-2</v>
          </cell>
          <cell r="L28">
            <v>3.2263883786230428E-2</v>
          </cell>
          <cell r="M28">
            <v>4.5526694600569607E-2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0.98898890750944035</v>
          </cell>
          <cell r="H29">
            <v>1.8070877556626239</v>
          </cell>
          <cell r="I29">
            <v>2.2039668647249044</v>
          </cell>
          <cell r="J29">
            <v>2.0763052886467621</v>
          </cell>
          <cell r="K29">
            <v>1.2141518692743356</v>
          </cell>
          <cell r="L29">
            <v>0.31166905123068461</v>
          </cell>
          <cell r="M29">
            <v>0.10963329221849272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1.1268521774507928E-2</v>
          </cell>
          <cell r="H30">
            <v>1.1368307833135789E-2</v>
          </cell>
          <cell r="I30">
            <v>2.6396884963305688E-2</v>
          </cell>
          <cell r="J30">
            <v>2.6639013916149378E-2</v>
          </cell>
          <cell r="K30">
            <v>0.12150736480180512</v>
          </cell>
          <cell r="L30">
            <v>0.12340268706360924</v>
          </cell>
          <cell r="M30">
            <v>0.14793897228266731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1.174728049954451E-3</v>
          </cell>
          <cell r="H31">
            <v>1.495637569113961E-3</v>
          </cell>
          <cell r="I31">
            <v>3.2089497361363355E-3</v>
          </cell>
          <cell r="J31">
            <v>1.6605586885635837E-3</v>
          </cell>
          <cell r="K31">
            <v>3.0401574108664745E-3</v>
          </cell>
          <cell r="L31">
            <v>2.6703866596806858E-3</v>
          </cell>
          <cell r="M31">
            <v>5.9733135103683232E-3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9.9592173227519981E-2</v>
          </cell>
          <cell r="I32">
            <v>0.15668876529613807</v>
          </cell>
          <cell r="J32">
            <v>0.16472827829600481</v>
          </cell>
          <cell r="K32">
            <v>0.1851832440533317</v>
          </cell>
          <cell r="L32">
            <v>0.21423913118608878</v>
          </cell>
          <cell r="M32">
            <v>0.38153195739022561</v>
          </cell>
        </row>
        <row r="33">
          <cell r="B33">
            <v>0.52400000000000047</v>
          </cell>
          <cell r="C33">
            <v>0.54529302637759147</v>
          </cell>
          <cell r="D33">
            <v>0.50316562471114035</v>
          </cell>
          <cell r="E33">
            <v>0.56389216751934657</v>
          </cell>
          <cell r="F33">
            <v>0.56613504054168295</v>
          </cell>
          <cell r="G33">
            <v>0.56870496347360744</v>
          </cell>
          <cell r="H33">
            <v>0.58036305042839709</v>
          </cell>
          <cell r="I33">
            <v>0.58044372954834755</v>
          </cell>
          <cell r="J33">
            <v>0.58220676548390526</v>
          </cell>
          <cell r="K33">
            <v>0.5823498779490649</v>
          </cell>
          <cell r="L33">
            <v>0.58444918281009461</v>
          </cell>
          <cell r="M33">
            <v>0.59684864279550764</v>
          </cell>
        </row>
        <row r="34">
          <cell r="B34">
            <v>0</v>
          </cell>
          <cell r="C34">
            <v>0</v>
          </cell>
          <cell r="D34">
            <v>0.15618976333301607</v>
          </cell>
          <cell r="E34">
            <v>0.30237862956283768</v>
          </cell>
          <cell r="F34">
            <v>1.0553737620987678</v>
          </cell>
          <cell r="G34">
            <v>1.0612518126546735</v>
          </cell>
          <cell r="H34">
            <v>0.86710290071721363</v>
          </cell>
          <cell r="I34">
            <v>0.76190701927693305</v>
          </cell>
          <cell r="J34">
            <v>0.24222431206686859</v>
          </cell>
          <cell r="K34">
            <v>0.19785984260459472</v>
          </cell>
          <cell r="L34">
            <v>0.19971029213985989</v>
          </cell>
          <cell r="M34">
            <v>1.6653254975685723</v>
          </cell>
        </row>
        <row r="35">
          <cell r="B35">
            <v>3.517953999707534</v>
          </cell>
          <cell r="C35">
            <v>4.8486226008987279</v>
          </cell>
          <cell r="D35">
            <v>11.927072092541732</v>
          </cell>
          <cell r="E35">
            <v>14.116607143568489</v>
          </cell>
          <cell r="F35">
            <v>14.836718811243156</v>
          </cell>
          <cell r="G35">
            <v>15.59354245769409</v>
          </cell>
          <cell r="H35">
            <v>16.388974994190907</v>
          </cell>
          <cell r="I35">
            <v>17.224984168750087</v>
          </cell>
          <cell r="J35">
            <v>18.103639305753067</v>
          </cell>
          <cell r="K35">
            <v>19.027121576951131</v>
          </cell>
          <cell r="L35">
            <v>19.997727115338037</v>
          </cell>
          <cell r="M35">
            <v>21.017943069540127</v>
          </cell>
        </row>
        <row r="36">
          <cell r="B36">
            <v>2.1349390887346629</v>
          </cell>
          <cell r="C36">
            <v>3.39074895711946</v>
          </cell>
          <cell r="D36">
            <v>6.9699056392086884</v>
          </cell>
          <cell r="E36">
            <v>18.91638404044593</v>
          </cell>
          <cell r="F36">
            <v>19.881322410564309</v>
          </cell>
          <cell r="G36">
            <v>20.8954709595825</v>
          </cell>
          <cell r="H36">
            <v>21.961351828452528</v>
          </cell>
          <cell r="I36">
            <v>23.081606348898454</v>
          </cell>
          <cell r="J36">
            <v>24.259004878098594</v>
          </cell>
          <cell r="K36">
            <v>25.496470251187272</v>
          </cell>
          <cell r="L36">
            <v>26.797062210319741</v>
          </cell>
          <cell r="M36">
            <v>28.164266347371555</v>
          </cell>
        </row>
        <row r="37">
          <cell r="B37">
            <v>0.86248322578584768</v>
          </cell>
          <cell r="C37">
            <v>1.2876789795301395</v>
          </cell>
          <cell r="D37">
            <v>5.8107627371106076</v>
          </cell>
          <cell r="E37">
            <v>12.910305214125218</v>
          </cell>
          <cell r="F37">
            <v>13.568880600762526</v>
          </cell>
          <cell r="G37">
            <v>14.261031481636639</v>
          </cell>
          <cell r="H37">
            <v>14.988489641312128</v>
          </cell>
          <cell r="I37">
            <v>15.753057987260592</v>
          </cell>
          <cell r="J37">
            <v>16.556626777684759</v>
          </cell>
          <cell r="K37">
            <v>17.40119142670499</v>
          </cell>
          <cell r="L37">
            <v>18.288840912057474</v>
          </cell>
          <cell r="M37">
            <v>19.221869774791799</v>
          </cell>
        </row>
        <row r="38">
          <cell r="B38">
            <v>2.8396236857719668</v>
          </cell>
          <cell r="C38">
            <v>3.2944552945441319</v>
          </cell>
          <cell r="D38">
            <v>3.9360843650576216</v>
          </cell>
          <cell r="E38">
            <v>4.4090591128673529</v>
          </cell>
          <cell r="F38">
            <v>4.6339850440844899</v>
          </cell>
          <cell r="G38">
            <v>4.8703643768543285</v>
          </cell>
          <cell r="H38">
            <v>5.118804041763779</v>
          </cell>
          <cell r="I38">
            <v>5.3799176119421048</v>
          </cell>
          <cell r="J38">
            <v>5.6543509164856562</v>
          </cell>
          <cell r="K38">
            <v>5.9427878750057426</v>
          </cell>
          <cell r="L38">
            <v>6.2459410262808186</v>
          </cell>
          <cell r="M38">
            <v>6.5646837782631895</v>
          </cell>
        </row>
        <row r="39">
          <cell r="B39">
            <v>1.9351034567467829</v>
          </cell>
          <cell r="C39">
            <v>0.25947051215149119</v>
          </cell>
          <cell r="D39">
            <v>0.171313506095467</v>
          </cell>
          <cell r="E39">
            <v>2.0630613665476307</v>
          </cell>
          <cell r="F39">
            <v>1.5536332976501275</v>
          </cell>
          <cell r="G39">
            <v>0.47849214645777599</v>
          </cell>
          <cell r="H39">
            <v>0.34158390076882134</v>
          </cell>
          <cell r="I39">
            <v>0.21309988301723137</v>
          </cell>
          <cell r="J39">
            <v>0.13047527863074013</v>
          </cell>
          <cell r="K39">
            <v>0.19603153159167377</v>
          </cell>
          <cell r="L39">
            <v>0.31645201604636103</v>
          </cell>
          <cell r="M39">
            <v>0.33173938529299724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7.4560509411073189E-4</v>
          </cell>
          <cell r="H40">
            <v>1.0594129940906226E-3</v>
          </cell>
          <cell r="I40">
            <v>2.3670269537531922E-3</v>
          </cell>
          <cell r="J40">
            <v>1.2488336468060818E-3</v>
          </cell>
          <cell r="K40">
            <v>2.0433467840435347E-3</v>
          </cell>
          <cell r="L40">
            <v>2.0794482460901203E-3</v>
          </cell>
          <cell r="M40">
            <v>4.0041387333704173E-3</v>
          </cell>
        </row>
        <row r="41">
          <cell r="B41">
            <v>0.30635095658897016</v>
          </cell>
          <cell r="C41">
            <v>0.69486003814765007</v>
          </cell>
          <cell r="D41">
            <v>1.5215500067067188E-2</v>
          </cell>
          <cell r="E41">
            <v>0.6293235531173359</v>
          </cell>
          <cell r="F41">
            <v>0.62260225705004457</v>
          </cell>
          <cell r="G41">
            <v>8.217781117557868E-2</v>
          </cell>
          <cell r="H41">
            <v>9.5634454398860508E-2</v>
          </cell>
          <cell r="I41">
            <v>0.11622969156865486</v>
          </cell>
          <cell r="J41">
            <v>0.1076868782076757</v>
          </cell>
          <cell r="K41">
            <v>0.11161303814997653</v>
          </cell>
          <cell r="L41">
            <v>0.10921579020923634</v>
          </cell>
          <cell r="M41">
            <v>0.11605771107287924</v>
          </cell>
        </row>
        <row r="42">
          <cell r="B42">
            <v>0.87596860494621487</v>
          </cell>
          <cell r="C42">
            <v>2.3082435857281425</v>
          </cell>
          <cell r="D42">
            <v>4.5387530229049879</v>
          </cell>
          <cell r="E42">
            <v>5.8310618170642776</v>
          </cell>
          <cell r="F42">
            <v>7.497335202493046</v>
          </cell>
          <cell r="G42">
            <v>9.145294666433271</v>
          </cell>
          <cell r="H42">
            <v>12.225681796675175</v>
          </cell>
          <cell r="I42">
            <v>14.563622335876932</v>
          </cell>
          <cell r="J42">
            <v>15.084846873181281</v>
          </cell>
          <cell r="K42">
            <v>14.899742971634968</v>
          </cell>
          <cell r="L42">
            <v>14.899481216113152</v>
          </cell>
          <cell r="M42">
            <v>14.87901304186839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1.2085134416319702E-3</v>
          </cell>
          <cell r="H43">
            <v>1.496581287713152E-3</v>
          </cell>
          <cell r="I43">
            <v>3.2046331678088902E-3</v>
          </cell>
          <cell r="J43">
            <v>1.6578447501864851E-3</v>
          </cell>
          <cell r="K43">
            <v>3.0373810344426905E-3</v>
          </cell>
          <cell r="L43">
            <v>2.6656705240534523E-3</v>
          </cell>
          <cell r="M43">
            <v>5.9654387651202788E-3</v>
          </cell>
        </row>
        <row r="44">
          <cell r="B44">
            <v>3.7119656259843179</v>
          </cell>
          <cell r="C44">
            <v>3.7138561603838576</v>
          </cell>
          <cell r="D44">
            <v>5.4332076324467158</v>
          </cell>
          <cell r="E44">
            <v>5.3724993797469827</v>
          </cell>
          <cell r="F44">
            <v>5.311849427476262</v>
          </cell>
          <cell r="G44">
            <v>5.2850295224665702</v>
          </cell>
          <cell r="H44">
            <v>5.258222403364468</v>
          </cell>
          <cell r="I44">
            <v>5.2314866965880782</v>
          </cell>
          <cell r="J44">
            <v>5.2314101852409323</v>
          </cell>
          <cell r="K44">
            <v>5.2314832908911209</v>
          </cell>
          <cell r="L44">
            <v>5.2314407105960026</v>
          </cell>
          <cell r="M44">
            <v>5.2316654942204073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9.8113941061087114E-3</v>
          </cell>
          <cell r="F46">
            <v>2.7998662553725275E-2</v>
          </cell>
          <cell r="G46">
            <v>4.4057389049063721E-2</v>
          </cell>
          <cell r="H46">
            <v>4.1360028566208788E-2</v>
          </cell>
          <cell r="I46">
            <v>0.10421394418269175</v>
          </cell>
          <cell r="J46">
            <v>9.3648927379264266E-2</v>
          </cell>
          <cell r="K46">
            <v>0.24685956482613042</v>
          </cell>
          <cell r="L46">
            <v>0.23760482414369311</v>
          </cell>
          <cell r="M46">
            <v>0.3050374004137239</v>
          </cell>
        </row>
        <row r="47">
          <cell r="B47">
            <v>0</v>
          </cell>
        </row>
        <row r="48">
          <cell r="B48">
            <v>9.7701564422239401E-2</v>
          </cell>
          <cell r="C48">
            <v>1.5624185922050612E-2</v>
          </cell>
          <cell r="D48">
            <v>7.4092087994153386E-2</v>
          </cell>
          <cell r="E48">
            <v>6.182922191791114E-2</v>
          </cell>
          <cell r="F48">
            <v>0.13606508574987289</v>
          </cell>
          <cell r="G48">
            <v>0.13487340000719195</v>
          </cell>
          <cell r="H48">
            <v>0.15163395334258206</v>
          </cell>
          <cell r="I48">
            <v>0.21659641087627371</v>
          </cell>
          <cell r="J48">
            <v>0.17542837583590998</v>
          </cell>
          <cell r="K48">
            <v>0.20548608210537339</v>
          </cell>
          <cell r="L48">
            <v>0.60436542151866579</v>
          </cell>
          <cell r="M48">
            <v>0.61765634010196846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1.7556555480905413E-3</v>
          </cell>
          <cell r="F49">
            <v>6.0630854892038989E-3</v>
          </cell>
          <cell r="G49">
            <v>6.0194814140725975E-3</v>
          </cell>
          <cell r="H49">
            <v>6.2892489694656092E-3</v>
          </cell>
          <cell r="I49">
            <v>1.4809932989638955E-2</v>
          </cell>
          <cell r="J49">
            <v>1.2011360512034143E-2</v>
          </cell>
          <cell r="K49">
            <v>1.9056058161383206E-2</v>
          </cell>
          <cell r="L49">
            <v>1.8318925317037417E-2</v>
          </cell>
          <cell r="M49">
            <v>3.3383403980227364E-2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1.9010145432410142E-2</v>
          </cell>
          <cell r="F50">
            <v>3.3740009260099776E-2</v>
          </cell>
          <cell r="G50">
            <v>3.3551354397102932E-2</v>
          </cell>
          <cell r="H50">
            <v>3.6451338600135039E-2</v>
          </cell>
          <cell r="I50">
            <v>7.2731156332510483E-2</v>
          </cell>
          <cell r="J50">
            <v>6.240243056399182E-2</v>
          </cell>
          <cell r="K50">
            <v>8.353801817429779E-2</v>
          </cell>
          <cell r="L50">
            <v>6.2888284714169879E-2</v>
          </cell>
          <cell r="M50">
            <v>0.11414184060405691</v>
          </cell>
        </row>
        <row r="51">
          <cell r="B51">
            <v>0.13443235028515821</v>
          </cell>
          <cell r="C51">
            <v>8.7252769728639587E-2</v>
          </cell>
          <cell r="D51">
            <v>0.43857970371550448</v>
          </cell>
          <cell r="E51">
            <v>2.101076203735869</v>
          </cell>
          <cell r="F51">
            <v>2.2365238601425519</v>
          </cell>
          <cell r="G51">
            <v>2.4904126729206046</v>
          </cell>
          <cell r="H51">
            <v>2.4343713609178406</v>
          </cell>
          <cell r="I51">
            <v>2.384314438641149</v>
          </cell>
          <cell r="J51">
            <v>2.3136988140641561</v>
          </cell>
          <cell r="K51">
            <v>2.2592719276515831</v>
          </cell>
          <cell r="L51">
            <v>1.9707466929599398</v>
          </cell>
          <cell r="M51">
            <v>1.7963210765756576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7.4549296319988377E-3</v>
          </cell>
          <cell r="F52">
            <v>2.8612257470302778E-2</v>
          </cell>
          <cell r="G52">
            <v>2.8558673947127092E-2</v>
          </cell>
          <cell r="H52">
            <v>3.1754403007772256E-2</v>
          </cell>
          <cell r="I52">
            <v>8.4669897211735401E-2</v>
          </cell>
          <cell r="J52">
            <v>7.4155211820621611E-2</v>
          </cell>
          <cell r="K52">
            <v>0.14469617569516616</v>
          </cell>
          <cell r="L52">
            <v>0.14059785911982678</v>
          </cell>
          <cell r="M52">
            <v>0.25290619286310295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4.032067731553278E-2</v>
          </cell>
          <cell r="F53">
            <v>5.0329180447747368E-2</v>
          </cell>
          <cell r="G53">
            <v>4.5853808278291483E-2</v>
          </cell>
          <cell r="H53">
            <v>5.4866270048083823E-2</v>
          </cell>
          <cell r="I53">
            <v>0.11800762733208026</v>
          </cell>
          <cell r="J53">
            <v>0.10544856269852432</v>
          </cell>
          <cell r="K53">
            <v>0.10044486494223226</v>
          </cell>
          <cell r="L53">
            <v>0.10439605648393366</v>
          </cell>
          <cell r="M53">
            <v>0.18387720534481569</v>
          </cell>
        </row>
        <row r="54">
          <cell r="B54">
            <v>2.6454150787886919</v>
          </cell>
          <cell r="C54">
            <v>3.046729595024297</v>
          </cell>
          <cell r="D54">
            <v>3.0456098654581196</v>
          </cell>
          <cell r="E54">
            <v>3.0358548076883469</v>
          </cell>
          <cell r="F54">
            <v>2.9935608614012854</v>
          </cell>
          <cell r="G54">
            <v>2.9547287761460659</v>
          </cell>
          <cell r="H54">
            <v>2.923583601173827</v>
          </cell>
          <cell r="I54">
            <v>2.8864341058558294</v>
          </cell>
          <cell r="J54">
            <v>2.8804438620660364</v>
          </cell>
          <cell r="K54">
            <v>2.8914855576644523</v>
          </cell>
          <cell r="L54">
            <v>2.8915603736593569</v>
          </cell>
          <cell r="M54">
            <v>3.004439273680986</v>
          </cell>
        </row>
        <row r="55">
          <cell r="B55">
            <v>1.6911038813649586</v>
          </cell>
          <cell r="C55">
            <v>1.7387223851591471</v>
          </cell>
          <cell r="D55">
            <v>1.4747298299923552</v>
          </cell>
          <cell r="E55">
            <v>6.2327449372744921</v>
          </cell>
          <cell r="F55">
            <v>11.17688060920084</v>
          </cell>
          <cell r="G55">
            <v>10.710153665753415</v>
          </cell>
          <cell r="H55">
            <v>10.465972397401073</v>
          </cell>
          <cell r="I55">
            <v>7.4009700727585654</v>
          </cell>
          <cell r="J55">
            <v>7.4018291779543084</v>
          </cell>
          <cell r="K55">
            <v>7.5773010301258772</v>
          </cell>
          <cell r="L55">
            <v>8.231840145585009</v>
          </cell>
          <cell r="M55">
            <v>8.7222392004141653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3.3229453961642945E-2</v>
          </cell>
          <cell r="F56">
            <v>2.6199181737810617E-2</v>
          </cell>
          <cell r="G56">
            <v>2.1265212073639645E-2</v>
          </cell>
          <cell r="H56">
            <v>3.4016058268824839E-2</v>
          </cell>
          <cell r="I56">
            <v>4.913746899626803E-2</v>
          </cell>
          <cell r="J56">
            <v>4.2585244197201798E-2</v>
          </cell>
          <cell r="K56">
            <v>5.5992622904984621E-2</v>
          </cell>
          <cell r="L56">
            <v>5.6378920959439582E-2</v>
          </cell>
          <cell r="M56">
            <v>0.11330139002046521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6.8411186663431137E-3</v>
          </cell>
          <cell r="F57">
            <v>1.5420416973403324E-2</v>
          </cell>
          <cell r="G57">
            <v>1.6294640646244835E-2</v>
          </cell>
          <cell r="H57">
            <v>1.9584124596754477E-2</v>
          </cell>
          <cell r="I57">
            <v>4.5558844066569591E-2</v>
          </cell>
          <cell r="J57">
            <v>4.2326426251325169E-2</v>
          </cell>
          <cell r="K57">
            <v>9.6111150380034135E-2</v>
          </cell>
          <cell r="L57">
            <v>7.4096263751872005E-2</v>
          </cell>
          <cell r="M57">
            <v>0.13189274689269082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6.9346708172675214E-3</v>
          </cell>
          <cell r="F58">
            <v>2.1115828746919349E-2</v>
          </cell>
          <cell r="G58">
            <v>2.032851285251934E-2</v>
          </cell>
          <cell r="H58">
            <v>1.5001260721859621E-2</v>
          </cell>
          <cell r="I58">
            <v>3.5117371056708389E-2</v>
          </cell>
          <cell r="J58">
            <v>3.5521009277972873E-2</v>
          </cell>
          <cell r="K58">
            <v>7.3267910592727095E-2</v>
          </cell>
          <cell r="L58">
            <v>5.6183406048532711E-2</v>
          </cell>
          <cell r="M58">
            <v>0.12107772647318127</v>
          </cell>
        </row>
        <row r="63">
          <cell r="B63">
            <v>0.13524863398434775</v>
          </cell>
          <cell r="C63">
            <v>1.7705492983150495E-2</v>
          </cell>
          <cell r="D63">
            <v>0.13461304274831914</v>
          </cell>
          <cell r="E63">
            <v>6.5945294892330808E-2</v>
          </cell>
          <cell r="F63">
            <v>6.1326700388581401E-2</v>
          </cell>
          <cell r="G63">
            <v>5.4828467433819465E-2</v>
          </cell>
          <cell r="H63">
            <v>1.1832688264868203E-2</v>
          </cell>
          <cell r="I63">
            <v>4.5321612033509533E-2</v>
          </cell>
          <cell r="J63">
            <v>0.10855044375525914</v>
          </cell>
          <cell r="K63">
            <v>0.13455916196099238</v>
          </cell>
          <cell r="L63">
            <v>0.13469081971718289</v>
          </cell>
          <cell r="M63">
            <v>0.13467204011284251</v>
          </cell>
        </row>
        <row r="64">
          <cell r="B64">
            <v>1.0668412108914957E-2</v>
          </cell>
          <cell r="C64">
            <v>8.6726753126057533E-3</v>
          </cell>
          <cell r="D64">
            <v>1.0300247020978414E-2</v>
          </cell>
          <cell r="E64">
            <v>9.6709824524404131E-3</v>
          </cell>
          <cell r="F64">
            <v>2.3182219099564447E-2</v>
          </cell>
          <cell r="G64">
            <v>0.18561436224811351</v>
          </cell>
          <cell r="H64">
            <v>0.21823797894898536</v>
          </cell>
          <cell r="I64">
            <v>0.34250324119085745</v>
          </cell>
          <cell r="J64">
            <v>0.34765823810425506</v>
          </cell>
          <cell r="K64">
            <v>0.43792924551937473</v>
          </cell>
          <cell r="L64">
            <v>0.44167221947991886</v>
          </cell>
          <cell r="M64">
            <v>0.47708534963905075</v>
          </cell>
        </row>
        <row r="65">
          <cell r="B65">
            <v>9.4940911877490104E-3</v>
          </cell>
          <cell r="C65">
            <v>7.6966052311981635E-3</v>
          </cell>
          <cell r="D65">
            <v>8.8516177344526749E-3</v>
          </cell>
          <cell r="E65">
            <v>8.9708162559160934E-3</v>
          </cell>
          <cell r="F65">
            <v>2.2211925621539102E-2</v>
          </cell>
          <cell r="G65">
            <v>9.2022113784491877E-2</v>
          </cell>
          <cell r="H65">
            <v>0.44482573747821069</v>
          </cell>
          <cell r="I65">
            <v>0.8636841933380135</v>
          </cell>
          <cell r="J65">
            <v>1.3778112879940352</v>
          </cell>
          <cell r="K65">
            <v>1.9368434683291864</v>
          </cell>
          <cell r="L65">
            <v>2.2200510623125322</v>
          </cell>
          <cell r="M65">
            <v>2.6427307950518291</v>
          </cell>
        </row>
        <row r="66">
          <cell r="B66">
            <v>3.0457207700796411E-3</v>
          </cell>
          <cell r="C66">
            <v>3.0288771814872381E-3</v>
          </cell>
          <cell r="D66">
            <v>3.0195394304104836E-3</v>
          </cell>
          <cell r="E66">
            <v>5.1616221149806796E-2</v>
          </cell>
          <cell r="F66">
            <v>7.221555081981812E-2</v>
          </cell>
          <cell r="G66">
            <v>7.6711555977101539E-2</v>
          </cell>
          <cell r="H66">
            <v>8.0813619783467058E-2</v>
          </cell>
          <cell r="I66">
            <v>9.7006902827468253E-2</v>
          </cell>
          <cell r="J66">
            <v>9.6119053676005178E-2</v>
          </cell>
          <cell r="K66">
            <v>0.11363834051322169</v>
          </cell>
          <cell r="L66">
            <v>0.14230569681795532</v>
          </cell>
          <cell r="M66">
            <v>0.13563412989433951</v>
          </cell>
        </row>
        <row r="67">
          <cell r="B67">
            <v>6.1111331773405306E-3</v>
          </cell>
          <cell r="C67">
            <v>6.0748625323219334E-3</v>
          </cell>
          <cell r="D67">
            <v>6.0607636678622831E-3</v>
          </cell>
          <cell r="E67">
            <v>8.6784244509466896E-2</v>
          </cell>
          <cell r="F67">
            <v>0.1189017430461109</v>
          </cell>
          <cell r="G67">
            <v>0.12326039068709031</v>
          </cell>
          <cell r="H67">
            <v>0.13813964754784136</v>
          </cell>
          <cell r="I67">
            <v>0.14858543099581659</v>
          </cell>
          <cell r="J67">
            <v>0.15775044748426603</v>
          </cell>
          <cell r="K67">
            <v>0.16172678979868002</v>
          </cell>
          <cell r="L67">
            <v>0.16113450425923567</v>
          </cell>
          <cell r="M67">
            <v>0.17583083671280553</v>
          </cell>
        </row>
        <row r="68">
          <cell r="B68">
            <v>6.1086493314507478E-3</v>
          </cell>
          <cell r="C68">
            <v>6.0717319271823226E-3</v>
          </cell>
          <cell r="D68">
            <v>6.0533814437117662E-3</v>
          </cell>
          <cell r="E68">
            <v>8.6498515260883202E-2</v>
          </cell>
          <cell r="F68">
            <v>0.11982034058642882</v>
          </cell>
          <cell r="G68">
            <v>0.13221367930588676</v>
          </cell>
          <cell r="H68">
            <v>0.14121729709515871</v>
          </cell>
          <cell r="I68">
            <v>0.1485423591582031</v>
          </cell>
          <cell r="J68">
            <v>0.15766446573065737</v>
          </cell>
          <cell r="K68">
            <v>0.16166850945983241</v>
          </cell>
          <cell r="L68">
            <v>0.16105322066649289</v>
          </cell>
          <cell r="M68">
            <v>0.17580481108929491</v>
          </cell>
        </row>
        <row r="69">
          <cell r="B69">
            <v>3.0552378474554991E-3</v>
          </cell>
          <cell r="C69">
            <v>3.0380652502908952E-3</v>
          </cell>
          <cell r="D69">
            <v>3.0255447303552175E-3</v>
          </cell>
          <cell r="E69">
            <v>6.007493080054023E-2</v>
          </cell>
          <cell r="F69">
            <v>7.9203069931285244E-2</v>
          </cell>
          <cell r="G69">
            <v>8.8298253337220162E-2</v>
          </cell>
          <cell r="H69">
            <v>9.2299724306526332E-2</v>
          </cell>
          <cell r="I69">
            <v>0.10018908738475156</v>
          </cell>
          <cell r="J69">
            <v>0.10277136321534659</v>
          </cell>
          <cell r="K69">
            <v>0.10680641018819929</v>
          </cell>
          <cell r="L69">
            <v>0.10644868147895373</v>
          </cell>
          <cell r="M69">
            <v>0.11784707887127507</v>
          </cell>
        </row>
        <row r="90">
          <cell r="B90">
            <v>2.0280902509623187</v>
          </cell>
          <cell r="C90">
            <v>2.3154316078808925</v>
          </cell>
          <cell r="D90">
            <v>1.8533345826627157</v>
          </cell>
          <cell r="E90">
            <v>0.62576985108029382</v>
          </cell>
          <cell r="F90">
            <v>1.7721183689560589</v>
          </cell>
          <cell r="G90">
            <v>1.81390623459125</v>
          </cell>
          <cell r="H90">
            <v>5.0625576779764836E-3</v>
          </cell>
          <cell r="I90">
            <v>1.5898793393157206E-2</v>
          </cell>
          <cell r="J90">
            <v>1.1748338815303067E-2</v>
          </cell>
          <cell r="K90">
            <v>1.498810512719408E-2</v>
          </cell>
          <cell r="L90">
            <v>3.5763787255267735E-3</v>
          </cell>
          <cell r="M90">
            <v>5.5552017597773609E-3</v>
          </cell>
        </row>
        <row r="91">
          <cell r="B91">
            <v>1.1839529842623817</v>
          </cell>
          <cell r="C91">
            <v>1.9875677472452287</v>
          </cell>
          <cell r="D91">
            <v>1.9875689380313097</v>
          </cell>
          <cell r="E91">
            <v>1.9875689036516504</v>
          </cell>
          <cell r="F91">
            <v>1.9875734495849273</v>
          </cell>
          <cell r="G91">
            <v>1.9875801207447232</v>
          </cell>
          <cell r="H91">
            <v>1.9875875088118393</v>
          </cell>
          <cell r="I91">
            <v>1.9875993816380391</v>
          </cell>
          <cell r="J91">
            <v>1.9876082222979172</v>
          </cell>
          <cell r="K91">
            <v>1.9876301414718436</v>
          </cell>
          <cell r="L91">
            <v>1.9876537500819786</v>
          </cell>
          <cell r="M91">
            <v>1.9877693136458383</v>
          </cell>
        </row>
        <row r="92">
          <cell r="B92">
            <v>1.450033235943281</v>
          </cell>
          <cell r="C92">
            <v>3.8018383724488545</v>
          </cell>
          <cell r="D92">
            <v>3.7994700626442102</v>
          </cell>
          <cell r="E92">
            <v>1.1496320332190755</v>
          </cell>
          <cell r="F92">
            <v>0.70270898058289188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B93">
            <v>0.2154454693779741</v>
          </cell>
          <cell r="C93">
            <v>0.21745551215564288</v>
          </cell>
          <cell r="D93">
            <v>4.2462298719002653E-3</v>
          </cell>
          <cell r="E93">
            <v>4.2242521345147365E-3</v>
          </cell>
          <cell r="F93">
            <v>3.4757575159077804E-3</v>
          </cell>
          <cell r="G93">
            <v>3.0772655479237758E-3</v>
          </cell>
          <cell r="H93">
            <v>3.1191482306606949E-3</v>
          </cell>
          <cell r="I93">
            <v>1.3670497292138165E-3</v>
          </cell>
          <cell r="J93">
            <v>2.4667941183889137E-3</v>
          </cell>
          <cell r="K93">
            <v>1.3239996670958063E-3</v>
          </cell>
          <cell r="L93">
            <v>2.596545458312117E-3</v>
          </cell>
          <cell r="M93">
            <v>1.315605994093239E-3</v>
          </cell>
        </row>
        <row r="94">
          <cell r="B94">
            <v>1.9522990710107471</v>
          </cell>
          <cell r="C94">
            <v>1.7619464673180054</v>
          </cell>
          <cell r="D94">
            <v>1.5106629580515629</v>
          </cell>
          <cell r="E94">
            <v>1.1689552981849136</v>
          </cell>
          <cell r="F94">
            <v>0.98250067537018837</v>
          </cell>
          <cell r="G94">
            <v>0.76042809862138783</v>
          </cell>
          <cell r="H94">
            <v>0.58841301011510827</v>
          </cell>
          <cell r="I94">
            <v>0.45532552416996169</v>
          </cell>
          <cell r="J94">
            <v>0.35238083701569872</v>
          </cell>
          <cell r="K94">
            <v>0.27274981682622879</v>
          </cell>
          <cell r="L94">
            <v>0.21112459023575278</v>
          </cell>
          <cell r="M94">
            <v>0.16362000145825575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2.4884812905598224E-4</v>
          </cell>
          <cell r="F95">
            <v>3.6131657363949803E-4</v>
          </cell>
          <cell r="G95">
            <v>3.8130027404349975E-4</v>
          </cell>
          <cell r="H95">
            <v>3.9077863851920153E-4</v>
          </cell>
          <cell r="I95">
            <v>4.1383038532788235E-4</v>
          </cell>
          <cell r="J95">
            <v>4.2250228236866008E-4</v>
          </cell>
          <cell r="K95">
            <v>4.8535328072925581E-4</v>
          </cell>
          <cell r="L95">
            <v>5.2299243875699635E-4</v>
          </cell>
          <cell r="M95">
            <v>8.8237185493460603E-4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8.8037297440942265E-4</v>
          </cell>
          <cell r="H96">
            <v>8.8155971449804056E-4</v>
          </cell>
          <cell r="I96">
            <v>8.8436625195983454E-4</v>
          </cell>
          <cell r="J96">
            <v>8.8670511599088443E-4</v>
          </cell>
          <cell r="K96">
            <v>8.9693118744295071E-4</v>
          </cell>
          <cell r="L96">
            <v>9.0872334691484424E-4</v>
          </cell>
          <cell r="M96">
            <v>1.4753631479916284E-3</v>
          </cell>
        </row>
        <row r="97">
          <cell r="B97">
            <v>0</v>
          </cell>
          <cell r="C97">
            <v>1.1082036711386034</v>
          </cell>
          <cell r="D97">
            <v>1.1417837277848046</v>
          </cell>
          <cell r="E97">
            <v>1.2000262999014866</v>
          </cell>
          <cell r="F97">
            <v>1.2612405177290333</v>
          </cell>
          <cell r="G97">
            <v>1.3255771567785646</v>
          </cell>
          <cell r="H97">
            <v>1.3931956938315413</v>
          </cell>
          <cell r="I97">
            <v>1.4642642176749125</v>
          </cell>
          <cell r="J97">
            <v>1.5389573490151665</v>
          </cell>
          <cell r="K97">
            <v>1.6174623911501205</v>
          </cell>
          <cell r="L97">
            <v>1.6999726070519185</v>
          </cell>
          <cell r="M97">
            <v>1.7866999110886617</v>
          </cell>
        </row>
      </sheetData>
      <sheetData sheetId="60">
        <row r="14">
          <cell r="B14">
            <v>3.0935585690705589</v>
          </cell>
          <cell r="C14">
            <v>3.0935576460061776</v>
          </cell>
          <cell r="D14">
            <v>2.9285590994211739</v>
          </cell>
          <cell r="E14">
            <v>2.7568647997483824</v>
          </cell>
          <cell r="F14">
            <v>2.1828483368027558</v>
          </cell>
          <cell r="G14">
            <v>1.3531250392118201</v>
          </cell>
          <cell r="H14">
            <v>0.23755072835767854</v>
          </cell>
          <cell r="I14">
            <v>0.33709810173094018</v>
          </cell>
          <cell r="J14">
            <v>0.31188834042542241</v>
          </cell>
          <cell r="K14">
            <v>0.23308879853399472</v>
          </cell>
          <cell r="L14">
            <v>0.24260831901583024</v>
          </cell>
          <cell r="M14">
            <v>0.26213876771907574</v>
          </cell>
        </row>
        <row r="15">
          <cell r="B15">
            <v>7.3394300010600002</v>
          </cell>
          <cell r="C15">
            <v>7.344849267652136</v>
          </cell>
          <cell r="D15">
            <v>7.3563041983939677</v>
          </cell>
          <cell r="E15">
            <v>7.4162074091185053</v>
          </cell>
          <cell r="F15">
            <v>7.4164920629177367</v>
          </cell>
          <cell r="G15">
            <v>7.416498382525659</v>
          </cell>
          <cell r="H15">
            <v>7.489929350094652</v>
          </cell>
          <cell r="I15">
            <v>7.608307901226822</v>
          </cell>
          <cell r="J15">
            <v>7.6083094440017316</v>
          </cell>
          <cell r="K15">
            <v>7.6083148952131685</v>
          </cell>
          <cell r="L15">
            <v>7.6083185018328248</v>
          </cell>
          <cell r="M15">
            <v>7.6083359993929154</v>
          </cell>
        </row>
        <row r="16">
          <cell r="B16">
            <v>4.7247299999999992</v>
          </cell>
          <cell r="C16">
            <v>4.8082202641829745</v>
          </cell>
          <cell r="D16">
            <v>4.8606222670120136</v>
          </cell>
          <cell r="E16">
            <v>4.8647515679363265</v>
          </cell>
          <cell r="F16">
            <v>4.8649121034859508</v>
          </cell>
          <cell r="G16">
            <v>4.8649171716229702</v>
          </cell>
          <cell r="H16">
            <v>4.8649238882054968</v>
          </cell>
          <cell r="I16">
            <v>4.8649377471126476</v>
          </cell>
          <cell r="J16">
            <v>4.8649418654641998</v>
          </cell>
          <cell r="K16">
            <v>4.8649631159622002</v>
          </cell>
          <cell r="L16">
            <v>4.8649961031694655</v>
          </cell>
          <cell r="M16">
            <v>4.8661877303338681</v>
          </cell>
        </row>
        <row r="17">
          <cell r="B17">
            <v>3.3394499999999998</v>
          </cell>
          <cell r="C17">
            <v>3.9716265715804027</v>
          </cell>
          <cell r="D17">
            <v>4.3600476254593525</v>
          </cell>
          <cell r="E17">
            <v>4.3600476254593525</v>
          </cell>
          <cell r="F17">
            <v>4.3600715384152213</v>
          </cell>
          <cell r="G17">
            <v>4.3600822129034382</v>
          </cell>
          <cell r="H17">
            <v>4.3601237138798519</v>
          </cell>
          <cell r="I17">
            <v>4.3603186198534551</v>
          </cell>
          <cell r="J17">
            <v>4.3603197672639729</v>
          </cell>
          <cell r="K17">
            <v>4.3605336522394209</v>
          </cell>
          <cell r="L17">
            <v>4.360536811804872</v>
          </cell>
          <cell r="M17">
            <v>4.3614675478605962</v>
          </cell>
        </row>
        <row r="18">
          <cell r="B18">
            <v>2.4638656170527705E-2</v>
          </cell>
          <cell r="C18">
            <v>2.2694625746376845E-2</v>
          </cell>
          <cell r="D18">
            <v>1.2623992342681953E-2</v>
          </cell>
          <cell r="E18">
            <v>3.3299897392905169E-2</v>
          </cell>
          <cell r="F18">
            <v>6.0124093103145961E-2</v>
          </cell>
          <cell r="G18">
            <v>6.587483536092692E-2</v>
          </cell>
          <cell r="H18">
            <v>6.033540328710317E-2</v>
          </cell>
          <cell r="I18">
            <v>5.9004468225944226E-2</v>
          </cell>
          <cell r="J18">
            <v>5.3312677457264646E-2</v>
          </cell>
          <cell r="K18">
            <v>4.0587311366025655E-2</v>
          </cell>
          <cell r="L18">
            <v>3.5784257152061669E-2</v>
          </cell>
          <cell r="M18">
            <v>5.0738221793559843E-2</v>
          </cell>
        </row>
        <row r="19">
          <cell r="B19">
            <v>0.30582980593205411</v>
          </cell>
          <cell r="C19">
            <v>0.30582257320788042</v>
          </cell>
          <cell r="D19">
            <v>0.30582026605086676</v>
          </cell>
          <cell r="E19">
            <v>0.27599316078435493</v>
          </cell>
          <cell r="F19">
            <v>0.27949030348622467</v>
          </cell>
          <cell r="G19">
            <v>0.28606244916389251</v>
          </cell>
          <cell r="H19">
            <v>0.29279348083188733</v>
          </cell>
          <cell r="I19">
            <v>0.29969331235072549</v>
          </cell>
          <cell r="J19">
            <v>0.29968908693363822</v>
          </cell>
          <cell r="K19">
            <v>0.2997056310141773</v>
          </cell>
          <cell r="L19">
            <v>0.30724872100363154</v>
          </cell>
          <cell r="M19">
            <v>0.31155324382310706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2.7192902948645001E-2</v>
          </cell>
          <cell r="H21">
            <v>0.24332220143475852</v>
          </cell>
          <cell r="I21">
            <v>0.42934053912932868</v>
          </cell>
          <cell r="J21">
            <v>0.58088696218157898</v>
          </cell>
          <cell r="K21">
            <v>0.67689171467030906</v>
          </cell>
          <cell r="L21">
            <v>0.7238488670898916</v>
          </cell>
          <cell r="M21">
            <v>0.65771351156530844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1.6077828993068099E-2</v>
          </cell>
          <cell r="G22">
            <v>6.6765874880958961E-2</v>
          </cell>
          <cell r="H22">
            <v>6.6778302503733455E-2</v>
          </cell>
          <cell r="I22">
            <v>6.6778098885329706E-2</v>
          </cell>
          <cell r="J22">
            <v>6.6804615297394426E-2</v>
          </cell>
          <cell r="K22">
            <v>5.0752788282782124E-2</v>
          </cell>
          <cell r="L22">
            <v>1.4873239861988829E-2</v>
          </cell>
          <cell r="M22">
            <v>3.0695579931356159E-2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B24">
            <v>5.2549714551014197E-2</v>
          </cell>
          <cell r="C24">
            <v>1.3632199264347611E-4</v>
          </cell>
          <cell r="D24">
            <v>2.2493871750247502E-3</v>
          </cell>
          <cell r="E24">
            <v>2.9772877958478695E-2</v>
          </cell>
          <cell r="F24">
            <v>2.9734465342751742E-2</v>
          </cell>
          <cell r="G24">
            <v>4.5891673824484322E-2</v>
          </cell>
          <cell r="H24">
            <v>3.5500053446785258E-2</v>
          </cell>
          <cell r="I24">
            <v>1.6375473191699734E-2</v>
          </cell>
          <cell r="J24">
            <v>1.4317768865518072E-2</v>
          </cell>
          <cell r="K24">
            <v>3.3858420320364273E-3</v>
          </cell>
          <cell r="L24">
            <v>3.3312693223162457E-3</v>
          </cell>
          <cell r="M24">
            <v>3.8983059794786131E-3</v>
          </cell>
        </row>
        <row r="25">
          <cell r="B25">
            <v>1.5199249052816603E-2</v>
          </cell>
          <cell r="C25">
            <v>1.001769283256234E-2</v>
          </cell>
          <cell r="D25">
            <v>2.5600119159644802E-2</v>
          </cell>
          <cell r="E25">
            <v>3.9755040988744293E-2</v>
          </cell>
          <cell r="F25">
            <v>4.6662566571181535E-2</v>
          </cell>
          <cell r="G25">
            <v>4.8076798476502633E-2</v>
          </cell>
          <cell r="H25">
            <v>2.9017510079660736E-2</v>
          </cell>
          <cell r="I25">
            <v>1.767494682067039E-2</v>
          </cell>
          <cell r="J25">
            <v>1.0976892184349897E-2</v>
          </cell>
          <cell r="K25">
            <v>1.339609605353124E-2</v>
          </cell>
          <cell r="L25">
            <v>1.3413115132724227E-2</v>
          </cell>
          <cell r="M25">
            <v>1.1912723064815535E-2</v>
          </cell>
        </row>
        <row r="26">
          <cell r="B26">
            <v>7.7673334258151192E-2</v>
          </cell>
          <cell r="C26">
            <v>7.1002636611785935E-2</v>
          </cell>
          <cell r="D26">
            <v>7.0492497757216027E-2</v>
          </cell>
          <cell r="E26">
            <v>7.049039001674301E-2</v>
          </cell>
          <cell r="F26">
            <v>6.9926611140336686E-2</v>
          </cell>
          <cell r="G26">
            <v>7.0079803312795244E-2</v>
          </cell>
          <cell r="H26">
            <v>7.0202461804874522E-2</v>
          </cell>
          <cell r="I26">
            <v>7.0293492143286687E-2</v>
          </cell>
          <cell r="J26">
            <v>7.0294834325183284E-2</v>
          </cell>
          <cell r="K26">
            <v>7.0299899567728599E-2</v>
          </cell>
          <cell r="L26">
            <v>7.0294443613947113E-2</v>
          </cell>
          <cell r="M26">
            <v>7.0296217334626862E-2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4.5772429844494209E-3</v>
          </cell>
          <cell r="C28">
            <v>2.1357389933681394E-3</v>
          </cell>
          <cell r="D28">
            <v>1.9224539204622682E-3</v>
          </cell>
          <cell r="E28">
            <v>1.3421094967382748E-3</v>
          </cell>
          <cell r="F28">
            <v>1.2663397376013676E-3</v>
          </cell>
          <cell r="G28">
            <v>7.4007275107791301E-4</v>
          </cell>
          <cell r="H28">
            <v>7.6721157760278858E-4</v>
          </cell>
          <cell r="I28">
            <v>1.1489664220106696E-3</v>
          </cell>
          <cell r="J28">
            <v>1.1117138406147714E-3</v>
          </cell>
          <cell r="K28">
            <v>1.4348039962538083E-3</v>
          </cell>
          <cell r="L28">
            <v>1.1913727639038375E-3</v>
          </cell>
          <cell r="M28">
            <v>2.0593533538532261E-3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1.47618344294291E-2</v>
          </cell>
          <cell r="H29">
            <v>2.6972904115662159E-2</v>
          </cell>
          <cell r="I29">
            <v>3.2900379860454049E-2</v>
          </cell>
          <cell r="J29">
            <v>3.0992701684196679E-2</v>
          </cell>
          <cell r="K29">
            <v>1.829649384263422E-2</v>
          </cell>
          <cell r="L29">
            <v>6.0988423525846326E-3</v>
          </cell>
          <cell r="M29">
            <v>2.7394641574160069E-3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4.3414320538198101E-4</v>
          </cell>
          <cell r="H30">
            <v>5.0379502297528088E-4</v>
          </cell>
          <cell r="I30">
            <v>1.0082752324391631E-3</v>
          </cell>
          <cell r="J30">
            <v>9.6557513488723732E-4</v>
          </cell>
          <cell r="K30">
            <v>3.323433733113466E-3</v>
          </cell>
          <cell r="L30">
            <v>3.4075592021176157E-3</v>
          </cell>
          <cell r="M30">
            <v>4.6925283175232747E-3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5.9548418239373875E-4</v>
          </cell>
          <cell r="I32">
            <v>9.9937977977947222E-4</v>
          </cell>
          <cell r="J32">
            <v>1.0420161918626002E-3</v>
          </cell>
          <cell r="K32">
            <v>1.1555595214064688E-3</v>
          </cell>
          <cell r="L32">
            <v>1.3520462627432928E-3</v>
          </cell>
          <cell r="M32">
            <v>2.39908468625242E-3</v>
          </cell>
        </row>
        <row r="33">
          <cell r="B33">
            <v>8.7120000000000003E-2</v>
          </cell>
          <cell r="C33">
            <v>9.0660168813007175E-2</v>
          </cell>
          <cell r="D33">
            <v>8.3656086306936162E-2</v>
          </cell>
          <cell r="E33">
            <v>9.3752742984720305E-2</v>
          </cell>
          <cell r="F33">
            <v>9.4126354824491706E-2</v>
          </cell>
          <cell r="G33">
            <v>9.4553622384446243E-2</v>
          </cell>
          <cell r="H33">
            <v>9.6492457738756601E-2</v>
          </cell>
          <cell r="I33">
            <v>9.6505860007096503E-2</v>
          </cell>
          <cell r="J33">
            <v>9.6799201363548595E-2</v>
          </cell>
          <cell r="K33">
            <v>9.6823512196883704E-2</v>
          </cell>
          <cell r="L33">
            <v>9.7173328279395704E-2</v>
          </cell>
          <cell r="M33">
            <v>9.9235632139883803E-2</v>
          </cell>
        </row>
        <row r="34">
          <cell r="B34">
            <v>0</v>
          </cell>
          <cell r="C34">
            <v>0</v>
          </cell>
          <cell r="D34">
            <v>4.4924586395967601E-2</v>
          </cell>
          <cell r="E34">
            <v>6.8878453844383972E-2</v>
          </cell>
          <cell r="F34">
            <v>0.24044281757491121</v>
          </cell>
          <cell r="G34">
            <v>0.24192171598891629</v>
          </cell>
          <cell r="H34">
            <v>0.19764565274556103</v>
          </cell>
          <cell r="I34">
            <v>0.17364286772063797</v>
          </cell>
          <cell r="J34">
            <v>5.5055934552734352E-2</v>
          </cell>
          <cell r="K34">
            <v>4.4936360329277204E-2</v>
          </cell>
          <cell r="L34">
            <v>4.5132231269192004E-2</v>
          </cell>
          <cell r="M34">
            <v>0.37893002496481537</v>
          </cell>
        </row>
        <row r="35">
          <cell r="B35">
            <v>1.1186210000000001</v>
          </cell>
          <cell r="C35">
            <v>1.6529271450303167</v>
          </cell>
          <cell r="D35">
            <v>3.5611880842541197</v>
          </cell>
          <cell r="E35">
            <v>3.4922775400233901</v>
          </cell>
          <cell r="F35">
            <v>3.67042442842205</v>
          </cell>
          <cell r="G35">
            <v>3.8576531355455113</v>
          </cell>
          <cell r="H35">
            <v>4.0544306078415602</v>
          </cell>
          <cell r="I35">
            <v>4.2612487805227799</v>
          </cell>
          <cell r="J35">
            <v>4.47861719233976</v>
          </cell>
          <cell r="K35">
            <v>4.7070751271814597</v>
          </cell>
          <cell r="L35">
            <v>4.9471919547743797</v>
          </cell>
          <cell r="M35">
            <v>5.1995829936981197</v>
          </cell>
        </row>
        <row r="36">
          <cell r="B36">
            <v>0.67885700000000004</v>
          </cell>
          <cell r="C36">
            <v>1.1559284973369641</v>
          </cell>
          <cell r="D36">
            <v>2.0812138077984015</v>
          </cell>
          <cell r="E36">
            <v>4.6799994517753731</v>
          </cell>
          <cell r="F36">
            <v>4.9187289706718715</v>
          </cell>
          <cell r="G36">
            <v>5.1696335814356527</v>
          </cell>
          <cell r="H36">
            <v>5.4333332560847154</v>
          </cell>
          <cell r="I36">
            <v>5.7104886820953729</v>
          </cell>
          <cell r="J36">
            <v>6.0017823377777679</v>
          </cell>
          <cell r="K36">
            <v>6.3079364467637173</v>
          </cell>
          <cell r="L36">
            <v>6.6297097275717594</v>
          </cell>
          <cell r="M36">
            <v>6.967975542794175</v>
          </cell>
        </row>
        <row r="37">
          <cell r="B37">
            <v>0.27424799999999999</v>
          </cell>
          <cell r="C37">
            <v>0.43897819343059552</v>
          </cell>
          <cell r="D37">
            <v>1.734984321361269</v>
          </cell>
          <cell r="E37">
            <v>3.1938607204368417</v>
          </cell>
          <cell r="F37">
            <v>3.3567836470163019</v>
          </cell>
          <cell r="G37">
            <v>3.5280133101949742</v>
          </cell>
          <cell r="H37">
            <v>3.7079718288783701</v>
          </cell>
          <cell r="I37">
            <v>3.8971146664357104</v>
          </cell>
          <cell r="J37">
            <v>4.0959078944501703</v>
          </cell>
          <cell r="K37">
            <v>4.3048425384964899</v>
          </cell>
          <cell r="L37">
            <v>4.5244359824105</v>
          </cell>
          <cell r="M37">
            <v>4.7552603152076198</v>
          </cell>
        </row>
        <row r="38">
          <cell r="B38">
            <v>0.90292899999999998</v>
          </cell>
          <cell r="C38">
            <v>1.1231013491195396</v>
          </cell>
          <cell r="D38">
            <v>1.1752402231818369</v>
          </cell>
          <cell r="E38">
            <v>1.0907522516504657</v>
          </cell>
          <cell r="F38">
            <v>1.146395993659368</v>
          </cell>
          <cell r="G38">
            <v>1.2048736654859211</v>
          </cell>
          <cell r="H38">
            <v>1.2663314288063401</v>
          </cell>
          <cell r="I38">
            <v>1.33092696896679</v>
          </cell>
          <cell r="J38">
            <v>1.39881843593084</v>
          </cell>
          <cell r="K38">
            <v>1.4701741154021</v>
          </cell>
          <cell r="L38">
            <v>1.54517040993564</v>
          </cell>
          <cell r="M38">
            <v>1.62402556048057</v>
          </cell>
        </row>
        <row r="39">
          <cell r="B39">
            <v>2.9342669335457407E-2</v>
          </cell>
          <cell r="C39">
            <v>2.1703648989177537E-2</v>
          </cell>
          <cell r="D39">
            <v>1.3983510976986614E-2</v>
          </cell>
          <cell r="E39">
            <v>3.0901402930715596E-2</v>
          </cell>
          <cell r="F39">
            <v>2.6869464343839602E-2</v>
          </cell>
          <cell r="G39">
            <v>2.6931511865906324E-2</v>
          </cell>
          <cell r="H39">
            <v>1.8548651978533399E-2</v>
          </cell>
          <cell r="I39">
            <v>9.6829420510786308E-3</v>
          </cell>
          <cell r="J39">
            <v>9.5399847464507793E-3</v>
          </cell>
          <cell r="K39">
            <v>1.0094303676237476E-2</v>
          </cell>
          <cell r="L39">
            <v>1.5807664136758451E-2</v>
          </cell>
          <cell r="M39">
            <v>1.7424094616265852E-2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B41">
            <v>8.3038017138905643E-3</v>
          </cell>
          <cell r="C41">
            <v>6.4317137555827452E-3</v>
          </cell>
          <cell r="D41">
            <v>6.4461326871884618E-3</v>
          </cell>
          <cell r="E41">
            <v>2.5654250341241941E-2</v>
          </cell>
          <cell r="F41">
            <v>3.7698969707381826E-2</v>
          </cell>
          <cell r="G41">
            <v>4.9248910000622328E-2</v>
          </cell>
          <cell r="H41">
            <v>5.7537974416109708E-2</v>
          </cell>
          <cell r="I41">
            <v>6.4852459088190345E-2</v>
          </cell>
          <cell r="J41">
            <v>6.5871068149135209E-2</v>
          </cell>
          <cell r="K41">
            <v>6.6626994411788779E-2</v>
          </cell>
          <cell r="L41">
            <v>6.674474197222556E-2</v>
          </cell>
          <cell r="M41">
            <v>6.6313919618256695E-2</v>
          </cell>
        </row>
        <row r="42">
          <cell r="B42">
            <v>7.5766471459790602E-3</v>
          </cell>
          <cell r="C42">
            <v>1.9272245411749146E-2</v>
          </cell>
          <cell r="D42">
            <v>4.2831466699295544E-2</v>
          </cell>
          <cell r="E42">
            <v>7.2945518633062881E-2</v>
          </cell>
          <cell r="F42">
            <v>9.5832598728844698E-2</v>
          </cell>
          <cell r="G42">
            <v>0.12369434208911037</v>
          </cell>
          <cell r="H42">
            <v>0.17563544479856752</v>
          </cell>
          <cell r="I42">
            <v>0.22122472920710368</v>
          </cell>
          <cell r="J42">
            <v>0.23037532042967387</v>
          </cell>
          <cell r="K42">
            <v>0.22753362792318105</v>
          </cell>
          <cell r="L42">
            <v>0.22565589122532803</v>
          </cell>
          <cell r="M42">
            <v>0.22609233075269497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4.719235902819368E-2</v>
          </cell>
          <cell r="C44">
            <v>1.5846625774274897E-2</v>
          </cell>
          <cell r="D44">
            <v>1.5844127536432578E-2</v>
          </cell>
          <cell r="E44">
            <v>1.3546895281623696E-2</v>
          </cell>
          <cell r="F44">
            <v>1.3394271374824789E-2</v>
          </cell>
          <cell r="G44">
            <v>1.3746501735721518E-2</v>
          </cell>
          <cell r="H44">
            <v>1.3751982749382084E-2</v>
          </cell>
          <cell r="I44">
            <v>1.3196294346269743E-2</v>
          </cell>
          <cell r="J44">
            <v>1.3193084810427561E-2</v>
          </cell>
          <cell r="K44">
            <v>1.3197422985786505E-2</v>
          </cell>
          <cell r="L44">
            <v>1.319605993188285E-2</v>
          </cell>
          <cell r="M44">
            <v>1.3205721502573131E-2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4.0850687433292902E-4</v>
          </cell>
          <cell r="F46">
            <v>1.018571578634625E-3</v>
          </cell>
          <cell r="G46">
            <v>1.3708964601804722E-3</v>
          </cell>
          <cell r="H46">
            <v>1.3474128733181405E-3</v>
          </cell>
          <cell r="I46">
            <v>3.0160144302315227E-3</v>
          </cell>
          <cell r="J46">
            <v>2.6199485582907179E-3</v>
          </cell>
          <cell r="K46">
            <v>6.6768964801249666E-3</v>
          </cell>
          <cell r="L46">
            <v>6.3235419345316086E-3</v>
          </cell>
          <cell r="M46">
            <v>9.2113882178345291E-3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2.9335632255962901E-4</v>
          </cell>
          <cell r="F47">
            <v>5.0838623279452584E-4</v>
          </cell>
          <cell r="G47">
            <v>6.3499254679651499E-4</v>
          </cell>
          <cell r="H47">
            <v>7.7663172362733011E-4</v>
          </cell>
          <cell r="I47">
            <v>1.3334158681135612E-3</v>
          </cell>
          <cell r="J47">
            <v>1.1364289363808124E-3</v>
          </cell>
          <cell r="K47">
            <v>1.7961333157442997E-3</v>
          </cell>
          <cell r="L47">
            <v>1.6762640966732246E-3</v>
          </cell>
          <cell r="M47">
            <v>3.0685638153359479E-3</v>
          </cell>
        </row>
        <row r="48">
          <cell r="B48">
            <v>4.173530974808333E-3</v>
          </cell>
          <cell r="C48">
            <v>1.1465438107508392E-3</v>
          </cell>
          <cell r="D48">
            <v>1.5172751922507624E-3</v>
          </cell>
          <cell r="E48">
            <v>1.3483539100518191E-3</v>
          </cell>
          <cell r="F48">
            <v>2.9944026345617956E-3</v>
          </cell>
          <cell r="G48">
            <v>3.0410930254191966E-3</v>
          </cell>
          <cell r="H48">
            <v>3.5050638925339926E-3</v>
          </cell>
          <cell r="I48">
            <v>4.7891205092031267E-3</v>
          </cell>
          <cell r="J48">
            <v>4.1359242839322432E-3</v>
          </cell>
          <cell r="K48">
            <v>4.4963037864716561E-3</v>
          </cell>
          <cell r="L48">
            <v>1.4985553497236001E-2</v>
          </cell>
          <cell r="M48">
            <v>1.4685170489480225E-2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6.5650491246075092E-5</v>
          </cell>
          <cell r="F49">
            <v>2.3243959311265749E-4</v>
          </cell>
          <cell r="G49">
            <v>2.3570003964712679E-4</v>
          </cell>
          <cell r="H49">
            <v>2.4899452098594579E-4</v>
          </cell>
          <cell r="I49">
            <v>5.9371407259955957E-4</v>
          </cell>
          <cell r="J49">
            <v>4.8072965831260869E-4</v>
          </cell>
          <cell r="K49">
            <v>7.6351192524167584E-4</v>
          </cell>
          <cell r="L49">
            <v>7.3382795379324452E-4</v>
          </cell>
          <cell r="M49">
            <v>1.3382047534525783E-3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3.3100313979261901E-4</v>
          </cell>
          <cell r="F50">
            <v>6.4166630647741348E-4</v>
          </cell>
          <cell r="G50">
            <v>6.5139116943784307E-4</v>
          </cell>
          <cell r="H50">
            <v>7.0221322674707243E-4</v>
          </cell>
          <cell r="I50">
            <v>1.4084200426147029E-3</v>
          </cell>
          <cell r="J50">
            <v>1.3108335446169414E-3</v>
          </cell>
          <cell r="K50">
            <v>1.6783570879813101E-3</v>
          </cell>
          <cell r="L50">
            <v>1.2281495403644693E-3</v>
          </cell>
          <cell r="M50">
            <v>2.1256425070298743E-3</v>
          </cell>
        </row>
        <row r="51">
          <cell r="B51">
            <v>8.5197203931046007E-3</v>
          </cell>
          <cell r="C51">
            <v>7.4317462789798335E-3</v>
          </cell>
          <cell r="D51">
            <v>9.348204158428736E-3</v>
          </cell>
          <cell r="E51">
            <v>4.6498243537641676E-2</v>
          </cell>
          <cell r="F51">
            <v>4.9711084651275182E-2</v>
          </cell>
          <cell r="G51">
            <v>5.5728787194958204E-2</v>
          </cell>
          <cell r="H51">
            <v>5.495602697027821E-2</v>
          </cell>
          <cell r="I51">
            <v>5.3973303456278501E-2</v>
          </cell>
          <cell r="J51">
            <v>5.2672253619562931E-2</v>
          </cell>
          <cell r="K51">
            <v>5.10499368058136E-2</v>
          </cell>
          <cell r="L51">
            <v>4.4725041607080254E-2</v>
          </cell>
          <cell r="M51">
            <v>4.0141198402265356E-2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2.7911671779536301E-4</v>
          </cell>
          <cell r="F52">
            <v>1.0961586789124322E-3</v>
          </cell>
          <cell r="G52">
            <v>1.1186856621852579E-3</v>
          </cell>
          <cell r="H52">
            <v>1.2573980146771374E-3</v>
          </cell>
          <cell r="I52">
            <v>3.3916905700202525E-3</v>
          </cell>
          <cell r="J52">
            <v>2.9684284281980503E-3</v>
          </cell>
          <cell r="K52">
            <v>5.7920468331538145E-3</v>
          </cell>
          <cell r="L52">
            <v>5.627387599271492E-3</v>
          </cell>
          <cell r="M52">
            <v>1.0125277866949597E-2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7.1590704840973098E-4</v>
          </cell>
          <cell r="F53">
            <v>9.1373028056336786E-4</v>
          </cell>
          <cell r="G53">
            <v>8.4141176809904923E-4</v>
          </cell>
          <cell r="H53">
            <v>1.0184886204255767E-3</v>
          </cell>
          <cell r="I53">
            <v>2.2343838941220199E-3</v>
          </cell>
          <cell r="J53">
            <v>2.0908474155394586E-3</v>
          </cell>
          <cell r="K53">
            <v>1.8808724129693918E-3</v>
          </cell>
          <cell r="L53">
            <v>1.9922922121207399E-3</v>
          </cell>
          <cell r="M53">
            <v>3.412366932498764E-3</v>
          </cell>
        </row>
        <row r="54">
          <cell r="B54">
            <v>7.3512213214295172E-2</v>
          </cell>
          <cell r="C54">
            <v>8.4758599087997252E-2</v>
          </cell>
          <cell r="D54">
            <v>8.4758943290180327E-2</v>
          </cell>
          <cell r="E54">
            <v>8.4760372681819504E-2</v>
          </cell>
          <cell r="F54">
            <v>8.4760279157956031E-2</v>
          </cell>
          <cell r="G54">
            <v>8.4759331428646084E-2</v>
          </cell>
          <cell r="H54">
            <v>8.4759722593894735E-2</v>
          </cell>
          <cell r="I54">
            <v>8.4762783226290689E-2</v>
          </cell>
          <cell r="J54">
            <v>8.4761848671457599E-2</v>
          </cell>
          <cell r="K54">
            <v>8.4765615574029729E-2</v>
          </cell>
          <cell r="L54">
            <v>8.4767229246962325E-2</v>
          </cell>
          <cell r="M54">
            <v>8.75545258834413E-2</v>
          </cell>
        </row>
        <row r="55">
          <cell r="B55">
            <v>6.5199342090216314E-2</v>
          </cell>
          <cell r="C55">
            <v>4.7879924485640518E-2</v>
          </cell>
          <cell r="D55">
            <v>3.9986688228537938E-2</v>
          </cell>
          <cell r="E55">
            <v>0.15324622477518074</v>
          </cell>
          <cell r="F55">
            <v>0.27785977299138837</v>
          </cell>
          <cell r="G55">
            <v>0.27545631505721646</v>
          </cell>
          <cell r="H55">
            <v>0.27746893762174268</v>
          </cell>
          <cell r="I55">
            <v>0.20118577753177752</v>
          </cell>
          <cell r="J55">
            <v>0.20108129931575536</v>
          </cell>
          <cell r="K55">
            <v>0.20540699773196472</v>
          </cell>
          <cell r="L55">
            <v>0.22356571933628819</v>
          </cell>
          <cell r="M55">
            <v>0.23649802659759964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6.4779704994657105E-4</v>
          </cell>
          <cell r="F56">
            <v>6.5619423566288583E-4</v>
          </cell>
          <cell r="G56">
            <v>5.6787962426858591E-4</v>
          </cell>
          <cell r="H56">
            <v>7.2248279354770063E-4</v>
          </cell>
          <cell r="I56">
            <v>1.1981501745570676E-3</v>
          </cell>
          <cell r="J56">
            <v>1.0836430591316664E-3</v>
          </cell>
          <cell r="K56">
            <v>1.4490948891924418E-3</v>
          </cell>
          <cell r="L56">
            <v>1.4016528201050492E-3</v>
          </cell>
          <cell r="M56">
            <v>2.8186030410219617E-3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2.1639127651212401E-4</v>
          </cell>
          <cell r="F57">
            <v>5.2649947441688527E-4</v>
          </cell>
          <cell r="G57">
            <v>5.7780773803826273E-4</v>
          </cell>
          <cell r="H57">
            <v>6.4964827095711553E-4</v>
          </cell>
          <cell r="I57">
            <v>1.8415999089525929E-3</v>
          </cell>
          <cell r="J57">
            <v>1.7402486261143316E-3</v>
          </cell>
          <cell r="K57">
            <v>3.8994630710720338E-3</v>
          </cell>
          <cell r="L57">
            <v>2.9984925700009173E-3</v>
          </cell>
          <cell r="M57">
            <v>5.4336517407554286E-3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2.4550879096724702E-4</v>
          </cell>
          <cell r="F58">
            <v>7.5169486332708616E-4</v>
          </cell>
          <cell r="G58">
            <v>7.2919260824082352E-4</v>
          </cell>
          <cell r="H58">
            <v>5.4267944398713472E-4</v>
          </cell>
          <cell r="I58">
            <v>1.2834069094268005E-3</v>
          </cell>
          <cell r="J58">
            <v>1.2946536158863152E-3</v>
          </cell>
          <cell r="K58">
            <v>2.670915267515873E-3</v>
          </cell>
          <cell r="L58">
            <v>2.0474677897790866E-3</v>
          </cell>
          <cell r="M58">
            <v>4.4139135100461392E-3</v>
          </cell>
        </row>
        <row r="63">
          <cell r="B63">
            <v>0.1</v>
          </cell>
          <cell r="C63">
            <v>9.9785989953073584E-2</v>
          </cell>
          <cell r="D63">
            <v>9.9771082629381586E-2</v>
          </cell>
          <cell r="E63">
            <v>9.9762133942009085E-2</v>
          </cell>
          <cell r="F63">
            <v>9.9766198855957638E-2</v>
          </cell>
          <cell r="G63">
            <v>9.9771399742855593E-2</v>
          </cell>
          <cell r="H63">
            <v>9.977867974098821E-2</v>
          </cell>
          <cell r="I63">
            <v>9.9785424623433122E-2</v>
          </cell>
          <cell r="J63">
            <v>9.9785827597478394E-2</v>
          </cell>
          <cell r="K63">
            <v>9.9802350485822894E-2</v>
          </cell>
          <cell r="L63">
            <v>9.9809045392880838E-2</v>
          </cell>
          <cell r="M63">
            <v>9.98566900172108E-2</v>
          </cell>
        </row>
        <row r="64">
          <cell r="B64">
            <v>1.5822023627908E-3</v>
          </cell>
          <cell r="C64">
            <v>1.5835396780094803E-3</v>
          </cell>
          <cell r="D64">
            <v>1.5917347178358238E-3</v>
          </cell>
          <cell r="E64">
            <v>1.4285959531380313E-3</v>
          </cell>
          <cell r="F64">
            <v>3.4266744214558557E-3</v>
          </cell>
          <cell r="G64">
            <v>4.4596334448078173E-2</v>
          </cell>
          <cell r="H64">
            <v>6.842983976953719E-2</v>
          </cell>
          <cell r="I64">
            <v>6.8514462900468878E-2</v>
          </cell>
          <cell r="J64">
            <v>6.8601715588394258E-2</v>
          </cell>
          <cell r="K64">
            <v>6.8760135336349837E-2</v>
          </cell>
          <cell r="L64">
            <v>6.905180478498732E-2</v>
          </cell>
          <cell r="M64">
            <v>7.6221378373858242E-2</v>
          </cell>
        </row>
        <row r="65">
          <cell r="B65">
            <v>1.1803926187773401E-3</v>
          </cell>
          <cell r="C65">
            <v>1.1815137476461641E-3</v>
          </cell>
          <cell r="D65">
            <v>1.1881210366162559E-3</v>
          </cell>
          <cell r="E65">
            <v>1.1049591389882935E-3</v>
          </cell>
          <cell r="F65">
            <v>2.7370749343032272E-3</v>
          </cell>
          <cell r="G65">
            <v>1.2158177415815907E-2</v>
          </cell>
          <cell r="H65">
            <v>0.10883989592618018</v>
          </cell>
          <cell r="I65">
            <v>0.14107016982842197</v>
          </cell>
          <cell r="J65">
            <v>0.22639626452413775</v>
          </cell>
          <cell r="K65">
            <v>0.27408376937248502</v>
          </cell>
          <cell r="L65">
            <v>0.3194330436724066</v>
          </cell>
          <cell r="M65">
            <v>0.396274439926315</v>
          </cell>
        </row>
        <row r="66">
          <cell r="B66">
            <v>1.1219065562315779E-3</v>
          </cell>
          <cell r="C66">
            <v>1.1229404523863083E-3</v>
          </cell>
          <cell r="D66">
            <v>1.1265298103404818E-3</v>
          </cell>
          <cell r="E66">
            <v>2.6542974983508404E-2</v>
          </cell>
          <cell r="F66">
            <v>2.6785774232084787E-2</v>
          </cell>
          <cell r="G66">
            <v>2.8437035395330976E-2</v>
          </cell>
          <cell r="H66">
            <v>2.9985891353444333E-2</v>
          </cell>
          <cell r="I66">
            <v>3.5933786261703661E-2</v>
          </cell>
          <cell r="J66">
            <v>3.5609186600199558E-2</v>
          </cell>
          <cell r="K66">
            <v>4.208600977072207E-2</v>
          </cell>
          <cell r="L66">
            <v>5.2710831832550584E-2</v>
          </cell>
          <cell r="M66">
            <v>5.022596399650818E-2</v>
          </cell>
        </row>
        <row r="67">
          <cell r="B67">
            <v>2.249976808376809E-3</v>
          </cell>
          <cell r="C67">
            <v>2.2520902616115848E-3</v>
          </cell>
          <cell r="D67">
            <v>2.2591177807618711E-3</v>
          </cell>
          <cell r="E67">
            <v>4.1117917302128729E-2</v>
          </cell>
          <cell r="F67">
            <v>4.4187569322819552E-2</v>
          </cell>
          <cell r="G67">
            <v>4.5706800728093286E-2</v>
          </cell>
          <cell r="H67">
            <v>5.1338802921239601E-2</v>
          </cell>
          <cell r="I67">
            <v>5.5051502311567635E-2</v>
          </cell>
          <cell r="J67">
            <v>5.8443637594042683E-2</v>
          </cell>
          <cell r="K67">
            <v>5.9900907188163544E-2</v>
          </cell>
          <cell r="L67">
            <v>5.9686268047652924E-2</v>
          </cell>
          <cell r="M67">
            <v>6.5111140602831227E-2</v>
          </cell>
        </row>
        <row r="68">
          <cell r="B68">
            <v>2.2488193041281055E-3</v>
          </cell>
          <cell r="C68">
            <v>2.250932084844504E-3</v>
          </cell>
          <cell r="D68">
            <v>2.2578832553501373E-3</v>
          </cell>
          <cell r="E68">
            <v>4.1086356032953061E-2</v>
          </cell>
          <cell r="F68">
            <v>4.4523053951884037E-2</v>
          </cell>
          <cell r="G68">
            <v>4.9026528149774928E-2</v>
          </cell>
          <cell r="H68">
            <v>5.2487228809197796E-2</v>
          </cell>
          <cell r="I68">
            <v>5.5035306422624913E-2</v>
          </cell>
          <cell r="J68">
            <v>5.8411512428581905E-2</v>
          </cell>
          <cell r="K68">
            <v>5.9879146472002001E-2</v>
          </cell>
          <cell r="L68">
            <v>5.9656046405568583E-2</v>
          </cell>
          <cell r="M68">
            <v>6.5101421688331468E-2</v>
          </cell>
        </row>
        <row r="69">
          <cell r="B69">
            <v>1.1252563529470408E-3</v>
          </cell>
          <cell r="C69">
            <v>1.1262838617101022E-3</v>
          </cell>
          <cell r="D69">
            <v>1.1298332427328664E-3</v>
          </cell>
          <cell r="E69">
            <v>2.5437426730180037E-2</v>
          </cell>
          <cell r="F69">
            <v>2.9361909946446347E-2</v>
          </cell>
          <cell r="G69">
            <v>3.2719659217959121E-2</v>
          </cell>
          <cell r="H69">
            <v>3.4221550131570092E-2</v>
          </cell>
          <cell r="I69">
            <v>3.7109780662641881E-2</v>
          </cell>
          <cell r="J69">
            <v>3.8069841247519248E-2</v>
          </cell>
          <cell r="K69">
            <v>3.9555590624635789E-2</v>
          </cell>
          <cell r="L69">
            <v>3.9426940712295966E-2</v>
          </cell>
          <cell r="M69">
            <v>4.363737808898227E-2</v>
          </cell>
        </row>
      </sheetData>
      <sheetData sheetId="61">
        <row r="14">
          <cell r="B14">
            <v>0</v>
          </cell>
          <cell r="C14">
            <v>1.2325669439731</v>
          </cell>
          <cell r="D14">
            <v>0.82972363600144505</v>
          </cell>
          <cell r="E14">
            <v>0</v>
          </cell>
          <cell r="F14">
            <v>0</v>
          </cell>
          <cell r="G14">
            <v>9.5577395228506501E-2</v>
          </cell>
          <cell r="H14">
            <v>0.1209619845802227</v>
          </cell>
          <cell r="I14">
            <v>1.7257524447630395E-4</v>
          </cell>
          <cell r="J14">
            <v>1.6376843480789313E-2</v>
          </cell>
          <cell r="K14">
            <v>8.6312497015644612E-4</v>
          </cell>
          <cell r="L14">
            <v>2.818684421492432E-2</v>
          </cell>
          <cell r="M14">
            <v>0</v>
          </cell>
        </row>
        <row r="15">
          <cell r="B15">
            <v>0</v>
          </cell>
          <cell r="C15">
            <v>5.4192665921358203E-3</v>
          </cell>
          <cell r="D15">
            <v>1.1736966420534021E-2</v>
          </cell>
          <cell r="E15">
            <v>5.9910549188869476E-2</v>
          </cell>
          <cell r="F15">
            <v>6.5138319720518131E-2</v>
          </cell>
          <cell r="G15">
            <v>0.1266721646607159</v>
          </cell>
          <cell r="H15">
            <v>2.017605656579192E-6</v>
          </cell>
          <cell r="I15">
            <v>4.2501149523329477E-6</v>
          </cell>
          <cell r="J15">
            <v>4.7950595744283515E-6</v>
          </cell>
          <cell r="K15">
            <v>1.7542734376765243E-5</v>
          </cell>
          <cell r="L15">
            <v>7.6402354975456495E-8</v>
          </cell>
          <cell r="M15">
            <v>4.9833226859426402E-8</v>
          </cell>
        </row>
        <row r="16">
          <cell r="B16">
            <v>0</v>
          </cell>
          <cell r="C16">
            <v>1.15569817849386E-3</v>
          </cell>
          <cell r="D16">
            <v>1.8896451658378249E-3</v>
          </cell>
          <cell r="E16">
            <v>1.3311381530981083E-5</v>
          </cell>
          <cell r="F16">
            <v>3.9319187583548789E-6</v>
          </cell>
          <cell r="G16">
            <v>5.1936566790834057E-6</v>
          </cell>
          <cell r="H16">
            <v>7.5298636179660717E-6</v>
          </cell>
          <cell r="I16">
            <v>1.2730270360238862E-5</v>
          </cell>
          <cell r="J16">
            <v>4.7244547126854863E-6</v>
          </cell>
          <cell r="K16">
            <v>2.1597051295203481E-5</v>
          </cell>
          <cell r="L16">
            <v>1.1824462227407058E-4</v>
          </cell>
          <cell r="M16">
            <v>1.1051237703091389E-3</v>
          </cell>
        </row>
        <row r="17">
          <cell r="B17">
            <v>0</v>
          </cell>
          <cell r="C17">
            <v>5.9762545935268898E-4</v>
          </cell>
          <cell r="D17">
            <v>2.0526933598727301E-5</v>
          </cell>
          <cell r="E17">
            <v>1.40605104867709E-5</v>
          </cell>
          <cell r="F17">
            <v>6.7406364686516598E-6</v>
          </cell>
          <cell r="G17">
            <v>2.29666313548848E-4</v>
          </cell>
          <cell r="H17">
            <v>1.35572286416693E-6</v>
          </cell>
          <cell r="I17">
            <v>2.1267442685732601E-4</v>
          </cell>
          <cell r="J17">
            <v>4.1618016947248198E-6</v>
          </cell>
          <cell r="K17">
            <v>9.3073605572444301E-4</v>
          </cell>
          <cell r="L17">
            <v>0</v>
          </cell>
          <cell r="M17">
            <v>0</v>
          </cell>
        </row>
        <row r="18">
          <cell r="B18">
            <v>0</v>
          </cell>
          <cell r="C18">
            <v>9.8954075982387803E-6</v>
          </cell>
          <cell r="D18">
            <v>2.6492317549561503E-4</v>
          </cell>
          <cell r="E18">
            <v>2.6032420609684401E-2</v>
          </cell>
          <cell r="F18">
            <v>2.6830827997145399E-2</v>
          </cell>
          <cell r="G18">
            <v>5.7620880499065497E-3</v>
          </cell>
          <cell r="H18">
            <v>2.31679973771266E-4</v>
          </cell>
          <cell r="I18">
            <v>1.9244933558454E-4</v>
          </cell>
          <cell r="J18">
            <v>2.0320202661870401E-2</v>
          </cell>
          <cell r="K18">
            <v>1.41108823864596E-2</v>
          </cell>
          <cell r="L18">
            <v>9.95264632001057E-4</v>
          </cell>
          <cell r="M18">
            <v>1.5154979654377201E-2</v>
          </cell>
        </row>
        <row r="19">
          <cell r="B19">
            <v>0</v>
          </cell>
          <cell r="C19">
            <v>9.3564672661659898E-7</v>
          </cell>
          <cell r="D19">
            <v>1.29119006573063E-6</v>
          </cell>
          <cell r="E19">
            <v>5.41319671432237E-2</v>
          </cell>
          <cell r="F19">
            <v>0.104462253534509</v>
          </cell>
          <cell r="G19">
            <v>3.0522367872524599E-2</v>
          </cell>
          <cell r="H19">
            <v>7.8070067444292998E-2</v>
          </cell>
          <cell r="I19">
            <v>2.7760646164457298E-2</v>
          </cell>
          <cell r="J19">
            <v>1.9268129019683E-2</v>
          </cell>
          <cell r="K19">
            <v>3.9625624145459198E-2</v>
          </cell>
          <cell r="L19">
            <v>9.8281891151433404E-2</v>
          </cell>
          <cell r="M19">
            <v>4.85509987697628E-2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7.0585102034653097E-2</v>
          </cell>
          <cell r="H21">
            <v>0.35876179995211099</v>
          </cell>
          <cell r="I21">
            <v>3.4151872662852599E-2</v>
          </cell>
          <cell r="J21">
            <v>0.213379665289957</v>
          </cell>
          <cell r="K21">
            <v>1.3218999711145E-4</v>
          </cell>
          <cell r="L21">
            <v>0.167962134113431</v>
          </cell>
          <cell r="M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6.6763436610417407E-2</v>
          </cell>
          <cell r="G22">
            <v>2.1349251366246399E-5</v>
          </cell>
          <cell r="H22">
            <v>2.2815114377326001E-5</v>
          </cell>
          <cell r="I22">
            <v>1.51157797837688E-5</v>
          </cell>
          <cell r="J22">
            <v>4.4024029448834902E-5</v>
          </cell>
          <cell r="K22">
            <v>1.05548090887419E-4</v>
          </cell>
          <cell r="L22">
            <v>3.0549560220040701E-2</v>
          </cell>
          <cell r="M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B24">
            <v>0</v>
          </cell>
          <cell r="C24">
            <v>1.5101633117748801E-6</v>
          </cell>
          <cell r="D24">
            <v>2.11457567404858E-3</v>
          </cell>
          <cell r="E24">
            <v>2.75275635810973E-2</v>
          </cell>
          <cell r="F24">
            <v>3.3135727504478602E-5</v>
          </cell>
          <cell r="G24">
            <v>1.6223887627326499E-2</v>
          </cell>
          <cell r="H24">
            <v>7.9635117510140703E-5</v>
          </cell>
          <cell r="I24">
            <v>4.81196229286719E-5</v>
          </cell>
          <cell r="J24">
            <v>1.16608090513189E-4</v>
          </cell>
          <cell r="K24">
            <v>3.1525303380243101E-3</v>
          </cell>
          <cell r="L24">
            <v>3.1745372981087701E-5</v>
          </cell>
          <cell r="M24">
            <v>6.1522663810819602E-4</v>
          </cell>
        </row>
        <row r="25">
          <cell r="B25">
            <v>0</v>
          </cell>
          <cell r="C25">
            <v>4.39887354841661E-7</v>
          </cell>
          <cell r="D25">
            <v>1.55836344944812E-2</v>
          </cell>
          <cell r="E25">
            <v>1.4821604076380701E-2</v>
          </cell>
          <cell r="F25">
            <v>8.7049818715557708E-3</v>
          </cell>
          <cell r="G25">
            <v>7.4220289251888099E-3</v>
          </cell>
          <cell r="H25">
            <v>1.5092094997662699E-5</v>
          </cell>
          <cell r="I25">
            <v>1.5374112464057899E-3</v>
          </cell>
          <cell r="J25">
            <v>3.4884089883112899E-4</v>
          </cell>
          <cell r="K25">
            <v>1.1499497069233901E-2</v>
          </cell>
          <cell r="L25">
            <v>3.3733340316192202E-5</v>
          </cell>
          <cell r="M25">
            <v>3.8709509956236803E-5</v>
          </cell>
        </row>
        <row r="26">
          <cell r="B26">
            <v>0</v>
          </cell>
          <cell r="C26">
            <v>4.63098896432351E-7</v>
          </cell>
          <cell r="D26">
            <v>5.6587918196177799E-7</v>
          </cell>
          <cell r="E26">
            <v>1.58665243056112E-6</v>
          </cell>
          <cell r="F26">
            <v>5.66613838032572E-3</v>
          </cell>
          <cell r="G26">
            <v>1.89536624874003E-2</v>
          </cell>
          <cell r="H26">
            <v>6.0387455536422803E-3</v>
          </cell>
          <cell r="I26">
            <v>3.9634961559131501E-2</v>
          </cell>
          <cell r="J26">
            <v>3.0482839577977401E-6</v>
          </cell>
          <cell r="K26">
            <v>7.95703973408333E-6</v>
          </cell>
          <cell r="L26">
            <v>7.6244563130867396E-3</v>
          </cell>
          <cell r="M26">
            <v>1.6991180814040802E-2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0</v>
          </cell>
          <cell r="C28">
            <v>1.060251024428E-5</v>
          </cell>
          <cell r="D28">
            <v>8.3959027005198906E-6</v>
          </cell>
          <cell r="E28">
            <v>8.6612158948649693E-6</v>
          </cell>
          <cell r="F28">
            <v>5.1705220475733001E-5</v>
          </cell>
          <cell r="G28">
            <v>2.7096680423595299E-4</v>
          </cell>
          <cell r="H28">
            <v>4.4356587974472503E-4</v>
          </cell>
          <cell r="I28">
            <v>3.9183992691856903E-4</v>
          </cell>
          <cell r="J28">
            <v>4.1355179571436998E-5</v>
          </cell>
          <cell r="K28">
            <v>5.7193588704186496E-4</v>
          </cell>
          <cell r="L28">
            <v>1.99372931328767E-4</v>
          </cell>
          <cell r="M28">
            <v>1.26554770206167E-3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1.47618344294291E-2</v>
          </cell>
          <cell r="H29">
            <v>1.2211342390809199E-2</v>
          </cell>
          <cell r="I29">
            <v>5.9284594336069703E-3</v>
          </cell>
          <cell r="J29">
            <v>4.9447175452026201E-5</v>
          </cell>
          <cell r="K29">
            <v>1.10564112351663E-4</v>
          </cell>
          <cell r="L29">
            <v>1.64286103609164E-5</v>
          </cell>
          <cell r="M29">
            <v>2.5685027744336598E-3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4.3414320538198101E-4</v>
          </cell>
          <cell r="H30">
            <v>6.9910410489095406E-5</v>
          </cell>
          <cell r="I30">
            <v>5.0554822372325399E-4</v>
          </cell>
          <cell r="J30">
            <v>1.6543972459088401E-5</v>
          </cell>
          <cell r="K30">
            <v>2.73563474329107E-3</v>
          </cell>
          <cell r="L30">
            <v>1.53875605239342E-4</v>
          </cell>
          <cell r="M30">
            <v>1.7914998137835E-3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5.2053793430352296E-4</v>
          </cell>
          <cell r="H32">
            <v>4.7909179255427298E-4</v>
          </cell>
          <cell r="I32">
            <v>1.8837054502219101E-6</v>
          </cell>
          <cell r="J32">
            <v>1.54954411004583E-4</v>
          </cell>
          <cell r="K32">
            <v>3.1500962010757101E-6</v>
          </cell>
          <cell r="L32">
            <v>1.24175993715813E-3</v>
          </cell>
          <cell r="M32">
            <v>0</v>
          </cell>
        </row>
        <row r="33">
          <cell r="B33">
            <v>0</v>
          </cell>
          <cell r="C33">
            <v>7.1322807763999699E-3</v>
          </cell>
          <cell r="D33">
            <v>3.4641767723104497E-2</v>
          </cell>
          <cell r="E33">
            <v>3.2875137150862398E-2</v>
          </cell>
          <cell r="F33">
            <v>2.2502952198194599E-2</v>
          </cell>
          <cell r="G33">
            <v>4.0369212943167798E-5</v>
          </cell>
          <cell r="H33">
            <v>4.1087401445096303E-2</v>
          </cell>
          <cell r="I33">
            <v>4.2568527943980999E-2</v>
          </cell>
          <cell r="J33">
            <v>1.31272135948633E-2</v>
          </cell>
          <cell r="K33">
            <v>9.3770504286333898E-6</v>
          </cell>
          <cell r="L33">
            <v>4.3530513550610897E-2</v>
          </cell>
          <cell r="M33">
            <v>0</v>
          </cell>
        </row>
        <row r="34">
          <cell r="B34">
            <v>0</v>
          </cell>
          <cell r="C34">
            <v>0</v>
          </cell>
          <cell r="D34">
            <v>4.4924586395967601E-2</v>
          </cell>
          <cell r="E34">
            <v>2.4563778483779431E-2</v>
          </cell>
          <cell r="F34">
            <v>0.17095730642289839</v>
          </cell>
          <cell r="G34">
            <v>1.4779610885194453E-3</v>
          </cell>
          <cell r="H34">
            <v>2.0573724140827434E-4</v>
          </cell>
          <cell r="I34">
            <v>1.4789998444227968E-4</v>
          </cell>
          <cell r="J34">
            <v>1.1258009904227472E-3</v>
          </cell>
          <cell r="K34">
            <v>4.2430259816643862E-2</v>
          </cell>
          <cell r="L34">
            <v>2.1525184309200769E-3</v>
          </cell>
          <cell r="M34">
            <v>0.33306620180236152</v>
          </cell>
        </row>
        <row r="35">
          <cell r="B35">
            <v>0</v>
          </cell>
          <cell r="C35">
            <v>1.30443266707332E-7</v>
          </cell>
          <cell r="D35">
            <v>1.76796695381085</v>
          </cell>
          <cell r="E35">
            <v>5.3525733757507497E-6</v>
          </cell>
          <cell r="F35">
            <v>0.69053013453498902</v>
          </cell>
          <cell r="G35">
            <v>0.80694998983042299</v>
          </cell>
          <cell r="H35">
            <v>2.2438011206208199</v>
          </cell>
          <cell r="I35">
            <v>0.51996753553654795</v>
          </cell>
          <cell r="J35">
            <v>0.80519806133331695</v>
          </cell>
          <cell r="K35">
            <v>1.1381084096907801</v>
          </cell>
          <cell r="L35">
            <v>2.4839179482137399</v>
          </cell>
          <cell r="M35">
            <v>0.772358574460287</v>
          </cell>
        </row>
        <row r="36">
          <cell r="B36">
            <v>0</v>
          </cell>
          <cell r="C36">
            <v>2.85796588143098E-5</v>
          </cell>
          <cell r="D36">
            <v>0.7920282281395874</v>
          </cell>
          <cell r="E36">
            <v>2.6356684789205973</v>
          </cell>
          <cell r="F36">
            <v>0.461612194774215</v>
          </cell>
          <cell r="G36">
            <v>0.75118947205837383</v>
          </cell>
          <cell r="H36">
            <v>2.2801205383129788</v>
          </cell>
          <cell r="I36">
            <v>2.2175664769498091</v>
          </cell>
          <cell r="J36">
            <v>0.71230779493443019</v>
          </cell>
          <cell r="K36">
            <v>1.0979416365664993</v>
          </cell>
          <cell r="L36">
            <v>2.6018938191210208</v>
          </cell>
          <cell r="M36">
            <v>2.5558322921722247</v>
          </cell>
        </row>
        <row r="37">
          <cell r="B37">
            <v>0</v>
          </cell>
          <cell r="C37">
            <v>3.2875954182521467E-5</v>
          </cell>
          <cell r="D37">
            <v>1.251803445407087</v>
          </cell>
          <cell r="E37">
            <v>1.470601186816086</v>
          </cell>
          <cell r="F37">
            <v>0.25137020626217699</v>
          </cell>
          <cell r="G37">
            <v>0.36690718324371269</v>
          </cell>
          <cell r="H37">
            <v>1.8635721280182231</v>
          </cell>
          <cell r="I37">
            <v>1.4152651489115931</v>
          </cell>
          <cell r="J37">
            <v>0.42247089440961</v>
          </cell>
          <cell r="K37">
            <v>0.60353436715706099</v>
          </cell>
          <cell r="L37">
            <v>2.0831655719322359</v>
          </cell>
          <cell r="M37">
            <v>1.6460894817087128</v>
          </cell>
        </row>
        <row r="38">
          <cell r="B38">
            <v>0</v>
          </cell>
          <cell r="C38">
            <v>8.7551529683990501E-8</v>
          </cell>
          <cell r="D38">
            <v>1.11356303070329E-5</v>
          </cell>
          <cell r="E38">
            <v>8.1850227948894797E-5</v>
          </cell>
          <cell r="F38">
            <v>0.52247209938503303</v>
          </cell>
          <cell r="G38">
            <v>0.42576631849399799</v>
          </cell>
          <cell r="H38">
            <v>0.31803513597792299</v>
          </cell>
          <cell r="I38">
            <v>6.4653415109838505E-2</v>
          </cell>
          <cell r="J38">
            <v>0.48817376785692801</v>
          </cell>
          <cell r="K38">
            <v>0.59931179645740995</v>
          </cell>
          <cell r="L38">
            <v>0.393031430511461</v>
          </cell>
          <cell r="M38">
            <v>0.143508565654767</v>
          </cell>
        </row>
        <row r="39">
          <cell r="B39">
            <v>0</v>
          </cell>
          <cell r="C39">
            <v>1.9335360979328498E-6</v>
          </cell>
          <cell r="D39">
            <v>9.64311521437811E-6</v>
          </cell>
          <cell r="E39">
            <v>2.6649387175004001E-2</v>
          </cell>
          <cell r="F39">
            <v>2.1122728332285501E-4</v>
          </cell>
          <cell r="G39">
            <v>6.5351437242742696E-5</v>
          </cell>
          <cell r="H39">
            <v>7.4958001026803205E-5</v>
          </cell>
          <cell r="I39">
            <v>9.3370793203984507E-3</v>
          </cell>
          <cell r="J39">
            <v>1.5412025196415501E-5</v>
          </cell>
          <cell r="K39">
            <v>6.7756747947498805E-4</v>
          </cell>
          <cell r="L39">
            <v>5.7859125133492596E-3</v>
          </cell>
          <cell r="M39">
            <v>1.0954672085252699E-2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B41">
            <v>0</v>
          </cell>
          <cell r="C41">
            <v>5.4996986200728896E-3</v>
          </cell>
          <cell r="D41">
            <v>1.81172904523659E-5</v>
          </cell>
          <cell r="E41">
            <v>1.9209852269982099E-2</v>
          </cell>
          <cell r="F41">
            <v>1.5651993621035101E-2</v>
          </cell>
          <cell r="G41">
            <v>1.8041250386434001E-2</v>
          </cell>
          <cell r="H41">
            <v>2.38471579068852E-2</v>
          </cell>
          <cell r="I41">
            <v>2.2967719260211999E-2</v>
          </cell>
          <cell r="J41">
            <v>1.9447494459850199E-2</v>
          </cell>
          <cell r="K41">
            <v>2.4215581683449599E-2</v>
          </cell>
          <cell r="L41">
            <v>2.51838302082226E-2</v>
          </cell>
          <cell r="M41">
            <v>1.6919217652673499E-2</v>
          </cell>
        </row>
        <row r="42">
          <cell r="B42">
            <v>0</v>
          </cell>
          <cell r="C42">
            <v>1.7593471658375999E-2</v>
          </cell>
          <cell r="D42">
            <v>2.35597170237999E-2</v>
          </cell>
          <cell r="E42">
            <v>3.0115153921990601E-2</v>
          </cell>
          <cell r="F42">
            <v>3.3134896781943202E-2</v>
          </cell>
          <cell r="G42">
            <v>6.1228381825812098E-2</v>
          </cell>
          <cell r="H42">
            <v>8.1273219699990296E-2</v>
          </cell>
          <cell r="I42">
            <v>7.8724949543143102E-2</v>
          </cell>
          <cell r="J42">
            <v>7.1739585168429695E-2</v>
          </cell>
          <cell r="K42">
            <v>7.7071083188191003E-2</v>
          </cell>
          <cell r="L42">
            <v>8.5646661409202796E-2</v>
          </cell>
          <cell r="M42">
            <v>6.3376956308498003E-2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0</v>
          </cell>
          <cell r="C44">
            <v>7.0998660609750396E-7</v>
          </cell>
          <cell r="D44">
            <v>6.7901880527798299E-7</v>
          </cell>
          <cell r="E44">
            <v>5.9059942167232198E-4</v>
          </cell>
          <cell r="F44">
            <v>5.9622973533142E-3</v>
          </cell>
          <cell r="G44">
            <v>1.15589407007535E-3</v>
          </cell>
          <cell r="H44">
            <v>6.3823746334394499E-6</v>
          </cell>
          <cell r="I44">
            <v>5.4158950751343098E-3</v>
          </cell>
          <cell r="J44">
            <v>2.2310039803239901E-4</v>
          </cell>
          <cell r="K44">
            <v>4.3672429100510699E-4</v>
          </cell>
          <cell r="L44">
            <v>5.0864196253298096E-3</v>
          </cell>
          <cell r="M44">
            <v>2.0402632900259599E-3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4.0850687433292902E-4</v>
          </cell>
          <cell r="F46">
            <v>6.1026221139470196E-4</v>
          </cell>
          <cell r="G46">
            <v>4.3072544563711301E-4</v>
          </cell>
          <cell r="H46">
            <v>3.0728868857170802E-4</v>
          </cell>
          <cell r="I46">
            <v>2.2792493734686602E-3</v>
          </cell>
          <cell r="J46">
            <v>9.6343679924250907E-6</v>
          </cell>
          <cell r="K46">
            <v>4.3896498222966299E-3</v>
          </cell>
          <cell r="L46">
            <v>1.52571213428243E-3</v>
          </cell>
          <cell r="M46">
            <v>3.2979289487539399E-3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2.9335632255962901E-4</v>
          </cell>
          <cell r="F47">
            <v>2.15168759830974E-4</v>
          </cell>
          <cell r="G47">
            <v>1.8285288764081201E-4</v>
          </cell>
          <cell r="H47">
            <v>3.79148043095956E-4</v>
          </cell>
          <cell r="I47">
            <v>7.7233725313762295E-4</v>
          </cell>
          <cell r="J47">
            <v>8.4198703162577504E-6</v>
          </cell>
          <cell r="K47">
            <v>1.0164957185019501E-3</v>
          </cell>
          <cell r="L47">
            <v>5.1861756334096098E-4</v>
          </cell>
          <cell r="M47">
            <v>1.5347791763810101E-3</v>
          </cell>
        </row>
        <row r="48">
          <cell r="B48">
            <v>0</v>
          </cell>
          <cell r="C48">
            <v>8.4066623910331254E-5</v>
          </cell>
          <cell r="D48">
            <v>3.8309331854063998E-4</v>
          </cell>
          <cell r="E48">
            <v>2.6025023645316501E-6</v>
          </cell>
          <cell r="F48">
            <v>2.1364592091305942E-3</v>
          </cell>
          <cell r="G48">
            <v>3.2293560146941767E-4</v>
          </cell>
          <cell r="H48">
            <v>9.7667484219066212E-4</v>
          </cell>
          <cell r="I48">
            <v>1.3537521245772701E-3</v>
          </cell>
          <cell r="J48">
            <v>8.7779159475992051E-4</v>
          </cell>
          <cell r="K48">
            <v>1.2890436807100249E-3</v>
          </cell>
          <cell r="L48">
            <v>1.146597915995381E-2</v>
          </cell>
          <cell r="M48">
            <v>1.053794293724342E-3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6.5650491246075092E-5</v>
          </cell>
          <cell r="F49">
            <v>1.6684948844225978E-4</v>
          </cell>
          <cell r="G49">
            <v>3.4503519686980003E-6</v>
          </cell>
          <cell r="H49">
            <v>3.4418546022867099E-5</v>
          </cell>
          <cell r="I49">
            <v>3.9000759576221901E-4</v>
          </cell>
          <cell r="J49">
            <v>4.2989608151296E-6</v>
          </cell>
          <cell r="K49">
            <v>3.3624438628923202E-4</v>
          </cell>
          <cell r="L49">
            <v>4.8624652131208999E-6</v>
          </cell>
          <cell r="M49">
            <v>9.9465649158747603E-4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3.3100313979261901E-4</v>
          </cell>
          <cell r="F50">
            <v>3.10784700226141E-4</v>
          </cell>
          <cell r="G50">
            <v>7.3100017480477692E-5</v>
          </cell>
          <cell r="H50">
            <v>3.1880761011663197E-4</v>
          </cell>
          <cell r="I50">
            <v>1.0172818716324078E-3</v>
          </cell>
          <cell r="J50">
            <v>6.7991860062611499E-6</v>
          </cell>
          <cell r="K50">
            <v>6.5519120524880499E-4</v>
          </cell>
          <cell r="L50">
            <v>3.8945764807410004E-4</v>
          </cell>
          <cell r="M50">
            <v>1.0820322034517829E-3</v>
          </cell>
        </row>
        <row r="51">
          <cell r="B51">
            <v>0</v>
          </cell>
          <cell r="C51">
            <v>1.8671415326053297E-4</v>
          </cell>
          <cell r="D51">
            <v>1.9169710769932119E-3</v>
          </cell>
          <cell r="E51">
            <v>3.7150933603379697E-2</v>
          </cell>
          <cell r="F51">
            <v>3.2157656269835499E-3</v>
          </cell>
          <cell r="G51">
            <v>1.032970443306353E-2</v>
          </cell>
          <cell r="H51">
            <v>1.5701478105639398E-2</v>
          </cell>
          <cell r="I51">
            <v>2.4730592278429549E-2</v>
          </cell>
          <cell r="J51">
            <v>2.3082681921908861E-3</v>
          </cell>
          <cell r="K51">
            <v>8.3150257327651161E-3</v>
          </cell>
          <cell r="L51">
            <v>9.3763438603757313E-3</v>
          </cell>
          <cell r="M51">
            <v>2.0148876985288239E-2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2.7911671779536301E-4</v>
          </cell>
          <cell r="F52">
            <v>8.1725701852947E-4</v>
          </cell>
          <cell r="G52">
            <v>2.3187137971760197E-5</v>
          </cell>
          <cell r="H52">
            <v>2.2833183359825601E-4</v>
          </cell>
          <cell r="I52">
            <v>2.3268120192197202E-3</v>
          </cell>
          <cell r="J52">
            <v>1.5075203004042521E-4</v>
          </cell>
          <cell r="K52">
            <v>3.0915382536177002E-3</v>
          </cell>
          <cell r="L52">
            <v>6.3823198102485495E-5</v>
          </cell>
          <cell r="M52">
            <v>6.8264096923113101E-3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7.1590704840973098E-4</v>
          </cell>
          <cell r="F53">
            <v>1.9808142214783751E-4</v>
          </cell>
          <cell r="G53">
            <v>6.4832852826223912E-5</v>
          </cell>
          <cell r="H53">
            <v>7.5664477451198894E-4</v>
          </cell>
          <cell r="I53">
            <v>1.41455725315172E-3</v>
          </cell>
          <cell r="J53">
            <v>1.217974075615893E-5</v>
          </cell>
          <cell r="K53">
            <v>4.5618549702373598E-4</v>
          </cell>
          <cell r="L53">
            <v>1.2801531927131441E-3</v>
          </cell>
          <cell r="M53">
            <v>1.6783315064050289E-3</v>
          </cell>
        </row>
        <row r="54">
          <cell r="B54">
            <v>0</v>
          </cell>
          <cell r="C54">
            <v>2.6203621556264298E-2</v>
          </cell>
          <cell r="D54">
            <v>6.5764564780571898E-3</v>
          </cell>
          <cell r="E54">
            <v>1.2224098753605301E-2</v>
          </cell>
          <cell r="F54">
            <v>4.4081637507049701E-2</v>
          </cell>
          <cell r="G54">
            <v>2.9399829746362301E-2</v>
          </cell>
          <cell r="H54">
            <v>1.12791905168822E-2</v>
          </cell>
          <cell r="I54">
            <v>4.4085390090403402E-2</v>
          </cell>
          <cell r="J54">
            <v>2.6376138180512699E-2</v>
          </cell>
          <cell r="K54">
            <v>1.4305741728993E-2</v>
          </cell>
          <cell r="L54">
            <v>4.4640728511207303E-2</v>
          </cell>
          <cell r="M54">
            <v>2.8610060542598799E-2</v>
          </cell>
        </row>
        <row r="55">
          <cell r="B55">
            <v>0</v>
          </cell>
          <cell r="C55">
            <v>2.7176665654340199E-2</v>
          </cell>
          <cell r="D55">
            <v>1.36950895726521E-5</v>
          </cell>
          <cell r="E55">
            <v>0.115024358821321</v>
          </cell>
          <cell r="F55">
            <v>0.13359913295638501</v>
          </cell>
          <cell r="G55">
            <v>1.0115431546097601E-2</v>
          </cell>
          <cell r="H55">
            <v>5.51945601270157E-2</v>
          </cell>
          <cell r="I55">
            <v>2.2796612669479599E-3</v>
          </cell>
          <cell r="J55">
            <v>9.4280262319555996E-2</v>
          </cell>
          <cell r="K55">
            <v>5.3656359132072798E-2</v>
          </cell>
          <cell r="L55">
            <v>7.3353116404838006E-2</v>
          </cell>
          <cell r="M55">
            <v>1.52135860676944E-2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6.4779704994657105E-4</v>
          </cell>
          <cell r="F56">
            <v>8.6340058755616397E-6</v>
          </cell>
          <cell r="G56">
            <v>3.5605518608650702E-5</v>
          </cell>
          <cell r="H56">
            <v>6.7893660307298401E-4</v>
          </cell>
          <cell r="I56">
            <v>4.8462871625643098E-4</v>
          </cell>
          <cell r="J56">
            <v>6.3751436590934297E-6</v>
          </cell>
          <cell r="K56">
            <v>9.5949161033426602E-4</v>
          </cell>
          <cell r="L56">
            <v>3.5387969794080398E-4</v>
          </cell>
          <cell r="M56">
            <v>1.50681683567668E-3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2.1639127651212401E-4</v>
          </cell>
          <cell r="F57">
            <v>3.1019502269943498E-4</v>
          </cell>
          <cell r="G57">
            <v>9.2733986157589503E-5</v>
          </cell>
          <cell r="H57">
            <v>2.4705696033214502E-4</v>
          </cell>
          <cell r="I57">
            <v>1.5027492604412899E-3</v>
          </cell>
          <cell r="J57">
            <v>1.0563144294431599E-5</v>
          </cell>
          <cell r="K57">
            <v>2.3875759403004502E-3</v>
          </cell>
          <cell r="L57">
            <v>3.3933926259276402E-4</v>
          </cell>
          <cell r="M57">
            <v>2.7084429223044699E-3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2.4550879096724702E-4</v>
          </cell>
          <cell r="F58">
            <v>5.06269728954384E-4</v>
          </cell>
          <cell r="G58">
            <v>2.4435660681020101E-5</v>
          </cell>
          <cell r="H58">
            <v>1.2322491387581101E-5</v>
          </cell>
          <cell r="I58">
            <v>1.2474476826070499E-3</v>
          </cell>
          <cell r="J58">
            <v>3.3800028010993598E-5</v>
          </cell>
          <cell r="K58">
            <v>1.3906743220474299E-3</v>
          </cell>
          <cell r="L58">
            <v>4.1406195433010601E-4</v>
          </cell>
          <cell r="M58">
            <v>2.6103563004911301E-3</v>
          </cell>
        </row>
        <row r="63">
          <cell r="B63">
            <v>0</v>
          </cell>
          <cell r="C63">
            <v>1.99236037354088E-6</v>
          </cell>
          <cell r="D63">
            <v>1.9898500773504102E-6</v>
          </cell>
          <cell r="E63">
            <v>1.7739431014527201E-6</v>
          </cell>
          <cell r="F63">
            <v>5.8898558155153904E-6</v>
          </cell>
          <cell r="G63">
            <v>7.2818847185658099E-6</v>
          </cell>
          <cell r="H63">
            <v>1.0040211358011E-5</v>
          </cell>
          <cell r="I63">
            <v>1.0719286622064601E-5</v>
          </cell>
          <cell r="J63">
            <v>4.6428748891401203E-6</v>
          </cell>
          <cell r="K63">
            <v>2.1424434802142699E-5</v>
          </cell>
          <cell r="L63">
            <v>1.0523372181016701E-5</v>
          </cell>
          <cell r="M63">
            <v>5.1682020138942899E-5</v>
          </cell>
        </row>
        <row r="64">
          <cell r="B64">
            <v>1.5822023627908E-3</v>
          </cell>
          <cell r="C64">
            <v>2.4645004912685798E-6</v>
          </cell>
          <cell r="D64">
            <v>9.9939977477860999E-6</v>
          </cell>
          <cell r="E64">
            <v>2.6456969115552098E-4</v>
          </cell>
          <cell r="F64">
            <v>3.1590717065841599E-3</v>
          </cell>
          <cell r="G64">
            <v>4.1384134711770999E-2</v>
          </cell>
          <cell r="H64">
            <v>2.5410641082908102E-2</v>
          </cell>
          <cell r="I64">
            <v>2.8973810594040601E-2</v>
          </cell>
          <cell r="J64">
            <v>2.82020285654597E-2</v>
          </cell>
          <cell r="K64">
            <v>2.5721414572864601E-2</v>
          </cell>
          <cell r="L64">
            <v>3.8340963634056202E-2</v>
          </cell>
          <cell r="M64">
            <v>2.05330968820342E-2</v>
          </cell>
        </row>
        <row r="65">
          <cell r="B65">
            <v>1.1803926187773401E-3</v>
          </cell>
          <cell r="C65">
            <v>1.9162027547871998E-6</v>
          </cell>
          <cell r="D65">
            <v>7.6736107339136296E-6</v>
          </cell>
          <cell r="E65">
            <v>2.3580276163881001E-4</v>
          </cell>
          <cell r="F65">
            <v>2.4989293575580001E-3</v>
          </cell>
          <cell r="G65">
            <v>9.61162023153991E-3</v>
          </cell>
          <cell r="H65">
            <v>9.7934743777942798E-2</v>
          </cell>
          <cell r="I65">
            <v>3.9857733458744903E-2</v>
          </cell>
          <cell r="J65">
            <v>0.14249004498034801</v>
          </cell>
          <cell r="K65">
            <v>0.11117985438233501</v>
          </cell>
          <cell r="L65">
            <v>0.1830201944322</v>
          </cell>
          <cell r="M65">
            <v>0.13823293923374999</v>
          </cell>
        </row>
        <row r="66">
          <cell r="B66">
            <v>1.1198755675216E-3</v>
          </cell>
          <cell r="C66">
            <v>1.8164676587655701E-6</v>
          </cell>
          <cell r="D66">
            <v>5.3942228605265499E-6</v>
          </cell>
          <cell r="E66">
            <v>2.57198130026941E-2</v>
          </cell>
          <cell r="F66">
            <v>1.0641814091316101E-3</v>
          </cell>
          <cell r="G66">
            <v>2.1972936752181399E-2</v>
          </cell>
          <cell r="H66">
            <v>7.4624984587396501E-3</v>
          </cell>
          <cell r="I66">
            <v>2.09681854705462E-2</v>
          </cell>
          <cell r="J66">
            <v>1.12860760663247E-2</v>
          </cell>
          <cell r="K66">
            <v>2.0060256054882899E-2</v>
          </cell>
          <cell r="L66">
            <v>3.0654093150662001E-2</v>
          </cell>
          <cell r="M66">
            <v>6.03870186956601E-3</v>
          </cell>
        </row>
        <row r="67">
          <cell r="B67">
            <v>2.2446860095468903E-3</v>
          </cell>
          <cell r="C67">
            <v>3.6730494353226197E-6</v>
          </cell>
          <cell r="D67">
            <v>1.0847149299785069E-5</v>
          </cell>
          <cell r="E67">
            <v>3.9468130579583094E-2</v>
          </cell>
          <cell r="F67">
            <v>4.7158636626786505E-3</v>
          </cell>
          <cell r="G67">
            <v>3.2705155648865801E-2</v>
          </cell>
          <cell r="H67">
            <v>1.6191095315034529E-2</v>
          </cell>
          <cell r="I67">
            <v>2.7693771926939198E-2</v>
          </cell>
          <cell r="J67">
            <v>2.34705525098017E-2</v>
          </cell>
          <cell r="K67">
            <v>2.2248070776728801E-2</v>
          </cell>
          <cell r="L67">
            <v>3.328594099545E-2</v>
          </cell>
          <cell r="M67">
            <v>1.682026237709883E-2</v>
          </cell>
        </row>
        <row r="68">
          <cell r="B68">
            <v>2.2435284267992997E-3</v>
          </cell>
          <cell r="C68">
            <v>3.670395968614E-6</v>
          </cell>
          <cell r="D68">
            <v>1.077993712460252E-5</v>
          </cell>
          <cell r="E68">
            <v>3.9437497032694002E-2</v>
          </cell>
          <cell r="F68">
            <v>5.0820142934998296E-3</v>
          </cell>
          <cell r="G68">
            <v>3.5665161817422901E-2</v>
          </cell>
          <cell r="H68">
            <v>1.418966318978083E-2</v>
          </cell>
          <cell r="I68">
            <v>2.8667873444505901E-2</v>
          </cell>
          <cell r="J68">
            <v>2.3364593307453399E-2</v>
          </cell>
          <cell r="K68">
            <v>2.18331942081594E-2</v>
          </cell>
          <cell r="L68">
            <v>3.3689359562137103E-2</v>
          </cell>
          <cell r="M68">
            <v>1.668710870380135E-2</v>
          </cell>
        </row>
        <row r="69">
          <cell r="B69">
            <v>1.12296943467735E-3</v>
          </cell>
          <cell r="C69">
            <v>1.8153593256552901E-6</v>
          </cell>
          <cell r="D69">
            <v>5.3591616184404501E-6</v>
          </cell>
          <cell r="E69">
            <v>2.4612048296136099E-2</v>
          </cell>
          <cell r="F69">
            <v>4.7480988403955197E-3</v>
          </cell>
          <cell r="G69">
            <v>2.2804263065467199E-2</v>
          </cell>
          <cell r="H69">
            <v>8.9566799645808496E-3</v>
          </cell>
          <cell r="I69">
            <v>2.0366019709444499E-2</v>
          </cell>
          <cell r="J69">
            <v>1.3676797936164E-2</v>
          </cell>
          <cell r="K69">
            <v>1.54476317134558E-2</v>
          </cell>
          <cell r="L69">
            <v>2.1559375697924901E-2</v>
          </cell>
          <cell r="M69">
            <v>1.1657726940359299E-2</v>
          </cell>
        </row>
      </sheetData>
      <sheetData sheetId="62"/>
      <sheetData sheetId="63"/>
      <sheetData sheetId="64"/>
      <sheetData sheetId="65"/>
      <sheetData sheetId="66"/>
      <sheetData sheetId="67"/>
      <sheetData sheetId="68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4.1491633250679717E-3</v>
          </cell>
          <cell r="J157">
            <v>4.2312251117717446E-3</v>
          </cell>
          <cell r="K157">
            <v>6.4301191303737532E-3</v>
          </cell>
          <cell r="L157">
            <v>6.5711857484842843E-3</v>
          </cell>
          <cell r="M157">
            <v>1.3423714557690919E-2</v>
          </cell>
        </row>
      </sheetData>
      <sheetData sheetId="69">
        <row r="5">
          <cell r="B5">
            <v>0.5865877815207079</v>
          </cell>
          <cell r="C5">
            <v>0.63732246491143663</v>
          </cell>
          <cell r="D5">
            <v>0.62963853768677547</v>
          </cell>
          <cell r="E5">
            <v>9.8066988460196458E-4</v>
          </cell>
          <cell r="F5">
            <v>7.9374080498451072E-4</v>
          </cell>
          <cell r="G5">
            <v>2.0758580680027812E-3</v>
          </cell>
          <cell r="H5">
            <v>2.7355943410638595E-3</v>
          </cell>
          <cell r="I5">
            <v>3.8583980240493622E-2</v>
          </cell>
          <cell r="J5">
            <v>0.2813211584854417</v>
          </cell>
          <cell r="K5">
            <v>0.43941764928169968</v>
          </cell>
          <cell r="L5">
            <v>1.3413850340144695</v>
          </cell>
          <cell r="M5">
            <v>1.5546972210446051</v>
          </cell>
        </row>
        <row r="12">
          <cell r="B12">
            <v>0.19072149030757013</v>
          </cell>
          <cell r="C12">
            <v>9.8762772943289682E-5</v>
          </cell>
          <cell r="D12">
            <v>1.7378361729828299E-3</v>
          </cell>
          <cell r="E12">
            <v>2.0494599818419391E-4</v>
          </cell>
          <cell r="F12">
            <v>2.8712456074613235E-4</v>
          </cell>
          <cell r="G12">
            <v>3.3870438007592522E-4</v>
          </cell>
          <cell r="H12">
            <v>4.0269673430806002E-4</v>
          </cell>
          <cell r="I12">
            <v>1.0699181415123756E-3</v>
          </cell>
          <cell r="J12">
            <v>7.7367789564033302E-4</v>
          </cell>
          <cell r="K12">
            <v>1.3584850809165207E-3</v>
          </cell>
          <cell r="L12">
            <v>1.4187865451229292E-3</v>
          </cell>
          <cell r="M12">
            <v>2.8840601409201166E-3</v>
          </cell>
        </row>
        <row r="19">
          <cell r="B19">
            <v>1.3280031025152899</v>
          </cell>
          <cell r="C19">
            <v>4.3697243516386735</v>
          </cell>
          <cell r="D19">
            <v>4.384635338622549</v>
          </cell>
          <cell r="E19">
            <v>4.3847612587308147</v>
          </cell>
          <cell r="F19">
            <v>4.3847637349197717</v>
          </cell>
          <cell r="G19">
            <v>4.3851078498009759</v>
          </cell>
          <cell r="H19">
            <v>4.3851262937259685</v>
          </cell>
          <cell r="I19">
            <v>4.3851814890729006</v>
          </cell>
          <cell r="J19">
            <v>4.3851991558232486</v>
          </cell>
          <cell r="K19">
            <v>4.3852886892984984</v>
          </cell>
          <cell r="L19">
            <v>4.3854383093586415</v>
          </cell>
          <cell r="M19">
            <v>4.3858163806213302</v>
          </cell>
        </row>
        <row r="20">
          <cell r="B20">
            <v>5.6294125144922695</v>
          </cell>
          <cell r="C20">
            <v>5.739844932748837</v>
          </cell>
          <cell r="D20">
            <v>5.5306894513778895</v>
          </cell>
          <cell r="E20">
            <v>5.7203752598593853</v>
          </cell>
          <cell r="F20">
            <v>5.7082099781466269</v>
          </cell>
          <cell r="G20">
            <v>5.5478305550150049</v>
          </cell>
          <cell r="H20">
            <v>5.3871015515280503</v>
          </cell>
          <cell r="I20">
            <v>5.2263664991943912</v>
          </cell>
          <cell r="J20">
            <v>5.2264343825965343</v>
          </cell>
          <cell r="K20">
            <v>5.2264823096184694</v>
          </cell>
          <cell r="L20">
            <v>5.2265193903185239</v>
          </cell>
          <cell r="M20">
            <v>5.2271096711502416</v>
          </cell>
        </row>
        <row r="21">
          <cell r="B21">
            <v>0</v>
          </cell>
          <cell r="C21">
            <v>1.6352826037563151E-4</v>
          </cell>
          <cell r="D21">
            <v>3.8041535225937303E-4</v>
          </cell>
          <cell r="E21">
            <v>7.8475638283912233E-4</v>
          </cell>
          <cell r="F21">
            <v>1.2756707126345772E-3</v>
          </cell>
          <cell r="G21">
            <v>1.3617756946483178E-3</v>
          </cell>
          <cell r="H21">
            <v>1.3990936818138163E-3</v>
          </cell>
          <cell r="I21">
            <v>1.6613791809334986E-3</v>
          </cell>
          <cell r="J21">
            <v>1.726869100135379E-3</v>
          </cell>
          <cell r="K21">
            <v>2.0317652970200614E-3</v>
          </cell>
          <cell r="L21">
            <v>2.2012772027375843E-3</v>
          </cell>
          <cell r="M21">
            <v>4.189741228919853E-3</v>
          </cell>
        </row>
        <row r="28">
          <cell r="B28">
            <v>4.0159056985320076E-3</v>
          </cell>
          <cell r="C28">
            <v>5.8854629502050259E-3</v>
          </cell>
          <cell r="D28">
            <v>5.9822842623426719E-3</v>
          </cell>
          <cell r="E28">
            <v>2.0921593525272487E-2</v>
          </cell>
          <cell r="F28">
            <v>6.1140047383676691E-2</v>
          </cell>
          <cell r="G28">
            <v>8.9414743416635661E-2</v>
          </cell>
          <cell r="H28">
            <v>8.9596883466719845E-2</v>
          </cell>
          <cell r="I28">
            <v>0.23151993242492824</v>
          </cell>
          <cell r="J28">
            <v>0.24352512287593031</v>
          </cell>
          <cell r="K28">
            <v>0.63729265647714028</v>
          </cell>
          <cell r="L28">
            <v>0.6609152833654115</v>
          </cell>
          <cell r="M28">
            <v>0.74588309038686496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3.1533641270516553E-3</v>
          </cell>
          <cell r="J29">
            <v>3.215731084946528E-3</v>
          </cell>
          <cell r="K29">
            <v>4.8868905390840539E-3</v>
          </cell>
          <cell r="L29">
            <v>4.9941011688480518E-3</v>
          </cell>
          <cell r="M29">
            <v>1.0202023063845095E-2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1.6591105728256502E-2</v>
          </cell>
          <cell r="J31">
            <v>1.5911935043358676E-2</v>
          </cell>
          <cell r="K31">
            <v>2.33110091936885E-2</v>
          </cell>
          <cell r="L31">
            <v>2.4247139417352251E-2</v>
          </cell>
          <cell r="M31">
            <v>7.7700004487894644E-2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8">
          <cell r="B38">
            <v>1.2890722776472576</v>
          </cell>
          <cell r="C38">
            <v>3.5026491532574848</v>
          </cell>
          <cell r="D38">
            <v>3.4863116461674624</v>
          </cell>
          <cell r="E38">
            <v>3.4861695655830087</v>
          </cell>
          <cell r="F38">
            <v>3.4861751726493533</v>
          </cell>
          <cell r="G38">
            <v>3.483777207294275</v>
          </cell>
          <cell r="H38">
            <v>3.4838655915358063</v>
          </cell>
          <cell r="I38">
            <v>3.4889393065419005</v>
          </cell>
          <cell r="J38">
            <v>3.4886949903073523</v>
          </cell>
          <cell r="K38">
            <v>3.4916970390210773</v>
          </cell>
          <cell r="L38">
            <v>3.4917811165743187</v>
          </cell>
          <cell r="M38">
            <v>3.5022742472759587</v>
          </cell>
        </row>
        <row r="39">
          <cell r="B39">
            <v>1.1764725215335543</v>
          </cell>
          <cell r="C39">
            <v>3.1966946716914917</v>
          </cell>
          <cell r="D39">
            <v>3.1817842368810791</v>
          </cell>
          <cell r="E39">
            <v>3.1816545669577141</v>
          </cell>
          <cell r="F39">
            <v>3.181659684249889</v>
          </cell>
          <cell r="G39">
            <v>3.1794711798527691</v>
          </cell>
          <cell r="H39">
            <v>3.1795518437793042</v>
          </cell>
          <cell r="I39">
            <v>3.1841823725636567</v>
          </cell>
          <cell r="J39">
            <v>3.1839593972181381</v>
          </cell>
          <cell r="K39">
            <v>3.1866992186239971</v>
          </cell>
          <cell r="L39">
            <v>3.1867759520490995</v>
          </cell>
          <cell r="M39">
            <v>3.1963525135417319</v>
          </cell>
        </row>
      </sheetData>
      <sheetData sheetId="70">
        <row r="3">
          <cell r="B3">
            <v>48.063397652170998</v>
          </cell>
          <cell r="C3">
            <v>50.71696985865686</v>
          </cell>
          <cell r="D3">
            <v>52.366725017739029</v>
          </cell>
          <cell r="E3">
            <v>53.836892811617979</v>
          </cell>
          <cell r="F3">
            <v>54.805043689250141</v>
          </cell>
          <cell r="G3">
            <v>55.348895968737303</v>
          </cell>
          <cell r="H3">
            <v>56.04095400582861</v>
          </cell>
          <cell r="I3">
            <v>56.733045656466636</v>
          </cell>
          <cell r="J3">
            <v>57.427869422052602</v>
          </cell>
          <cell r="K3">
            <v>58.992628384432805</v>
          </cell>
          <cell r="L3">
            <v>57.520195881601936</v>
          </cell>
          <cell r="M3">
            <v>57.640631462671401</v>
          </cell>
        </row>
        <row r="6">
          <cell r="B6">
            <v>0</v>
          </cell>
          <cell r="C6">
            <v>4.8942210558368675</v>
          </cell>
          <cell r="D6">
            <v>4.8942310403007516</v>
          </cell>
          <cell r="E6">
            <v>4.8950787893252103</v>
          </cell>
          <cell r="F6">
            <v>4.8971445396214612</v>
          </cell>
          <cell r="G6">
            <v>4.8979290268047961</v>
          </cell>
          <cell r="H6">
            <v>4.8980026414214954</v>
          </cell>
          <cell r="I6">
            <v>4.8983301397371912</v>
          </cell>
          <cell r="J6">
            <v>4.8982198014260208</v>
          </cell>
          <cell r="K6">
            <v>4.8990811370245533</v>
          </cell>
          <cell r="L6">
            <v>4.8991383394135548</v>
          </cell>
          <cell r="M6">
            <v>4.9027504233881443</v>
          </cell>
        </row>
        <row r="11">
          <cell r="B11">
            <v>60.070072860875321</v>
          </cell>
          <cell r="C11">
            <v>62.576420613067924</v>
          </cell>
          <cell r="D11">
            <v>64.886891961603482</v>
          </cell>
          <cell r="E11">
            <v>67.323782654904377</v>
          </cell>
          <cell r="F11">
            <v>69.292916745289716</v>
          </cell>
          <cell r="G11">
            <v>70.256820419412364</v>
          </cell>
          <cell r="H11">
            <v>71.140513724590306</v>
          </cell>
          <cell r="I11">
            <v>72.025015892764287</v>
          </cell>
          <cell r="J11">
            <v>72.720335295267077</v>
          </cell>
          <cell r="K11">
            <v>74.842920363123952</v>
          </cell>
          <cell r="L11">
            <v>73.370280109111718</v>
          </cell>
          <cell r="M11">
            <v>73.486107716156738</v>
          </cell>
        </row>
        <row r="18">
          <cell r="B18">
            <v>3.5600046665558427</v>
          </cell>
          <cell r="C18">
            <v>3.4647169319511666</v>
          </cell>
          <cell r="D18">
            <v>3.2337699067947607</v>
          </cell>
          <cell r="E18">
            <v>3.6007281934830235E-3</v>
          </cell>
          <cell r="F18">
            <v>3.9038377100870949E-3</v>
          </cell>
          <cell r="G18">
            <v>3.6506334394136881E-3</v>
          </cell>
          <cell r="H18">
            <v>5.6072647622365124E-3</v>
          </cell>
          <cell r="I18">
            <v>1.2070446445515892E-2</v>
          </cell>
          <cell r="J18">
            <v>7.5510906371049312E-3</v>
          </cell>
          <cell r="K18">
            <v>1.1397405697162728E-2</v>
          </cell>
          <cell r="L18">
            <v>6.4781681295358901E-3</v>
          </cell>
          <cell r="M18">
            <v>1.2024115243862548E-2</v>
          </cell>
        </row>
        <row r="19">
          <cell r="B19">
            <v>12.728689269813852</v>
          </cell>
          <cell r="C19">
            <v>13.638450832197567</v>
          </cell>
          <cell r="D19">
            <v>13.52310683142516</v>
          </cell>
          <cell r="E19">
            <v>17.062216841660778</v>
          </cell>
          <cell r="F19">
            <v>16.520860053521375</v>
          </cell>
          <cell r="G19">
            <v>15.987497917121901</v>
          </cell>
          <cell r="H19">
            <v>19.740394958171557</v>
          </cell>
          <cell r="I19">
            <v>21.794957611727039</v>
          </cell>
          <cell r="J19">
            <v>22.071232403806334</v>
          </cell>
          <cell r="K19">
            <v>22.244668235937855</v>
          </cell>
          <cell r="L19">
            <v>21.941975225019078</v>
          </cell>
          <cell r="M19">
            <v>21.882536817153664</v>
          </cell>
        </row>
        <row r="21">
          <cell r="B21">
            <v>7.7980455360462626</v>
          </cell>
          <cell r="C21">
            <v>8.0802332994917769</v>
          </cell>
          <cell r="D21">
            <v>5.6083585759144521</v>
          </cell>
          <cell r="E21">
            <v>5.545646985186667</v>
          </cell>
          <cell r="F21">
            <v>5.4829952731623397</v>
          </cell>
          <cell r="G21">
            <v>5.4553743912573998</v>
          </cell>
          <cell r="H21">
            <v>5.427692654791791</v>
          </cell>
          <cell r="I21">
            <v>5.3999684389889211</v>
          </cell>
          <cell r="J21">
            <v>5.4000153458107985</v>
          </cell>
          <cell r="K21">
            <v>5.4000639550875755</v>
          </cell>
          <cell r="L21">
            <v>5.3999851591891881</v>
          </cell>
          <cell r="M21">
            <v>5.4001196825141236</v>
          </cell>
        </row>
        <row r="22">
          <cell r="B22">
            <v>6.768514679096807E-2</v>
          </cell>
          <cell r="C22">
            <v>8.5501988905615459E-2</v>
          </cell>
          <cell r="D22">
            <v>8.5514814167454281E-2</v>
          </cell>
          <cell r="E22">
            <v>8.5513018404928559E-2</v>
          </cell>
          <cell r="F22">
            <v>8.5515781993019874E-2</v>
          </cell>
          <cell r="G22">
            <v>8.5517851935914227E-2</v>
          </cell>
          <cell r="H22">
            <v>8.5521506078016632E-2</v>
          </cell>
          <cell r="I22">
            <v>8.5524694309731544E-2</v>
          </cell>
          <cell r="J22">
            <v>8.552622439100839E-2</v>
          </cell>
          <cell r="K22">
            <v>8.5558189151522704E-2</v>
          </cell>
          <cell r="L22">
            <v>8.5576263525398377E-2</v>
          </cell>
          <cell r="M22">
            <v>8.570370853114255E-2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8.9390900395731523E-3</v>
          </cell>
          <cell r="F23">
            <v>3.5198355207414135E-2</v>
          </cell>
          <cell r="G23">
            <v>5.1614901296348437E-2</v>
          </cell>
          <cell r="H23">
            <v>4.8880449241988894E-2</v>
          </cell>
          <cell r="I23">
            <v>0.16491898204717459</v>
          </cell>
          <cell r="J23">
            <v>0.20598582473834834</v>
          </cell>
          <cell r="K23">
            <v>0.30193947011770539</v>
          </cell>
          <cell r="L23">
            <v>0.30704378708947155</v>
          </cell>
          <cell r="M23">
            <v>0.31390732050523495</v>
          </cell>
        </row>
        <row r="24">
          <cell r="B24">
            <v>0.74853385793953964</v>
          </cell>
          <cell r="C24">
            <v>0.94974028395011023</v>
          </cell>
          <cell r="D24">
            <v>2.4392772804894234</v>
          </cell>
          <cell r="E24">
            <v>4.0777010058567704</v>
          </cell>
          <cell r="F24">
            <v>5.7630134732577067</v>
          </cell>
          <cell r="G24">
            <v>6.3020908113578633</v>
          </cell>
          <cell r="H24">
            <v>6.3551733544227771</v>
          </cell>
          <cell r="I24">
            <v>6.4038274484856261</v>
          </cell>
          <cell r="J24">
            <v>6.4040235211198349</v>
          </cell>
          <cell r="K24">
            <v>8.7632621895875804</v>
          </cell>
          <cell r="L24">
            <v>8.7632758978705176</v>
          </cell>
          <cell r="M24">
            <v>8.7637667468425402</v>
          </cell>
        </row>
        <row r="33">
          <cell r="B33">
            <v>12.006675208704324</v>
          </cell>
          <cell r="C33">
            <v>12.710049011955752</v>
          </cell>
          <cell r="D33">
            <v>13.370766936675581</v>
          </cell>
          <cell r="E33">
            <v>14.338324035735535</v>
          </cell>
          <cell r="F33">
            <v>15.341604314271994</v>
          </cell>
          <cell r="G33">
            <v>15.762464752226858</v>
          </cell>
          <cell r="H33">
            <v>15.954441937510609</v>
          </cell>
          <cell r="I33">
            <v>16.147954374491988</v>
          </cell>
          <cell r="J33">
            <v>16.14809539201357</v>
          </cell>
          <cell r="K33">
            <v>16.707488339147467</v>
          </cell>
          <cell r="L33">
            <v>16.707525827648286</v>
          </cell>
          <cell r="M33">
            <v>16.708360425601864</v>
          </cell>
        </row>
        <row r="34">
          <cell r="B34">
            <v>8.8978151043858027</v>
          </cell>
          <cell r="C34">
            <v>8.1051999591609381</v>
          </cell>
          <cell r="D34">
            <v>8.0010704671410231</v>
          </cell>
          <cell r="E34">
            <v>6.5029609608547698</v>
          </cell>
          <cell r="F34">
            <v>4.9542028173180386</v>
          </cell>
          <cell r="G34">
            <v>3.383490992612622</v>
          </cell>
          <cell r="H34">
            <v>1.8135322807403771</v>
          </cell>
          <cell r="I34">
            <v>0.25855221336326289</v>
          </cell>
          <cell r="J34">
            <v>0.25836841142855721</v>
          </cell>
          <cell r="K34">
            <v>0.25821749541663824</v>
          </cell>
          <cell r="L34">
            <v>0.24871705903210647</v>
          </cell>
          <cell r="M34">
            <v>0.24498680868643566</v>
          </cell>
        </row>
        <row r="35">
          <cell r="B35">
            <v>2.7300041238171344</v>
          </cell>
          <cell r="C35">
            <v>2.246028432031336</v>
          </cell>
          <cell r="D35">
            <v>8.6498488272189859E-3</v>
          </cell>
          <cell r="E35">
            <v>2.5405355219965745E-3</v>
          </cell>
          <cell r="F35">
            <v>3.7641942543044549E-3</v>
          </cell>
          <cell r="G35">
            <v>3.5294476485058265E-3</v>
          </cell>
          <cell r="H35">
            <v>4.3978627935651283E-3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B36">
            <v>0</v>
          </cell>
          <cell r="C36">
            <v>0</v>
          </cell>
          <cell r="D36">
            <v>3.9161267040930988E-4</v>
          </cell>
          <cell r="E36">
            <v>1.6164171035260237E-3</v>
          </cell>
          <cell r="F36">
            <v>1.6420364258377595E-3</v>
          </cell>
          <cell r="G36">
            <v>1.8079617294525453E-3</v>
          </cell>
          <cell r="H36">
            <v>1.7693887106476937E-3</v>
          </cell>
          <cell r="I36">
            <v>1.2970717309409687E-3</v>
          </cell>
          <cell r="J36">
            <v>1.3325293144407914E-3</v>
          </cell>
          <cell r="K36">
            <v>1.4421001284534404E-3</v>
          </cell>
          <cell r="L36">
            <v>1.4900526687894136E-3</v>
          </cell>
          <cell r="M36">
            <v>3.082425549220153E-3</v>
          </cell>
        </row>
        <row r="37">
          <cell r="B37">
            <v>35.246013540978936</v>
          </cell>
          <cell r="C37">
            <v>30.082277098111128</v>
          </cell>
          <cell r="D37">
            <v>30.895837561245063</v>
          </cell>
          <cell r="E37">
            <v>26.451327116409225</v>
          </cell>
          <cell r="F37">
            <v>23.756881346988152</v>
          </cell>
          <cell r="G37">
            <v>22.051861187239481</v>
          </cell>
          <cell r="H37">
            <v>18.056830239289848</v>
          </cell>
          <cell r="I37">
            <v>16.012001060274152</v>
          </cell>
          <cell r="J37">
            <v>14.875170519028059</v>
          </cell>
          <cell r="K37">
            <v>12.543702768341291</v>
          </cell>
          <cell r="L37">
            <v>11.164316077080166</v>
          </cell>
          <cell r="M37">
            <v>9.6990332135059436</v>
          </cell>
        </row>
        <row r="38">
          <cell r="B38">
            <v>0.30635832416288822</v>
          </cell>
          <cell r="C38">
            <v>3.0951143680871355E-4</v>
          </cell>
          <cell r="D38">
            <v>2.7551525974605564</v>
          </cell>
          <cell r="E38">
            <v>2.5846154884102579</v>
          </cell>
          <cell r="F38">
            <v>2.6124115604444902</v>
          </cell>
          <cell r="G38">
            <v>2.7114048151116523</v>
          </cell>
          <cell r="H38">
            <v>2.7168690768449424</v>
          </cell>
          <cell r="I38">
            <v>2.7161357970482856</v>
          </cell>
          <cell r="J38">
            <v>2.7236413916922717</v>
          </cell>
          <cell r="K38">
            <v>2.6916058181583411</v>
          </cell>
          <cell r="L38">
            <v>2.6598046101620367</v>
          </cell>
          <cell r="M38">
            <v>2.6370332882246865</v>
          </cell>
        </row>
        <row r="39">
          <cell r="B39">
            <v>0.43673250724134999</v>
          </cell>
          <cell r="C39">
            <v>0.55206681675810632</v>
          </cell>
          <cell r="D39">
            <v>0.94316394259104497</v>
          </cell>
          <cell r="E39">
            <v>2.213304513261495</v>
          </cell>
          <cell r="F39">
            <v>3.6998932688499142</v>
          </cell>
          <cell r="G39">
            <v>5.7402395984733579</v>
          </cell>
          <cell r="H39">
            <v>5.7784905950642838</v>
          </cell>
          <cell r="I39">
            <v>5.7790548681008715</v>
          </cell>
          <cell r="J39">
            <v>5.8435577045222322</v>
          </cell>
          <cell r="K39">
            <v>6.1410178062606571</v>
          </cell>
          <cell r="L39">
            <v>6.141182430819244</v>
          </cell>
          <cell r="M39">
            <v>6.1533309885965624</v>
          </cell>
        </row>
        <row r="55">
          <cell r="B55">
            <v>9.8139188763240437</v>
          </cell>
          <cell r="C55">
            <v>10.335085644226197</v>
          </cell>
          <cell r="D55">
            <v>10.335329075145419</v>
          </cell>
          <cell r="E55">
            <v>10.582203951236183</v>
          </cell>
          <cell r="F55">
            <v>10.865027723224022</v>
          </cell>
          <cell r="G55">
            <v>11.101079591317156</v>
          </cell>
          <cell r="H55">
            <v>11.319361018206957</v>
          </cell>
          <cell r="I55">
            <v>11.538040064225129</v>
          </cell>
          <cell r="J55">
            <v>11.538062491885348</v>
          </cell>
          <cell r="K55">
            <v>11.736554695849161</v>
          </cell>
          <cell r="L55">
            <v>11.736564557016958</v>
          </cell>
          <cell r="M55">
            <v>11.736692556145373</v>
          </cell>
        </row>
        <row r="56">
          <cell r="B56">
            <v>1.1082363982730716</v>
          </cell>
          <cell r="C56">
            <v>1.4008081438866475</v>
          </cell>
          <cell r="D56">
            <v>3.5233480800290642</v>
          </cell>
          <cell r="E56">
            <v>5.8077365630936733</v>
          </cell>
          <cell r="F56">
            <v>8.157308994165998</v>
          </cell>
          <cell r="G56">
            <v>8.840066292641982</v>
          </cell>
          <cell r="H56">
            <v>8.840235351279885</v>
          </cell>
          <cell r="I56">
            <v>8.8403573763578986</v>
          </cell>
          <cell r="J56">
            <v>8.8407527082647626</v>
          </cell>
          <cell r="K56">
            <v>9.9641529288921369</v>
          </cell>
          <cell r="L56">
            <v>9.9642421903199363</v>
          </cell>
          <cell r="M56">
            <v>9.9666011594704056</v>
          </cell>
        </row>
        <row r="57">
          <cell r="B57">
            <v>6.9177143033654129</v>
          </cell>
          <cell r="C57">
            <v>6.3116803853627035</v>
          </cell>
          <cell r="D57">
            <v>6.245993435090214</v>
          </cell>
          <cell r="E57">
            <v>5.0979683693596245</v>
          </cell>
          <cell r="F57">
            <v>3.8997309376318068</v>
          </cell>
          <cell r="G57">
            <v>2.6745204562159097</v>
          </cell>
          <cell r="H57">
            <v>1.4398683298106232</v>
          </cell>
          <cell r="I57">
            <v>0.20692537410071793</v>
          </cell>
          <cell r="J57">
            <v>0.20680724327592886</v>
          </cell>
          <cell r="K57">
            <v>0.20677431891925452</v>
          </cell>
          <cell r="L57">
            <v>0.19924703726853876</v>
          </cell>
          <cell r="M57">
            <v>0.19754458465599486</v>
          </cell>
        </row>
        <row r="58">
          <cell r="B58">
            <v>1.8458240382158615</v>
          </cell>
          <cell r="C58">
            <v>1.5251656067708788</v>
          </cell>
          <cell r="D58">
            <v>5.9116310578524664E-3</v>
          </cell>
          <cell r="E58">
            <v>1.7548749118191324E-3</v>
          </cell>
          <cell r="F58">
            <v>2.6276428516454021E-3</v>
          </cell>
          <cell r="G58">
            <v>2.4895841350647961E-3</v>
          </cell>
          <cell r="H58">
            <v>3.1343018396889463E-3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B59">
            <v>28.619777779756735</v>
          </cell>
          <cell r="C59">
            <v>24.237779334933755</v>
          </cell>
          <cell r="D59">
            <v>27.11457216520742</v>
          </cell>
          <cell r="E59">
            <v>23.409466923510994</v>
          </cell>
          <cell r="F59">
            <v>21.297220532998921</v>
          </cell>
          <cell r="G59">
            <v>20.041029420569835</v>
          </cell>
          <cell r="H59">
            <v>16.835184059773631</v>
          </cell>
          <cell r="I59">
            <v>15.269244660764345</v>
          </cell>
          <cell r="J59">
            <v>14.361303719270456</v>
          </cell>
          <cell r="K59">
            <v>11.293281737259171</v>
          </cell>
          <cell r="L59">
            <v>10.146525693849979</v>
          </cell>
          <cell r="M59">
            <v>8.9312514318215168</v>
          </cell>
        </row>
        <row r="60">
          <cell r="B60">
            <v>0</v>
          </cell>
          <cell r="C60">
            <v>0</v>
          </cell>
          <cell r="D60">
            <v>7.9143646751326319E-2</v>
          </cell>
          <cell r="E60">
            <v>0.17247175141678481</v>
          </cell>
          <cell r="F60">
            <v>0.21241959246747905</v>
          </cell>
          <cell r="G60">
            <v>0.23938745794770061</v>
          </cell>
          <cell r="H60">
            <v>0.24457301992107142</v>
          </cell>
          <cell r="I60">
            <v>0.24454187625402868</v>
          </cell>
          <cell r="J60">
            <v>0.24437808794050636</v>
          </cell>
          <cell r="K60">
            <v>3.2658110160655682</v>
          </cell>
          <cell r="L60">
            <v>3.2657148980265971</v>
          </cell>
          <cell r="M60">
            <v>3.2634235008341062</v>
          </cell>
        </row>
        <row r="61">
          <cell r="B61">
            <v>2.3674031032596359</v>
          </cell>
          <cell r="C61">
            <v>2.3075014766794775</v>
          </cell>
          <cell r="D61">
            <v>2.1585414127855018</v>
          </cell>
          <cell r="E61">
            <v>2.4124878896336264E-3</v>
          </cell>
          <cell r="F61">
            <v>2.6253308600335725E-3</v>
          </cell>
          <cell r="G61">
            <v>2.4641775716042402E-3</v>
          </cell>
          <cell r="H61">
            <v>3.7989218764152379E-3</v>
          </cell>
          <cell r="I61">
            <v>8.2079035829508134E-3</v>
          </cell>
          <cell r="J61">
            <v>5.134741633231351E-3</v>
          </cell>
          <cell r="K61">
            <v>7.7502358740706564E-3</v>
          </cell>
          <cell r="L61">
            <v>4.4051543280844057E-3</v>
          </cell>
          <cell r="M61">
            <v>8.1763983658265371E-3</v>
          </cell>
        </row>
        <row r="62">
          <cell r="B62">
            <v>5.1850768558880045</v>
          </cell>
          <cell r="C62">
            <v>5.5675710466350843</v>
          </cell>
          <cell r="D62">
            <v>5.697476754991829</v>
          </cell>
          <cell r="E62">
            <v>8.6445052518026628</v>
          </cell>
          <cell r="F62">
            <v>8.5864197264767927</v>
          </cell>
          <cell r="G62">
            <v>8.2294213949103572</v>
          </cell>
          <cell r="H62">
            <v>10.287635920266153</v>
          </cell>
          <cell r="I62">
            <v>11.943005615712595</v>
          </cell>
          <cell r="J62">
            <v>12.282826634411878</v>
          </cell>
          <cell r="K62">
            <v>12.219405317383492</v>
          </cell>
          <cell r="L62">
            <v>12.2571042461981</v>
          </cell>
          <cell r="M62">
            <v>12.277555910865946</v>
          </cell>
        </row>
        <row r="63">
          <cell r="B63">
            <v>6.5822942250845431</v>
          </cell>
          <cell r="C63">
            <v>7.0678585237048832</v>
          </cell>
          <cell r="D63">
            <v>6.8712573232760272</v>
          </cell>
          <cell r="E63">
            <v>7.2980338298533338</v>
          </cell>
          <cell r="F63">
            <v>6.9320706076979057</v>
          </cell>
          <cell r="G63">
            <v>6.8700601882656809</v>
          </cell>
          <cell r="H63">
            <v>8.4119679170175097</v>
          </cell>
          <cell r="I63">
            <v>8.7652394024703337</v>
          </cell>
          <cell r="J63">
            <v>8.6877588944878088</v>
          </cell>
          <cell r="K63">
            <v>8.916049695594074</v>
          </cell>
          <cell r="L63">
            <v>8.5906500087910977</v>
          </cell>
          <cell r="M63">
            <v>8.5154753515034631</v>
          </cell>
        </row>
        <row r="64">
          <cell r="B64">
            <v>5.3111240086370923</v>
          </cell>
          <cell r="C64">
            <v>6.2669389923398109</v>
          </cell>
          <cell r="D64">
            <v>5.8303031468164441</v>
          </cell>
          <cell r="E64">
            <v>6.8560645463190113</v>
          </cell>
          <cell r="F64">
            <v>7.4160957933426319</v>
          </cell>
          <cell r="G64">
            <v>8.0970910992560778</v>
          </cell>
          <cell r="H64">
            <v>8.6819466978794608</v>
          </cell>
          <cell r="I64">
            <v>9.2747700619342108</v>
          </cell>
          <cell r="J64">
            <v>9.2064981516345856</v>
          </cell>
          <cell r="K64">
            <v>9.4625047088546985</v>
          </cell>
          <cell r="L64">
            <v>8.1882611243490633</v>
          </cell>
          <cell r="M64">
            <v>8.8236941347220768</v>
          </cell>
        </row>
        <row r="65">
          <cell r="B65">
            <v>0.46152166700461911</v>
          </cell>
          <cell r="C65">
            <v>0.54457589337887347</v>
          </cell>
          <cell r="D65">
            <v>0.54458250254969676</v>
          </cell>
          <cell r="E65">
            <v>0.54460021721576457</v>
          </cell>
          <cell r="F65">
            <v>0.54650741985793416</v>
          </cell>
          <cell r="G65">
            <v>0.54653478681720558</v>
          </cell>
          <cell r="H65">
            <v>0.54657000460357452</v>
          </cell>
          <cell r="I65">
            <v>0.54662016944680625</v>
          </cell>
          <cell r="J65">
            <v>0.54666435140552039</v>
          </cell>
          <cell r="K65">
            <v>0.54676691745588923</v>
          </cell>
          <cell r="L65">
            <v>0.54691957008884895</v>
          </cell>
          <cell r="M65">
            <v>0.54747091132561332</v>
          </cell>
        </row>
        <row r="66">
          <cell r="B66">
            <v>4.1173680430324273</v>
          </cell>
          <cell r="C66">
            <v>4.2663631821316548</v>
          </cell>
          <cell r="D66">
            <v>2.9612133280828283</v>
          </cell>
          <cell r="E66">
            <v>2.9281016081785611</v>
          </cell>
          <cell r="F66">
            <v>2.8950215042297165</v>
          </cell>
          <cell r="G66">
            <v>2.8804376785839056</v>
          </cell>
          <cell r="H66">
            <v>2.9092432629684004</v>
          </cell>
          <cell r="I66">
            <v>2.9375828308099736</v>
          </cell>
          <cell r="J66">
            <v>2.9376083481210737</v>
          </cell>
          <cell r="K66">
            <v>2.93763479156764</v>
          </cell>
          <cell r="L66">
            <v>2.937591926598917</v>
          </cell>
          <cell r="M66">
            <v>2.9376651072876836</v>
          </cell>
        </row>
        <row r="67">
          <cell r="B67">
            <v>6.768514679096807E-2</v>
          </cell>
          <cell r="C67">
            <v>8.5501988905615459E-2</v>
          </cell>
          <cell r="D67">
            <v>8.5514814167454281E-2</v>
          </cell>
          <cell r="E67">
            <v>8.5513018404928559E-2</v>
          </cell>
          <cell r="F67">
            <v>8.5515781993019874E-2</v>
          </cell>
          <cell r="G67">
            <v>8.5517851935914227E-2</v>
          </cell>
          <cell r="H67">
            <v>8.5521506078016632E-2</v>
          </cell>
          <cell r="I67">
            <v>8.5524694309731544E-2</v>
          </cell>
          <cell r="J67">
            <v>8.552622439100839E-2</v>
          </cell>
          <cell r="K67">
            <v>8.5558189151522704E-2</v>
          </cell>
          <cell r="L67">
            <v>8.5576263525398377E-2</v>
          </cell>
          <cell r="M67">
            <v>8.570370853114255E-2</v>
          </cell>
        </row>
        <row r="68">
          <cell r="B68">
            <v>0.31051681264859937</v>
          </cell>
          <cell r="C68">
            <v>0.39251950671501346</v>
          </cell>
          <cell r="D68">
            <v>0.67058956318223317</v>
          </cell>
          <cell r="E68">
            <v>1.5736595089289216</v>
          </cell>
          <cell r="F68">
            <v>2.6306241141522912</v>
          </cell>
          <cell r="G68">
            <v>4.0813103545145513</v>
          </cell>
          <cell r="H68">
            <v>4.1345100207684951</v>
          </cell>
          <cell r="I68">
            <v>4.1609195050326226</v>
          </cell>
          <cell r="J68">
            <v>4.20736154725601</v>
          </cell>
          <cell r="K68">
            <v>4.4215328205076734</v>
          </cell>
          <cell r="L68">
            <v>4.42165135018986</v>
          </cell>
          <cell r="M68">
            <v>4.4303983117895296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1.5376733791177296E-3</v>
          </cell>
          <cell r="F69">
            <v>1.0120552773732474E-2</v>
          </cell>
          <cell r="G69">
            <v>1.2434391503042213E-2</v>
          </cell>
          <cell r="H69">
            <v>1.249484051507915E-2</v>
          </cell>
          <cell r="I69">
            <v>4.2862631186893839E-2</v>
          </cell>
          <cell r="J69">
            <v>6.3253612697448947E-2</v>
          </cell>
          <cell r="K69">
            <v>9.1192831175575362E-2</v>
          </cell>
          <cell r="L69">
            <v>9.1262823032486617E-2</v>
          </cell>
          <cell r="M69">
            <v>9.9439815963269021E-2</v>
          </cell>
        </row>
        <row r="70">
          <cell r="B70">
            <v>0</v>
          </cell>
          <cell r="C70">
            <v>4.043621800078145</v>
          </cell>
          <cell r="D70">
            <v>4.0436300492755892</v>
          </cell>
          <cell r="E70">
            <v>4.0438902692249981</v>
          </cell>
          <cell r="F70">
            <v>4.0439829445434068</v>
          </cell>
          <cell r="G70">
            <v>4.0441232033579668</v>
          </cell>
          <cell r="H70">
            <v>4.0441832125794575</v>
          </cell>
          <cell r="I70">
            <v>4.0444217746579723</v>
          </cell>
          <cell r="J70">
            <v>4.0442389267121088</v>
          </cell>
          <cell r="K70">
            <v>4.0444053326944909</v>
          </cell>
          <cell r="L70">
            <v>4.0441802978148838</v>
          </cell>
          <cell r="M70">
            <v>4.0446635323198663</v>
          </cell>
        </row>
        <row r="71">
          <cell r="B71">
            <v>72.708461258281019</v>
          </cell>
          <cell r="C71">
            <v>74.352971525748757</v>
          </cell>
          <cell r="D71">
            <v>76.167406928408909</v>
          </cell>
          <cell r="E71">
            <v>77.049920844726017</v>
          </cell>
          <cell r="F71">
            <v>77.583319199267336</v>
          </cell>
          <cell r="G71">
            <v>77.747967929543947</v>
          </cell>
          <cell r="H71">
            <v>77.800228385384415</v>
          </cell>
          <cell r="I71">
            <v>77.908263940846211</v>
          </cell>
          <cell r="J71">
            <v>77.258175683387691</v>
          </cell>
          <cell r="K71">
            <v>79.199375537244435</v>
          </cell>
          <cell r="L71">
            <v>76.479897141398752</v>
          </cell>
          <cell r="M71">
            <v>75.865756415601794</v>
          </cell>
        </row>
      </sheetData>
      <sheetData sheetId="71">
        <row r="3">
          <cell r="B3">
            <v>56.994774574912441</v>
          </cell>
          <cell r="C3">
            <v>58.701894525398288</v>
          </cell>
          <cell r="D3">
            <v>61.538282472483147</v>
          </cell>
          <cell r="E3">
            <v>62.070098028207383</v>
          </cell>
          <cell r="F3">
            <v>62.292617178115329</v>
          </cell>
          <cell r="G3">
            <v>62.658213193496849</v>
          </cell>
          <cell r="H3">
            <v>62.135696622153738</v>
          </cell>
          <cell r="I3">
            <v>61.613001912189283</v>
          </cell>
          <cell r="J3">
            <v>62.660752454119567</v>
          </cell>
          <cell r="K3">
            <v>63.515490277588668</v>
          </cell>
          <cell r="L3">
            <v>64.325546650496108</v>
          </cell>
          <cell r="M3">
            <v>65.099494865229161</v>
          </cell>
        </row>
        <row r="6">
          <cell r="B6">
            <v>0</v>
          </cell>
          <cell r="C6">
            <v>6.9646045322379031</v>
          </cell>
          <cell r="D6">
            <v>6.9630273991249245</v>
          </cell>
          <cell r="E6">
            <v>6.9633820919959364</v>
          </cell>
          <cell r="F6">
            <v>6.9632586912710632</v>
          </cell>
          <cell r="G6">
            <v>6.9634041865472245</v>
          </cell>
          <cell r="H6">
            <v>6.9634813311420842</v>
          </cell>
          <cell r="I6">
            <v>6.9631349042086477</v>
          </cell>
          <cell r="J6">
            <v>6.9621310106374716</v>
          </cell>
          <cell r="K6">
            <v>6.962388798465784</v>
          </cell>
          <cell r="L6">
            <v>6.9621692172986123</v>
          </cell>
          <cell r="M6">
            <v>6.963770066653816</v>
          </cell>
        </row>
        <row r="11">
          <cell r="B11">
            <v>60.950028078853997</v>
          </cell>
          <cell r="C11">
            <v>60.52697175826416</v>
          </cell>
          <cell r="D11">
            <v>65.448473923713891</v>
          </cell>
          <cell r="E11">
            <v>65.719398100981294</v>
          </cell>
          <cell r="F11">
            <v>65.65877209754629</v>
          </cell>
          <cell r="G11">
            <v>65.770861436029776</v>
          </cell>
          <cell r="H11">
            <v>65.010815519478527</v>
          </cell>
          <cell r="I11">
            <v>64.293910937324853</v>
          </cell>
          <cell r="J11">
            <v>65.467747511493982</v>
          </cell>
          <cell r="K11">
            <v>66.427547367592226</v>
          </cell>
          <cell r="L11">
            <v>67.387953706683561</v>
          </cell>
          <cell r="M11">
            <v>68.286289479538439</v>
          </cell>
        </row>
        <row r="12">
          <cell r="B12">
            <v>30.256635401172776</v>
          </cell>
          <cell r="C12">
            <v>26.872849362577064</v>
          </cell>
          <cell r="D12">
            <v>25.420290126334454</v>
          </cell>
          <cell r="E12">
            <v>21.541750993604623</v>
          </cell>
          <cell r="F12">
            <v>16.975266895532283</v>
          </cell>
          <cell r="G12">
            <v>14.329202453881948</v>
          </cell>
          <cell r="H12">
            <v>12.900832932944599</v>
          </cell>
          <cell r="I12">
            <v>10.723864787609026</v>
          </cell>
          <cell r="J12">
            <v>8.8708578303166341</v>
          </cell>
          <cell r="K12">
            <v>7.3790543579305927</v>
          </cell>
          <cell r="L12">
            <v>4.0619884045971366</v>
          </cell>
          <cell r="M12">
            <v>1.3705939213325922</v>
          </cell>
        </row>
        <row r="13">
          <cell r="B13">
            <v>0</v>
          </cell>
          <cell r="C13">
            <v>0</v>
          </cell>
          <cell r="D13">
            <v>2.5413368170012395E-4</v>
          </cell>
          <cell r="E13">
            <v>5.6980731995106909E-4</v>
          </cell>
          <cell r="F13">
            <v>1.1747192564773026E-3</v>
          </cell>
          <cell r="G13">
            <v>5.9491639932375464E-4</v>
          </cell>
          <cell r="H13">
            <v>5.9866163591538709E-4</v>
          </cell>
          <cell r="I13">
            <v>1.2355262289127837E-3</v>
          </cell>
          <cell r="J13">
            <v>6.0772844835658144E-4</v>
          </cell>
          <cell r="K13">
            <v>1.2323150145866818E-3</v>
          </cell>
          <cell r="L13">
            <v>9.4392469594914181E-4</v>
          </cell>
          <cell r="M13">
            <v>2.0774878450174152E-3</v>
          </cell>
        </row>
        <row r="14">
          <cell r="B14">
            <v>25.265672079458184</v>
          </cell>
          <cell r="C14">
            <v>23.777181155207678</v>
          </cell>
          <cell r="D14">
            <v>25.473580115143026</v>
          </cell>
          <cell r="E14">
            <v>26.444847580285572</v>
          </cell>
          <cell r="F14">
            <v>26.751102715452788</v>
          </cell>
          <cell r="G14">
            <v>26.921013048365783</v>
          </cell>
          <cell r="H14">
            <v>25.180686358036873</v>
          </cell>
          <cell r="I14">
            <v>23.500069947831033</v>
          </cell>
          <cell r="J14">
            <v>22.945887835876277</v>
          </cell>
          <cell r="K14">
            <v>22.311162517685812</v>
          </cell>
          <cell r="L14">
            <v>21.825080979157374</v>
          </cell>
          <cell r="M14">
            <v>20.801376468624834</v>
          </cell>
        </row>
        <row r="15">
          <cell r="B15">
            <v>0.28302176055231987</v>
          </cell>
          <cell r="C15">
            <v>2.9726003618222498</v>
          </cell>
          <cell r="D15">
            <v>5.9079444645495992E-2</v>
          </cell>
          <cell r="E15">
            <v>1.5522021637163143E-3</v>
          </cell>
          <cell r="F15">
            <v>1.3569969437697371E-3</v>
          </cell>
          <cell r="G15">
            <v>1.3849239570499141E-3</v>
          </cell>
          <cell r="H15">
            <v>1.3763574240420004E-3</v>
          </cell>
          <cell r="I15">
            <v>1.5020200493321056E-3</v>
          </cell>
          <cell r="J15">
            <v>1.4979248953312704E-3</v>
          </cell>
          <cell r="K15">
            <v>1.5357481113391588E-3</v>
          </cell>
          <cell r="L15">
            <v>1.5159349820195547E-3</v>
          </cell>
          <cell r="M15">
            <v>2.4063547650803449E-3</v>
          </cell>
        </row>
        <row r="16">
          <cell r="B16">
            <v>1.4022864604649508</v>
          </cell>
          <cell r="C16">
            <v>1.5372289701539132</v>
          </cell>
          <cell r="D16">
            <v>1.6202034769131697</v>
          </cell>
          <cell r="E16">
            <v>1.6191965709736642</v>
          </cell>
          <cell r="F16">
            <v>1.7752390600682726</v>
          </cell>
          <cell r="G16">
            <v>1.9115841118874064</v>
          </cell>
          <cell r="H16">
            <v>2.0152033215259064</v>
          </cell>
          <cell r="I16">
            <v>2.1831058228755222</v>
          </cell>
          <cell r="J16">
            <v>2.5093387717778382</v>
          </cell>
          <cell r="K16">
            <v>2.4992350278026705</v>
          </cell>
          <cell r="L16">
            <v>3.5050927439476012</v>
          </cell>
          <cell r="M16">
            <v>3.6421006596921388</v>
          </cell>
        </row>
        <row r="17">
          <cell r="B17">
            <v>7.7269218766309624</v>
          </cell>
          <cell r="C17">
            <v>8.3697170869913968</v>
          </cell>
          <cell r="D17">
            <v>8.1235821859343051</v>
          </cell>
          <cell r="E17">
            <v>9.9185465608165391</v>
          </cell>
          <cell r="F17">
            <v>12.177062738715996</v>
          </cell>
          <cell r="G17">
            <v>12.24335660035767</v>
          </cell>
          <cell r="H17">
            <v>12.635765613015421</v>
          </cell>
          <cell r="I17">
            <v>13.408008956744959</v>
          </cell>
          <cell r="J17">
            <v>13.35057306711297</v>
          </cell>
          <cell r="K17">
            <v>13.390161135319833</v>
          </cell>
          <cell r="L17">
            <v>13.933440085052309</v>
          </cell>
          <cell r="M17">
            <v>14.189526819252789</v>
          </cell>
        </row>
        <row r="19">
          <cell r="B19">
            <v>0.62699674140755068</v>
          </cell>
          <cell r="C19">
            <v>0.68734342049607799</v>
          </cell>
          <cell r="D19">
            <v>0.68710539640262069</v>
          </cell>
          <cell r="E19">
            <v>0.68756343294399536</v>
          </cell>
          <cell r="F19">
            <v>0.68780420922686236</v>
          </cell>
          <cell r="G19">
            <v>0.68802832473041875</v>
          </cell>
          <cell r="H19">
            <v>0.68801838194041698</v>
          </cell>
          <cell r="I19">
            <v>0.68753384165815401</v>
          </cell>
          <cell r="J19">
            <v>0.68834438991483105</v>
          </cell>
          <cell r="K19">
            <v>0.68771745660865946</v>
          </cell>
          <cell r="L19">
            <v>0.68839779169106141</v>
          </cell>
          <cell r="M19">
            <v>0.68852227419180057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4.6291360746561414E-3</v>
          </cell>
          <cell r="F20">
            <v>9.7634428711776342E-3</v>
          </cell>
          <cell r="G20">
            <v>1.249147694563342E-2</v>
          </cell>
          <cell r="H20">
            <v>1.1091071262303636E-2</v>
          </cell>
          <cell r="I20">
            <v>3.9238220855762687E-2</v>
          </cell>
          <cell r="J20">
            <v>3.4240083748362377E-2</v>
          </cell>
          <cell r="K20">
            <v>0.13133792949617554</v>
          </cell>
          <cell r="L20">
            <v>0.18778835096001917</v>
          </cell>
          <cell r="M20">
            <v>0.17832054899920236</v>
          </cell>
        </row>
        <row r="21">
          <cell r="B21">
            <v>2.9296005862899523</v>
          </cell>
          <cell r="C21">
            <v>3.1924588572611676</v>
          </cell>
          <cell r="D21">
            <v>3.3642857422366998</v>
          </cell>
          <cell r="E21">
            <v>3.6710123873503311</v>
          </cell>
          <cell r="F21">
            <v>3.9984047503931524</v>
          </cell>
          <cell r="G21">
            <v>4.3538676219407106</v>
          </cell>
          <cell r="H21">
            <v>4.7343908319473655</v>
          </cell>
          <cell r="I21">
            <v>5.1521925873167254</v>
          </cell>
          <cell r="J21">
            <v>5.553930296641874</v>
          </cell>
          <cell r="K21">
            <v>5.9644484050020807</v>
          </cell>
          <cell r="L21">
            <v>6.4292126673301286</v>
          </cell>
          <cell r="M21">
            <v>6.9167656531110193</v>
          </cell>
        </row>
        <row r="28">
          <cell r="B28">
            <v>3.9552535039415568</v>
          </cell>
          <cell r="C28">
            <v>1.825077232865866</v>
          </cell>
          <cell r="D28">
            <v>3.9101914512307481</v>
          </cell>
          <cell r="E28">
            <v>3.6493000727739058</v>
          </cell>
          <cell r="F28">
            <v>3.3661549194309703</v>
          </cell>
          <cell r="G28">
            <v>3.112648242532928</v>
          </cell>
          <cell r="H28">
            <v>2.875118897324795</v>
          </cell>
          <cell r="I28">
            <v>2.6809090251355654</v>
          </cell>
          <cell r="J28">
            <v>2.806995057374404</v>
          </cell>
          <cell r="K28">
            <v>2.9120570900035596</v>
          </cell>
          <cell r="L28">
            <v>3.0624070561874595</v>
          </cell>
          <cell r="M28">
            <v>3.18679461430927</v>
          </cell>
        </row>
        <row r="47">
          <cell r="B47">
            <v>4.2612372164217485</v>
          </cell>
          <cell r="C47">
            <v>4.6176637042527622</v>
          </cell>
          <cell r="D47">
            <v>4.8231247437127642</v>
          </cell>
          <cell r="E47">
            <v>5.1965220432475077</v>
          </cell>
          <cell r="F47">
            <v>5.5800088610912617</v>
          </cell>
          <cell r="G47">
            <v>6.0025163073055818</v>
          </cell>
          <cell r="H47">
            <v>6.4386485773905893</v>
          </cell>
          <cell r="I47">
            <v>6.9461592584371807</v>
          </cell>
          <cell r="J47">
            <v>7.5033713009632415</v>
          </cell>
          <cell r="K47">
            <v>7.9763432294121124</v>
          </cell>
          <cell r="L47">
            <v>8.614737779919885</v>
          </cell>
          <cell r="M47">
            <v>9.2204057327466575</v>
          </cell>
        </row>
        <row r="48">
          <cell r="B48">
            <v>24.843070733806076</v>
          </cell>
          <cell r="C48">
            <v>22.108409510048698</v>
          </cell>
          <cell r="D48">
            <v>20.975588628450762</v>
          </cell>
          <cell r="E48">
            <v>17.863063040370612</v>
          </cell>
          <cell r="F48">
            <v>14.147384853116334</v>
          </cell>
          <cell r="G48">
            <v>12.001205297610559</v>
          </cell>
          <cell r="H48">
            <v>10.804948960461177</v>
          </cell>
          <cell r="I48">
            <v>8.9822715128392598</v>
          </cell>
          <cell r="J48">
            <v>7.4298524054656747</v>
          </cell>
          <cell r="K48">
            <v>6.1809900885915869</v>
          </cell>
          <cell r="L48">
            <v>3.4027058257829546</v>
          </cell>
          <cell r="M48">
            <v>1.149612305186247</v>
          </cell>
        </row>
        <row r="49">
          <cell r="B49">
            <v>24.189720763414222</v>
          </cell>
          <cell r="C49">
            <v>25.32692079803898</v>
          </cell>
          <cell r="D49">
            <v>24.171917337724103</v>
          </cell>
          <cell r="E49">
            <v>25.0398365062997</v>
          </cell>
          <cell r="F49">
            <v>25.324044629514692</v>
          </cell>
          <cell r="G49">
            <v>25.481227946664927</v>
          </cell>
          <cell r="H49">
            <v>23.820739733692466</v>
          </cell>
          <cell r="I49">
            <v>22.244953960220013</v>
          </cell>
          <cell r="J49">
            <v>21.724810613360841</v>
          </cell>
          <cell r="K49">
            <v>21.106048393911685</v>
          </cell>
          <cell r="L49">
            <v>20.654913608497477</v>
          </cell>
          <cell r="M49">
            <v>19.663877818222677</v>
          </cell>
        </row>
        <row r="50">
          <cell r="B50">
            <v>0</v>
          </cell>
          <cell r="C50">
            <v>0</v>
          </cell>
          <cell r="D50">
            <v>5.4832890867895934E-3</v>
          </cell>
          <cell r="E50">
            <v>5.6476229983300503E-3</v>
          </cell>
          <cell r="F50">
            <v>2.4215167444298857E-2</v>
          </cell>
          <cell r="G50">
            <v>3.4852262064855311E-2</v>
          </cell>
          <cell r="H50">
            <v>6.53581570085221E-2</v>
          </cell>
          <cell r="I50">
            <v>6.0509019459118893E-2</v>
          </cell>
          <cell r="J50">
            <v>4.4763508379084008E-2</v>
          </cell>
          <cell r="K50">
            <v>0.15522323280655906</v>
          </cell>
          <cell r="L50">
            <v>0.14519172753693901</v>
          </cell>
          <cell r="M50">
            <v>0.21870629537401279</v>
          </cell>
        </row>
        <row r="51">
          <cell r="B51">
            <v>2.0957416888573528</v>
          </cell>
          <cell r="C51">
            <v>2.27007949465759</v>
          </cell>
          <cell r="D51">
            <v>2.0264021609823337</v>
          </cell>
          <cell r="E51">
            <v>3.8034161812467868</v>
          </cell>
          <cell r="F51">
            <v>6.0393434577644021</v>
          </cell>
          <cell r="G51">
            <v>6.1049644527604405</v>
          </cell>
          <cell r="H51">
            <v>6.088919954991499</v>
          </cell>
          <cell r="I51">
            <v>4.5732850855449003</v>
          </cell>
          <cell r="J51">
            <v>4.5160329397415042</v>
          </cell>
          <cell r="K51">
            <v>4.5551596215740382</v>
          </cell>
          <cell r="L51">
            <v>4.8491738062835239</v>
          </cell>
          <cell r="M51">
            <v>5.1026411498137163</v>
          </cell>
        </row>
        <row r="52">
          <cell r="B52">
            <v>5.5539109690073012</v>
          </cell>
          <cell r="C52">
            <v>6.0159404214638927</v>
          </cell>
          <cell r="D52">
            <v>6.0159442030926273</v>
          </cell>
          <cell r="E52">
            <v>6.0159449139615884</v>
          </cell>
          <cell r="F52">
            <v>6.015948653564438</v>
          </cell>
          <cell r="G52">
            <v>6.0159585815936625</v>
          </cell>
          <cell r="H52">
            <v>6.4204880018937738</v>
          </cell>
          <cell r="I52">
            <v>8.700643781632607</v>
          </cell>
          <cell r="J52">
            <v>8.7010343967003365</v>
          </cell>
          <cell r="K52">
            <v>8.7010999023925883</v>
          </cell>
          <cell r="L52">
            <v>8.9449318779182718</v>
          </cell>
          <cell r="M52">
            <v>8.944990401246546</v>
          </cell>
        </row>
        <row r="53">
          <cell r="B53">
            <v>6.1735487955108086</v>
          </cell>
          <cell r="C53">
            <v>6.7165252019245054</v>
          </cell>
          <cell r="D53">
            <v>6.5277382173594836</v>
          </cell>
          <cell r="E53">
            <v>5.4667610008874057</v>
          </cell>
          <cell r="F53">
            <v>3.6748334813113646</v>
          </cell>
          <cell r="G53">
            <v>2.3263692415028401</v>
          </cell>
          <cell r="H53">
            <v>1.4397644829374237</v>
          </cell>
          <cell r="I53">
            <v>0.45933989964693417</v>
          </cell>
          <cell r="J53">
            <v>0.44823992947972857</v>
          </cell>
          <cell r="K53">
            <v>0.43773848951977312</v>
          </cell>
          <cell r="L53">
            <v>0.42843773774814148</v>
          </cell>
          <cell r="M53">
            <v>0.41069291160287236</v>
          </cell>
        </row>
        <row r="54">
          <cell r="B54">
            <v>1.8770751223396096</v>
          </cell>
          <cell r="C54">
            <v>2.1600842382562431</v>
          </cell>
          <cell r="D54">
            <v>2.0883994921074067</v>
          </cell>
          <cell r="E54">
            <v>2.2800523893887639</v>
          </cell>
          <cell r="F54">
            <v>2.4141379653852657</v>
          </cell>
          <cell r="G54">
            <v>2.7209112755814502</v>
          </cell>
          <cell r="H54">
            <v>2.6027130932861602</v>
          </cell>
          <cell r="I54">
            <v>2.6587079525094461</v>
          </cell>
          <cell r="J54">
            <v>2.594819859583815</v>
          </cell>
          <cell r="K54">
            <v>2.534249486185193</v>
          </cell>
          <cell r="L54">
            <v>2.4792834015496528</v>
          </cell>
          <cell r="M54">
            <v>2.3699598057045064</v>
          </cell>
        </row>
        <row r="55">
          <cell r="B55">
            <v>0.62699674140755068</v>
          </cell>
          <cell r="C55">
            <v>0.68734342049607799</v>
          </cell>
          <cell r="D55">
            <v>0.68710539640262069</v>
          </cell>
          <cell r="E55">
            <v>0.68756343294399536</v>
          </cell>
          <cell r="F55">
            <v>0.68780420922686236</v>
          </cell>
          <cell r="G55">
            <v>0.68802832473041875</v>
          </cell>
          <cell r="H55">
            <v>0.68801838194041698</v>
          </cell>
          <cell r="I55">
            <v>0.68753384165815401</v>
          </cell>
          <cell r="J55">
            <v>0.68834438991483105</v>
          </cell>
          <cell r="K55">
            <v>0.68771745660865946</v>
          </cell>
          <cell r="L55">
            <v>0.68839779169106141</v>
          </cell>
          <cell r="M55">
            <v>0.68852227419180057</v>
          </cell>
        </row>
        <row r="56">
          <cell r="B56">
            <v>1.2230742508175292</v>
          </cell>
          <cell r="C56">
            <v>1.3407711077682443</v>
          </cell>
          <cell r="D56">
            <v>1.4131414725636671</v>
          </cell>
          <cell r="E56">
            <v>1.4122632492032301</v>
          </cell>
          <cell r="F56">
            <v>1.5483635081915474</v>
          </cell>
          <cell r="G56">
            <v>1.6672836623881953</v>
          </cell>
          <cell r="H56">
            <v>1.757660337034894</v>
          </cell>
          <cell r="I56">
            <v>1.9041048987120313</v>
          </cell>
          <cell r="J56">
            <v>2.1886452767446301</v>
          </cell>
          <cell r="K56">
            <v>2.1798327912494884</v>
          </cell>
          <cell r="L56">
            <v>3.0571418912710935</v>
          </cell>
          <cell r="M56">
            <v>3.1766401953834835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1.6016038398277337E-3</v>
          </cell>
          <cell r="F57">
            <v>3.7383381499291744E-3</v>
          </cell>
          <cell r="G57">
            <v>5.6775714773390808E-3</v>
          </cell>
          <cell r="H57">
            <v>4.4780600923191574E-3</v>
          </cell>
          <cell r="I57">
            <v>1.8558081430192046E-2</v>
          </cell>
          <cell r="J57">
            <v>1.5799521597460005E-2</v>
          </cell>
          <cell r="K57">
            <v>7.9697019624806395E-2</v>
          </cell>
          <cell r="L57">
            <v>0.12820039972940181</v>
          </cell>
          <cell r="M57">
            <v>0.11133474260651793</v>
          </cell>
        </row>
        <row r="58">
          <cell r="B58">
            <v>0</v>
          </cell>
          <cell r="C58">
            <v>6.9646045322379031</v>
          </cell>
          <cell r="D58">
            <v>6.9630273991249245</v>
          </cell>
          <cell r="E58">
            <v>6.9633820919959364</v>
          </cell>
          <cell r="F58">
            <v>6.9632586912710632</v>
          </cell>
          <cell r="G58">
            <v>6.9634041865472245</v>
          </cell>
          <cell r="H58">
            <v>6.9634813311420842</v>
          </cell>
          <cell r="I58">
            <v>6.9631349042086477</v>
          </cell>
          <cell r="J58">
            <v>6.9621310106374716</v>
          </cell>
          <cell r="K58">
            <v>6.962388798465784</v>
          </cell>
          <cell r="L58">
            <v>6.9621692172986123</v>
          </cell>
          <cell r="M58">
            <v>6.963770066653816</v>
          </cell>
        </row>
        <row r="59">
          <cell r="B59">
            <v>73.238426678933607</v>
          </cell>
          <cell r="C59">
            <v>78.57422566221986</v>
          </cell>
          <cell r="D59">
            <v>77.947558961187525</v>
          </cell>
          <cell r="E59">
            <v>76.697896970168983</v>
          </cell>
          <cell r="F59">
            <v>74.073132655639768</v>
          </cell>
          <cell r="G59">
            <v>71.367351549241278</v>
          </cell>
          <cell r="H59">
            <v>68.166322100164209</v>
          </cell>
          <cell r="I59">
            <v>65.00952595556798</v>
          </cell>
          <cell r="J59">
            <v>63.608647631833492</v>
          </cell>
          <cell r="K59">
            <v>62.328856938492621</v>
          </cell>
          <cell r="L59">
            <v>61.110887323625121</v>
          </cell>
          <cell r="M59">
            <v>58.743507149139994</v>
          </cell>
        </row>
      </sheetData>
      <sheetData sheetId="72">
        <row r="3">
          <cell r="B3">
            <v>44.576905509554948</v>
          </cell>
          <cell r="C3">
            <v>44.861180257150714</v>
          </cell>
          <cell r="D3">
            <v>44.662714330046107</v>
          </cell>
          <cell r="E3">
            <v>45.065504070759275</v>
          </cell>
          <cell r="F3">
            <v>45.56797541921167</v>
          </cell>
          <cell r="G3">
            <v>46.187070161096486</v>
          </cell>
          <cell r="H3">
            <v>47.279228669083643</v>
          </cell>
          <cell r="I3">
            <v>48.814108930112774</v>
          </cell>
          <cell r="J3">
            <v>51.401574564556682</v>
          </cell>
          <cell r="K3">
            <v>54.870586949092534</v>
          </cell>
          <cell r="L3">
            <v>58.002973212427008</v>
          </cell>
          <cell r="M3">
            <v>65.381294302537725</v>
          </cell>
        </row>
        <row r="10">
          <cell r="B10">
            <v>2.939538998579053</v>
          </cell>
          <cell r="C10">
            <v>7.0036505375308877</v>
          </cell>
          <cell r="D10">
            <v>7.0032716938393751</v>
          </cell>
          <cell r="E10">
            <v>7.0024136380380781</v>
          </cell>
          <cell r="F10">
            <v>7.0034051854198571</v>
          </cell>
          <cell r="G10">
            <v>7.0035798588609284</v>
          </cell>
          <cell r="H10">
            <v>7.0028573943912935</v>
          </cell>
          <cell r="I10">
            <v>7.0022159152039469</v>
          </cell>
          <cell r="J10">
            <v>7.0026496919905625</v>
          </cell>
          <cell r="K10">
            <v>7.0024616876711283</v>
          </cell>
          <cell r="L10">
            <v>7.0024271697065386</v>
          </cell>
          <cell r="M10">
            <v>7.0056321232847294</v>
          </cell>
        </row>
        <row r="15">
          <cell r="B15">
            <v>69.470077288215592</v>
          </cell>
          <cell r="C15">
            <v>70.028206556902333</v>
          </cell>
          <cell r="D15">
            <v>71.752542591107897</v>
          </cell>
          <cell r="E15">
            <v>67.645141307552166</v>
          </cell>
          <cell r="F15">
            <v>67.701203698314288</v>
          </cell>
          <cell r="G15">
            <v>66.690328741861336</v>
          </cell>
          <cell r="H15">
            <v>65.586896240393457</v>
          </cell>
          <cell r="I15">
            <v>64.505128401508472</v>
          </cell>
          <cell r="J15">
            <v>64.135035589736532</v>
          </cell>
          <cell r="K15">
            <v>67.506002080552918</v>
          </cell>
          <cell r="L15">
            <v>70.136409011378177</v>
          </cell>
          <cell r="M15">
            <v>77.759757253562725</v>
          </cell>
        </row>
        <row r="16">
          <cell r="B16">
            <v>60.23184441186983</v>
          </cell>
          <cell r="C16">
            <v>51.319985426873842</v>
          </cell>
          <cell r="D16">
            <v>44.907073238150531</v>
          </cell>
          <cell r="E16">
            <v>45.822623212224954</v>
          </cell>
          <cell r="F16">
            <v>36.560400454194124</v>
          </cell>
          <cell r="G16">
            <v>33.571883234526666</v>
          </cell>
          <cell r="H16">
            <v>31.757631740868401</v>
          </cell>
          <cell r="I16">
            <v>27.478707943218847</v>
          </cell>
          <cell r="J16">
            <v>25.613629421316823</v>
          </cell>
          <cell r="K16">
            <v>21.868670130017179</v>
          </cell>
          <cell r="L16">
            <v>16.625589161278004</v>
          </cell>
          <cell r="M16">
            <v>6.5646863810632352</v>
          </cell>
        </row>
        <row r="17">
          <cell r="B17">
            <v>0</v>
          </cell>
          <cell r="C17">
            <v>0</v>
          </cell>
          <cell r="D17">
            <v>2.5434616914391439E-4</v>
          </cell>
          <cell r="E17">
            <v>5.7604784707838681E-4</v>
          </cell>
          <cell r="F17">
            <v>1.1752424952313374E-3</v>
          </cell>
          <cell r="G17">
            <v>5.965076357781077E-4</v>
          </cell>
          <cell r="H17">
            <v>6.0050353682839853E-4</v>
          </cell>
          <cell r="I17">
            <v>1.239205234326822E-3</v>
          </cell>
          <cell r="J17">
            <v>6.1235652414303148E-4</v>
          </cell>
          <cell r="K17">
            <v>1.2513725251529929E-3</v>
          </cell>
          <cell r="L17">
            <v>9.5666317508321698E-4</v>
          </cell>
          <cell r="M17">
            <v>2.1455889741677468E-3</v>
          </cell>
        </row>
        <row r="18">
          <cell r="B18">
            <v>46.695133925873485</v>
          </cell>
          <cell r="C18">
            <v>48.176702263846849</v>
          </cell>
          <cell r="D18">
            <v>51.172470957192722</v>
          </cell>
          <cell r="E18">
            <v>52.681016653309079</v>
          </cell>
          <cell r="F18">
            <v>54.84315137629666</v>
          </cell>
          <cell r="G18">
            <v>53.841209833006175</v>
          </cell>
          <cell r="H18">
            <v>52.876782832515381</v>
          </cell>
          <cell r="I18">
            <v>53.132099583190275</v>
          </cell>
          <cell r="J18">
            <v>50.774489971678221</v>
          </cell>
          <cell r="K18">
            <v>47.88307044185845</v>
          </cell>
          <cell r="L18">
            <v>48.918306596621044</v>
          </cell>
          <cell r="M18">
            <v>41.28065774182371</v>
          </cell>
        </row>
        <row r="19">
          <cell r="B19">
            <v>0.30683687917346597</v>
          </cell>
          <cell r="C19">
            <v>3.4343540879041342E-3</v>
          </cell>
          <cell r="D19">
            <v>3.4086134999006838E-3</v>
          </cell>
          <cell r="E19">
            <v>3.3100704539082994E-3</v>
          </cell>
          <cell r="F19">
            <v>3.3040176266927574E-3</v>
          </cell>
          <cell r="G19">
            <v>3.293473573749991E-3</v>
          </cell>
          <cell r="H19">
            <v>3.2988222069537951E-3</v>
          </cell>
          <cell r="I19">
            <v>3.3107144065111361E-3</v>
          </cell>
          <cell r="J19">
            <v>3.3098261699410878E-3</v>
          </cell>
          <cell r="K19">
            <v>3.3217313437567701E-3</v>
          </cell>
          <cell r="L19">
            <v>3.333000221157826E-3</v>
          </cell>
          <cell r="M19">
            <v>3.6421620117431425E-3</v>
          </cell>
        </row>
        <row r="20">
          <cell r="B20">
            <v>0.10000102533879353</v>
          </cell>
          <cell r="C20">
            <v>0.10000068323874284</v>
          </cell>
          <cell r="D20">
            <v>5.6900843772612819E-3</v>
          </cell>
          <cell r="E20">
            <v>4.8012720341763428E-3</v>
          </cell>
          <cell r="F20">
            <v>1.9484142826742188E-3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5.7307955524069785</v>
          </cell>
          <cell r="C21">
            <v>9.6750908393119524</v>
          </cell>
          <cell r="D21">
            <v>10.34375347281228</v>
          </cell>
          <cell r="E21">
            <v>10.193794274013861</v>
          </cell>
          <cell r="F21">
            <v>10.547786459841548</v>
          </cell>
          <cell r="G21">
            <v>11.35253982033516</v>
          </cell>
          <cell r="H21">
            <v>11.30854450504917</v>
          </cell>
          <cell r="I21">
            <v>11.403033247610802</v>
          </cell>
          <cell r="J21">
            <v>11.19167673138949</v>
          </cell>
          <cell r="K21">
            <v>10.853829968988112</v>
          </cell>
          <cell r="L21">
            <v>11.125928367099077</v>
          </cell>
          <cell r="M21">
            <v>10.148543598827228</v>
          </cell>
        </row>
        <row r="22">
          <cell r="B22">
            <v>16.99122898666247</v>
          </cell>
          <cell r="C22">
            <v>17.680723775664095</v>
          </cell>
          <cell r="D22">
            <v>14.426696804203301</v>
          </cell>
          <cell r="E22">
            <v>13.440447839961461</v>
          </cell>
          <cell r="F22">
            <v>12.892090552717908</v>
          </cell>
          <cell r="G22">
            <v>11.908254772863895</v>
          </cell>
          <cell r="H22">
            <v>11.078970974333879</v>
          </cell>
          <cell r="I22">
            <v>9.9545255726735959</v>
          </cell>
          <cell r="J22">
            <v>9.6915121274638985</v>
          </cell>
          <cell r="K22">
            <v>8.9086051593068074</v>
          </cell>
          <cell r="L22">
            <v>8.6151714146280653</v>
          </cell>
          <cell r="M22">
            <v>7.0170369057714659</v>
          </cell>
        </row>
        <row r="23">
          <cell r="B23">
            <v>2.5068358410013629</v>
          </cell>
          <cell r="C23">
            <v>2.9280697799466875</v>
          </cell>
          <cell r="D23">
            <v>2.8830979599404833</v>
          </cell>
          <cell r="E23">
            <v>2.4609194731206059</v>
          </cell>
          <cell r="F23">
            <v>2.0583958069199371</v>
          </cell>
          <cell r="G23">
            <v>2.0044527954976665</v>
          </cell>
          <cell r="H23">
            <v>2.0023728037221127</v>
          </cell>
          <cell r="I23">
            <v>1.858827829592268</v>
          </cell>
          <cell r="J23">
            <v>1.8544710627381071</v>
          </cell>
          <cell r="K23">
            <v>1.753373456803146</v>
          </cell>
          <cell r="L23">
            <v>1.780432105604441</v>
          </cell>
          <cell r="M23">
            <v>1.5057040892290985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3.0527397405048047E-3</v>
          </cell>
          <cell r="F24">
            <v>7.4267059927836795E-3</v>
          </cell>
          <cell r="G24">
            <v>8.7610613176782419E-3</v>
          </cell>
          <cell r="H24">
            <v>1.0329559396888356E-2</v>
          </cell>
          <cell r="I24">
            <v>2.8437290228662104E-2</v>
          </cell>
          <cell r="J24">
            <v>2.6219183205579033E-2</v>
          </cell>
          <cell r="K24">
            <v>9.7954253157341423E-2</v>
          </cell>
          <cell r="L24">
            <v>0.11575618814583401</v>
          </cell>
          <cell r="M24">
            <v>0.12311893991015739</v>
          </cell>
        </row>
        <row r="25">
          <cell r="B25">
            <v>15.195012030467563</v>
          </cell>
          <cell r="C25">
            <v>18.073155940093535</v>
          </cell>
          <cell r="D25">
            <v>20.407420681731992</v>
          </cell>
          <cell r="E25">
            <v>22.984154226818674</v>
          </cell>
          <cell r="F25">
            <v>29.257215122073148</v>
          </cell>
          <cell r="G25">
            <v>31.393816278416477</v>
          </cell>
          <cell r="H25">
            <v>32.675592209651242</v>
          </cell>
          <cell r="I25">
            <v>35.518113184109737</v>
          </cell>
          <cell r="J25">
            <v>37.345573318392169</v>
          </cell>
          <cell r="K25">
            <v>37.748276618953128</v>
          </cell>
          <cell r="L25">
            <v>39.102398674407652</v>
          </cell>
          <cell r="M25">
            <v>40.061324832929415</v>
          </cell>
        </row>
        <row r="26">
          <cell r="B26">
            <v>217.22776594100952</v>
          </cell>
          <cell r="C26">
            <v>217.98536961996595</v>
          </cell>
          <cell r="D26">
            <v>215.90240874918547</v>
          </cell>
          <cell r="E26">
            <v>215.23983711707646</v>
          </cell>
          <cell r="F26">
            <v>213.87409785075502</v>
          </cell>
          <cell r="G26">
            <v>210.77513651903456</v>
          </cell>
          <cell r="H26">
            <v>207.30102019167435</v>
          </cell>
          <cell r="I26">
            <v>203.88342297177348</v>
          </cell>
          <cell r="J26">
            <v>200.63652958861491</v>
          </cell>
          <cell r="K26">
            <v>196.62435521350599</v>
          </cell>
          <cell r="L26">
            <v>196.42428118255853</v>
          </cell>
          <cell r="M26">
            <v>184.46661749410299</v>
          </cell>
        </row>
        <row r="102">
          <cell r="B102">
            <v>8.9080321456120615</v>
          </cell>
          <cell r="C102">
            <v>7.6983733040901852</v>
          </cell>
          <cell r="D102">
            <v>8.8211327940845319</v>
          </cell>
          <cell r="E102">
            <v>6.0041933557211538</v>
          </cell>
          <cell r="F102">
            <v>5.3683250015467614</v>
          </cell>
          <cell r="G102">
            <v>4.7000730376941471</v>
          </cell>
          <cell r="H102">
            <v>3.5106276800073002</v>
          </cell>
          <cell r="I102">
            <v>2.4935120417829832</v>
          </cell>
          <cell r="J102">
            <v>0.67175567933710156</v>
          </cell>
          <cell r="K102">
            <v>0.59921863723157021</v>
          </cell>
          <cell r="L102">
            <v>0.57013315615140758</v>
          </cell>
          <cell r="M102">
            <v>0.47111596658907268</v>
          </cell>
        </row>
        <row r="104">
          <cell r="B104">
            <v>19.060369245668745</v>
          </cell>
          <cell r="C104">
            <v>22.702281739263288</v>
          </cell>
          <cell r="D104">
            <v>24.563120215041227</v>
          </cell>
          <cell r="E104">
            <v>26.806434807610522</v>
          </cell>
          <cell r="F104">
            <v>31.294803579041037</v>
          </cell>
          <cell r="G104">
            <v>31.297744529533084</v>
          </cell>
          <cell r="H104">
            <v>31.298006396612159</v>
          </cell>
          <cell r="I104">
            <v>31.585677348965071</v>
          </cell>
          <cell r="J104">
            <v>31.58590695700525</v>
          </cell>
          <cell r="K104">
            <v>31.586304979674747</v>
          </cell>
          <cell r="L104">
            <v>31.589942501160266</v>
          </cell>
          <cell r="M104">
            <v>31.591114364041847</v>
          </cell>
        </row>
        <row r="105">
          <cell r="B105">
            <v>45.124405184332005</v>
          </cell>
          <cell r="C105">
            <v>38.551117009112964</v>
          </cell>
          <cell r="D105">
            <v>38.73527402637653</v>
          </cell>
          <cell r="E105">
            <v>38.672344389076244</v>
          </cell>
          <cell r="F105">
            <v>32.073860704911461</v>
          </cell>
          <cell r="G105">
            <v>30.05875433165691</v>
          </cell>
          <cell r="H105">
            <v>28.433032424923859</v>
          </cell>
          <cell r="I105">
            <v>24.601300375573388</v>
          </cell>
          <cell r="J105">
            <v>22.924509828598431</v>
          </cell>
          <cell r="K105">
            <v>19.558482165794551</v>
          </cell>
          <cell r="L105">
            <v>14.866898602458685</v>
          </cell>
          <cell r="M105">
            <v>5.8100972623939739</v>
          </cell>
        </row>
        <row r="106">
          <cell r="B106">
            <v>36.569950514840656</v>
          </cell>
          <cell r="C106">
            <v>39.266214174279391</v>
          </cell>
          <cell r="D106">
            <v>37.250680139040959</v>
          </cell>
          <cell r="E106">
            <v>38.726002934255732</v>
          </cell>
          <cell r="F106">
            <v>38.845512830588731</v>
          </cell>
          <cell r="G106">
            <v>36.904921082003106</v>
          </cell>
          <cell r="H106">
            <v>35.801343634464757</v>
          </cell>
          <cell r="I106">
            <v>34.709311357904241</v>
          </cell>
          <cell r="J106">
            <v>32.7340198795589</v>
          </cell>
          <cell r="K106">
            <v>30.501925286606564</v>
          </cell>
          <cell r="L106">
            <v>29.877464541677799</v>
          </cell>
          <cell r="M106">
            <v>24.323349512240988</v>
          </cell>
        </row>
        <row r="107">
          <cell r="B107">
            <v>0</v>
          </cell>
          <cell r="C107">
            <v>0</v>
          </cell>
          <cell r="D107">
            <v>3.7632872325144902E-2</v>
          </cell>
          <cell r="E107">
            <v>3.8931746016256707E-2</v>
          </cell>
          <cell r="F107">
            <v>2.536354469549071</v>
          </cell>
          <cell r="G107">
            <v>4.7608974762405074</v>
          </cell>
          <cell r="H107">
            <v>5.789211431212606</v>
          </cell>
          <cell r="I107">
            <v>8.770656327576031</v>
          </cell>
          <cell r="J107">
            <v>9.3604268510486772</v>
          </cell>
          <cell r="K107">
            <v>9.7770426721003574</v>
          </cell>
          <cell r="L107">
            <v>12.91166198748488</v>
          </cell>
          <cell r="M107">
            <v>12.939900364451486</v>
          </cell>
        </row>
        <row r="108">
          <cell r="B108">
            <v>7.2000738243931328E-2</v>
          </cell>
          <cell r="C108">
            <v>7.2000491931894881E-2</v>
          </cell>
          <cell r="D108">
            <v>4.0968607516281216E-3</v>
          </cell>
          <cell r="E108">
            <v>3.4569158646069642E-3</v>
          </cell>
          <cell r="F108">
            <v>1.402858283525438E-3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B109">
            <v>7.4994600292137725E-2</v>
          </cell>
          <cell r="C109">
            <v>8.7017607704864153E-3</v>
          </cell>
          <cell r="D109">
            <v>0.24937716373133154</v>
          </cell>
          <cell r="E109">
            <v>1.2953782959970033</v>
          </cell>
          <cell r="F109">
            <v>1.3571556395708821</v>
          </cell>
          <cell r="G109">
            <v>1.3830092707612516</v>
          </cell>
          <cell r="H109">
            <v>1.3941583983240831</v>
          </cell>
          <cell r="I109">
            <v>1.4270375670564139</v>
          </cell>
          <cell r="J109">
            <v>1.4270434207806164</v>
          </cell>
          <cell r="K109">
            <v>1.4470391472356305</v>
          </cell>
          <cell r="L109">
            <v>1.508228760913596</v>
          </cell>
          <cell r="M109">
            <v>1.5150438444786183</v>
          </cell>
        </row>
        <row r="110">
          <cell r="B110">
            <v>3.9050939662892916</v>
          </cell>
          <cell r="C110">
            <v>7.6930229519687492</v>
          </cell>
          <cell r="D110">
            <v>8.1251890028127516</v>
          </cell>
          <cell r="E110">
            <v>6.9672857890934701</v>
          </cell>
          <cell r="F110">
            <v>7.2023267308529038</v>
          </cell>
          <cell r="G110">
            <v>7.8400529648193649</v>
          </cell>
          <cell r="H110">
            <v>7.7931607626438035</v>
          </cell>
          <cell r="I110">
            <v>7.8370587123800783</v>
          </cell>
          <cell r="J110">
            <v>7.6653213736877666</v>
          </cell>
          <cell r="K110">
            <v>7.3708568063205337</v>
          </cell>
          <cell r="L110">
            <v>7.5307213267882096</v>
          </cell>
          <cell r="M110">
            <v>6.7298692269196163</v>
          </cell>
        </row>
        <row r="111">
          <cell r="B111">
            <v>9.1310817531690116</v>
          </cell>
          <cell r="C111">
            <v>9.1110621961253937</v>
          </cell>
          <cell r="D111">
            <v>7.2767565931875922</v>
          </cell>
          <cell r="E111">
            <v>6.500363496357914</v>
          </cell>
          <cell r="F111">
            <v>6.0354882018440188</v>
          </cell>
          <cell r="G111">
            <v>5.2975512328703953</v>
          </cell>
          <cell r="H111">
            <v>4.678729511760702</v>
          </cell>
          <cell r="I111">
            <v>3.8693831476878491</v>
          </cell>
          <cell r="J111">
            <v>3.6567080486486607</v>
          </cell>
          <cell r="K111">
            <v>3.0938023388403035</v>
          </cell>
          <cell r="L111">
            <v>2.8943037376731184</v>
          </cell>
          <cell r="M111">
            <v>1.8059025824087795</v>
          </cell>
        </row>
        <row r="112">
          <cell r="B112">
            <v>2.6968939462893258</v>
          </cell>
          <cell r="C112">
            <v>3.1682228784045652</v>
          </cell>
          <cell r="D112">
            <v>3.1697948555031794</v>
          </cell>
          <cell r="E112">
            <v>3.3020016275198634</v>
          </cell>
          <cell r="F112">
            <v>3.416884160488769</v>
          </cell>
          <cell r="G112">
            <v>3.5028161296323699</v>
          </cell>
          <cell r="H112">
            <v>3.5711752764237374</v>
          </cell>
          <cell r="I112">
            <v>3.6267568741321066</v>
          </cell>
          <cell r="J112">
            <v>3.6690597396503435</v>
          </cell>
          <cell r="K112">
            <v>3.7067429995028922</v>
          </cell>
          <cell r="L112">
            <v>3.7068086400259816</v>
          </cell>
          <cell r="M112">
            <v>3.7076431255422007</v>
          </cell>
        </row>
        <row r="113">
          <cell r="B113">
            <v>0.78534781634151196</v>
          </cell>
          <cell r="C113">
            <v>0.94131571883904619</v>
          </cell>
          <cell r="D113">
            <v>0.94522510091261014</v>
          </cell>
          <cell r="E113">
            <v>0.94787340715291812</v>
          </cell>
          <cell r="F113">
            <v>0.9056943670836457</v>
          </cell>
          <cell r="G113">
            <v>0.88196104227375494</v>
          </cell>
          <cell r="H113">
            <v>0.88104868703638017</v>
          </cell>
          <cell r="I113">
            <v>0.81788589714990378</v>
          </cell>
          <cell r="J113">
            <v>0.81596726493044947</v>
          </cell>
          <cell r="K113">
            <v>0.7714655454066085</v>
          </cell>
          <cell r="L113">
            <v>0.7833936658474131</v>
          </cell>
          <cell r="M113">
            <v>0.66231828704958562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6">
          <cell r="B116">
            <v>129.26770890965773</v>
          </cell>
          <cell r="C116">
            <v>136.21596276231685</v>
          </cell>
          <cell r="D116">
            <v>136.18155131760685</v>
          </cell>
          <cell r="E116">
            <v>136.26668040270374</v>
          </cell>
          <cell r="F116">
            <v>136.04121372918064</v>
          </cell>
          <cell r="G116">
            <v>133.63136095634579</v>
          </cell>
          <cell r="H116">
            <v>130.15335159780071</v>
          </cell>
          <cell r="I116">
            <v>126.74079556541204</v>
          </cell>
          <cell r="J116">
            <v>121.51336873523675</v>
          </cell>
          <cell r="K116">
            <v>115.41534226638488</v>
          </cell>
          <cell r="L116">
            <v>113.24198408988788</v>
          </cell>
          <cell r="M116">
            <v>96.561986659400887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</row>
        <row r="224">
          <cell r="B224">
            <v>26.978394932779871</v>
          </cell>
          <cell r="C224">
            <v>25.930412143867592</v>
          </cell>
          <cell r="D224">
            <v>25.957827176604113</v>
          </cell>
          <cell r="E224">
            <v>25.614953434015153</v>
          </cell>
          <cell r="F224">
            <v>25.726387556906484</v>
          </cell>
          <cell r="G224">
            <v>25.609388144623146</v>
          </cell>
          <cell r="H224">
            <v>25.398983368710596</v>
          </cell>
          <cell r="I224">
            <v>25.158984072712464</v>
          </cell>
          <cell r="J224">
            <v>25.475041237047822</v>
          </cell>
          <cell r="K224">
            <v>25.010292479959155</v>
          </cell>
          <cell r="L224">
            <v>24.5513547081217</v>
          </cell>
          <cell r="M224">
            <v>24.125894679759778</v>
          </cell>
        </row>
        <row r="231">
          <cell r="B231">
            <v>15.55274178224003</v>
          </cell>
          <cell r="C231">
            <v>14.667084481197623</v>
          </cell>
          <cell r="D231">
            <v>15.734736650356181</v>
          </cell>
          <cell r="E231">
            <v>11.144981185190238</v>
          </cell>
          <cell r="F231">
            <v>9.4710391717389761</v>
          </cell>
          <cell r="G231">
            <v>8.2920668342871462</v>
          </cell>
          <cell r="H231">
            <v>6.5164141169802612</v>
          </cell>
          <cell r="I231">
            <v>4.3992315012375087</v>
          </cell>
          <cell r="J231">
            <v>1.1851552321078422</v>
          </cell>
          <cell r="K231">
            <v>1.0571836532504961</v>
          </cell>
          <cell r="L231">
            <v>1.005853164347339</v>
          </cell>
          <cell r="M231">
            <v>0.83119669013134834</v>
          </cell>
        </row>
        <row r="233">
          <cell r="B233">
            <v>22.300283009887568</v>
          </cell>
          <cell r="C233">
            <v>26.337753644561406</v>
          </cell>
          <cell r="D233">
            <v>29.493560011946151</v>
          </cell>
          <cell r="E233">
            <v>32.793781760797295</v>
          </cell>
          <cell r="F233">
            <v>39.066297364886495</v>
          </cell>
          <cell r="G233">
            <v>39.311578048281035</v>
          </cell>
          <cell r="H233">
            <v>39.536331081667321</v>
          </cell>
          <cell r="I233">
            <v>39.832867587016409</v>
          </cell>
          <cell r="J233">
            <v>41.885970028179749</v>
          </cell>
          <cell r="K233">
            <v>42.029295013570959</v>
          </cell>
          <cell r="L233">
            <v>40.644009385526473</v>
          </cell>
          <cell r="M233">
            <v>42.021720022624081</v>
          </cell>
        </row>
        <row r="234">
          <cell r="B234">
            <v>52.108866070632352</v>
          </cell>
          <cell r="C234">
            <v>44.472283415262524</v>
          </cell>
          <cell r="D234">
            <v>39.942801723505234</v>
          </cell>
          <cell r="E234">
            <v>40.635250799693551</v>
          </cell>
          <cell r="F234">
            <v>32.640533464237031</v>
          </cell>
          <cell r="G234">
            <v>30.072741861217338</v>
          </cell>
          <cell r="H234">
            <v>28.447406500311065</v>
          </cell>
          <cell r="I234">
            <v>24.61491712177191</v>
          </cell>
          <cell r="J234">
            <v>22.942703757594728</v>
          </cell>
          <cell r="K234">
            <v>19.586573819673124</v>
          </cell>
          <cell r="L234">
            <v>14.89026329993357</v>
          </cell>
          <cell r="M234">
            <v>5.8713763790268656</v>
          </cell>
        </row>
        <row r="235">
          <cell r="B235">
            <v>42.950415054277975</v>
          </cell>
          <cell r="C235">
            <v>44.429062986931996</v>
          </cell>
          <cell r="D235">
            <v>46.326129543234529</v>
          </cell>
          <cell r="E235">
            <v>47.888516779528921</v>
          </cell>
          <cell r="F235">
            <v>48.590693321525379</v>
          </cell>
          <cell r="G235">
            <v>46.48996448699279</v>
          </cell>
          <cell r="H235">
            <v>45.099831807742063</v>
          </cell>
          <cell r="I235">
            <v>43.724031282425386</v>
          </cell>
          <cell r="J235">
            <v>41.235808228316621</v>
          </cell>
          <cell r="K235">
            <v>38.423994625555039</v>
          </cell>
          <cell r="L235">
            <v>37.637331522599816</v>
          </cell>
          <cell r="M235">
            <v>30.640726962713693</v>
          </cell>
        </row>
        <row r="236">
          <cell r="B236">
            <v>0</v>
          </cell>
          <cell r="C236">
            <v>0</v>
          </cell>
          <cell r="D236">
            <v>4.5185461871020405E-2</v>
          </cell>
          <cell r="E236">
            <v>4.7618601912412351E-2</v>
          </cell>
          <cell r="F236">
            <v>3.0467857235615607</v>
          </cell>
          <cell r="G236">
            <v>6.0765039483476126</v>
          </cell>
          <cell r="H236">
            <v>7.5720244206547438</v>
          </cell>
          <cell r="I236">
            <v>11.786797892864165</v>
          </cell>
          <cell r="J236">
            <v>12.579776572402682</v>
          </cell>
          <cell r="K236">
            <v>13.139616331923117</v>
          </cell>
          <cell r="L236">
            <v>17.347918443194075</v>
          </cell>
          <cell r="M236">
            <v>17.390204612260025</v>
          </cell>
        </row>
        <row r="238">
          <cell r="B238">
            <v>9.9811761156123918E-2</v>
          </cell>
          <cell r="C238">
            <v>1.0355155267141883E-2</v>
          </cell>
          <cell r="D238">
            <v>0.29286965330321096</v>
          </cell>
          <cell r="E238">
            <v>1.5213194169062614</v>
          </cell>
          <cell r="F238">
            <v>1.5938712260094554</v>
          </cell>
          <cell r="G238">
            <v>1.62423413815505</v>
          </cell>
          <cell r="H238">
            <v>1.6373279405975993</v>
          </cell>
          <cell r="I238">
            <v>1.6759400600562999</v>
          </cell>
          <cell r="J238">
            <v>1.6759500494570481</v>
          </cell>
          <cell r="K238">
            <v>1.6994326066449834</v>
          </cell>
          <cell r="L238">
            <v>1.7712957184763285</v>
          </cell>
          <cell r="M238">
            <v>1.7792973578189086</v>
          </cell>
        </row>
        <row r="239">
          <cell r="B239">
            <v>5.1973649401042348</v>
          </cell>
          <cell r="C239">
            <v>9.1547503134666819</v>
          </cell>
          <cell r="D239">
            <v>9.5422582030828504</v>
          </cell>
          <cell r="E239">
            <v>8.182526437904345</v>
          </cell>
          <cell r="F239">
            <v>8.4585592115690655</v>
          </cell>
          <cell r="G239">
            <v>9.2075172159866199</v>
          </cell>
          <cell r="H239">
            <v>9.152446291314055</v>
          </cell>
          <cell r="I239">
            <v>9.203990807462592</v>
          </cell>
          <cell r="J239">
            <v>9.0023159409605231</v>
          </cell>
          <cell r="K239">
            <v>8.6564861907861648</v>
          </cell>
          <cell r="L239">
            <v>8.8442382142999811</v>
          </cell>
          <cell r="M239">
            <v>7.9036910895774746</v>
          </cell>
        </row>
        <row r="240">
          <cell r="B240">
            <v>9.651557383091447</v>
          </cell>
          <cell r="C240">
            <v>9.7083038009403442</v>
          </cell>
          <cell r="D240">
            <v>7.5727198106386098</v>
          </cell>
          <cell r="E240">
            <v>6.764614953035462</v>
          </cell>
          <cell r="F240">
            <v>6.2808310785770587</v>
          </cell>
          <cell r="G240">
            <v>5.5128980430023846</v>
          </cell>
          <cell r="H240">
            <v>4.8689657579083621</v>
          </cell>
          <cell r="I240">
            <v>4.0267358026148274</v>
          </cell>
          <cell r="J240">
            <v>3.8053863295209585</v>
          </cell>
          <cell r="K240">
            <v>3.2197495845796875</v>
          </cell>
          <cell r="L240">
            <v>3.0120462652072484</v>
          </cell>
          <cell r="M240">
            <v>1.8798458687936173</v>
          </cell>
        </row>
        <row r="241">
          <cell r="B241">
            <v>2.866688263223522</v>
          </cell>
          <cell r="C241">
            <v>3.3630602991472553</v>
          </cell>
          <cell r="D241">
            <v>3.2986509217416971</v>
          </cell>
          <cell r="E241">
            <v>3.4362338747271357</v>
          </cell>
          <cell r="F241">
            <v>3.5557868733588069</v>
          </cell>
          <cell r="G241">
            <v>3.6452118703403964</v>
          </cell>
          <cell r="H241">
            <v>3.7163568512224083</v>
          </cell>
          <cell r="I241">
            <v>3.7742238378791608</v>
          </cell>
          <cell r="J241">
            <v>3.8182230790157594</v>
          </cell>
          <cell r="K241">
            <v>3.8574677758861977</v>
          </cell>
          <cell r="L241">
            <v>3.8575235091137881</v>
          </cell>
          <cell r="M241">
            <v>3.8584861437008366</v>
          </cell>
        </row>
        <row r="242">
          <cell r="B242">
            <v>2.5068358410013629</v>
          </cell>
          <cell r="C242">
            <v>2.9280697799466875</v>
          </cell>
          <cell r="D242">
            <v>2.8830979599404833</v>
          </cell>
          <cell r="E242">
            <v>2.4609194731206059</v>
          </cell>
          <cell r="F242">
            <v>2.0583958069199371</v>
          </cell>
          <cell r="G242">
            <v>2.0044527954976665</v>
          </cell>
          <cell r="H242">
            <v>2.0023728037221127</v>
          </cell>
          <cell r="I242">
            <v>1.858827829592268</v>
          </cell>
          <cell r="J242">
            <v>1.8544710627381071</v>
          </cell>
          <cell r="K242">
            <v>1.753373456803146</v>
          </cell>
          <cell r="L242">
            <v>1.780432105604441</v>
          </cell>
          <cell r="M242">
            <v>1.5057040892290985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</row>
        <row r="244">
          <cell r="B244">
            <v>2.939538998579053</v>
          </cell>
          <cell r="C244">
            <v>7.0036505375308877</v>
          </cell>
          <cell r="D244">
            <v>7.0032716938393751</v>
          </cell>
          <cell r="E244">
            <v>7.0024136380380781</v>
          </cell>
          <cell r="F244">
            <v>7.0034051854198571</v>
          </cell>
          <cell r="G244">
            <v>7.0035798588609284</v>
          </cell>
          <cell r="H244">
            <v>7.0028573943912935</v>
          </cell>
          <cell r="I244">
            <v>7.0022159152039469</v>
          </cell>
          <cell r="J244">
            <v>7.0026496919905625</v>
          </cell>
          <cell r="K244">
            <v>7.0024616876711283</v>
          </cell>
          <cell r="L244">
            <v>7.0024271697065386</v>
          </cell>
          <cell r="M244">
            <v>7.0056321232847294</v>
          </cell>
        </row>
        <row r="245">
          <cell r="B245">
            <v>156.24610384243761</v>
          </cell>
          <cell r="C245">
            <v>162.14637490618446</v>
          </cell>
          <cell r="D245">
            <v>162.13937849421092</v>
          </cell>
          <cell r="E245">
            <v>161.88163383671895</v>
          </cell>
          <cell r="F245">
            <v>161.76760128608714</v>
          </cell>
          <cell r="G245">
            <v>159.24074910096897</v>
          </cell>
          <cell r="H245">
            <v>155.5523349665113</v>
          </cell>
          <cell r="I245">
            <v>151.8997796381245</v>
          </cell>
          <cell r="J245">
            <v>146.98840997228456</v>
          </cell>
          <cell r="K245">
            <v>140.42563474634403</v>
          </cell>
          <cell r="L245">
            <v>137.79333879800959</v>
          </cell>
          <cell r="M245">
            <v>120.68788133916067</v>
          </cell>
        </row>
      </sheetData>
      <sheetData sheetId="73">
        <row r="21">
          <cell r="B21">
            <v>78.684953096736919</v>
          </cell>
          <cell r="C21">
            <v>74.83918830248561</v>
          </cell>
          <cell r="D21">
            <v>78.730039579683663</v>
          </cell>
          <cell r="E21">
            <v>57.469316072210141</v>
          </cell>
          <cell r="F21">
            <v>44.069814904058511</v>
          </cell>
          <cell r="G21">
            <v>37.923040509698922</v>
          </cell>
          <cell r="H21">
            <v>32.616742879629079</v>
          </cell>
          <cell r="I21">
            <v>28.233384448760937</v>
          </cell>
          <cell r="J21">
            <v>25.797518157253045</v>
          </cell>
          <cell r="K21">
            <v>23.45660114100794</v>
          </cell>
          <cell r="L21">
            <v>21.679075368153711</v>
          </cell>
          <cell r="M21">
            <v>20.743855964684094</v>
          </cell>
        </row>
        <row r="22">
          <cell r="B22">
            <v>116.68637616634874</v>
          </cell>
          <cell r="C22">
            <v>110.56307245522034</v>
          </cell>
          <cell r="D22">
            <v>95.28680333944159</v>
          </cell>
          <cell r="E22">
            <v>70.471980503320793</v>
          </cell>
          <cell r="F22">
            <v>48.804968162575904</v>
          </cell>
          <cell r="G22">
            <v>44.829060713007493</v>
          </cell>
          <cell r="H22">
            <v>41.239331528126073</v>
          </cell>
          <cell r="I22">
            <v>39.72219787580736</v>
          </cell>
          <cell r="J22">
            <v>39.16594376034864</v>
          </cell>
          <cell r="K22">
            <v>32.607711199855892</v>
          </cell>
          <cell r="L22">
            <v>28.952062489825106</v>
          </cell>
          <cell r="M22">
            <v>29.23414965049934</v>
          </cell>
        </row>
        <row r="23">
          <cell r="B23">
            <v>1.0896473020212636</v>
          </cell>
          <cell r="C23">
            <v>1.3845166398956021</v>
          </cell>
          <cell r="D23">
            <v>1.8160711956111044</v>
          </cell>
          <cell r="E23">
            <v>1.6308730214437928</v>
          </cell>
          <cell r="F23">
            <v>1.1434631471165999</v>
          </cell>
          <cell r="G23">
            <v>0.9695438746654399</v>
          </cell>
          <cell r="H23">
            <v>0.62758059810828004</v>
          </cell>
          <cell r="I23">
            <v>0.3746190384894601</v>
          </cell>
          <cell r="J23">
            <v>0.18995233360238006</v>
          </cell>
          <cell r="K23">
            <v>2.8429547771002817E-4</v>
          </cell>
          <cell r="L23">
            <v>1.7950879413985987E-4</v>
          </cell>
          <cell r="M23">
            <v>3.0847528281996439E-4</v>
          </cell>
        </row>
        <row r="24">
          <cell r="B24">
            <v>0.25847155169243585</v>
          </cell>
          <cell r="C24">
            <v>0.11897101214966291</v>
          </cell>
          <cell r="D24">
            <v>0.19600958286004086</v>
          </cell>
          <cell r="E24">
            <v>5.6178647534598268E-3</v>
          </cell>
          <cell r="F24">
            <v>4.9260888929176169E-3</v>
          </cell>
          <cell r="G24">
            <v>6.9543249601771657E-3</v>
          </cell>
          <cell r="H24">
            <v>6.5856288212560055E-3</v>
          </cell>
          <cell r="I24">
            <v>5.9149044470515281E-3</v>
          </cell>
          <cell r="J24">
            <v>5.9424191774702529E-3</v>
          </cell>
          <cell r="K24">
            <v>5.6400484708997046E-3</v>
          </cell>
          <cell r="L24">
            <v>5.7588061031586769E-3</v>
          </cell>
          <cell r="M24">
            <v>5.2757383232678035E-3</v>
          </cell>
        </row>
        <row r="25">
          <cell r="B25">
            <v>4.5569047459713534</v>
          </cell>
          <cell r="C25">
            <v>4.3340708526814984</v>
          </cell>
          <cell r="D25">
            <v>4.5596179481629244</v>
          </cell>
          <cell r="E25">
            <v>4.0541291946688967</v>
          </cell>
          <cell r="F25">
            <v>2.8483613180522687</v>
          </cell>
          <cell r="G25">
            <v>2.1975395989109678</v>
          </cell>
          <cell r="H25">
            <v>1.8902536992476766</v>
          </cell>
          <cell r="I25">
            <v>1.6378182783046868</v>
          </cell>
          <cell r="J25">
            <v>1.4953448585056017</v>
          </cell>
          <cell r="K25">
            <v>1.3612306094082973</v>
          </cell>
          <cell r="L25">
            <v>1.2575971788460203</v>
          </cell>
          <cell r="M25">
            <v>1.2063352477033733</v>
          </cell>
        </row>
        <row r="26">
          <cell r="B26">
            <v>2.9743233402459959</v>
          </cell>
          <cell r="C26">
            <v>2.9709757547358127</v>
          </cell>
          <cell r="D26">
            <v>4.4720284107619808</v>
          </cell>
          <cell r="E26">
            <v>2.392042185507623</v>
          </cell>
          <cell r="F26">
            <v>1.7831901011656277</v>
          </cell>
          <cell r="G26">
            <v>1.8214766407652205</v>
          </cell>
          <cell r="H26">
            <v>1.6944375402760046</v>
          </cell>
          <cell r="I26">
            <v>1.6580934563622405</v>
          </cell>
          <cell r="J26">
            <v>1.6527864837285189</v>
          </cell>
          <cell r="K26">
            <v>1.6264424543790301</v>
          </cell>
          <cell r="L26">
            <v>1.7699214190681343</v>
          </cell>
          <cell r="M26">
            <v>1.90202121470828</v>
          </cell>
        </row>
        <row r="27">
          <cell r="B27">
            <v>2.1508301613942973E-2</v>
          </cell>
          <cell r="C27">
            <v>1.6675593053634578E-2</v>
          </cell>
          <cell r="D27">
            <v>9.5052793698759738E-3</v>
          </cell>
          <cell r="E27">
            <v>2.6314858739856718E-3</v>
          </cell>
          <cell r="F27">
            <v>2.5433508886275749E-3</v>
          </cell>
          <cell r="G27">
            <v>3.091388383229391E-4</v>
          </cell>
          <cell r="H27">
            <v>3.5581970439891176E-4</v>
          </cell>
          <cell r="I27">
            <v>6.5733857624000172E-4</v>
          </cell>
          <cell r="J27">
            <v>4.3078101286478246E-4</v>
          </cell>
          <cell r="K27">
            <v>6.9157756701864121E-4</v>
          </cell>
          <cell r="L27">
            <v>5.7722383826726233E-4</v>
          </cell>
          <cell r="M27">
            <v>1.0370879976011513E-3</v>
          </cell>
        </row>
        <row r="28">
          <cell r="B28">
            <v>3.4344208278865398E-3</v>
          </cell>
          <cell r="C28">
            <v>4.7058561587977702E-5</v>
          </cell>
          <cell r="D28">
            <v>5.7154662581354798E-3</v>
          </cell>
          <cell r="E28">
            <v>0.91961857944553704</v>
          </cell>
          <cell r="F28">
            <v>1.1920993504786801</v>
          </cell>
          <cell r="G28">
            <v>1.15108951963578</v>
          </cell>
          <cell r="H28">
            <v>1.2781236928988799</v>
          </cell>
          <cell r="I28">
            <v>1.31615614922364</v>
          </cell>
          <cell r="J28">
            <v>1.31976624943052</v>
          </cell>
          <cell r="K28">
            <v>1.3477661233587099</v>
          </cell>
          <cell r="L28">
            <v>1.2035149758258801</v>
          </cell>
          <cell r="M28">
            <v>1.0744884255298801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1.1296071450952923</v>
          </cell>
          <cell r="F32">
            <v>1.012199747825979</v>
          </cell>
          <cell r="G32">
            <v>1.0637793599928682</v>
          </cell>
          <cell r="H32">
            <v>0.68733942807067516</v>
          </cell>
          <cell r="I32">
            <v>1.6043189786750141</v>
          </cell>
          <cell r="J32">
            <v>2.5516954802975054</v>
          </cell>
          <cell r="K32">
            <v>2.9003206880950767</v>
          </cell>
          <cell r="L32">
            <v>2.7026228899477225</v>
          </cell>
          <cell r="M32">
            <v>2.8880692448704406</v>
          </cell>
        </row>
      </sheetData>
      <sheetData sheetId="74">
        <row r="11">
          <cell r="B11">
            <v>29.53691830097284</v>
          </cell>
          <cell r="C11">
            <v>58.495436317992393</v>
          </cell>
          <cell r="D11">
            <v>84.301793135525017</v>
          </cell>
          <cell r="E11">
            <v>85.299489716872287</v>
          </cell>
          <cell r="F11">
            <v>89.9614021371668</v>
          </cell>
          <cell r="G11">
            <v>93.085278223438891</v>
          </cell>
          <cell r="H11">
            <v>95.302974219392766</v>
          </cell>
          <cell r="I11">
            <v>97.191684830506105</v>
          </cell>
          <cell r="J11">
            <v>95.127004845637913</v>
          </cell>
          <cell r="K11">
            <v>95.63382481781224</v>
          </cell>
          <cell r="L11">
            <v>97.189883361309967</v>
          </cell>
          <cell r="M11">
            <v>98.856755199700643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5.444676227455604</v>
          </cell>
          <cell r="F12">
            <v>5.7422374694438574</v>
          </cell>
          <cell r="G12">
            <v>5.9416352765523479</v>
          </cell>
          <cell r="H12">
            <v>6.083188269838339</v>
          </cell>
          <cell r="I12">
            <v>6.203748056128159</v>
          </cell>
          <cell r="J12">
            <v>6.2037442996541161</v>
          </cell>
          <cell r="K12">
            <v>6.2037573197364058</v>
          </cell>
          <cell r="L12">
            <v>6.2037518480402909</v>
          </cell>
          <cell r="M12">
            <v>6.3100348973731792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0.16814637436441299</v>
          </cell>
          <cell r="G13">
            <v>0.33364034254886799</v>
          </cell>
          <cell r="H13">
            <v>0.62240140565465341</v>
          </cell>
          <cell r="I13">
            <v>0.7195174549130765</v>
          </cell>
          <cell r="J13">
            <v>0.79624478394146769</v>
          </cell>
          <cell r="K13">
            <v>0.9228128413745138</v>
          </cell>
          <cell r="L13">
            <v>0.94203798812221862</v>
          </cell>
          <cell r="M13">
            <v>0.95431924849329253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</sheetData>
      <sheetData sheetId="75"/>
      <sheetData sheetId="76">
        <row r="53">
          <cell r="B53">
            <v>2.5937193780736396</v>
          </cell>
          <cell r="C53">
            <v>2.3829233127900262</v>
          </cell>
          <cell r="D53">
            <v>2.3652167055046105</v>
          </cell>
          <cell r="E53">
            <v>2.4109869021387476</v>
          </cell>
          <cell r="F53">
            <v>2.3797750204031209</v>
          </cell>
          <cell r="G53">
            <v>2.5814650875862846</v>
          </cell>
          <cell r="H53">
            <v>3.0358801927141439</v>
          </cell>
          <cell r="I53">
            <v>3.3272840142352993</v>
          </cell>
          <cell r="J53">
            <v>3.3963093201157801</v>
          </cell>
          <cell r="K53">
            <v>3.4664023805877595</v>
          </cell>
          <cell r="L53">
            <v>3.4318002563339052</v>
          </cell>
          <cell r="M53">
            <v>3.3526577170765903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B55">
            <v>6.4939083130621968</v>
          </cell>
          <cell r="C55">
            <v>6.0788733885074056</v>
          </cell>
          <cell r="D55">
            <v>5.7851756454537844</v>
          </cell>
          <cell r="E55">
            <v>5.2456510793468878</v>
          </cell>
          <cell r="F55">
            <v>4.9309401209424797</v>
          </cell>
          <cell r="G55">
            <v>4.6089345057280608</v>
          </cell>
          <cell r="H55">
            <v>4.2476441663428526</v>
          </cell>
          <cell r="I55">
            <v>4.0032861606855814</v>
          </cell>
          <cell r="J55">
            <v>3.9342598060486096</v>
          </cell>
          <cell r="K55">
            <v>3.8093517761836293</v>
          </cell>
          <cell r="L55">
            <v>3.7354699890060901</v>
          </cell>
          <cell r="M55">
            <v>3.6547979049942318</v>
          </cell>
        </row>
        <row r="56">
          <cell r="B56">
            <v>3.7919479360931398</v>
          </cell>
          <cell r="C56">
            <v>3.4469299949788001</v>
          </cell>
          <cell r="D56">
            <v>3.42984099581302</v>
          </cell>
          <cell r="E56">
            <v>3.4640361968671001</v>
          </cell>
          <cell r="F56">
            <v>3.4197926711641804</v>
          </cell>
          <cell r="G56">
            <v>3.2046658977636104</v>
          </cell>
          <cell r="H56">
            <v>2.9850117059957118</v>
          </cell>
          <cell r="I56">
            <v>2.5552342728106368</v>
          </cell>
          <cell r="J56">
            <v>2.3849454346409011</v>
          </cell>
          <cell r="K56">
            <v>2.250961559925885</v>
          </cell>
          <cell r="L56">
            <v>2.0112028540548521</v>
          </cell>
          <cell r="M56">
            <v>1.7834223346017088</v>
          </cell>
        </row>
        <row r="57">
          <cell r="B57">
            <v>7.1788177338717363</v>
          </cell>
          <cell r="C57">
            <v>6.5874588141809616</v>
          </cell>
          <cell r="D57">
            <v>6.2907373824380421</v>
          </cell>
          <cell r="E57">
            <v>6.5386958803033179</v>
          </cell>
          <cell r="F57">
            <v>5.9800960219108941</v>
          </cell>
          <cell r="G57">
            <v>5.7135976579250798</v>
          </cell>
          <cell r="H57">
            <v>5.5211058525437089</v>
          </cell>
          <cell r="I57">
            <v>5.2201842708895398</v>
          </cell>
          <cell r="J57">
            <v>4.9398022316517602</v>
          </cell>
          <cell r="K57">
            <v>4.5025893856514996</v>
          </cell>
          <cell r="L57">
            <v>4.1751728569468005</v>
          </cell>
          <cell r="M57">
            <v>2.9874457575034965</v>
          </cell>
        </row>
        <row r="58">
          <cell r="B58">
            <v>14.551660272957005</v>
          </cell>
          <cell r="C58">
            <v>13.886423105867268</v>
          </cell>
          <cell r="D58">
            <v>13.024113249187522</v>
          </cell>
          <cell r="E58">
            <v>9.6679540330382583</v>
          </cell>
          <cell r="F58">
            <v>7.0163888793103153</v>
          </cell>
          <cell r="G58">
            <v>6.2474746113415494</v>
          </cell>
          <cell r="H58">
            <v>5.5576900810588281</v>
          </cell>
          <cell r="I58">
            <v>5.0977805432201944</v>
          </cell>
          <cell r="J58">
            <v>4.8603079802636122</v>
          </cell>
          <cell r="K58">
            <v>4.1830522329086115</v>
          </cell>
          <cell r="L58">
            <v>3.7779574357109893</v>
          </cell>
          <cell r="M58">
            <v>3.7288765522493197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</row>
        <row r="77">
          <cell r="B77">
            <v>0</v>
          </cell>
          <cell r="C77">
            <v>0</v>
          </cell>
        </row>
        <row r="78">
          <cell r="B78">
            <v>0</v>
          </cell>
          <cell r="C78">
            <v>0</v>
          </cell>
        </row>
        <row r="79">
          <cell r="B79">
            <v>0</v>
          </cell>
          <cell r="C79">
            <v>0</v>
          </cell>
        </row>
      </sheetData>
      <sheetData sheetId="77"/>
      <sheetData sheetId="78">
        <row r="99"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</row>
      </sheetData>
      <sheetData sheetId="79"/>
      <sheetData sheetId="80"/>
      <sheetData sheetId="81"/>
      <sheetData sheetId="82"/>
      <sheetData sheetId="83"/>
      <sheetData sheetId="8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4" zoomScale="70" zoomScaleNormal="70" workbookViewId="0">
      <selection activeCell="B99" sqref="B99"/>
    </sheetView>
  </sheetViews>
  <sheetFormatPr defaultRowHeight="15.75" x14ac:dyDescent="0.5"/>
  <cols>
    <col min="2" max="2" width="49.5625" bestFit="1" customWidth="1"/>
    <col min="3" max="3" width="81.5" bestFit="1" customWidth="1"/>
    <col min="4" max="4" width="11.5" bestFit="1" customWidth="1"/>
  </cols>
  <sheetData>
    <row r="2" spans="2:5" x14ac:dyDescent="0.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5">
      <c r="B3" t="s">
        <v>15</v>
      </c>
      <c r="C3" t="s">
        <v>359</v>
      </c>
      <c r="D3" t="s">
        <v>8</v>
      </c>
    </row>
    <row r="4" spans="2:5" x14ac:dyDescent="0.5">
      <c r="B4" t="s">
        <v>19</v>
      </c>
      <c r="C4" t="s">
        <v>360</v>
      </c>
      <c r="D4" t="s">
        <v>8</v>
      </c>
    </row>
    <row r="5" spans="2:5" x14ac:dyDescent="0.5">
      <c r="B5" t="s">
        <v>24</v>
      </c>
      <c r="C5" t="s">
        <v>361</v>
      </c>
      <c r="D5" t="s">
        <v>8</v>
      </c>
    </row>
    <row r="6" spans="2:5" x14ac:dyDescent="0.5">
      <c r="B6" t="s">
        <v>29</v>
      </c>
      <c r="C6" t="s">
        <v>362</v>
      </c>
      <c r="D6" t="s">
        <v>8</v>
      </c>
    </row>
    <row r="7" spans="2:5" x14ac:dyDescent="0.5">
      <c r="B7" t="s">
        <v>152</v>
      </c>
      <c r="C7" t="s">
        <v>363</v>
      </c>
      <c r="D7" t="s">
        <v>8</v>
      </c>
    </row>
    <row r="8" spans="2:5" x14ac:dyDescent="0.5">
      <c r="B8" t="s">
        <v>91</v>
      </c>
      <c r="C8" t="s">
        <v>364</v>
      </c>
      <c r="D8" t="s">
        <v>8</v>
      </c>
    </row>
    <row r="9" spans="2:5" x14ac:dyDescent="0.5">
      <c r="B9" t="s">
        <v>190</v>
      </c>
      <c r="C9" t="s">
        <v>365</v>
      </c>
      <c r="D9" t="s">
        <v>8</v>
      </c>
    </row>
    <row r="10" spans="2:5" x14ac:dyDescent="0.5">
      <c r="B10" t="s">
        <v>241</v>
      </c>
      <c r="C10" t="s">
        <v>366</v>
      </c>
      <c r="D10" t="s">
        <v>240</v>
      </c>
      <c r="E10" t="s">
        <v>369</v>
      </c>
    </row>
    <row r="11" spans="2:5" x14ac:dyDescent="0.5">
      <c r="B11" t="s">
        <v>296</v>
      </c>
      <c r="C11" t="s">
        <v>367</v>
      </c>
      <c r="D11" t="s">
        <v>240</v>
      </c>
      <c r="E11" t="s">
        <v>686</v>
      </c>
    </row>
    <row r="12" spans="2:5" x14ac:dyDescent="0.5">
      <c r="B12" t="s">
        <v>303</v>
      </c>
      <c r="C12" t="s">
        <v>371</v>
      </c>
      <c r="D12" t="s">
        <v>8</v>
      </c>
    </row>
    <row r="13" spans="2:5" x14ac:dyDescent="0.5">
      <c r="B13" t="s">
        <v>370</v>
      </c>
      <c r="C13" t="s">
        <v>372</v>
      </c>
      <c r="D13" t="s">
        <v>8</v>
      </c>
    </row>
    <row r="14" spans="2:5" x14ac:dyDescent="0.5">
      <c r="B14" t="s">
        <v>373</v>
      </c>
      <c r="C14" t="s">
        <v>374</v>
      </c>
      <c r="D14" t="s">
        <v>8</v>
      </c>
    </row>
    <row r="15" spans="2:5" x14ac:dyDescent="0.5">
      <c r="B15" t="s">
        <v>306</v>
      </c>
      <c r="C15" t="s">
        <v>375</v>
      </c>
      <c r="D15" t="s">
        <v>240</v>
      </c>
    </row>
    <row r="16" spans="2:5" x14ac:dyDescent="0.5">
      <c r="B16" t="s">
        <v>376</v>
      </c>
      <c r="C16" t="s">
        <v>377</v>
      </c>
      <c r="D16" t="s">
        <v>8</v>
      </c>
    </row>
    <row r="17" spans="2:5" x14ac:dyDescent="0.5">
      <c r="B17" t="s">
        <v>378</v>
      </c>
      <c r="C17" t="s">
        <v>379</v>
      </c>
      <c r="D17" t="s">
        <v>8</v>
      </c>
    </row>
    <row r="18" spans="2:5" x14ac:dyDescent="0.5">
      <c r="B18" t="s">
        <v>311</v>
      </c>
      <c r="C18" t="s">
        <v>380</v>
      </c>
      <c r="D18" t="s">
        <v>240</v>
      </c>
    </row>
    <row r="19" spans="2:5" x14ac:dyDescent="0.5">
      <c r="B19" t="s">
        <v>381</v>
      </c>
      <c r="C19" t="s">
        <v>382</v>
      </c>
      <c r="D19" t="s">
        <v>8</v>
      </c>
    </row>
    <row r="20" spans="2:5" x14ac:dyDescent="0.5">
      <c r="B20" t="s">
        <v>383</v>
      </c>
      <c r="C20" t="s">
        <v>384</v>
      </c>
      <c r="D20" t="s">
        <v>8</v>
      </c>
    </row>
    <row r="21" spans="2:5" x14ac:dyDescent="0.5">
      <c r="B21" t="s">
        <v>385</v>
      </c>
      <c r="C21" t="s">
        <v>386</v>
      </c>
      <c r="D21" t="s">
        <v>8</v>
      </c>
    </row>
    <row r="22" spans="2:5" x14ac:dyDescent="0.5">
      <c r="B22" t="s">
        <v>387</v>
      </c>
      <c r="C22" t="s">
        <v>387</v>
      </c>
      <c r="D22" t="s">
        <v>8</v>
      </c>
    </row>
    <row r="23" spans="2:5" x14ac:dyDescent="0.5">
      <c r="B23" t="s">
        <v>388</v>
      </c>
      <c r="C23" t="s">
        <v>389</v>
      </c>
      <c r="D23" t="s">
        <v>240</v>
      </c>
    </row>
    <row r="24" spans="2:5" x14ac:dyDescent="0.5">
      <c r="B24" t="s">
        <v>390</v>
      </c>
      <c r="C24" t="s">
        <v>390</v>
      </c>
      <c r="D24" t="s">
        <v>8</v>
      </c>
    </row>
    <row r="25" spans="2:5" x14ac:dyDescent="0.5">
      <c r="B25" t="s">
        <v>406</v>
      </c>
      <c r="C25" t="s">
        <v>407</v>
      </c>
      <c r="D25" t="s">
        <v>8</v>
      </c>
    </row>
    <row r="26" spans="2:5" x14ac:dyDescent="0.5">
      <c r="B26" t="s">
        <v>408</v>
      </c>
      <c r="C26" t="s">
        <v>416</v>
      </c>
      <c r="D26" t="s">
        <v>240</v>
      </c>
      <c r="E26" t="s">
        <v>417</v>
      </c>
    </row>
    <row r="27" spans="2:5" x14ac:dyDescent="0.5">
      <c r="B27" t="s">
        <v>424</v>
      </c>
      <c r="C27" t="s">
        <v>418</v>
      </c>
      <c r="D27" t="s">
        <v>8</v>
      </c>
      <c r="E27" t="s">
        <v>421</v>
      </c>
    </row>
    <row r="28" spans="2:5" x14ac:dyDescent="0.5">
      <c r="B28" t="s">
        <v>425</v>
      </c>
      <c r="C28" t="s">
        <v>419</v>
      </c>
      <c r="D28" t="s">
        <v>8</v>
      </c>
      <c r="E28" t="s">
        <v>420</v>
      </c>
    </row>
    <row r="29" spans="2:5" x14ac:dyDescent="0.5">
      <c r="B29" t="s">
        <v>426</v>
      </c>
      <c r="C29" t="s">
        <v>422</v>
      </c>
      <c r="D29" t="s">
        <v>8</v>
      </c>
      <c r="E29" t="s">
        <v>423</v>
      </c>
    </row>
    <row r="30" spans="2:5" x14ac:dyDescent="0.5">
      <c r="B30" t="s">
        <v>431</v>
      </c>
      <c r="C30" t="s">
        <v>432</v>
      </c>
      <c r="D30" t="s">
        <v>8</v>
      </c>
    </row>
    <row r="31" spans="2:5" x14ac:dyDescent="0.5">
      <c r="B31" t="s">
        <v>434</v>
      </c>
      <c r="C31" t="s">
        <v>435</v>
      </c>
      <c r="D31" t="s">
        <v>8</v>
      </c>
    </row>
    <row r="32" spans="2:5" x14ac:dyDescent="0.5">
      <c r="B32" t="s">
        <v>440</v>
      </c>
      <c r="C32" t="s">
        <v>441</v>
      </c>
      <c r="D32" t="s">
        <v>240</v>
      </c>
    </row>
    <row r="33" spans="2:5" x14ac:dyDescent="0.5">
      <c r="B33" t="s">
        <v>444</v>
      </c>
      <c r="C33" t="s">
        <v>444</v>
      </c>
      <c r="D33" t="s">
        <v>442</v>
      </c>
      <c r="E33" t="s">
        <v>447</v>
      </c>
    </row>
    <row r="34" spans="2:5" x14ac:dyDescent="0.5">
      <c r="B34" t="s">
        <v>474</v>
      </c>
      <c r="C34" t="s">
        <v>477</v>
      </c>
      <c r="D34" t="s">
        <v>8</v>
      </c>
      <c r="E34" t="s">
        <v>478</v>
      </c>
    </row>
    <row r="35" spans="2:5" x14ac:dyDescent="0.5">
      <c r="B35" t="s">
        <v>475</v>
      </c>
      <c r="C35" t="s">
        <v>479</v>
      </c>
      <c r="D35" t="s">
        <v>8</v>
      </c>
      <c r="E35" t="s">
        <v>478</v>
      </c>
    </row>
    <row r="36" spans="2:5" x14ac:dyDescent="0.5">
      <c r="B36" t="s">
        <v>476</v>
      </c>
      <c r="C36" t="s">
        <v>480</v>
      </c>
      <c r="D36" t="s">
        <v>240</v>
      </c>
    </row>
    <row r="37" spans="2:5" x14ac:dyDescent="0.5">
      <c r="B37" t="s">
        <v>496</v>
      </c>
      <c r="C37" t="s">
        <v>497</v>
      </c>
      <c r="D37" t="s">
        <v>8</v>
      </c>
      <c r="E37" t="s">
        <v>498</v>
      </c>
    </row>
    <row r="38" spans="2:5" x14ac:dyDescent="0.5">
      <c r="B38" t="s">
        <v>684</v>
      </c>
      <c r="C38" t="s">
        <v>685</v>
      </c>
      <c r="D38" t="s">
        <v>8</v>
      </c>
      <c r="E38" t="s">
        <v>498</v>
      </c>
    </row>
    <row r="39" spans="2:5" x14ac:dyDescent="0.5">
      <c r="B39" t="s">
        <v>687</v>
      </c>
      <c r="C39" t="s">
        <v>688</v>
      </c>
      <c r="D39" t="s">
        <v>240</v>
      </c>
      <c r="E39" t="s">
        <v>498</v>
      </c>
    </row>
    <row r="40" spans="2:5" x14ac:dyDescent="0.5">
      <c r="B40" t="s">
        <v>674</v>
      </c>
      <c r="C40" t="s">
        <v>675</v>
      </c>
      <c r="D40" t="s">
        <v>8</v>
      </c>
    </row>
    <row r="41" spans="2:5" x14ac:dyDescent="0.5">
      <c r="B41" t="s">
        <v>697</v>
      </c>
      <c r="C41" t="s">
        <v>698</v>
      </c>
      <c r="D41" t="s">
        <v>8</v>
      </c>
    </row>
    <row r="42" spans="2:5" x14ac:dyDescent="0.5">
      <c r="B42" t="s">
        <v>689</v>
      </c>
      <c r="C42" t="s">
        <v>690</v>
      </c>
      <c r="D42" t="s">
        <v>240</v>
      </c>
    </row>
    <row r="43" spans="2:5" x14ac:dyDescent="0.5">
      <c r="B43" t="s">
        <v>740</v>
      </c>
      <c r="C43" t="s">
        <v>741</v>
      </c>
      <c r="D43" t="s">
        <v>8</v>
      </c>
    </row>
    <row r="44" spans="2:5" x14ac:dyDescent="0.5">
      <c r="B44" t="s">
        <v>756</v>
      </c>
      <c r="C44" t="s">
        <v>757</v>
      </c>
      <c r="D44" t="s">
        <v>8</v>
      </c>
    </row>
    <row r="45" spans="2:5" x14ac:dyDescent="0.5">
      <c r="B45" t="s">
        <v>1091</v>
      </c>
      <c r="C45" t="s">
        <v>1125</v>
      </c>
      <c r="D45" t="s">
        <v>240</v>
      </c>
    </row>
    <row r="46" spans="2:5" x14ac:dyDescent="0.5">
      <c r="B46" t="s">
        <v>1236</v>
      </c>
      <c r="C46" t="s">
        <v>1126</v>
      </c>
      <c r="D46" t="s">
        <v>8</v>
      </c>
      <c r="E46" t="s">
        <v>1127</v>
      </c>
    </row>
    <row r="47" spans="2:5" x14ac:dyDescent="0.5">
      <c r="B47" t="s">
        <v>1128</v>
      </c>
      <c r="C47" t="s">
        <v>1129</v>
      </c>
      <c r="D47" t="s">
        <v>1131</v>
      </c>
    </row>
    <row r="48" spans="2:5" x14ac:dyDescent="0.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5">
      <c r="B49" t="s">
        <v>1304</v>
      </c>
      <c r="C49" t="s">
        <v>1305</v>
      </c>
      <c r="D49" t="s">
        <v>8</v>
      </c>
    </row>
    <row r="50" spans="2:5" x14ac:dyDescent="0.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5">
      <c r="B51" t="s">
        <v>1370</v>
      </c>
      <c r="C51" t="s">
        <v>1471</v>
      </c>
      <c r="D51" t="s">
        <v>1229</v>
      </c>
    </row>
    <row r="52" spans="2:5" x14ac:dyDescent="0.5">
      <c r="B52" t="s">
        <v>1394</v>
      </c>
      <c r="C52" t="s">
        <v>1394</v>
      </c>
      <c r="D52" t="s">
        <v>8</v>
      </c>
    </row>
    <row r="53" spans="2:5" x14ac:dyDescent="0.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5">
      <c r="B54" t="s">
        <v>1393</v>
      </c>
      <c r="C54" t="s">
        <v>1470</v>
      </c>
      <c r="D54" t="s">
        <v>1229</v>
      </c>
    </row>
    <row r="55" spans="2:5" x14ac:dyDescent="0.5">
      <c r="B55" t="s">
        <v>1473</v>
      </c>
      <c r="C55" t="s">
        <v>1473</v>
      </c>
      <c r="D55" t="s">
        <v>8</v>
      </c>
    </row>
    <row r="56" spans="2:5" x14ac:dyDescent="0.5">
      <c r="B56" t="s">
        <v>1478</v>
      </c>
      <c r="C56" t="s">
        <v>1530</v>
      </c>
      <c r="D56" t="s">
        <v>1131</v>
      </c>
    </row>
    <row r="57" spans="2:5" x14ac:dyDescent="0.5">
      <c r="B57" t="s">
        <v>1480</v>
      </c>
      <c r="C57" t="s">
        <v>1486</v>
      </c>
      <c r="D57" t="s">
        <v>1229</v>
      </c>
    </row>
    <row r="58" spans="2:5" x14ac:dyDescent="0.5">
      <c r="B58" t="s">
        <v>1472</v>
      </c>
      <c r="C58" t="s">
        <v>1472</v>
      </c>
      <c r="D58" t="s">
        <v>8</v>
      </c>
    </row>
    <row r="59" spans="2:5" x14ac:dyDescent="0.5">
      <c r="B59" t="s">
        <v>1482</v>
      </c>
      <c r="C59" t="s">
        <v>1529</v>
      </c>
      <c r="D59" t="s">
        <v>1131</v>
      </c>
    </row>
    <row r="60" spans="2:5" x14ac:dyDescent="0.5">
      <c r="B60" t="s">
        <v>1484</v>
      </c>
      <c r="C60" t="s">
        <v>1534</v>
      </c>
      <c r="D60" t="s">
        <v>1229</v>
      </c>
    </row>
    <row r="61" spans="2:5" x14ac:dyDescent="0.5">
      <c r="B61" t="s">
        <v>1487</v>
      </c>
      <c r="C61" t="s">
        <v>1528</v>
      </c>
      <c r="D61" t="s">
        <v>8</v>
      </c>
    </row>
    <row r="62" spans="2:5" x14ac:dyDescent="0.5">
      <c r="B62" t="s">
        <v>1503</v>
      </c>
      <c r="C62" t="s">
        <v>1595</v>
      </c>
      <c r="D62" t="s">
        <v>1131</v>
      </c>
    </row>
    <row r="63" spans="2:5" x14ac:dyDescent="0.5">
      <c r="B63" t="s">
        <v>1518</v>
      </c>
      <c r="C63" t="s">
        <v>1533</v>
      </c>
      <c r="D63" t="s">
        <v>1229</v>
      </c>
    </row>
    <row r="64" spans="2:5" x14ac:dyDescent="0.5">
      <c r="B64" t="s">
        <v>1643</v>
      </c>
      <c r="C64" t="s">
        <v>1593</v>
      </c>
      <c r="D64" t="s">
        <v>8</v>
      </c>
    </row>
    <row r="65" spans="2:4" x14ac:dyDescent="0.5">
      <c r="B65" t="s">
        <v>1644</v>
      </c>
      <c r="C65" t="s">
        <v>1595</v>
      </c>
      <c r="D65" t="s">
        <v>1131</v>
      </c>
    </row>
    <row r="66" spans="2:4" x14ac:dyDescent="0.5">
      <c r="B66" t="s">
        <v>1645</v>
      </c>
      <c r="C66" t="s">
        <v>1594</v>
      </c>
      <c r="D66" t="s">
        <v>1229</v>
      </c>
    </row>
    <row r="67" spans="2:4" x14ac:dyDescent="0.5">
      <c r="B67" t="s">
        <v>1646</v>
      </c>
      <c r="C67" t="s">
        <v>1647</v>
      </c>
      <c r="D67" t="s">
        <v>8</v>
      </c>
    </row>
    <row r="68" spans="2:4" x14ac:dyDescent="0.5">
      <c r="B68" t="s">
        <v>1649</v>
      </c>
      <c r="C68" t="s">
        <v>1595</v>
      </c>
      <c r="D68" t="s">
        <v>1131</v>
      </c>
    </row>
    <row r="69" spans="2:4" x14ac:dyDescent="0.5">
      <c r="B69" t="s">
        <v>1650</v>
      </c>
      <c r="C69" t="s">
        <v>1648</v>
      </c>
      <c r="D69" t="s">
        <v>1229</v>
      </c>
    </row>
    <row r="70" spans="2:4" x14ac:dyDescent="0.5">
      <c r="B70" t="s">
        <v>1696</v>
      </c>
      <c r="C70" t="s">
        <v>1651</v>
      </c>
      <c r="D70" t="s">
        <v>8</v>
      </c>
    </row>
    <row r="71" spans="2:4" x14ac:dyDescent="0.5">
      <c r="B71" t="s">
        <v>1674</v>
      </c>
      <c r="C71" t="s">
        <v>1697</v>
      </c>
      <c r="D71" t="s">
        <v>1699</v>
      </c>
    </row>
    <row r="72" spans="2:4" x14ac:dyDescent="0.5">
      <c r="B72" t="s">
        <v>1685</v>
      </c>
      <c r="C72" t="s">
        <v>1698</v>
      </c>
      <c r="D72" t="s">
        <v>1700</v>
      </c>
    </row>
    <row r="73" spans="2:4" x14ac:dyDescent="0.5">
      <c r="B73" t="s">
        <v>1701</v>
      </c>
      <c r="C73" t="s">
        <v>1701</v>
      </c>
      <c r="D73" t="s">
        <v>442</v>
      </c>
    </row>
    <row r="74" spans="2:4" x14ac:dyDescent="0.5">
      <c r="B74" t="s">
        <v>1715</v>
      </c>
      <c r="C74" t="s">
        <v>1721</v>
      </c>
      <c r="D74" t="s">
        <v>442</v>
      </c>
    </row>
    <row r="75" spans="2:4" x14ac:dyDescent="0.5">
      <c r="B75" t="s">
        <v>1720</v>
      </c>
      <c r="C75" t="s">
        <v>1722</v>
      </c>
      <c r="D75" t="s">
        <v>8</v>
      </c>
    </row>
    <row r="76" spans="2:4" x14ac:dyDescent="0.5">
      <c r="B76" t="s">
        <v>1768</v>
      </c>
      <c r="C76" t="s">
        <v>1786</v>
      </c>
      <c r="D76" t="s">
        <v>8</v>
      </c>
    </row>
    <row r="77" spans="2:4" x14ac:dyDescent="0.5">
      <c r="B77" t="s">
        <v>1789</v>
      </c>
      <c r="C77" t="s">
        <v>1787</v>
      </c>
      <c r="D77" t="s">
        <v>1857</v>
      </c>
    </row>
    <row r="78" spans="2:4" x14ac:dyDescent="0.5">
      <c r="B78" t="s">
        <v>1856</v>
      </c>
      <c r="C78" t="s">
        <v>1859</v>
      </c>
      <c r="D78" t="s">
        <v>1858</v>
      </c>
    </row>
    <row r="79" spans="2:4" x14ac:dyDescent="0.5">
      <c r="B79" t="s">
        <v>1899</v>
      </c>
      <c r="C79" t="s">
        <v>1918</v>
      </c>
      <c r="D79" t="s">
        <v>1858</v>
      </c>
    </row>
    <row r="80" spans="2:4" x14ac:dyDescent="0.5">
      <c r="B80" t="s">
        <v>1900</v>
      </c>
      <c r="C80" t="s">
        <v>1919</v>
      </c>
      <c r="D80" t="s">
        <v>1858</v>
      </c>
    </row>
    <row r="81" spans="2:4" x14ac:dyDescent="0.5">
      <c r="B81" t="s">
        <v>1920</v>
      </c>
      <c r="C81" t="s">
        <v>1971</v>
      </c>
      <c r="D81" t="s">
        <v>1972</v>
      </c>
    </row>
    <row r="82" spans="2:4" x14ac:dyDescent="0.5">
      <c r="B82" t="s">
        <v>1973</v>
      </c>
      <c r="C82" t="s">
        <v>1974</v>
      </c>
      <c r="D82" t="s">
        <v>1975</v>
      </c>
    </row>
    <row r="83" spans="2:4" x14ac:dyDescent="0.5">
      <c r="B83" t="s">
        <v>1977</v>
      </c>
      <c r="C83" t="s">
        <v>1976</v>
      </c>
      <c r="D83" t="s">
        <v>1975</v>
      </c>
    </row>
    <row r="84" spans="2:4" x14ac:dyDescent="0.5">
      <c r="B84" t="s">
        <v>2121</v>
      </c>
      <c r="C84" t="s">
        <v>2131</v>
      </c>
      <c r="D84" t="s">
        <v>1975</v>
      </c>
    </row>
    <row r="85" spans="2:4" x14ac:dyDescent="0.5">
      <c r="B85" t="s">
        <v>2133</v>
      </c>
      <c r="C85" t="s">
        <v>2132</v>
      </c>
      <c r="D85" t="s">
        <v>1975</v>
      </c>
    </row>
    <row r="86" spans="2:4" x14ac:dyDescent="0.5">
      <c r="B86" t="s">
        <v>2143</v>
      </c>
      <c r="C86" t="s">
        <v>2155</v>
      </c>
      <c r="D86" t="s">
        <v>2154</v>
      </c>
    </row>
    <row r="87" spans="2:4" x14ac:dyDescent="0.5">
      <c r="B87" t="s">
        <v>2158</v>
      </c>
      <c r="C87" t="s">
        <v>2159</v>
      </c>
      <c r="D87" t="s">
        <v>2156</v>
      </c>
    </row>
    <row r="88" spans="2:4" x14ac:dyDescent="0.5">
      <c r="B88" t="s">
        <v>2178</v>
      </c>
      <c r="C88" t="s">
        <v>2179</v>
      </c>
      <c r="D88" t="s">
        <v>1857</v>
      </c>
    </row>
    <row r="89" spans="2:4" x14ac:dyDescent="0.5">
      <c r="B89" t="s">
        <v>2243</v>
      </c>
      <c r="C89" t="s">
        <v>2362</v>
      </c>
      <c r="D89" t="s">
        <v>1972</v>
      </c>
    </row>
    <row r="90" spans="2:4" x14ac:dyDescent="0.5">
      <c r="B90" t="s">
        <v>2294</v>
      </c>
      <c r="C90" t="s">
        <v>2363</v>
      </c>
      <c r="D90" t="s">
        <v>1972</v>
      </c>
    </row>
    <row r="91" spans="2:4" x14ac:dyDescent="0.5">
      <c r="B91" t="s">
        <v>2318</v>
      </c>
      <c r="C91" t="s">
        <v>2364</v>
      </c>
    </row>
    <row r="92" spans="2:4" x14ac:dyDescent="0.5">
      <c r="B92" t="s">
        <v>2342</v>
      </c>
      <c r="C92" t="s">
        <v>2365</v>
      </c>
    </row>
    <row r="93" spans="2:4" x14ac:dyDescent="0.5">
      <c r="B93" t="s">
        <v>2352</v>
      </c>
      <c r="C93" t="s">
        <v>2366</v>
      </c>
    </row>
    <row r="94" spans="2:4" x14ac:dyDescent="0.5">
      <c r="B94" t="s">
        <v>2367</v>
      </c>
      <c r="C94" t="s">
        <v>2447</v>
      </c>
      <c r="D94" t="s">
        <v>1858</v>
      </c>
    </row>
    <row r="95" spans="2:4" x14ac:dyDescent="0.5">
      <c r="B95" t="s">
        <v>2406</v>
      </c>
      <c r="C95" t="s">
        <v>2447</v>
      </c>
      <c r="D95" t="s">
        <v>1858</v>
      </c>
    </row>
    <row r="96" spans="2:4" x14ac:dyDescent="0.5">
      <c r="B96" t="s">
        <v>2429</v>
      </c>
      <c r="C96" t="s">
        <v>2447</v>
      </c>
      <c r="D96" t="s">
        <v>1858</v>
      </c>
    </row>
    <row r="97" spans="2:4" x14ac:dyDescent="0.5">
      <c r="B97" t="s">
        <v>2448</v>
      </c>
      <c r="C97" t="s">
        <v>2447</v>
      </c>
      <c r="D97" t="s">
        <v>2154</v>
      </c>
    </row>
    <row r="98" spans="2:4" x14ac:dyDescent="0.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T2340"/>
  <sheetViews>
    <sheetView tabSelected="1" topLeftCell="B1" zoomScale="70" zoomScaleNormal="70" workbookViewId="0">
      <pane xSplit="4" ySplit="1" topLeftCell="F721" activePane="bottomRight" state="frozen"/>
      <selection activeCell="B1" sqref="B1"/>
      <selection pane="topRight" activeCell="F1" sqref="F1"/>
      <selection pane="bottomLeft" activeCell="B2" sqref="B2"/>
      <selection pane="bottomRight" activeCell="N740" sqref="N740"/>
    </sheetView>
  </sheetViews>
  <sheetFormatPr defaultColWidth="11" defaultRowHeight="15.75" x14ac:dyDescent="0.5"/>
  <cols>
    <col min="1" max="1" width="11.5" bestFit="1" customWidth="1"/>
    <col min="2" max="2" width="10.6875" customWidth="1"/>
    <col min="3" max="3" width="6.5" customWidth="1"/>
    <col min="4" max="4" width="63.5625" customWidth="1"/>
    <col min="5" max="5" width="12.5" bestFit="1" customWidth="1"/>
    <col min="6" max="12" width="9.4375" customWidth="1"/>
    <col min="13" max="17" width="10" customWidth="1"/>
    <col min="18" max="18" width="15.4375" bestFit="1" customWidth="1"/>
  </cols>
  <sheetData>
    <row r="1" spans="1:19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2045</v>
      </c>
      <c r="M1" s="2">
        <v>2050</v>
      </c>
      <c r="N1" s="2">
        <v>2055</v>
      </c>
      <c r="O1" s="2">
        <v>2060</v>
      </c>
      <c r="P1" s="2">
        <v>2065</v>
      </c>
      <c r="Q1" s="2">
        <v>2070</v>
      </c>
    </row>
    <row r="2" spans="1:19" x14ac:dyDescent="0.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299.90056103004576</v>
      </c>
      <c r="G2" s="3">
        <f t="shared" ref="G2:K2" si="0">G3+G8+G11+G12+G16+G17+G18+G19</f>
        <v>295.42081873213789</v>
      </c>
      <c r="H2" s="3">
        <f t="shared" si="0"/>
        <v>331.08394448158236</v>
      </c>
      <c r="I2" s="3">
        <f t="shared" si="0"/>
        <v>364.92305896500466</v>
      </c>
      <c r="J2" s="3">
        <f t="shared" si="0"/>
        <v>376.07664570164803</v>
      </c>
      <c r="K2" s="3">
        <f t="shared" si="0"/>
        <v>382.02346789553866</v>
      </c>
      <c r="L2" s="3">
        <f t="shared" ref="L2:O2" si="1">L3+L8+L11+L12+L16+L17+L18+L19</f>
        <v>386.75000103114701</v>
      </c>
      <c r="M2" s="3">
        <f t="shared" si="1"/>
        <v>393.16873819342334</v>
      </c>
      <c r="N2" s="3">
        <f t="shared" si="1"/>
        <v>397.83198623937159</v>
      </c>
      <c r="O2" s="3">
        <f t="shared" si="1"/>
        <v>404.19835190970974</v>
      </c>
      <c r="P2" s="3">
        <f>P3+P8+P11+P12+P16+P17+P18+P19</f>
        <v>409.56004598974312</v>
      </c>
      <c r="Q2" s="3">
        <f>Q3+Q8+Q11+Q12+Q16+Q17+Q18+Q19</f>
        <v>415.93190775059492</v>
      </c>
      <c r="S2" s="3"/>
    </row>
    <row r="3" spans="1:19" x14ac:dyDescent="0.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44.97236160567104</v>
      </c>
      <c r="G3" s="1">
        <f t="shared" ref="G3:K3" si="4">SUM(G4:G7)</f>
        <v>48.190466207163354</v>
      </c>
      <c r="H3" s="1">
        <f t="shared" si="4"/>
        <v>48.190470725128115</v>
      </c>
      <c r="I3" s="1">
        <f t="shared" si="4"/>
        <v>48.190474414963148</v>
      </c>
      <c r="J3" s="1">
        <f t="shared" si="4"/>
        <v>48.192772012537262</v>
      </c>
      <c r="K3" s="1">
        <f t="shared" si="4"/>
        <v>48.192780055462862</v>
      </c>
      <c r="L3" s="1">
        <f t="shared" ref="L3:O3" si="5">SUM(L4:L7)</f>
        <v>48.192788522749424</v>
      </c>
      <c r="M3" s="1">
        <f t="shared" si="5"/>
        <v>48.192813171811423</v>
      </c>
      <c r="N3" s="1">
        <f t="shared" si="5"/>
        <v>48.192818207939794</v>
      </c>
      <c r="O3" s="1">
        <f t="shared" si="5"/>
        <v>48.192863455501552</v>
      </c>
      <c r="P3" s="1">
        <f>SUM(P4:P7)</f>
        <v>48.192891559692974</v>
      </c>
      <c r="Q3" s="1">
        <f>SUM(Q4:Q7)</f>
        <v>48.194831756861404</v>
      </c>
      <c r="S3" s="3"/>
    </row>
    <row r="4" spans="1:19" x14ac:dyDescent="0.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11.111873819173001</v>
      </c>
      <c r="G4" s="1" cm="1">
        <f t="array" ref="G4">SUMPRODUCT(("RNWWOD1"=[1]OUT_PrimaryEnergyCons!$A$1:$A$1000)*1,[1]OUT_PrimaryEnergyCons!E$1:E$1000)</f>
        <v>11.952883012199603</v>
      </c>
      <c r="H4" s="1" cm="1">
        <f t="array" ref="H4">SUMPRODUCT(("RNWWOD1"=[1]OUT_PrimaryEnergyCons!$A$1:$A$1000)*1,[1]OUT_PrimaryEnergyCons!F$1:F$1000)</f>
        <v>13.21439012589563</v>
      </c>
      <c r="I4" s="1" cm="1">
        <f t="array" ref="I4">SUMPRODUCT(("RNWWOD1"=[1]OUT_PrimaryEnergyCons!$A$1:$A$1000)*1,[1]OUT_PrimaryEnergyCons!G$1:G$1000)</f>
        <v>15.316908235933171</v>
      </c>
      <c r="J4" s="1" cm="1">
        <f t="array" ref="J4">SUMPRODUCT(("RNWWOD1"=[1]OUT_PrimaryEnergyCons!$A$1:$A$1000)*1,[1]OUT_PrimaryEnergyCons!H$1:H$1000)</f>
        <v>15.849134883536195</v>
      </c>
      <c r="K4" s="1" cm="1">
        <f t="array" ref="K4">SUMPRODUCT(("RNWWOD1"=[1]OUT_PrimaryEnergyCons!$A$1:$A$1000)*1,[1]OUT_PrimaryEnergyCons!I$1:I$1000)</f>
        <v>16.266392417123207</v>
      </c>
      <c r="L4" s="1" cm="1">
        <f t="array" ref="L4">SUMPRODUCT(("RNWWOD1"=[1]OUT_PrimaryEnergyCons!$A$1:$A$1000)*1,[1]OUT_PrimaryEnergyCons!J$1:J$1000)</f>
        <v>16.611691111431174</v>
      </c>
      <c r="M4" s="1" cm="1">
        <f t="array" ref="M4">SUMPRODUCT(("RNWWOD1"=[1]OUT_PrimaryEnergyCons!$A$1:$A$1000)*1,[1]OUT_PrimaryEnergyCons!K$1:K$1000)</f>
        <v>16.956985954302212</v>
      </c>
      <c r="N4" s="1" cm="1">
        <f t="array" ref="N4">SUMPRODUCT(("RNWWOD1"=[1]OUT_PrimaryEnergyCons!$A$1:$A$1000)*1,[1]OUT_PrimaryEnergyCons!L$1:L$1000)</f>
        <v>17.015757068199964</v>
      </c>
      <c r="O4" s="1" cm="1">
        <f t="array" ref="O4">SUMPRODUCT(("RNWWOD1"=[1]OUT_PrimaryEnergyCons!$A$1:$A$1000)*1,[1]OUT_PrimaryEnergyCons!M$1:M$1000)</f>
        <v>17.074522326313083</v>
      </c>
      <c r="P4" s="1" cm="1">
        <f t="array" ref="P4">SUMPRODUCT(("RNWWOD1"=[1]OUT_PrimaryEnergyCons!$A$1:$A$1000)*1,[1]OUT_PrimaryEnergyCons!N$1:N$1000)</f>
        <v>17.133289236154226</v>
      </c>
      <c r="Q4" s="1" cm="1">
        <f t="array" ref="Q4">SUMPRODUCT(("RNWWOD1"=[1]OUT_PrimaryEnergyCons!$A$1:$A$1000)*1,[1]OUT_PrimaryEnergyCons!O$1:O$1000)</f>
        <v>17.19205661070885</v>
      </c>
      <c r="S4" s="3"/>
    </row>
    <row r="5" spans="1:19" x14ac:dyDescent="0.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7.5116674397237322</v>
      </c>
      <c r="G5" s="1" cm="1">
        <f t="array" ref="G5">SUMPRODUCT(("RNWWOD2"=[1]OUT_PrimaryEnergyCons!$A$1:$A$1000)*1,[1]OUT_PrimaryEnergyCons!E$1:E$1000)</f>
        <v>7.5431415295452737</v>
      </c>
      <c r="H5" s="1" cm="1">
        <f t="array" ref="H5">SUMPRODUCT(("RNWWOD2"=[1]OUT_PrimaryEnergyCons!$A$1:$A$1000)*1,[1]OUT_PrimaryEnergyCons!F$1:F$1000)</f>
        <v>7.5903457644886849</v>
      </c>
      <c r="I5" s="1" cm="1">
        <f t="array" ref="I5">SUMPRODUCT(("RNWWOD2"=[1]OUT_PrimaryEnergyCons!$A$1:$A$1000)*1,[1]OUT_PrimaryEnergyCons!G$1:G$1000)</f>
        <v>7.6690252090328688</v>
      </c>
      <c r="J5" s="1" cm="1">
        <f t="array" ref="J5">SUMPRODUCT(("RNWWOD2"=[1]OUT_PrimaryEnergyCons!$A$1:$A$1000)*1,[1]OUT_PrimaryEnergyCons!H$1:H$1000)</f>
        <v>7.6690233002367671</v>
      </c>
      <c r="K5" s="1" cm="1">
        <f t="array" ref="K5">SUMPRODUCT(("RNWWOD2"=[1]OUT_PrimaryEnergyCons!$A$1:$A$1000)*1,[1]OUT_PrimaryEnergyCons!I$1:I$1000)</f>
        <v>7.669024049607529</v>
      </c>
      <c r="L5" s="1" cm="1">
        <f t="array" ref="L5">SUMPRODUCT(("RNWWOD2"=[1]OUT_PrimaryEnergyCons!$A$1:$A$1000)*1,[1]OUT_PrimaryEnergyCons!J$1:J$1000)</f>
        <v>7.6690239719491107</v>
      </c>
      <c r="M5" s="1" cm="1">
        <f t="array" ref="M5">SUMPRODUCT(("RNWWOD2"=[1]OUT_PrimaryEnergyCons!$A$1:$A$1000)*1,[1]OUT_PrimaryEnergyCons!K$1:K$1000)</f>
        <v>7.6690200253071996</v>
      </c>
      <c r="N5" s="1" cm="1">
        <f t="array" ref="N5">SUMPRODUCT(("RNWWOD2"=[1]OUT_PrimaryEnergyCons!$A$1:$A$1000)*1,[1]OUT_PrimaryEnergyCons!L$1:L$1000)</f>
        <v>7.6690238861835134</v>
      </c>
      <c r="O5" s="1" cm="1">
        <f t="array" ref="O5">SUMPRODUCT(("RNWWOD2"=[1]OUT_PrimaryEnergyCons!$A$1:$A$1000)*1,[1]OUT_PrimaryEnergyCons!M$1:M$1000)</f>
        <v>7.6690216363402275</v>
      </c>
      <c r="P5" s="1" cm="1">
        <f t="array" ref="P5">SUMPRODUCT(("RNWWOD2"=[1]OUT_PrimaryEnergyCons!$A$1:$A$1000)*1,[1]OUT_PrimaryEnergyCons!N$1:N$1000)</f>
        <v>7.6690212220401905</v>
      </c>
      <c r="Q5" s="1" cm="1">
        <f t="array" ref="Q5">SUMPRODUCT(("RNWWOD2"=[1]OUT_PrimaryEnergyCons!$A$1:$A$1000)*1,[1]OUT_PrimaryEnergyCons!O$1:O$1000)</f>
        <v>7.6690146493605535</v>
      </c>
      <c r="S5" s="3"/>
    </row>
    <row r="6" spans="1:19" x14ac:dyDescent="0.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3.1682407525374208</v>
      </c>
      <c r="G6" s="1" cm="1">
        <f t="array" ref="G6">SUMPRODUCT(("RNWWOD3"=[1]OUT_PrimaryEnergyCons!$A$1:$A$1000)*1,[1]OUT_PrimaryEnergyCons!E$1:E$1000)</f>
        <v>3.4956714438972698</v>
      </c>
      <c r="H6" s="1" cm="1">
        <f t="array" ref="H6">SUMPRODUCT(("RNWWOD3"=[1]OUT_PrimaryEnergyCons!$A$1:$A$1000)*1,[1]OUT_PrimaryEnergyCons!F$1:F$1000)</f>
        <v>3.9868104252320231</v>
      </c>
      <c r="I6" s="1" cm="1">
        <f t="array" ref="I6">SUMPRODUCT(("RNWWOD3"=[1]OUT_PrimaryEnergyCons!$A$1:$A$1000)*1,[1]OUT_PrimaryEnergyCons!G$1:G$1000)</f>
        <v>4.8053837880577808</v>
      </c>
      <c r="J6" s="1" cm="1">
        <f t="array" ref="J6">SUMPRODUCT(("RNWWOD3"=[1]OUT_PrimaryEnergyCons!$A$1:$A$1000)*1,[1]OUT_PrimaryEnergyCons!H$1:H$1000)</f>
        <v>4.8053790267796517</v>
      </c>
      <c r="K6" s="1" cm="1">
        <f t="array" ref="K6">SUMPRODUCT(("RNWWOD3"=[1]OUT_PrimaryEnergyCons!$A$1:$A$1000)*1,[1]OUT_PrimaryEnergyCons!I$1:I$1000)</f>
        <v>4.8053802098959748</v>
      </c>
      <c r="L6" s="1" cm="1">
        <f t="array" ref="L6">SUMPRODUCT(("RNWWOD3"=[1]OUT_PrimaryEnergyCons!$A$1:$A$1000)*1,[1]OUT_PrimaryEnergyCons!J$1:J$1000)</f>
        <v>4.8053802755974333</v>
      </c>
      <c r="M6" s="1" cm="1">
        <f t="array" ref="M6">SUMPRODUCT(("RNWWOD3"=[1]OUT_PrimaryEnergyCons!$A$1:$A$1000)*1,[1]OUT_PrimaryEnergyCons!K$1:K$1000)</f>
        <v>4.8053709373543247</v>
      </c>
      <c r="N6" s="1" cm="1">
        <f t="array" ref="N6">SUMPRODUCT(("RNWWOD3"=[1]OUT_PrimaryEnergyCons!$A$1:$A$1000)*1,[1]OUT_PrimaryEnergyCons!L$1:L$1000)</f>
        <v>4.8053800705612515</v>
      </c>
      <c r="O6" s="1" cm="1">
        <f t="array" ref="O6">SUMPRODUCT(("RNWWOD3"=[1]OUT_PrimaryEnergyCons!$A$1:$A$1000)*1,[1]OUT_PrimaryEnergyCons!M$1:M$1000)</f>
        <v>4.8053741258012552</v>
      </c>
      <c r="P6" s="1" cm="1">
        <f t="array" ref="P6">SUMPRODUCT(("RNWWOD3"=[1]OUT_PrimaryEnergyCons!$A$1:$A$1000)*1,[1]OUT_PrimaryEnergyCons!N$1:N$1000)</f>
        <v>4.8053765361612752</v>
      </c>
      <c r="Q6" s="1" cm="1">
        <f t="array" ref="Q6">SUMPRODUCT(("RNWWOD3"=[1]OUT_PrimaryEnergyCons!$A$1:$A$1000)*1,[1]OUT_PrimaryEnergyCons!O$1:O$1000)</f>
        <v>4.8053676115719988</v>
      </c>
      <c r="S6" s="3"/>
    </row>
    <row r="7" spans="1:19" x14ac:dyDescent="0.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23.180579594236889</v>
      </c>
      <c r="G7" s="1" cm="1">
        <f t="array" ref="G7">SUMPRODUCT(("RNWWOD4"=[1]OUT_PrimaryEnergyCons!$A$1:$A$1000)*1+("RNWWOD5"=[1]OUT_PrimaryEnergyCons!$A$1:$A$1000)*1,[1]OUT_PrimaryEnergyCons!E$1:E$1000)</f>
        <v>25.198770221521208</v>
      </c>
      <c r="H7" s="1" cm="1">
        <f t="array" ref="H7">SUMPRODUCT(("RNWWOD4"=[1]OUT_PrimaryEnergyCons!$A$1:$A$1000)*1+("RNWWOD5"=[1]OUT_PrimaryEnergyCons!$A$1:$A$1000)*1,[1]OUT_PrimaryEnergyCons!F$1:F$1000)</f>
        <v>23.398924409511778</v>
      </c>
      <c r="I7" s="1" cm="1">
        <f t="array" ref="I7">SUMPRODUCT(("RNWWOD4"=[1]OUT_PrimaryEnergyCons!$A$1:$A$1000)*1+("RNWWOD5"=[1]OUT_PrimaryEnergyCons!$A$1:$A$1000)*1,[1]OUT_PrimaryEnergyCons!G$1:G$1000)</f>
        <v>20.399157181939323</v>
      </c>
      <c r="J7" s="1" cm="1">
        <f t="array" ref="J7">SUMPRODUCT(("RNWWOD4"=[1]OUT_PrimaryEnergyCons!$A$1:$A$1000)*1+("RNWWOD5"=[1]OUT_PrimaryEnergyCons!$A$1:$A$1000)*1,[1]OUT_PrimaryEnergyCons!H$1:H$1000)</f>
        <v>19.869234801984646</v>
      </c>
      <c r="K7" s="1" cm="1">
        <f t="array" ref="K7">SUMPRODUCT(("RNWWOD4"=[1]OUT_PrimaryEnergyCons!$A$1:$A$1000)*1+("RNWWOD5"=[1]OUT_PrimaryEnergyCons!$A$1:$A$1000)*1,[1]OUT_PrimaryEnergyCons!I$1:I$1000)</f>
        <v>19.45198337883615</v>
      </c>
      <c r="L7" s="1" cm="1">
        <f t="array" ref="L7">SUMPRODUCT(("RNWWOD4"=[1]OUT_PrimaryEnergyCons!$A$1:$A$1000)*1+("RNWWOD5"=[1]OUT_PrimaryEnergyCons!$A$1:$A$1000)*1,[1]OUT_PrimaryEnergyCons!J$1:J$1000)</f>
        <v>19.106693163771705</v>
      </c>
      <c r="M7" s="1" cm="1">
        <f t="array" ref="M7">SUMPRODUCT(("RNWWOD4"=[1]OUT_PrimaryEnergyCons!$A$1:$A$1000)*1+("RNWWOD5"=[1]OUT_PrimaryEnergyCons!$A$1:$A$1000)*1,[1]OUT_PrimaryEnergyCons!K$1:K$1000)</f>
        <v>18.761436254847684</v>
      </c>
      <c r="N7" s="1" cm="1">
        <f t="array" ref="N7">SUMPRODUCT(("RNWWOD4"=[1]OUT_PrimaryEnergyCons!$A$1:$A$1000)*1+("RNWWOD5"=[1]OUT_PrimaryEnergyCons!$A$1:$A$1000)*1,[1]OUT_PrimaryEnergyCons!L$1:L$1000)</f>
        <v>18.702657182995065</v>
      </c>
      <c r="O7" s="1" cm="1">
        <f t="array" ref="O7">SUMPRODUCT(("RNWWOD4"=[1]OUT_PrimaryEnergyCons!$A$1:$A$1000)*1+("RNWWOD5"=[1]OUT_PrimaryEnergyCons!$A$1:$A$1000)*1,[1]OUT_PrimaryEnergyCons!M$1:M$1000)</f>
        <v>18.643945367046982</v>
      </c>
      <c r="P7" s="1" cm="1">
        <f t="array" ref="P7">SUMPRODUCT(("RNWWOD4"=[1]OUT_PrimaryEnergyCons!$A$1:$A$1000)*1+("RNWWOD5"=[1]OUT_PrimaryEnergyCons!$A$1:$A$1000)*1,[1]OUT_PrimaryEnergyCons!N$1:N$1000)</f>
        <v>18.585204565337282</v>
      </c>
      <c r="Q7" s="1" cm="1">
        <f t="array" ref="Q7">SUMPRODUCT(("RNWWOD4"=[1]OUT_PrimaryEnergyCons!$A$1:$A$1000)*1+("RNWWOD5"=[1]OUT_PrimaryEnergyCons!$A$1:$A$1000)*1,[1]OUT_PrimaryEnergyCons!O$1:O$1000)</f>
        <v>18.528392885220001</v>
      </c>
      <c r="S7" s="3"/>
    </row>
    <row r="8" spans="1:19" x14ac:dyDescent="0.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69.745918844260387</v>
      </c>
      <c r="G8" s="1">
        <f t="shared" ref="G8:K8" si="9">SUM(G9:G10)</f>
        <v>69.840033471815289</v>
      </c>
      <c r="H8" s="1">
        <f t="shared" si="9"/>
        <v>69.44709379273678</v>
      </c>
      <c r="I8" s="1">
        <f t="shared" si="9"/>
        <v>68.997645274958728</v>
      </c>
      <c r="J8" s="1">
        <f t="shared" si="9"/>
        <v>68.895263917770748</v>
      </c>
      <c r="K8" s="1">
        <f t="shared" si="9"/>
        <v>69.117135731561433</v>
      </c>
      <c r="L8" s="1">
        <f t="shared" ref="L8:O8" si="10">SUM(L9:L10)</f>
        <v>69.339009938978876</v>
      </c>
      <c r="M8" s="1">
        <f t="shared" si="10"/>
        <v>69.560896391521212</v>
      </c>
      <c r="N8" s="1">
        <f t="shared" si="10"/>
        <v>69.560895000339485</v>
      </c>
      <c r="O8" s="1">
        <f t="shared" si="10"/>
        <v>69.560929317439488</v>
      </c>
      <c r="P8" s="1">
        <f>SUM(P9:P10)</f>
        <v>69.560931869310195</v>
      </c>
      <c r="Q8" s="1">
        <f>SUM(Q9:Q10)</f>
        <v>69.561318212523901</v>
      </c>
      <c r="S8" s="3"/>
    </row>
    <row r="9" spans="1:19" x14ac:dyDescent="0.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35.788278644257723</v>
      </c>
      <c r="G9" s="1" cm="1">
        <f t="array" ref="G9">SUMPRODUCT(("RNNWWST1"=[1]OUT_PrimaryEnergyCons!$A$1:$A$1000)*1,[1]OUT_PrimaryEnergyCons!E$1:E$1000)</f>
        <v>35.882382643848558</v>
      </c>
      <c r="H9" s="1" cm="1">
        <f t="array" ref="H9">SUMPRODUCT(("RNNWWST1"=[1]OUT_PrimaryEnergyCons!$A$1:$A$1000)*1,[1]OUT_PrimaryEnergyCons!F$1:F$1000)</f>
        <v>35.489431764203815</v>
      </c>
      <c r="I9" s="1" cm="1">
        <f t="array" ref="I9">SUMPRODUCT(("RNNWWST1"=[1]OUT_PrimaryEnergyCons!$A$1:$A$1000)*1,[1]OUT_PrimaryEnergyCons!G$1:G$1000)</f>
        <v>35.03997592756361</v>
      </c>
      <c r="J9" s="1" cm="1">
        <f t="array" ref="J9">SUMPRODUCT(("RNNWWST1"=[1]OUT_PrimaryEnergyCons!$A$1:$A$1000)*1,[1]OUT_PrimaryEnergyCons!H$1:H$1000)</f>
        <v>34.937589383525236</v>
      </c>
      <c r="K9" s="1" cm="1">
        <f t="array" ref="K9">SUMPRODUCT(("RNNWWST1"=[1]OUT_PrimaryEnergyCons!$A$1:$A$1000)*1,[1]OUT_PrimaryEnergyCons!I$1:I$1000)</f>
        <v>35.159453939381109</v>
      </c>
      <c r="L9" s="1" cm="1">
        <f t="array" ref="L9">SUMPRODUCT(("RNNWWST1"=[1]OUT_PrimaryEnergyCons!$A$1:$A$1000)*1,[1]OUT_PrimaryEnergyCons!J$1:J$1000)</f>
        <v>35.381322027089915</v>
      </c>
      <c r="M9" s="1" cm="1">
        <f t="array" ref="M9">SUMPRODUCT(("RNNWWST1"=[1]OUT_PrimaryEnergyCons!$A$1:$A$1000)*1,[1]OUT_PrimaryEnergyCons!K$1:K$1000)</f>
        <v>35.603198336294163</v>
      </c>
      <c r="N9" s="1" cm="1">
        <f t="array" ref="N9">SUMPRODUCT(("RNNWWST1"=[1]OUT_PrimaryEnergyCons!$A$1:$A$1000)*1,[1]OUT_PrimaryEnergyCons!L$1:L$1000)</f>
        <v>35.603189403269894</v>
      </c>
      <c r="O9" s="1" cm="1">
        <f t="array" ref="O9">SUMPRODUCT(("RNNWWST1"=[1]OUT_PrimaryEnergyCons!$A$1:$A$1000)*1,[1]OUT_PrimaryEnergyCons!M$1:M$1000)</f>
        <v>35.603200300806741</v>
      </c>
      <c r="P9" s="1" cm="1">
        <f t="array" ref="P9">SUMPRODUCT(("RNNWWST1"=[1]OUT_PrimaryEnergyCons!$A$1:$A$1000)*1,[1]OUT_PrimaryEnergyCons!N$1:N$1000)</f>
        <v>35.603188586028828</v>
      </c>
      <c r="Q9" s="1" cm="1">
        <f t="array" ref="Q9">SUMPRODUCT(("RNNWWST1"=[1]OUT_PrimaryEnergyCons!$A$1:$A$1000)*1,[1]OUT_PrimaryEnergyCons!O$1:O$1000)</f>
        <v>35.603203629852189</v>
      </c>
      <c r="S9" s="3"/>
    </row>
    <row r="10" spans="1:19" x14ac:dyDescent="0.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33.957640200002672</v>
      </c>
      <c r="G10" s="1" cm="1">
        <f t="array" ref="G10">SUMPRODUCT(("RNWWST1"=[1]OUT_PrimaryEnergyCons!$A$1:$A$1000)*1,[1]OUT_PrimaryEnergyCons!E$1:E$1000)</f>
        <v>33.957650827966731</v>
      </c>
      <c r="H10" s="1" cm="1">
        <f t="array" ref="H10">SUMPRODUCT(("RNWWST1"=[1]OUT_PrimaryEnergyCons!$A$1:$A$1000)*1,[1]OUT_PrimaryEnergyCons!F$1:F$1000)</f>
        <v>33.957662028532972</v>
      </c>
      <c r="I10" s="1" cm="1">
        <f t="array" ref="I10">SUMPRODUCT(("RNWWST1"=[1]OUT_PrimaryEnergyCons!$A$1:$A$1000)*1,[1]OUT_PrimaryEnergyCons!G$1:G$1000)</f>
        <v>33.957669347395125</v>
      </c>
      <c r="J10" s="1" cm="1">
        <f t="array" ref="J10">SUMPRODUCT(("RNWWST1"=[1]OUT_PrimaryEnergyCons!$A$1:$A$1000)*1,[1]OUT_PrimaryEnergyCons!H$1:H$1000)</f>
        <v>33.957674534245513</v>
      </c>
      <c r="K10" s="1" cm="1">
        <f t="array" ref="K10">SUMPRODUCT(("RNWWST1"=[1]OUT_PrimaryEnergyCons!$A$1:$A$1000)*1,[1]OUT_PrimaryEnergyCons!I$1:I$1000)</f>
        <v>33.957681792180317</v>
      </c>
      <c r="L10" s="1" cm="1">
        <f t="array" ref="L10">SUMPRODUCT(("RNWWST1"=[1]OUT_PrimaryEnergyCons!$A$1:$A$1000)*1,[1]OUT_PrimaryEnergyCons!J$1:J$1000)</f>
        <v>33.957687911888954</v>
      </c>
      <c r="M10" s="1" cm="1">
        <f t="array" ref="M10">SUMPRODUCT(("RNWWST1"=[1]OUT_PrimaryEnergyCons!$A$1:$A$1000)*1,[1]OUT_PrimaryEnergyCons!K$1:K$1000)</f>
        <v>33.957698055227048</v>
      </c>
      <c r="N10" s="1" cm="1">
        <f t="array" ref="N10">SUMPRODUCT(("RNWWST1"=[1]OUT_PrimaryEnergyCons!$A$1:$A$1000)*1,[1]OUT_PrimaryEnergyCons!L$1:L$1000)</f>
        <v>33.957705597069584</v>
      </c>
      <c r="O10" s="1" cm="1">
        <f t="array" ref="O10">SUMPRODUCT(("RNWWST1"=[1]OUT_PrimaryEnergyCons!$A$1:$A$1000)*1,[1]OUT_PrimaryEnergyCons!M$1:M$1000)</f>
        <v>33.957729016632747</v>
      </c>
      <c r="P10" s="1" cm="1">
        <f t="array" ref="P10">SUMPRODUCT(("RNWWST1"=[1]OUT_PrimaryEnergyCons!$A$1:$A$1000)*1,[1]OUT_PrimaryEnergyCons!N$1:N$1000)</f>
        <v>33.95774328328136</v>
      </c>
      <c r="Q10" s="1" cm="1">
        <f t="array" ref="Q10">SUMPRODUCT(("RNWWST1"=[1]OUT_PrimaryEnergyCons!$A$1:$A$1000)*1,[1]OUT_PrimaryEnergyCons!O$1:O$1000)</f>
        <v>33.958114582671712</v>
      </c>
      <c r="S10" s="3"/>
    </row>
    <row r="11" spans="1:19" x14ac:dyDescent="0.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3.7980888731937248</v>
      </c>
      <c r="G11" s="1" cm="1">
        <f t="array" ref="G11">SUMPRODUCT(("mnr"=[1]OUT_PrimaryEnergyCons!$C$1:$C$1000)*1,[1]OUT_PrimaryEnergyCons!E$1:E$1000)</f>
        <v>12.497411645686592</v>
      </c>
      <c r="H11" s="1" cm="1">
        <f t="array" ref="H11">SUMPRODUCT(("mnr"=[1]OUT_PrimaryEnergyCons!$C$1:$C$1000)*1,[1]OUT_PrimaryEnergyCons!F$1:F$1000)</f>
        <v>12.540057068460483</v>
      </c>
      <c r="I11" s="1" cm="1">
        <f t="array" ref="I11">SUMPRODUCT(("mnr"=[1]OUT_PrimaryEnergyCons!$C$1:$C$1000)*1,[1]OUT_PrimaryEnergyCons!G$1:G$1000)</f>
        <v>12.540417199970127</v>
      </c>
      <c r="J11" s="1" cm="1">
        <f t="array" ref="J11">SUMPRODUCT(("mnr"=[1]OUT_PrimaryEnergyCons!$C$1:$C$1000)*1,[1]OUT_PrimaryEnergyCons!H$1:H$1000)</f>
        <v>12.540424281870546</v>
      </c>
      <c r="K11" s="1" cm="1">
        <f t="array" ref="K11">SUMPRODUCT(("mnr"=[1]OUT_PrimaryEnergyCons!$C$1:$C$1000)*1,[1]OUT_PrimaryEnergyCons!I$1:I$1000)</f>
        <v>12.541408450430778</v>
      </c>
      <c r="L11" s="1" cm="1">
        <f t="array" ref="L11">SUMPRODUCT(("mnr"=[1]OUT_PrimaryEnergyCons!$C$1:$C$1000)*1,[1]OUT_PrimaryEnergyCons!J$1:J$1000)</f>
        <v>12.541461200056251</v>
      </c>
      <c r="M11" s="1" cm="1">
        <f t="array" ref="M11">SUMPRODUCT(("mnr"=[1]OUT_PrimaryEnergyCons!$C$1:$C$1000)*1,[1]OUT_PrimaryEnergyCons!K$1:K$1000)</f>
        <v>12.5416190587485</v>
      </c>
      <c r="N11" s="1" cm="1">
        <f t="array" ref="N11">SUMPRODUCT(("mnr"=[1]OUT_PrimaryEnergyCons!$C$1:$C$1000)*1,[1]OUT_PrimaryEnergyCons!L$1:L$1000)</f>
        <v>12.54166958565447</v>
      </c>
      <c r="O11" s="1" cm="1">
        <f t="array" ref="O11">SUMPRODUCT(("mnr"=[1]OUT_PrimaryEnergyCons!$C$1:$C$1000)*1,[1]OUT_PrimaryEnergyCons!M$1:M$1000)</f>
        <v>12.541925651393688</v>
      </c>
      <c r="P11" s="1" cm="1">
        <f t="array" ref="P11">SUMPRODUCT(("mnr"=[1]OUT_PrimaryEnergyCons!$C$1:$C$1000)*1,[1]OUT_PrimaryEnergyCons!N$1:N$1000)</f>
        <v>12.542353564765689</v>
      </c>
      <c r="Q11" s="1" cm="1">
        <f t="array" ref="Q11">SUMPRODUCT(("mnr"=[1]OUT_PrimaryEnergyCons!$C$1:$C$1000)*1,[1]OUT_PrimaryEnergyCons!O$1:O$1000)</f>
        <v>12.543434848576991</v>
      </c>
      <c r="S11" s="3"/>
    </row>
    <row r="12" spans="1:19" x14ac:dyDescent="0.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149.43049408962975</v>
      </c>
      <c r="G12" s="1">
        <f t="shared" ref="G12:K12" si="11">SUM(G13:G15)</f>
        <v>125.60983617766803</v>
      </c>
      <c r="H12" s="1">
        <f t="shared" si="11"/>
        <v>141.73643864283684</v>
      </c>
      <c r="I12" s="1">
        <f t="shared" si="11"/>
        <v>150.00887827178695</v>
      </c>
      <c r="J12" s="1">
        <f t="shared" si="11"/>
        <v>150.05520851668723</v>
      </c>
      <c r="K12" s="1">
        <f t="shared" si="11"/>
        <v>150.09290652529879</v>
      </c>
      <c r="L12" s="1">
        <f t="shared" ref="L12:O12" si="12">SUM(L13:L15)</f>
        <v>150.12988824250587</v>
      </c>
      <c r="M12" s="1">
        <f t="shared" si="12"/>
        <v>150.1700696613164</v>
      </c>
      <c r="N12" s="1">
        <f t="shared" si="12"/>
        <v>150.20644400184847</v>
      </c>
      <c r="O12" s="1">
        <f t="shared" si="12"/>
        <v>150.25193132889035</v>
      </c>
      <c r="P12" s="1">
        <f>SUM(P13:P15)</f>
        <v>150.3005417820176</v>
      </c>
      <c r="Q12" s="1">
        <f>SUM(Q13:Q15)</f>
        <v>150.37911560236148</v>
      </c>
      <c r="S12" s="3"/>
    </row>
    <row r="13" spans="1:19" x14ac:dyDescent="0.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66.745680000022219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49.7987992616575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68.526862096155028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69.613958639460236</v>
      </c>
      <c r="J13" s="1" cm="1">
        <f t="array" ref="J13">SUMPRODUCT(ISNUMBER(SEARCH("EHYD-DAM",[1]OUT_Electricity_CHP!$B$1:$B$10000))*1,([1]OUT_Electricity_CHP!$C$1:$C$10000="Var_Fout")*1,ISNUMBER(SEARCH("ELC",[1]OUT_Electricity_CHP!$D$1:$D$10000))*1,[1]OUT_Electricity_CHP!I$1:I$10000)</f>
        <v>70.697304527520572</v>
      </c>
      <c r="K13" s="1" cm="1">
        <f t="array" ref="K13">SUMPRODUCT(ISNUMBER(SEARCH("EHYD-DAM",[1]OUT_Electricity_CHP!$B$1:$B$10000))*1,([1]OUT_Electricity_CHP!$C$1:$C$10000="Var_Fout")*1,ISNUMBER(SEARCH("ELC",[1]OUT_Electricity_CHP!$D$1:$D$10000))*1,[1]OUT_Electricity_CHP!J$1:J$10000)</f>
        <v>71.781630460397707</v>
      </c>
      <c r="L13" s="1" cm="1">
        <f t="array" ref="L13">SUMPRODUCT(ISNUMBER(SEARCH("EHYD-DAM",[1]OUT_Electricity_CHP!$B$1:$B$10000))*1,([1]OUT_Electricity_CHP!$C$1:$C$10000="Var_Fout")*1,ISNUMBER(SEARCH("ELC",[1]OUT_Electricity_CHP!$D$1:$D$10000))*1,[1]OUT_Electricity_CHP!K$1:K$10000)</f>
        <v>72.865010275959506</v>
      </c>
      <c r="M13" s="1" cm="1">
        <f t="array" ref="M13">SUMPRODUCT(ISNUMBER(SEARCH("EHYD-DAM",[1]OUT_Electricity_CHP!$B$1:$B$10000))*1,([1]OUT_Electricity_CHP!$C$1:$C$10000="Var_Fout")*1,ISNUMBER(SEARCH("ELC",[1]OUT_Electricity_CHP!$D$1:$D$10000))*1,[1]OUT_Electricity_CHP!L$1:L$10000)</f>
        <v>73.950114967489398</v>
      </c>
      <c r="N13" s="1" cm="1">
        <f t="array" ref="N13">SUMPRODUCT(ISNUMBER(SEARCH("EHYD-DAM",[1]OUT_Electricity_CHP!$B$1:$B$10000))*1,([1]OUT_Electricity_CHP!$C$1:$C$10000="Var_Fout")*1,ISNUMBER(SEARCH("ELC",[1]OUT_Electricity_CHP!$D$1:$D$10000))*1,[1]OUT_Electricity_CHP!M$1:M$10000)</f>
        <v>73.950034467134302</v>
      </c>
      <c r="O13" s="1" cm="1">
        <f t="array" ref="O13">SUMPRODUCT(ISNUMBER(SEARCH("EHYD-DAM",[1]OUT_Electricity_CHP!$B$1:$B$10000))*1,([1]OUT_Electricity_CHP!$C$1:$C$10000="Var_Fout")*1,ISNUMBER(SEARCH("ELC",[1]OUT_Electricity_CHP!$D$1:$D$10000))*1,[1]OUT_Electricity_CHP!N$1:N$10000)</f>
        <v>73.951165863516977</v>
      </c>
      <c r="P13" s="1" cm="1">
        <f t="array" ref="P13">SUMPRODUCT(ISNUMBER(SEARCH("EHYD-DAM",[1]OUT_Electricity_CHP!$B$1:$B$10000))*1,([1]OUT_Electricity_CHP!$C$1:$C$10000="Var_Fout")*1,ISNUMBER(SEARCH("ELC",[1]OUT_Electricity_CHP!$D$1:$D$10000))*1,[1]OUT_Electricity_CHP!O$1:O$10000)</f>
        <v>73.951013813964806</v>
      </c>
      <c r="Q13" s="1" cm="1">
        <f t="array" ref="Q13">SUMPRODUCT(ISNUMBER(SEARCH("EHYD-DAM",[1]OUT_Electricity_CHP!$B$1:$B$10000))*1,([1]OUT_Electricity_CHP!$C$1:$C$10000="Var_Fout")*1,ISNUMBER(SEARCH("ELC",[1]OUT_Electricity_CHP!$D$1:$D$10000))*1,[1]OUT_Electricity_CHP!P$1:P$10000)</f>
        <v>73.948738328836285</v>
      </c>
      <c r="S13" s="3"/>
    </row>
    <row r="14" spans="1:19" x14ac:dyDescent="0.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66.632400407028271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55.764001579115615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65.558562430748694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64.478519889435219</v>
      </c>
      <c r="J14" s="1" cm="1">
        <f t="array" ref="J14">SUMPRODUCT(ISNUMBER(SEARCH("EHYD-RUN",[1]OUT_Electricity_CHP!$B$1:$B$10000))*1,([1]OUT_Electricity_CHP!$C$1:$C$10000="Var_Fout")*1,ISNUMBER(SEARCH("ELC",[1]OUT_Electricity_CHP!$D$1:$D$10000))*1,[1]OUT_Electricity_CHP!I$1:I$10000)</f>
        <v>63.395197736717506</v>
      </c>
      <c r="K14" s="1" cm="1">
        <f t="array" ref="K14">SUMPRODUCT(ISNUMBER(SEARCH("EHYD-RUN",[1]OUT_Electricity_CHP!$B$1:$B$10000))*1,([1]OUT_Electricity_CHP!$C$1:$C$10000="Var_Fout")*1,ISNUMBER(SEARCH("ELC",[1]OUT_Electricity_CHP!$D$1:$D$10000))*1,[1]OUT_Electricity_CHP!J$1:J$10000)</f>
        <v>62.310875791922619</v>
      </c>
      <c r="L14" s="1" cm="1">
        <f t="array" ref="L14">SUMPRODUCT(ISNUMBER(SEARCH("EHYD-RUN",[1]OUT_Electricity_CHP!$B$1:$B$10000))*1,([1]OUT_Electricity_CHP!$C$1:$C$10000="Var_Fout")*1,ISNUMBER(SEARCH("ELC",[1]OUT_Electricity_CHP!$D$1:$D$10000))*1,[1]OUT_Electricity_CHP!K$1:K$10000)</f>
        <v>61.227496053006021</v>
      </c>
      <c r="M14" s="1" cm="1">
        <f t="array" ref="M14">SUMPRODUCT(ISNUMBER(SEARCH("EHYD-RUN",[1]OUT_Electricity_CHP!$B$1:$B$10000))*1,([1]OUT_Electricity_CHP!$C$1:$C$10000="Var_Fout")*1,ISNUMBER(SEARCH("ELC",[1]OUT_Electricity_CHP!$D$1:$D$10000))*1,[1]OUT_Electricity_CHP!L$1:L$10000)</f>
        <v>60.142394894567914</v>
      </c>
      <c r="N14" s="1" cm="1">
        <f t="array" ref="N14">SUMPRODUCT(ISNUMBER(SEARCH("EHYD-RUN",[1]OUT_Electricity_CHP!$B$1:$B$10000))*1,([1]OUT_Electricity_CHP!$C$1:$C$10000="Var_Fout")*1,ISNUMBER(SEARCH("ELC",[1]OUT_Electricity_CHP!$D$1:$D$10000))*1,[1]OUT_Electricity_CHP!M$1:M$10000)</f>
        <v>60.142479872037178</v>
      </c>
      <c r="O14" s="1" cm="1">
        <f t="array" ref="O14">SUMPRODUCT(ISNUMBER(SEARCH("EHYD-RUN",[1]OUT_Electricity_CHP!$B$1:$B$10000))*1,([1]OUT_Electricity_CHP!$C$1:$C$10000="Var_Fout")*1,ISNUMBER(SEARCH("ELC",[1]OUT_Electricity_CHP!$D$1:$D$10000))*1,[1]OUT_Electricity_CHP!N$1:N$10000)</f>
        <v>60.141353371012684</v>
      </c>
      <c r="P14" s="1" cm="1">
        <f t="array" ref="P14">SUMPRODUCT(ISNUMBER(SEARCH("EHYD-RUN",[1]OUT_Electricity_CHP!$B$1:$B$10000))*1,([1]OUT_Electricity_CHP!$C$1:$C$10000="Var_Fout")*1,ISNUMBER(SEARCH("ELC",[1]OUT_Electricity_CHP!$D$1:$D$10000))*1,[1]OUT_Electricity_CHP!O$1:O$10000)</f>
        <v>60.141520967362759</v>
      </c>
      <c r="Q14" s="1" cm="1">
        <f t="array" ref="Q14">SUMPRODUCT(ISNUMBER(SEARCH("EHYD-RUN",[1]OUT_Electricity_CHP!$B$1:$B$10000))*1,([1]OUT_Electricity_CHP!$C$1:$C$10000="Var_Fout")*1,ISNUMBER(SEARCH("ELC",[1]OUT_Electricity_CHP!$D$1:$D$10000))*1,[1]OUT_Electricity_CHP!P$1:P$10000)</f>
        <v>60.143859019447433</v>
      </c>
      <c r="S14" s="3"/>
    </row>
    <row r="15" spans="1:19" x14ac:dyDescent="0.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16.052413682579232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20.047035336894901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7.6510141159331289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15.916399742891477</v>
      </c>
      <c r="J15" s="1" cm="1">
        <f t="array" ref="J15">SUMPRODUCT(ISNUMBER(SEARCH("EHYD-PUM",[1]OUT_Electricity_CHP!$B$1:$B$10000))*1,([1]OUT_Electricity_CHP!$C$1:$C$10000="Var_Fin")*1,ISNUMBER(SEARCH("elc",[1]OUT_Electricity_CHP!$D$1:$D$10000))*1,[1]OUT_Electricity_CHP!I$1:I$10000)</f>
        <v>15.962706252449165</v>
      </c>
      <c r="K15" s="1" cm="1">
        <f t="array" ref="K15">SUMPRODUCT(ISNUMBER(SEARCH("EHYD-PUM",[1]OUT_Electricity_CHP!$B$1:$B$10000))*1,([1]OUT_Electricity_CHP!$C$1:$C$10000="Var_Fin")*1,ISNUMBER(SEARCH("elc",[1]OUT_Electricity_CHP!$D$1:$D$10000))*1,[1]OUT_Electricity_CHP!J$1:J$10000)</f>
        <v>16.000400272978442</v>
      </c>
      <c r="L15" s="1" cm="1">
        <f t="array" ref="L15">SUMPRODUCT(ISNUMBER(SEARCH("EHYD-PUM",[1]OUT_Electricity_CHP!$B$1:$B$10000))*1,([1]OUT_Electricity_CHP!$C$1:$C$10000="Var_Fin")*1,ISNUMBER(SEARCH("elc",[1]OUT_Electricity_CHP!$D$1:$D$10000))*1,[1]OUT_Electricity_CHP!K$1:K$10000)</f>
        <v>16.037381913540347</v>
      </c>
      <c r="M15" s="1" cm="1">
        <f t="array" ref="M15">SUMPRODUCT(ISNUMBER(SEARCH("EHYD-PUM",[1]OUT_Electricity_CHP!$B$1:$B$10000))*1,([1]OUT_Electricity_CHP!$C$1:$C$10000="Var_Fin")*1,ISNUMBER(SEARCH("elc",[1]OUT_Electricity_CHP!$D$1:$D$10000))*1,[1]OUT_Electricity_CHP!L$1:L$10000)</f>
        <v>16.077559799259088</v>
      </c>
      <c r="N15" s="1" cm="1">
        <f t="array" ref="N15">SUMPRODUCT(ISNUMBER(SEARCH("EHYD-PUM",[1]OUT_Electricity_CHP!$B$1:$B$10000))*1,([1]OUT_Electricity_CHP!$C$1:$C$10000="Var_Fin")*1,ISNUMBER(SEARCH("elc",[1]OUT_Electricity_CHP!$D$1:$D$10000))*1,[1]OUT_Electricity_CHP!M$1:M$10000)</f>
        <v>16.113929662676977</v>
      </c>
      <c r="O15" s="1" cm="1">
        <f t="array" ref="O15">SUMPRODUCT(ISNUMBER(SEARCH("EHYD-PUM",[1]OUT_Electricity_CHP!$B$1:$B$10000))*1,([1]OUT_Electricity_CHP!$C$1:$C$10000="Var_Fin")*1,ISNUMBER(SEARCH("elc",[1]OUT_Electricity_CHP!$D$1:$D$10000))*1,[1]OUT_Electricity_CHP!N$1:N$10000)</f>
        <v>16.159412094360672</v>
      </c>
      <c r="P15" s="1" cm="1">
        <f t="array" ref="P15">SUMPRODUCT(ISNUMBER(SEARCH("EHYD-PUM",[1]OUT_Electricity_CHP!$B$1:$B$10000))*1,([1]OUT_Electricity_CHP!$C$1:$C$10000="Var_Fin")*1,ISNUMBER(SEARCH("elc",[1]OUT_Electricity_CHP!$D$1:$D$10000))*1,[1]OUT_Electricity_CHP!O$1:O$10000)</f>
        <v>16.208007000690024</v>
      </c>
      <c r="Q15" s="1" cm="1">
        <f t="array" ref="Q15">SUMPRODUCT(ISNUMBER(SEARCH("EHYD-PUM",[1]OUT_Electricity_CHP!$B$1:$B$10000))*1,([1]OUT_Electricity_CHP!$C$1:$C$10000="Var_Fin")*1,ISNUMBER(SEARCH("elc",[1]OUT_Electricity_CHP!$D$1:$D$10000))*1,[1]OUT_Electricity_CHP!P$1:P$10000)</f>
        <v>16.286518254077752</v>
      </c>
      <c r="S15" s="3"/>
    </row>
    <row r="16" spans="1:19" x14ac:dyDescent="0.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12.556517729199888</v>
      </c>
      <c r="G16" s="1" cm="1">
        <f t="array" ref="G16">SUMPRODUCT(ISNUMBER(SEARCH("SOL",[1]OUT_PrimaryEnergyCons!$C$1:$C$1000))*1,[1]OUT_PrimaryEnergyCons!E$1:E$1000)</f>
        <v>16.52242107868711</v>
      </c>
      <c r="H16" s="1" cm="1">
        <f t="array" ref="H16">SUMPRODUCT(ISNUMBER(SEARCH("SOL",[1]OUT_PrimaryEnergyCons!$C$1:$C$1000))*1,[1]OUT_PrimaryEnergyCons!F$1:F$1000)</f>
        <v>32.455732767762228</v>
      </c>
      <c r="I16" s="1" cm="1">
        <f t="array" ref="I16">SUMPRODUCT(ISNUMBER(SEARCH("SOL",[1]OUT_PrimaryEnergyCons!$C$1:$C$1000))*1,[1]OUT_PrimaryEnergyCons!G$1:G$1000)</f>
        <v>53.888854564785611</v>
      </c>
      <c r="J16" s="1" cm="1">
        <f t="array" ref="J16">SUMPRODUCT(ISNUMBER(SEARCH("SOL",[1]OUT_PrimaryEnergyCons!$C$1:$C$1000))*1,[1]OUT_PrimaryEnergyCons!H$1:H$1000)</f>
        <v>56.808177135153372</v>
      </c>
      <c r="K16" s="1" cm="1">
        <f t="array" ref="K16">SUMPRODUCT(ISNUMBER(SEARCH("SOL",[1]OUT_PrimaryEnergyCons!$C$1:$C$1000))*1,[1]OUT_PrimaryEnergyCons!I$1:I$1000)</f>
        <v>59.459850763862534</v>
      </c>
      <c r="L16" s="1" cm="1">
        <f t="array" ref="L16">SUMPRODUCT(ISNUMBER(SEARCH("SOL",[1]OUT_PrimaryEnergyCons!$C$1:$C$1000))*1,[1]OUT_PrimaryEnergyCons!J$1:J$1000)</f>
        <v>62.100831538746334</v>
      </c>
      <c r="M16" s="1" cm="1">
        <f t="array" ref="M16">SUMPRODUCT(ISNUMBER(SEARCH("SOL",[1]OUT_PrimaryEnergyCons!$C$1:$C$1000))*1,[1]OUT_PrimaryEnergyCons!K$1:K$1000)</f>
        <v>64.833566435845597</v>
      </c>
      <c r="N16" s="1" cm="1">
        <f t="array" ref="N16">SUMPRODUCT(ISNUMBER(SEARCH("SOL",[1]OUT_PrimaryEnergyCons!$C$1:$C$1000))*1,[1]OUT_PrimaryEnergyCons!L$1:L$1000)</f>
        <v>67.444399171527436</v>
      </c>
      <c r="O16" s="1" cm="1">
        <f t="array" ref="O16">SUMPRODUCT(ISNUMBER(SEARCH("SOL",[1]OUT_PrimaryEnergyCons!$C$1:$C$1000))*1,[1]OUT_PrimaryEnergyCons!M$1:M$1000)</f>
        <v>70.592322771547671</v>
      </c>
      <c r="P16" s="1" cm="1">
        <f t="array" ref="P16">SUMPRODUCT(ISNUMBER(SEARCH("SOL",[1]OUT_PrimaryEnergyCons!$C$1:$C$1000))*1,[1]OUT_PrimaryEnergyCons!N$1:N$1000)</f>
        <v>74.08394922462476</v>
      </c>
      <c r="Q16" s="1" cm="1">
        <f t="array" ref="Q16">SUMPRODUCT(ISNUMBER(SEARCH("SOL",[1]OUT_PrimaryEnergyCons!$C$1:$C$1000))*1,[1]OUT_PrimaryEnergyCons!O$1:O$1000)</f>
        <v>78.914459749246106</v>
      </c>
      <c r="S16" s="3"/>
    </row>
    <row r="17" spans="1:19" x14ac:dyDescent="0.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0.52403341339389942</v>
      </c>
      <c r="G17" s="1" cm="1">
        <f t="array" ref="G17">SUMPRODUCT(ISNUMBER(SEARCH("wnd",[1]OUT_PrimaryEnergyCons!$C$1:$C$1000))*1,[1]OUT_PrimaryEnergyCons!E$1:E$1000)</f>
        <v>0.54529506981271414</v>
      </c>
      <c r="H17" s="1" cm="1">
        <f t="array" ref="H17">SUMPRODUCT(ISNUMBER(SEARCH("wnd",[1]OUT_PrimaryEnergyCons!$C$1:$C$1000))*1,[1]OUT_PrimaryEnergyCons!F$1:F$1000)</f>
        <v>0.50316778019983588</v>
      </c>
      <c r="I17" s="1" cm="1">
        <f t="array" ref="I17">SUMPRODUCT(ISNUMBER(SEARCH("wnd",[1]OUT_PrimaryEnergyCons!$C$1:$C$1000))*1,[1]OUT_PrimaryEnergyCons!G$1:G$1000)</f>
        <v>0.56392161851426803</v>
      </c>
      <c r="J17" s="1" cm="1">
        <f t="array" ref="J17">SUMPRODUCT(ISNUMBER(SEARCH("wnd",[1]OUT_PrimaryEnergyCons!$C$1:$C$1000))*1,[1]OUT_PrimaryEnergyCons!H$1:H$1000)</f>
        <v>0.56616649190489443</v>
      </c>
      <c r="K17" s="1" cm="1">
        <f t="array" ref="K17">SUMPRODUCT(ISNUMBER(SEARCH("wnd",[1]OUT_PrimaryEnergyCons!$C$1:$C$1000))*1,[1]OUT_PrimaryEnergyCons!I$1:I$1000)</f>
        <v>0.56873128423292829</v>
      </c>
      <c r="L17" s="1" cm="1">
        <f t="array" ref="L17">SUMPRODUCT(ISNUMBER(SEARCH("wnd",[1]OUT_PrimaryEnergyCons!$C$1:$C$1000))*1,[1]OUT_PrimaryEnergyCons!J$1:J$1000)</f>
        <v>0.58039145914689594</v>
      </c>
      <c r="M17" s="1" cm="1">
        <f t="array" ref="M17">SUMPRODUCT(ISNUMBER(SEARCH("wnd",[1]OUT_PrimaryEnergyCons!$C$1:$C$1000))*1,[1]OUT_PrimaryEnergyCons!K$1:K$1000)</f>
        <v>0.58049239973505162</v>
      </c>
      <c r="N17" s="1" cm="1">
        <f t="array" ref="N17">SUMPRODUCT(ISNUMBER(SEARCH("wnd",[1]OUT_PrimaryEnergyCons!$C$1:$C$1000))*1,[1]OUT_PrimaryEnergyCons!L$1:L$1000)</f>
        <v>0.58223313590801795</v>
      </c>
      <c r="O17" s="1" cm="1">
        <f t="array" ref="O17">SUMPRODUCT(ISNUMBER(SEARCH("wnd",[1]OUT_PrimaryEnergyCons!$C$1:$C$1000))*1,[1]OUT_PrimaryEnergyCons!M$1:M$1000)</f>
        <v>0.58239217139420485</v>
      </c>
      <c r="P17" s="1" cm="1">
        <f t="array" ref="P17">SUMPRODUCT(ISNUMBER(SEARCH("wnd",[1]OUT_PrimaryEnergyCons!$C$1:$C$1000))*1,[1]OUT_PrimaryEnergyCons!N$1:N$1000)</f>
        <v>0.58449074972363713</v>
      </c>
      <c r="Q17" s="1" cm="1">
        <f t="array" ref="Q17">SUMPRODUCT(ISNUMBER(SEARCH("wnd",[1]OUT_PrimaryEnergyCons!$C$1:$C$1000))*1,[1]OUT_PrimaryEnergyCons!O$1:O$1000)</f>
        <v>0.59689034814206843</v>
      </c>
      <c r="S17" s="3"/>
    </row>
    <row r="18" spans="1:19" x14ac:dyDescent="0.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18.873146474697055</v>
      </c>
      <c r="G18" s="1">
        <f>[1]Overview!C$9-G19</f>
        <v>22.215355081304814</v>
      </c>
      <c r="H18" s="1">
        <f>[1]Overview!D$9-H19</f>
        <v>26.210983704458116</v>
      </c>
      <c r="I18" s="1">
        <f>[1]Overview!E$9-I19</f>
        <v>30.732867620025775</v>
      </c>
      <c r="J18" s="1">
        <f>[1]Overview!F$9-J19</f>
        <v>39.018633345724005</v>
      </c>
      <c r="K18" s="1">
        <f>[1]Overview!G$9-K19</f>
        <v>42.049774711715052</v>
      </c>
      <c r="L18" s="1">
        <f>[1]Overview!H$9-L19</f>
        <v>43.765156396021382</v>
      </c>
      <c r="M18" s="1">
        <f>[1]Overview!I$9-M19</f>
        <v>47.074133219912085</v>
      </c>
      <c r="N18" s="1">
        <f>[1]Overview!J$9-N19</f>
        <v>49.303527136153875</v>
      </c>
      <c r="O18" s="1">
        <f>[1]Overview!K$9-O19</f>
        <v>52.475987213542787</v>
      </c>
      <c r="P18" s="1">
        <f>[1]Overview!L$9-P19</f>
        <v>54.2948872396083</v>
      </c>
      <c r="Q18" s="1">
        <f>[1]Overview!M$9-Q19</f>
        <v>55.741857232882978</v>
      </c>
      <c r="S18" s="3"/>
    </row>
    <row r="19" spans="1:19" x14ac:dyDescent="0.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+[1]Overview!F$28</f>
        <v>0</v>
      </c>
      <c r="K19" s="1">
        <f>+[1]Overview!G$28</f>
        <v>8.8037297440942265E-4</v>
      </c>
      <c r="L19" s="1">
        <f>+[1]Overview!H$28</f>
        <v>0.10047373294201802</v>
      </c>
      <c r="M19" s="1">
        <f>+[1]Overview!I$28</f>
        <v>0.21514785453300361</v>
      </c>
      <c r="N19" s="1">
        <f>+[1]Overview!J$28</f>
        <v>0</v>
      </c>
      <c r="O19" s="1">
        <f>+[1]Overview!K$28</f>
        <v>0</v>
      </c>
      <c r="P19" s="1">
        <f>+[1]Overview!L$28</f>
        <v>0</v>
      </c>
      <c r="Q19" s="1">
        <f>+[1]Overview!M$28</f>
        <v>0</v>
      </c>
      <c r="S19" s="3"/>
    </row>
    <row r="20" spans="1:19" x14ac:dyDescent="0.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779.76630178440496</v>
      </c>
      <c r="G20" s="3">
        <f t="shared" si="13"/>
        <v>702.80041363734369</v>
      </c>
      <c r="H20" s="3">
        <f t="shared" si="13"/>
        <v>657.54307662115434</v>
      </c>
      <c r="I20" s="3">
        <f t="shared" si="13"/>
        <v>614.01536859750081</v>
      </c>
      <c r="J20" s="3">
        <f t="shared" si="13"/>
        <v>524.92930021053132</v>
      </c>
      <c r="K20" s="3">
        <f t="shared" si="13"/>
        <v>436.89280449142586</v>
      </c>
      <c r="L20" s="3">
        <f t="shared" ref="L20:O20" si="14">SUM(L21:L22,L41,L50:L51,L56)</f>
        <v>339.54909144533138</v>
      </c>
      <c r="M20" s="3">
        <f t="shared" si="14"/>
        <v>322.15300249575597</v>
      </c>
      <c r="N20" s="3">
        <f t="shared" si="14"/>
        <v>327.4191986118737</v>
      </c>
      <c r="O20" s="3">
        <f t="shared" si="14"/>
        <v>308.16842369568417</v>
      </c>
      <c r="P20" s="3">
        <f>SUM(P21:P22,P41,P50:P51,P56)</f>
        <v>293.84538441335468</v>
      </c>
      <c r="Q20" s="3">
        <f>SUM(Q21:Q22,Q41,Q50:Q51,Q56)</f>
        <v>270.11568932867669</v>
      </c>
      <c r="R20" s="1"/>
      <c r="S20" s="3"/>
    </row>
    <row r="21" spans="1:19" x14ac:dyDescent="0.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3.6600056918946295</v>
      </c>
      <c r="G21" s="1" cm="1">
        <f t="array" ref="G21">SUMPRODUCT(("COA"=[1]OUT_PrimaryEnergyCons!$C$4:$C$10000)*1,[1]OUT_PrimaryEnergyCons!E$4:E$10000)</f>
        <v>3.5647176151899118</v>
      </c>
      <c r="H21" s="1" cm="1">
        <f t="array" ref="H21">SUMPRODUCT(("COA"=[1]OUT_PrimaryEnergyCons!$C$4:$C$10000)*1,[1]OUT_PrimaryEnergyCons!F$4:F$10000)</f>
        <v>3.239459991172021</v>
      </c>
      <c r="I21" s="1" cm="1">
        <f t="array" ref="I21">SUMPRODUCT(("COA"=[1]OUT_PrimaryEnergyCons!$C$4:$C$10000)*1,[1]OUT_PrimaryEnergyCons!G$4:G$10000)</f>
        <v>8.4020002276593599E-3</v>
      </c>
      <c r="J21" s="1" cm="1">
        <f t="array" ref="J21">SUMPRODUCT(("COA"=[1]OUT_PrimaryEnergyCons!$C$4:$C$10000)*1,[1]OUT_PrimaryEnergyCons!H$4:H$10000)</f>
        <v>5.8522519927613125E-3</v>
      </c>
      <c r="K21" s="1" cm="1">
        <f t="array" ref="K21">SUMPRODUCT(("COA"=[1]OUT_PrimaryEnergyCons!$C$4:$C$10000)*1,[1]OUT_PrimaryEnergyCons!I$4:I$10000)</f>
        <v>3.6506334394136881E-3</v>
      </c>
      <c r="L21" s="1" cm="1">
        <f t="array" ref="L21">SUMPRODUCT(("COA"=[1]OUT_PrimaryEnergyCons!$C$4:$C$10000)*1,[1]OUT_PrimaryEnergyCons!J$4:J$10000)</f>
        <v>5.6072647622365124E-3</v>
      </c>
      <c r="M21" s="1" cm="1">
        <f t="array" ref="M21">SUMPRODUCT(("COA"=[1]OUT_PrimaryEnergyCons!$C$4:$C$10000)*1,[1]OUT_PrimaryEnergyCons!K$4:K$10000)</f>
        <v>1.2070446445515892E-2</v>
      </c>
      <c r="N21" s="1" cm="1">
        <f t="array" ref="N21">SUMPRODUCT(("COA"=[1]OUT_PrimaryEnergyCons!$C$4:$C$10000)*1,[1]OUT_PrimaryEnergyCons!L$4:L$10000)</f>
        <v>7.5510906371049312E-3</v>
      </c>
      <c r="O21" s="1" cm="1">
        <f t="array" ref="O21">SUMPRODUCT(("COA"=[1]OUT_PrimaryEnergyCons!$C$4:$C$10000)*1,[1]OUT_PrimaryEnergyCons!M$4:M$10000)</f>
        <v>1.1397405697162728E-2</v>
      </c>
      <c r="P21" s="1" cm="1">
        <f t="array" ref="P21">SUMPRODUCT(("COA"=[1]OUT_PrimaryEnergyCons!$C$4:$C$10000)*1,[1]OUT_PrimaryEnergyCons!N$4:N$10000)</f>
        <v>6.4781681295358901E-3</v>
      </c>
      <c r="Q21" s="1" cm="1">
        <f t="array" ref="Q21">SUMPRODUCT(("COA"=[1]OUT_PrimaryEnergyCons!$C$4:$C$10000)*1,[1]OUT_PrimaryEnergyCons!O$4:O$10000)</f>
        <v>1.2024115243862548E-2</v>
      </c>
      <c r="S21" s="3"/>
    </row>
    <row r="22" spans="1:19" x14ac:dyDescent="0.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310.81808240741674</v>
      </c>
      <c r="G22" s="1">
        <f t="shared" ref="G22:K22" si="15">G23+G29</f>
        <v>287.32895449747451</v>
      </c>
      <c r="H22" s="1">
        <f t="shared" si="15"/>
        <v>266.74879433885036</v>
      </c>
      <c r="I22" s="1">
        <f t="shared" si="15"/>
        <v>220.22988197026663</v>
      </c>
      <c r="J22" s="1">
        <f t="shared" si="15"/>
        <v>167.24518653384385</v>
      </c>
      <c r="K22" s="1">
        <f t="shared" si="15"/>
        <v>148.45728112138048</v>
      </c>
      <c r="L22" s="1">
        <f t="shared" ref="L22:O22" si="16">L23+L29</f>
        <v>134.07641522413144</v>
      </c>
      <c r="M22" s="1">
        <f t="shared" si="16"/>
        <v>119.60970873851846</v>
      </c>
      <c r="N22" s="1">
        <f t="shared" si="16"/>
        <v>112.1345644552519</v>
      </c>
      <c r="O22" s="1">
        <f t="shared" si="16"/>
        <v>97.356440380900295</v>
      </c>
      <c r="P22" s="1">
        <f>P23+P29</f>
        <v>82.070649027818376</v>
      </c>
      <c r="Q22" s="1">
        <f>Q23+Q29</f>
        <v>68.399911833145637</v>
      </c>
      <c r="S22" s="3"/>
    </row>
    <row r="23" spans="1:19" x14ac:dyDescent="0.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303.94834952584131</v>
      </c>
      <c r="G23" s="1">
        <f t="shared" ref="G23:K23" si="20">SUM(G24:G28)</f>
        <v>280.55232591303366</v>
      </c>
      <c r="H23" s="1">
        <f t="shared" si="20"/>
        <v>258.20710611628397</v>
      </c>
      <c r="I23" s="1">
        <f t="shared" si="20"/>
        <v>207.30781792074248</v>
      </c>
      <c r="J23" s="1">
        <f t="shared" si="20"/>
        <v>155.58927773734638</v>
      </c>
      <c r="K23" s="1">
        <f t="shared" si="20"/>
        <v>137.26777675942731</v>
      </c>
      <c r="L23" s="1">
        <f t="shared" ref="L23:O23" si="21">SUM(L24:L28)</f>
        <v>123.05793440966704</v>
      </c>
      <c r="M23" s="1">
        <f t="shared" si="21"/>
        <v>108.76036688251884</v>
      </c>
      <c r="N23" s="1">
        <f t="shared" si="21"/>
        <v>101.67524839324685</v>
      </c>
      <c r="O23" s="1">
        <f t="shared" si="21"/>
        <v>87.188775510207563</v>
      </c>
      <c r="P23" s="1">
        <f>SUM(P24:P28)</f>
        <v>72.911484009900093</v>
      </c>
      <c r="Q23" s="1">
        <f>SUM(Q24:Q28)</f>
        <v>59.393375755625378</v>
      </c>
      <c r="S23" s="3"/>
    </row>
    <row r="24" spans="1:19" x14ac:dyDescent="0.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101.78072347848034</v>
      </c>
      <c r="G24" s="1" cm="1">
        <f t="array" ref="G24">SUMPRODUCT(("LFO"=[1]OUT_PrimaryEnergyCons!$C$4:$C$10000)*1,[1]OUT_PrimaryEnergyCons!E$4:E$10000)</f>
        <v>88.695389719360605</v>
      </c>
      <c r="H24" s="1" cm="1">
        <f t="array" ref="H24">SUMPRODUCT(("LFO"=[1]OUT_PrimaryEnergyCons!$C$4:$C$10000)*1,[1]OUT_PrimaryEnergyCons!F$4:F$10000)</f>
        <v>79.742793180810452</v>
      </c>
      <c r="I24" s="1" cm="1">
        <f t="array" ref="I24">SUMPRODUCT(("LFO"=[1]OUT_PrimaryEnergyCons!$C$4:$C$10000)*1,[1]OUT_PrimaryEnergyCons!G$4:G$10000)</f>
        <v>75.80045194321616</v>
      </c>
      <c r="J24" s="1" cm="1">
        <f t="array" ref="J24">SUMPRODUCT(("LFO"=[1]OUT_PrimaryEnergyCons!$C$4:$C$10000)*1,[1]OUT_PrimaryEnergyCons!H$4:H$10000)</f>
        <v>60.164892039956094</v>
      </c>
      <c r="K24" s="1" cm="1">
        <f t="array" ref="K24">SUMPRODUCT(("LFO"=[1]OUT_PrimaryEnergyCons!$C$4:$C$10000)*1,[1]OUT_PrimaryEnergyCons!I$4:I$10000)</f>
        <v>52.293807743328493</v>
      </c>
      <c r="L24" s="1" cm="1">
        <f t="array" ref="L24">SUMPRODUCT(("LFO"=[1]OUT_PrimaryEnergyCons!$C$4:$C$10000)*1,[1]OUT_PrimaryEnergyCons!J$4:J$10000)</f>
        <v>47.458859689750227</v>
      </c>
      <c r="M24" s="1" cm="1">
        <f t="array" ref="M24">SUMPRODUCT(("LFO"=[1]OUT_PrimaryEnergyCons!$C$4:$C$10000)*1,[1]OUT_PrimaryEnergyCons!K$4:K$10000)</f>
        <v>39.410997828981863</v>
      </c>
      <c r="N24" s="1" cm="1">
        <f t="array" ref="N24">SUMPRODUCT(("LFO"=[1]OUT_PrimaryEnergyCons!$C$4:$C$10000)*1,[1]OUT_PrimaryEnergyCons!L$4:L$10000)</f>
        <v>35.550050237663612</v>
      </c>
      <c r="O24" s="1" cm="1">
        <f t="array" ref="O24">SUMPRODUCT(("LFO"=[1]OUT_PrimaryEnergyCons!$C$4:$C$10000)*1,[1]OUT_PrimaryEnergyCons!M$4:M$10000)</f>
        <v>30.287956322524227</v>
      </c>
      <c r="P24" s="1" cm="1">
        <f t="array" ref="P24">SUMPRODUCT(("LFO"=[1]OUT_PrimaryEnergyCons!$C$4:$C$10000)*1,[1]OUT_PrimaryEnergyCons!N$4:N$10000)</f>
        <v>21.524983267137593</v>
      </c>
      <c r="Q24" s="1" cm="1">
        <f t="array" ref="Q24">SUMPRODUCT(("LFO"=[1]OUT_PrimaryEnergyCons!$C$4:$C$10000)*1,[1]OUT_PrimaryEnergyCons!O$4:O$10000)</f>
        <v>8.6696159812564488</v>
      </c>
      <c r="S24" s="3"/>
    </row>
    <row r="25" spans="1:19" x14ac:dyDescent="0.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2.7763727848970223</v>
      </c>
      <c r="G25" s="1" cm="1">
        <f t="array" ref="G25">SUMPRODUCT(("HFO"=[1]OUT_PrimaryEnergyCons!$C$4:$C$10000)*1,[1]OUT_PrimaryEnergyCons!E$4:E$10000)</f>
        <v>2.284176847351322</v>
      </c>
      <c r="H25" s="1" cm="1">
        <f t="array" ref="H25">SUMPRODUCT(("HFO"=[1]OUT_PrimaryEnergyCons!$C$4:$C$10000)*1,[1]OUT_PrimaryEnergyCons!F$4:F$10000)</f>
        <v>8.7967650553530084E-3</v>
      </c>
      <c r="I25" s="1" cm="1">
        <f t="array" ref="I25">SUMPRODUCT(("HFO"=[1]OUT_PrimaryEnergyCons!$C$4:$C$10000)*1,[1]OUT_PrimaryEnergyCons!G$4:G$10000)</f>
        <v>2.5836860907276415E-3</v>
      </c>
      <c r="J25" s="1" cm="1">
        <f t="array" ref="J25">SUMPRODUCT(("HFO"=[1]OUT_PrimaryEnergyCons!$C$4:$C$10000)*1,[1]OUT_PrimaryEnergyCons!H$4:H$10000)</f>
        <v>3.8281284608845684E-3</v>
      </c>
      <c r="K25" s="1" cm="1">
        <f t="array" ref="K25">SUMPRODUCT(("HFO"=[1]OUT_PrimaryEnergyCons!$C$4:$C$10000)*1,[1]OUT_PrimaryEnergyCons!I$4:I$10000)</f>
        <v>3.5893947234516134E-3</v>
      </c>
      <c r="L25" s="1" cm="1">
        <f t="array" ref="L25">SUMPRODUCT(("HFO"=[1]OUT_PrimaryEnergyCons!$C$4:$C$10000)*1,[1]OUT_PrimaryEnergyCons!J$4:J$10000)</f>
        <v>4.4725597537534313E-3</v>
      </c>
      <c r="M25" s="1" cm="1">
        <f t="array" ref="M25">SUMPRODUCT(("HFO"=[1]OUT_PrimaryEnergyCons!$C$4:$C$10000)*1,[1]OUT_PrimaryEnergyCons!K$4:K$10000)</f>
        <v>0</v>
      </c>
      <c r="N25" s="1" cm="1">
        <f t="array" ref="N25">SUMPRODUCT(("HFO"=[1]OUT_PrimaryEnergyCons!$C$4:$C$10000)*1,[1]OUT_PrimaryEnergyCons!L$4:L$10000)</f>
        <v>0</v>
      </c>
      <c r="O25" s="1" cm="1">
        <f t="array" ref="O25">SUMPRODUCT(("HFO"=[1]OUT_PrimaryEnergyCons!$C$4:$C$10000)*1,[1]OUT_PrimaryEnergyCons!M$4:M$10000)</f>
        <v>0</v>
      </c>
      <c r="P25" s="1" cm="1">
        <f t="array" ref="P25">SUMPRODUCT(("HFO"=[1]OUT_PrimaryEnergyCons!$C$4:$C$10000)*1,[1]OUT_PrimaryEnergyCons!N$4:N$10000)</f>
        <v>0</v>
      </c>
      <c r="Q25" s="1" cm="1">
        <f t="array" ref="Q25">SUMPRODUCT(("HFO"=[1]OUT_PrimaryEnergyCons!$C$4:$C$10000)*1,[1]OUT_PrimaryEnergyCons!O$4:O$10000)</f>
        <v>0</v>
      </c>
      <c r="S25" s="3"/>
    </row>
    <row r="26" spans="1:19" x14ac:dyDescent="0.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118.42678865524093</v>
      </c>
      <c r="G26" s="1" cm="1">
        <f t="array" ref="G26">SUMPRODUCT(("DSL"=[1]OUT_PrimaryEnergyCons!$C$4:$C$10000)*1,[1]OUT_PrimaryEnergyCons!E$4:E$10000)</f>
        <v>112.2121540226951</v>
      </c>
      <c r="H26" s="1" cm="1">
        <f t="array" ref="H26">SUMPRODUCT(("DSL"=[1]OUT_PrimaryEnergyCons!$C$4:$C$10000)*1,[1]OUT_PrimaryEnergyCons!F$4:F$10000)</f>
        <v>96.708034746286827</v>
      </c>
      <c r="I26" s="1" cm="1">
        <f t="array" ref="I26">SUMPRODUCT(("DSL"=[1]OUT_PrimaryEnergyCons!$C$4:$C$10000)*1,[1]OUT_PrimaryEnergyCons!G$4:G$10000)</f>
        <v>71.523091344316398</v>
      </c>
      <c r="J26" s="1" cm="1">
        <f t="array" ref="J26">SUMPRODUCT(("DSL"=[1]OUT_PrimaryEnergyCons!$C$4:$C$10000)*1,[1]OUT_PrimaryEnergyCons!H$4:H$10000)</f>
        <v>49.532908980525754</v>
      </c>
      <c r="K26" s="1" cm="1">
        <f t="array" ref="K26">SUMPRODUCT(("DSL"=[1]OUT_PrimaryEnergyCons!$C$4:$C$10000)*1,[1]OUT_PrimaryEnergyCons!I$4:I$10000)</f>
        <v>45.497699672357761</v>
      </c>
      <c r="L26" s="1" cm="1">
        <f t="array" ref="L26">SUMPRODUCT(("DSL"=[1]OUT_PrimaryEnergyCons!$C$4:$C$10000)*1,[1]OUT_PrimaryEnergyCons!J$4:J$10000)</f>
        <v>41.854428594151969</v>
      </c>
      <c r="M26" s="1" cm="1">
        <f t="array" ref="M26">SUMPRODUCT(("DSL"=[1]OUT_PrimaryEnergyCons!$C$4:$C$10000)*1,[1]OUT_PrimaryEnergyCons!K$4:K$10000)</f>
        <v>40.314666435896534</v>
      </c>
      <c r="N26" s="1" cm="1">
        <f t="array" ref="N26">SUMPRODUCT(("DSL"=[1]OUT_PrimaryEnergyCons!$C$4:$C$10000)*1,[1]OUT_PrimaryEnergyCons!L$4:L$10000)</f>
        <v>39.750115622559747</v>
      </c>
      <c r="O26" s="1" cm="1">
        <f t="array" ref="O26">SUMPRODUCT(("DSL"=[1]OUT_PrimaryEnergyCons!$C$4:$C$10000)*1,[1]OUT_PrimaryEnergyCons!M$4:M$10000)</f>
        <v>33.094065045702585</v>
      </c>
      <c r="P26" s="1" cm="1">
        <f t="array" ref="P26">SUMPRODUCT(("DSL"=[1]OUT_PrimaryEnergyCons!$C$4:$C$10000)*1,[1]OUT_PrimaryEnergyCons!N$4:N$10000)</f>
        <v>29.383891232750869</v>
      </c>
      <c r="Q26" s="1" cm="1">
        <f t="array" ref="Q26">SUMPRODUCT(("DSL"=[1]OUT_PrimaryEnergyCons!$C$4:$C$10000)*1,[1]OUT_PrimaryEnergyCons!O$4:O$10000)</f>
        <v>29.67018580849383</v>
      </c>
      <c r="S26" s="3"/>
    </row>
    <row r="27" spans="1:19" x14ac:dyDescent="0.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79.858562959800452</v>
      </c>
      <c r="G27" s="1" cm="1">
        <f t="array" ref="G27">SUMPRODUCT(("GSL"=[1]OUT_PrimaryEnergyCons!$C$4:$C$10000)*1,[1]OUT_PrimaryEnergyCons!E$4:E$10000)</f>
        <v>75.955437364796921</v>
      </c>
      <c r="H27" s="1" cm="1">
        <f t="array" ref="H27">SUMPRODUCT(("GSL"=[1]OUT_PrimaryEnergyCons!$C$4:$C$10000)*1,[1]OUT_PrimaryEnergyCons!F$4:F$10000)</f>
        <v>79.904321862133671</v>
      </c>
      <c r="I27" s="1" cm="1">
        <f t="array" ref="I27">SUMPRODUCT(("GSL"=[1]OUT_PrimaryEnergyCons!$C$4:$C$10000)*1,[1]OUT_PrimaryEnergyCons!G$4:G$10000)</f>
        <v>58.326489701799971</v>
      </c>
      <c r="J27" s="1" cm="1">
        <f t="array" ref="J27">SUMPRODUCT(("GSL"=[1]OUT_PrimaryEnergyCons!$C$4:$C$10000)*1,[1]OUT_PrimaryEnergyCons!H$4:H$10000)</f>
        <v>44.727129483207371</v>
      </c>
      <c r="K27" s="1" cm="1">
        <f t="array" ref="K27">SUMPRODUCT(("GSL"=[1]OUT_PrimaryEnergyCons!$C$4:$C$10000)*1,[1]OUT_PrimaryEnergyCons!I$4:I$10000)</f>
        <v>38.488674095112096</v>
      </c>
      <c r="L27" s="1" cm="1">
        <f t="array" ref="L27">SUMPRODUCT(("GSL"=[1]OUT_PrimaryEnergyCons!$C$4:$C$10000)*1,[1]OUT_PrimaryEnergyCons!J$4:J$10000)</f>
        <v>33.103231435703201</v>
      </c>
      <c r="M27" s="1" cm="1">
        <f t="array" ref="M27">SUMPRODUCT(("GSL"=[1]OUT_PrimaryEnergyCons!$C$4:$C$10000)*1,[1]OUT_PrimaryEnergyCons!K$4:K$10000)</f>
        <v>28.65449389197704</v>
      </c>
      <c r="N27" s="1" cm="1">
        <f t="array" ref="N27">SUMPRODUCT(("GSL"=[1]OUT_PrimaryEnergyCons!$C$4:$C$10000)*1,[1]OUT_PrimaryEnergyCons!L$4:L$10000)</f>
        <v>26.182295920162538</v>
      </c>
      <c r="O27" s="1" cm="1">
        <f t="array" ref="O27">SUMPRODUCT(("GSL"=[1]OUT_PrimaryEnergyCons!$C$4:$C$10000)*1,[1]OUT_PrimaryEnergyCons!M$4:M$10000)</f>
        <v>23.806463420684633</v>
      </c>
      <c r="P27" s="1" cm="1">
        <f t="array" ref="P27">SUMPRODUCT(("GSL"=[1]OUT_PrimaryEnergyCons!$C$4:$C$10000)*1,[1]OUT_PrimaryEnergyCons!N$4:N$10000)</f>
        <v>22.002425314891092</v>
      </c>
      <c r="Q27" s="1" cm="1">
        <f t="array" ref="Q27">SUMPRODUCT(("GSL"=[1]OUT_PrimaryEnergyCons!$C$4:$C$10000)*1,[1]OUT_PrimaryEnergyCons!O$4:O$10000)</f>
        <v>21.053256831990549</v>
      </c>
      <c r="S27" s="3"/>
    </row>
    <row r="28" spans="1:19" x14ac:dyDescent="0.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1.1059016474225796</v>
      </c>
      <c r="G28" s="1" cm="1">
        <f t="array" ref="G28">SUMPRODUCT(("KER"=[1]OUT_PrimaryEnergyCons!$C$4:$C$10000)*1,[1]OUT_PrimaryEnergyCons!E$4:E$10000)</f>
        <v>1.4051679588296668</v>
      </c>
      <c r="H28" s="1" cm="1">
        <f t="array" ref="H28">SUMPRODUCT(("KER"=[1]OUT_PrimaryEnergyCons!$C$4:$C$10000)*1,[1]OUT_PrimaryEnergyCons!F$4:F$10000)</f>
        <v>1.8431595619976713</v>
      </c>
      <c r="I28" s="1" cm="1">
        <f t="array" ref="I28">SUMPRODUCT(("KER"=[1]OUT_PrimaryEnergyCons!$C$4:$C$10000)*1,[1]OUT_PrimaryEnergyCons!G$4:G$10000)</f>
        <v>1.65520124531923</v>
      </c>
      <c r="J28" s="1" cm="1">
        <f t="array" ref="J28">SUMPRODUCT(("KER"=[1]OUT_PrimaryEnergyCons!$C$4:$C$10000)*1,[1]OUT_PrimaryEnergyCons!H$4:H$10000)</f>
        <v>1.1605191051962853</v>
      </c>
      <c r="K28" s="1" cm="1">
        <f t="array" ref="K28">SUMPRODUCT(("KER"=[1]OUT_PrimaryEnergyCons!$C$4:$C$10000)*1,[1]OUT_PrimaryEnergyCons!I$4:I$10000)</f>
        <v>0.98400585390549367</v>
      </c>
      <c r="L28" s="1" cm="1">
        <f t="array" ref="L28">SUMPRODUCT(("KER"=[1]OUT_PrimaryEnergyCons!$C$4:$C$10000)*1,[1]OUT_PrimaryEnergyCons!J$4:J$10000)</f>
        <v>0.63694213030789115</v>
      </c>
      <c r="M28" s="1" cm="1">
        <f t="array" ref="M28">SUMPRODUCT(("KER"=[1]OUT_PrimaryEnergyCons!$C$4:$C$10000)*1,[1]OUT_PrimaryEnergyCons!K$4:K$10000)</f>
        <v>0.3802087256634113</v>
      </c>
      <c r="N28" s="1" cm="1">
        <f t="array" ref="N28">SUMPRODUCT(("KER"=[1]OUT_PrimaryEnergyCons!$C$4:$C$10000)*1,[1]OUT_PrimaryEnergyCons!L$4:L$10000)</f>
        <v>0.1927866128609487</v>
      </c>
      <c r="O28" s="1" cm="1">
        <f t="array" ref="O28">SUMPRODUCT(("KER"=[1]OUT_PrimaryEnergyCons!$C$4:$C$10000)*1,[1]OUT_PrimaryEnergyCons!M$4:M$10000)</f>
        <v>2.9072129611231373E-4</v>
      </c>
      <c r="P28" s="1" cm="1">
        <f t="array" ref="P28">SUMPRODUCT(("KER"=[1]OUT_PrimaryEnergyCons!$C$4:$C$10000)*1,[1]OUT_PrimaryEnergyCons!N$4:N$10000)</f>
        <v>1.8419512053458476E-4</v>
      </c>
      <c r="Q28" s="1" cm="1">
        <f t="array" ref="Q28">SUMPRODUCT(("KER"=[1]OUT_PrimaryEnergyCons!$C$4:$C$10000)*1,[1]OUT_PrimaryEnergyCons!O$4:O$10000)</f>
        <v>3.1713388454159491E-4</v>
      </c>
      <c r="S28" s="3"/>
    </row>
    <row r="29" spans="1:19" x14ac:dyDescent="0.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6.8697328815754037</v>
      </c>
      <c r="G29" s="1">
        <f t="shared" ref="G29:K29" si="25">SUM(G30:G32)</f>
        <v>6.7766285844408527</v>
      </c>
      <c r="H29" s="1">
        <f t="shared" si="25"/>
        <v>8.5416882225663766</v>
      </c>
      <c r="I29" s="1">
        <f t="shared" si="25"/>
        <v>12.922064049524149</v>
      </c>
      <c r="J29" s="1">
        <f t="shared" si="25"/>
        <v>11.65590879649746</v>
      </c>
      <c r="K29" s="1">
        <f t="shared" si="25"/>
        <v>11.189504361953162</v>
      </c>
      <c r="L29" s="1">
        <f t="shared" ref="L29:O29" si="26">SUM(L30:L32)</f>
        <v>11.018480814464402</v>
      </c>
      <c r="M29" s="1">
        <f t="shared" si="26"/>
        <v>10.849341855999619</v>
      </c>
      <c r="N29" s="1">
        <f t="shared" si="26"/>
        <v>10.459316062005062</v>
      </c>
      <c r="O29" s="1">
        <f t="shared" si="26"/>
        <v>10.167664870692739</v>
      </c>
      <c r="P29" s="1">
        <f>SUM(P30:P32)</f>
        <v>9.1591650179182871</v>
      </c>
      <c r="Q29" s="1">
        <f>SUM(Q30:Q32)</f>
        <v>9.0065360775202628</v>
      </c>
      <c r="S29" s="3"/>
    </row>
    <row r="30" spans="1:19" x14ac:dyDescent="0.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2.4321475931778349</v>
      </c>
      <c r="G30" s="1" cm="1">
        <f t="array" ref="G30">SUMPRODUCT(ISNUMBER(SEARCH("IMPBDS",[1]OUT_SyntheticFuels!$C$4:$C$1000))*1,("Var_Fout"=[1]OUT_SyntheticFuels!$B$4:$B$1000)*1,[1]OUT_SyntheticFuels!F$4:F$1000)-G32</f>
        <v>2.3779654622046786</v>
      </c>
      <c r="H30" s="1" cm="1">
        <f t="array" ref="H30">SUMPRODUCT(ISNUMBER(SEARCH("IMPBDS",[1]OUT_SyntheticFuels!$C$4:$C$1000))*1,("Var_Fout"=[1]OUT_SyntheticFuels!$B$4:$B$1000)*1,[1]OUT_SyntheticFuels!G$4:G$1000)-H32</f>
        <v>3.9100845676063631</v>
      </c>
      <c r="I30" s="1" cm="1">
        <f t="array" ref="I30">SUMPRODUCT(ISNUMBER(SEARCH("IMPBDS",[1]OUT_SyntheticFuels!$C$4:$C$1000))*1,("Var_Fout"=[1]OUT_SyntheticFuels!$B$4:$B$1000)*1,[1]OUT_SyntheticFuels!H$4:H$1000)-I32</f>
        <v>2.4433763321666948</v>
      </c>
      <c r="J30" s="1" cm="1">
        <f t="array" ref="J30">SUMPRODUCT(ISNUMBER(SEARCH("IMPBDS",[1]OUT_SyntheticFuels!$C$4:$C$1000))*1,("Var_Fout"=[1]OUT_SyntheticFuels!$B$4:$B$1000)*1,[1]OUT_SyntheticFuels!I$4:I$1000)-J32</f>
        <v>1.8310136150623766</v>
      </c>
      <c r="K30" s="1" cm="1">
        <f t="array" ref="K30">SUMPRODUCT(ISNUMBER(SEARCH("IMPBDS",[1]OUT_SyntheticFuels!$C$4:$C$1000))*1,("Var_Fout"=[1]OUT_SyntheticFuels!$B$4:$B$1000)*1,[1]OUT_SyntheticFuels!J$4:J$1000)-K32</f>
        <v>1.866801705418295</v>
      </c>
      <c r="L30" s="1" cm="1">
        <f t="array" ref="L30">SUMPRODUCT(ISNUMBER(SEARCH("IMPBDS",[1]OUT_SyntheticFuels!$C$4:$C$1000))*1,("Var_Fout"=[1]OUT_SyntheticFuels!$B$4:$B$1000)*1,[1]OUT_SyntheticFuels!K$4:K$1000)-L32</f>
        <v>1.7391241452577049</v>
      </c>
      <c r="M30" s="1" cm="1">
        <f t="array" ref="M30">SUMPRODUCT(ISNUMBER(SEARCH("IMPBDS",[1]OUT_SyntheticFuels!$C$4:$C$1000))*1,("Var_Fout"=[1]OUT_SyntheticFuels!$B$4:$B$1000)*1,[1]OUT_SyntheticFuels!L$4:L$1000)-M32</f>
        <v>1.6682607369572517</v>
      </c>
      <c r="N30" s="1" cm="1">
        <f t="array" ref="N30">SUMPRODUCT(ISNUMBER(SEARCH("IMPBDS",[1]OUT_SyntheticFuels!$C$4:$C$1000))*1,("Var_Fout"=[1]OUT_SyntheticFuels!$B$4:$B$1000)*1,[1]OUT_SyntheticFuels!M$4:M$1000)-N32</f>
        <v>1.4189308128041818</v>
      </c>
      <c r="O30" s="1" cm="1">
        <f t="array" ref="O30">SUMPRODUCT(ISNUMBER(SEARCH("IMPBDS",[1]OUT_SyntheticFuels!$C$4:$C$1000))*1,("Var_Fout"=[1]OUT_SyntheticFuels!$B$4:$B$1000)*1,[1]OUT_SyntheticFuels!N$4:N$1000)-O32</f>
        <v>1.2359661382332288</v>
      </c>
      <c r="P30" s="1" cm="1">
        <f t="array" ref="P30">SUMPRODUCT(ISNUMBER(SEARCH("IMPBDS",[1]OUT_SyntheticFuels!$C$4:$C$1000))*1,("Var_Fout"=[1]OUT_SyntheticFuels!$B$4:$B$1000)*1,[1]OUT_SyntheticFuels!O$4:O$1000)-P32</f>
        <v>0.47696236058312014</v>
      </c>
      <c r="Q30" s="1" cm="1">
        <f t="array" ref="Q30">SUMPRODUCT(ISNUMBER(SEARCH("IMPBDS",[1]OUT_SyntheticFuels!$C$4:$C$1000))*1,("Var_Fout"=[1]OUT_SyntheticFuels!$B$4:$B$1000)*1,[1]OUT_SyntheticFuels!P$4:P$1000)-Q32</f>
        <v>0.40056871304837571</v>
      </c>
      <c r="S30" s="3"/>
    </row>
    <row r="31" spans="1:19" x14ac:dyDescent="0.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4.4341508675696826</v>
      </c>
      <c r="G31" s="1" cm="1">
        <f t="array" ref="G31">SUMPRODUCT(ISNUMBER(SEARCH("IMPeth",[1]OUT_SyntheticFuels!$C$4:$C$1000))*1,("Var_Fout"=[1]OUT_SyntheticFuels!$B$4:$B$1000)*1,[1]OUT_SyntheticFuels!F$4:F$1000)</f>
        <v>4.3986160636745861</v>
      </c>
      <c r="H31" s="1" cm="1">
        <f t="array" ref="H31">SUMPRODUCT(ISNUMBER(SEARCH("IMPeth",[1]OUT_SyntheticFuels!$C$4:$C$1000))*1,("Var_Fout"=[1]OUT_SyntheticFuels!$B$4:$B$1000)*1,[1]OUT_SyntheticFuels!G$4:G$1000)</f>
        <v>4.6258881887018788</v>
      </c>
      <c r="I31" s="1" cm="1">
        <f t="array" ref="I31">SUMPRODUCT(ISNUMBER(SEARCH("IMPeth",[1]OUT_SyntheticFuels!$C$4:$C$1000))*1,("Var_Fout"=[1]OUT_SyntheticFuels!$B$4:$B$1000)*1,[1]OUT_SyntheticFuels!H$4:H$1000)</f>
        <v>4.1143929104563126</v>
      </c>
      <c r="J31" s="1" cm="1">
        <f t="array" ref="J31">SUMPRODUCT(ISNUMBER(SEARCH("IMPeth",[1]OUT_SyntheticFuels!$C$4:$C$1000))*1,("Var_Fout"=[1]OUT_SyntheticFuels!$B$4:$B$1000)*1,[1]OUT_SyntheticFuels!I$4:I$1000)</f>
        <v>2.8905583615125456</v>
      </c>
      <c r="K31" s="1" cm="1">
        <f t="array" ref="K31">SUMPRODUCT(ISNUMBER(SEARCH("IMPeth",[1]OUT_SyntheticFuels!$C$4:$C$1000))*1,("Var_Fout"=[1]OUT_SyntheticFuels!$B$4:$B$1000)*1,[1]OUT_SyntheticFuels!J$4:J$1000)</f>
        <v>2.2299778603467404</v>
      </c>
      <c r="L31" s="1" cm="1">
        <f t="array" ref="L31">SUMPRODUCT(ISNUMBER(SEARCH("IMPeth",[1]OUT_SyntheticFuels!$C$4:$C$1000))*1,("Var_Fout"=[1]OUT_SyntheticFuels!$B$4:$B$1000)*1,[1]OUT_SyntheticFuels!K$4:K$1000)</f>
        <v>1.9180447064694783</v>
      </c>
      <c r="M31" s="1" cm="1">
        <f t="array" ref="M31">SUMPRODUCT(ISNUMBER(SEARCH("IMPeth",[1]OUT_SyntheticFuels!$C$4:$C$1000))*1,("Var_Fout"=[1]OUT_SyntheticFuels!$B$4:$B$1000)*1,[1]OUT_SyntheticFuels!L$4:L$1000)</f>
        <v>1.6611769136905679</v>
      </c>
      <c r="N31" s="1" cm="1">
        <f t="array" ref="N31">SUMPRODUCT(ISNUMBER(SEARCH("IMPeth",[1]OUT_SyntheticFuels!$C$4:$C$1000))*1,("Var_Fout"=[1]OUT_SyntheticFuels!$B$4:$B$1000)*1,[1]OUT_SyntheticFuels!M$4:M$1000)</f>
        <v>1.5168747001162441</v>
      </c>
      <c r="O31" s="1" cm="1">
        <f t="array" ref="O31">SUMPRODUCT(ISNUMBER(SEARCH("IMPeth",[1]OUT_SyntheticFuels!$C$4:$C$1000))*1,("Var_Fout"=[1]OUT_SyntheticFuels!$B$4:$B$1000)*1,[1]OUT_SyntheticFuels!N$4:N$1000)</f>
        <v>1.3801752893643946</v>
      </c>
      <c r="P31" s="1" cm="1">
        <f t="array" ref="P31">SUMPRODUCT(ISNUMBER(SEARCH("IMPeth",[1]OUT_SyntheticFuels!$C$4:$C$1000))*1,("Var_Fout"=[1]OUT_SyntheticFuels!$B$4:$B$1000)*1,[1]OUT_SyntheticFuels!O$4:O$1000)</f>
        <v>1.2749358334689969</v>
      </c>
      <c r="Q31" s="1" cm="1">
        <f t="array" ref="Q31">SUMPRODUCT(ISNUMBER(SEARCH("IMPeth",[1]OUT_SyntheticFuels!$C$4:$C$1000))*1,("Var_Fout"=[1]OUT_SyntheticFuels!$B$4:$B$1000)*1,[1]OUT_SyntheticFuels!P$4:P$1000)</f>
        <v>1.2214440415688272</v>
      </c>
      <c r="S31" s="3"/>
    </row>
    <row r="32" spans="1:19" x14ac:dyDescent="0.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3.4344208278865398E-3</v>
      </c>
      <c r="G32" s="1">
        <f>SUM([1]Transport_Aviation_Intl!C$12,[1]Transport!C$28)</f>
        <v>4.7058561587977702E-5</v>
      </c>
      <c r="H32" s="1">
        <f>SUM([1]Transport_Aviation_Intl!D$12,[1]Transport!D$28)</f>
        <v>5.7154662581354798E-3</v>
      </c>
      <c r="I32" s="1">
        <f>SUM([1]Transport_Aviation_Intl!E$12,[1]Transport!E$28)</f>
        <v>6.3642948069011407</v>
      </c>
      <c r="J32" s="1">
        <f>SUM([1]Transport_Aviation_Intl!F$12,[1]Transport!F$28)</f>
        <v>6.934336819922537</v>
      </c>
      <c r="K32" s="1">
        <f>SUM([1]Transport_Aviation_Intl!G$12,[1]Transport!G$28)</f>
        <v>7.0927247961881275</v>
      </c>
      <c r="L32" s="1">
        <f>SUM([1]Transport_Aviation_Intl!H$12,[1]Transport!H$28)</f>
        <v>7.3613119627372186</v>
      </c>
      <c r="M32" s="1">
        <f>SUM([1]Transport_Aviation_Intl!I$12,[1]Transport!I$28)</f>
        <v>7.519904205351799</v>
      </c>
      <c r="N32" s="1">
        <f>SUM([1]Transport_Aviation_Intl!J$12,[1]Transport!J$28)</f>
        <v>7.5235105490846363</v>
      </c>
      <c r="O32" s="1">
        <f>SUM([1]Transport_Aviation_Intl!K$12,[1]Transport!K$28)</f>
        <v>7.5515234430951157</v>
      </c>
      <c r="P32" s="1">
        <f>SUM([1]Transport_Aviation_Intl!L$12,[1]Transport!L$28)</f>
        <v>7.4072668238661707</v>
      </c>
      <c r="Q32" s="1">
        <f>SUM([1]Transport_Aviation_Intl!M$12,[1]Transport!M$28)</f>
        <v>7.3845233229030596</v>
      </c>
      <c r="S32" s="3"/>
    </row>
    <row r="33" spans="1:19" x14ac:dyDescent="0.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6.8697328815754037</v>
      </c>
      <c r="G33" s="1">
        <f t="shared" si="27"/>
        <v>6.7766285844408527</v>
      </c>
      <c r="H33" s="1">
        <f t="shared" si="27"/>
        <v>8.5416882225663766</v>
      </c>
      <c r="I33" s="1">
        <f t="shared" si="27"/>
        <v>12.922064049524149</v>
      </c>
      <c r="J33" s="1">
        <f t="shared" si="27"/>
        <v>11.085866783476064</v>
      </c>
      <c r="K33" s="1">
        <f>SUM(K34:K36)</f>
        <v>11.031116385687572</v>
      </c>
      <c r="L33" s="1">
        <f t="shared" ref="L33:O33" si="28">SUM(L34:L36)</f>
        <v>10.749893647915311</v>
      </c>
      <c r="M33" s="1">
        <f t="shared" si="28"/>
        <v>10.690749613385037</v>
      </c>
      <c r="N33" s="1">
        <f t="shared" si="28"/>
        <v>10.455709718272225</v>
      </c>
      <c r="O33" s="1">
        <f t="shared" si="28"/>
        <v>10.139651976682259</v>
      </c>
      <c r="P33" s="1">
        <f>SUM(P34:P36)</f>
        <v>9.1591650179182871</v>
      </c>
      <c r="Q33" s="1">
        <f>SUM(Q34:Q36)</f>
        <v>9.0065360775202628</v>
      </c>
      <c r="S33" s="3"/>
    </row>
    <row r="34" spans="1:19" x14ac:dyDescent="0.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9">F30</f>
        <v>2.4321475931778349</v>
      </c>
      <c r="G34" s="1">
        <f t="shared" si="29"/>
        <v>2.3779654622046786</v>
      </c>
      <c r="H34" s="1">
        <f t="shared" si="29"/>
        <v>3.9100845676063631</v>
      </c>
      <c r="I34" s="1">
        <f t="shared" si="29"/>
        <v>2.4433763321666948</v>
      </c>
      <c r="J34" s="1">
        <f>IF(J30-MAX(F30:I30)&lt;0,J30,MAX(F30:I30))</f>
        <v>1.8310136150623766</v>
      </c>
      <c r="K34" s="1">
        <f>IF(K30-MAX(F30:J30)&lt;0,K30,MAX(F30:J30))</f>
        <v>1.866801705418295</v>
      </c>
      <c r="L34" s="1">
        <f t="shared" ref="L34:O34" si="30">IF(L30-MAX(G30:K30)&lt;0,L30,MAX(G30:K30))</f>
        <v>1.7391241452577049</v>
      </c>
      <c r="M34" s="1">
        <f t="shared" si="30"/>
        <v>1.6682607369572517</v>
      </c>
      <c r="N34" s="1">
        <f t="shared" si="30"/>
        <v>1.4189308128041818</v>
      </c>
      <c r="O34" s="1">
        <f t="shared" si="30"/>
        <v>1.2359661382332288</v>
      </c>
      <c r="P34" s="1">
        <f>IF(P30-MAX(K30:O30)&lt;0,P30,MAX(K30:O30))</f>
        <v>0.47696236058312014</v>
      </c>
      <c r="Q34" s="1">
        <f>IF(Q30-MAX(L30:P30)&lt;0,Q30,MAX(L30:P30))</f>
        <v>0.40056871304837571</v>
      </c>
      <c r="S34" s="3"/>
    </row>
    <row r="35" spans="1:19" x14ac:dyDescent="0.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9"/>
        <v>4.4341508675696826</v>
      </c>
      <c r="G35" s="1">
        <f t="shared" si="29"/>
        <v>4.3986160636745861</v>
      </c>
      <c r="H35" s="1">
        <f t="shared" si="29"/>
        <v>4.6258881887018788</v>
      </c>
      <c r="I35" s="1">
        <f t="shared" si="29"/>
        <v>4.1143929104563126</v>
      </c>
      <c r="J35" s="1">
        <f>IF(J31-MAX(F31:I31)&lt;0,J31,MAX(F31:I31))</f>
        <v>2.8905583615125456</v>
      </c>
      <c r="K35" s="1">
        <f>IF(K31-MAX(F31:J31)&lt;0,K31,MAX(F31:J31))</f>
        <v>2.2299778603467404</v>
      </c>
      <c r="L35" s="1">
        <f t="shared" ref="L35:O35" si="31">IF(L31-MAX(G31:K31)&lt;0,L31,MAX(G31:K31))</f>
        <v>1.9180447064694783</v>
      </c>
      <c r="M35" s="1">
        <f t="shared" si="31"/>
        <v>1.6611769136905679</v>
      </c>
      <c r="N35" s="1">
        <f t="shared" si="31"/>
        <v>1.5168747001162441</v>
      </c>
      <c r="O35" s="1">
        <f t="shared" si="31"/>
        <v>1.3801752893643946</v>
      </c>
      <c r="P35" s="1">
        <f>IF(P31-MAX(K31:O31)&lt;0,P31,MAX(K31:O31))</f>
        <v>1.2749358334689969</v>
      </c>
      <c r="Q35" s="1">
        <f>IF(Q31-MAX(L31:P31)&lt;0,Q31,MAX(L31:P31))</f>
        <v>1.2214440415688272</v>
      </c>
      <c r="S35" s="3"/>
    </row>
    <row r="36" spans="1:19" x14ac:dyDescent="0.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3.4344208278865398E-3</v>
      </c>
      <c r="G36" s="1">
        <f>SUM([1]Transport!C$28,[1]Transport_Aviation_Intl!C$12)</f>
        <v>4.7058561587977702E-5</v>
      </c>
      <c r="H36" s="1">
        <f>SUM([1]Transport!D$28,[1]Transport_Aviation_Intl!D$12)</f>
        <v>5.7154662581354798E-3</v>
      </c>
      <c r="I36" s="1">
        <f>SUM([1]Transport!E$28,[1]Transport_Aviation_Intl!E$12)</f>
        <v>6.3642948069011407</v>
      </c>
      <c r="J36" s="1">
        <f>IF(J32-MAX(F32:I32)&lt;0,J32,MAX(F32:I32))</f>
        <v>6.3642948069011407</v>
      </c>
      <c r="K36" s="1">
        <f>IF(K32-MAX(G32:J32)&lt;0,K32,MAX(G32:J32))</f>
        <v>6.934336819922537</v>
      </c>
      <c r="L36" s="1">
        <f t="shared" ref="L36:O36" si="32">IF(L32-MAX(H32:K32)&lt;0,L32,MAX(H32:K32))</f>
        <v>7.0927247961881275</v>
      </c>
      <c r="M36" s="1">
        <f t="shared" si="32"/>
        <v>7.3613119627372186</v>
      </c>
      <c r="N36" s="1">
        <f t="shared" si="32"/>
        <v>7.519904205351799</v>
      </c>
      <c r="O36" s="1">
        <f t="shared" si="32"/>
        <v>7.5235105490846363</v>
      </c>
      <c r="P36" s="1">
        <f>IF(P32-MAX(L32:O32)&lt;0,P32,MAX(L32:O32))</f>
        <v>7.4072668238661707</v>
      </c>
      <c r="Q36" s="1">
        <f>IF(Q32-MAX(M32:P32)&lt;0,Q32,MAX(M32:P32))</f>
        <v>7.3845233229030596</v>
      </c>
      <c r="S36" s="3"/>
    </row>
    <row r="37" spans="1:19" x14ac:dyDescent="0.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33">SUM(G38:G40)</f>
        <v>0</v>
      </c>
      <c r="H37" s="1">
        <f t="shared" si="33"/>
        <v>0</v>
      </c>
      <c r="I37" s="1">
        <f t="shared" si="33"/>
        <v>0</v>
      </c>
      <c r="J37" s="1">
        <f t="shared" si="33"/>
        <v>0.57004201302139634</v>
      </c>
      <c r="K37" s="1">
        <f t="shared" si="33"/>
        <v>0.15838797626559042</v>
      </c>
      <c r="L37" s="1">
        <f t="shared" ref="L37:O37" si="34">SUM(L38:L40)</f>
        <v>0.26858716654909109</v>
      </c>
      <c r="M37" s="1">
        <f t="shared" si="34"/>
        <v>0.15859224261458049</v>
      </c>
      <c r="N37" s="1">
        <f t="shared" si="34"/>
        <v>3.6063437328373027E-3</v>
      </c>
      <c r="O37" s="1">
        <f t="shared" si="34"/>
        <v>2.801289401047935E-2</v>
      </c>
      <c r="P37" s="1">
        <f>SUM(P38:P40)</f>
        <v>0</v>
      </c>
      <c r="Q37" s="1">
        <f>SUM(Q38:Q40)</f>
        <v>0</v>
      </c>
      <c r="S37" s="3"/>
    </row>
    <row r="38" spans="1:19" x14ac:dyDescent="0.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5">J30-J34</f>
        <v>0</v>
      </c>
      <c r="K38" s="1">
        <f t="shared" si="35"/>
        <v>0</v>
      </c>
      <c r="L38" s="1">
        <f t="shared" ref="L38:O38" si="36">L30-L34</f>
        <v>0</v>
      </c>
      <c r="M38" s="1">
        <f t="shared" si="36"/>
        <v>0</v>
      </c>
      <c r="N38" s="1">
        <f t="shared" si="36"/>
        <v>0</v>
      </c>
      <c r="O38" s="1">
        <f t="shared" si="36"/>
        <v>0</v>
      </c>
      <c r="P38" s="1">
        <f t="shared" ref="P38:Q40" si="37">P30-P34</f>
        <v>0</v>
      </c>
      <c r="Q38" s="1">
        <f t="shared" si="37"/>
        <v>0</v>
      </c>
      <c r="S38" s="3"/>
    </row>
    <row r="39" spans="1:19" x14ac:dyDescent="0.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5"/>
        <v>0</v>
      </c>
      <c r="K39" s="1">
        <f t="shared" si="35"/>
        <v>0</v>
      </c>
      <c r="L39" s="1">
        <f t="shared" ref="L39:O39" si="38">L31-L35</f>
        <v>0</v>
      </c>
      <c r="M39" s="1">
        <f t="shared" si="38"/>
        <v>0</v>
      </c>
      <c r="N39" s="1">
        <f t="shared" si="38"/>
        <v>0</v>
      </c>
      <c r="O39" s="1">
        <f t="shared" si="38"/>
        <v>0</v>
      </c>
      <c r="P39" s="1">
        <f t="shared" si="37"/>
        <v>0</v>
      </c>
      <c r="Q39" s="1">
        <f t="shared" si="37"/>
        <v>0</v>
      </c>
      <c r="S39" s="3"/>
    </row>
    <row r="40" spans="1:19" x14ac:dyDescent="0.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5"/>
        <v>0.57004201302139634</v>
      </c>
      <c r="K40" s="1">
        <f t="shared" si="35"/>
        <v>0.15838797626559042</v>
      </c>
      <c r="L40" s="1">
        <f t="shared" ref="L40:O40" si="39">L32-L36</f>
        <v>0.26858716654909109</v>
      </c>
      <c r="M40" s="1">
        <f t="shared" si="39"/>
        <v>0.15859224261458049</v>
      </c>
      <c r="N40" s="1">
        <f t="shared" si="39"/>
        <v>3.6063437328373027E-3</v>
      </c>
      <c r="O40" s="1">
        <f t="shared" si="39"/>
        <v>2.801289401047935E-2</v>
      </c>
      <c r="P40" s="1">
        <f t="shared" si="37"/>
        <v>0</v>
      </c>
      <c r="Q40" s="1">
        <f t="shared" si="37"/>
        <v>0</v>
      </c>
      <c r="S40" s="3"/>
    </row>
    <row r="41" spans="1:19" x14ac:dyDescent="0.5">
      <c r="A41" s="5" t="str">
        <f t="shared" ref="A41:C42" si="40">A28</f>
        <v>STEM</v>
      </c>
      <c r="B41" s="5" t="str">
        <f t="shared" si="40"/>
        <v>SPS1</v>
      </c>
      <c r="C41" s="5" t="str">
        <f t="shared" si="40"/>
        <v>CH</v>
      </c>
      <c r="D41" t="s">
        <v>783</v>
      </c>
      <c r="E41" t="s">
        <v>8</v>
      </c>
      <c r="F41" s="1">
        <f>F42+F45</f>
        <v>117.179992358166</v>
      </c>
      <c r="G41" s="1">
        <f t="shared" ref="G41:K41" si="41">G42+G45</f>
        <v>107.23650028651454</v>
      </c>
      <c r="H41" s="1">
        <f t="shared" si="41"/>
        <v>113.02250335022491</v>
      </c>
      <c r="I41" s="1">
        <f t="shared" si="41"/>
        <v>121.53155706643041</v>
      </c>
      <c r="J41" s="1">
        <f t="shared" si="41"/>
        <v>127.06256761897647</v>
      </c>
      <c r="K41" s="1">
        <f t="shared" si="41"/>
        <v>128.76082660577518</v>
      </c>
      <c r="L41" s="1">
        <f t="shared" ref="L41:O41" si="42">L42+L45</f>
        <v>129.44741307375963</v>
      </c>
      <c r="M41" s="1">
        <f t="shared" si="42"/>
        <v>127.90314773701063</v>
      </c>
      <c r="N41" s="1">
        <f t="shared" si="42"/>
        <v>125.34270655387624</v>
      </c>
      <c r="O41" s="1">
        <f t="shared" si="42"/>
        <v>121.42290120206074</v>
      </c>
      <c r="P41" s="1">
        <f>P42+P45</f>
        <v>121.90786480040046</v>
      </c>
      <c r="Q41" s="1">
        <f>Q42+Q45</f>
        <v>111.06989054948407</v>
      </c>
      <c r="S41" s="3"/>
    </row>
    <row r="42" spans="1:19" x14ac:dyDescent="0.5">
      <c r="A42" s="5" t="str">
        <f t="shared" si="40"/>
        <v>STEM</v>
      </c>
      <c r="B42" s="5" t="str">
        <f t="shared" si="40"/>
        <v>SPS1</v>
      </c>
      <c r="C42" s="5" t="str">
        <f t="shared" si="40"/>
        <v>CH</v>
      </c>
      <c r="D42" t="s">
        <v>549</v>
      </c>
      <c r="E42" t="s">
        <v>8</v>
      </c>
      <c r="F42" s="1">
        <f>F43+F44</f>
        <v>117.179992358166</v>
      </c>
      <c r="G42" s="1">
        <f t="shared" ref="G42:K42" si="43">G43+G44</f>
        <v>106.719999710191</v>
      </c>
      <c r="H42" s="1">
        <f t="shared" si="43"/>
        <v>111.85536341757711</v>
      </c>
      <c r="I42" s="1">
        <f t="shared" si="43"/>
        <v>119.29480957895446</v>
      </c>
      <c r="J42" s="1">
        <f t="shared" si="43"/>
        <v>123.21342903358065</v>
      </c>
      <c r="K42" s="1">
        <f t="shared" si="43"/>
        <v>122.61626740605678</v>
      </c>
      <c r="L42" s="1">
        <f t="shared" ref="L42:O42" si="44">L43+L44</f>
        <v>123.03128318719953</v>
      </c>
      <c r="M42" s="1">
        <f t="shared" si="44"/>
        <v>121.18939842293126</v>
      </c>
      <c r="N42" s="1">
        <f t="shared" si="44"/>
        <v>118.24533230937786</v>
      </c>
      <c r="O42" s="1">
        <f t="shared" si="44"/>
        <v>114.0237505416936</v>
      </c>
      <c r="P42" s="1">
        <f>P43+P44</f>
        <v>113.50308052009295</v>
      </c>
      <c r="Q42" s="1">
        <f>Q43+Q44</f>
        <v>102.39372158974508</v>
      </c>
      <c r="S42" s="3"/>
    </row>
    <row r="43" spans="1:19" x14ac:dyDescent="0.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117.179992358166</v>
      </c>
      <c r="G43" s="1" cm="1">
        <f t="array" ref="G43">SUMPRODUCT(("NGA"=[1]OUT_PrimaryEnergyCons!$C$4:$C$10000)*1,[1]OUT_PrimaryEnergyCons!E$4:E$10000)</f>
        <v>106.719999710191</v>
      </c>
      <c r="H43" s="1" cm="1">
        <f t="array" ref="H43">SUMPRODUCT(("NGA"=[1]OUT_PrimaryEnergyCons!$C$4:$C$10000)*1,[1]OUT_PrimaryEnergyCons!F$4:F$10000)</f>
        <v>111.85536341757711</v>
      </c>
      <c r="I43" s="1" cm="1">
        <f t="array" ref="I43">SUMPRODUCT(("NGA"=[1]OUT_PrimaryEnergyCons!$C$4:$C$10000)*1,[1]OUT_PrimaryEnergyCons!G$4:G$10000)</f>
        <v>119.29208139967406</v>
      </c>
      <c r="J43" s="1" cm="1">
        <f t="array" ref="J43">SUMPRODUCT(("NGA"=[1]OUT_PrimaryEnergyCons!$C$4:$C$10000)*1,[1]OUT_PrimaryEnergyCons!H$4:H$10000)</f>
        <v>123.20896460662078</v>
      </c>
      <c r="K43" s="1" cm="1">
        <f t="array" ref="K43">SUMPRODUCT(("NGA"=[1]OUT_PrimaryEnergyCons!$C$4:$C$10000)*1,[1]OUT_PrimaryEnergyCons!I$4:I$10000)</f>
        <v>122.61194421280297</v>
      </c>
      <c r="L43" s="1" cm="1">
        <f t="array" ref="L43">SUMPRODUCT(("NGA"=[1]OUT_PrimaryEnergyCons!$C$4:$C$10000)*1,[1]OUT_PrimaryEnergyCons!J$4:J$10000)</f>
        <v>123.02643399797783</v>
      </c>
      <c r="M43" s="1" cm="1">
        <f t="array" ref="M43">SUMPRODUCT(("NGA"=[1]OUT_PrimaryEnergyCons!$C$4:$C$10000)*1,[1]OUT_PrimaryEnergyCons!K$4:K$10000)</f>
        <v>121.17909050598756</v>
      </c>
      <c r="N43" s="1" cm="1">
        <f t="array" ref="N43">SUMPRODUCT(("NGA"=[1]OUT_PrimaryEnergyCons!$C$4:$C$10000)*1,[1]OUT_PrimaryEnergyCons!L$4:L$10000)</f>
        <v>118.24002020276643</v>
      </c>
      <c r="O43" s="1" cm="1">
        <f t="array" ref="O43">SUMPRODUCT(("NGA"=[1]OUT_PrimaryEnergyCons!$C$4:$C$10000)*1,[1]OUT_PrimaryEnergyCons!M$4:M$10000)</f>
        <v>114.01370809971212</v>
      </c>
      <c r="P43" s="1" cm="1">
        <f t="array" ref="P43">SUMPRODUCT(("NGA"=[1]OUT_PrimaryEnergyCons!$C$4:$C$10000)*1,[1]OUT_PrimaryEnergyCons!N$4:N$10000)</f>
        <v>113.49503984898517</v>
      </c>
      <c r="Q43" s="1" cm="1">
        <f t="array" ref="Q43">SUMPRODUCT(("NGA"=[1]OUT_PrimaryEnergyCons!$C$4:$C$10000)*1,[1]OUT_PrimaryEnergyCons!O$4:O$10000)</f>
        <v>102.37659024411514</v>
      </c>
      <c r="S43" s="3"/>
    </row>
    <row r="44" spans="1:19" x14ac:dyDescent="0.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2.7281792803958752E-3</v>
      </c>
      <c r="J44" s="1" cm="1">
        <f t="array" ref="J44">SUMPRODUCT(("LNGA"=[1]OUT_PrimaryEnergyCons!$C$4:$C$10000)*1,[1]OUT_PrimaryEnergyCons!H$4:H$10000)</f>
        <v>4.4644269598669954E-3</v>
      </c>
      <c r="K44" s="1" cm="1">
        <f t="array" ref="K44">SUMPRODUCT(("LNGA"=[1]OUT_PrimaryEnergyCons!$C$4:$C$10000)*1,[1]OUT_PrimaryEnergyCons!I$4:I$10000)</f>
        <v>4.3231932538101208E-3</v>
      </c>
      <c r="L44" s="1" cm="1">
        <f t="array" ref="L44">SUMPRODUCT(("LNGA"=[1]OUT_PrimaryEnergyCons!$C$4:$C$10000)*1,[1]OUT_PrimaryEnergyCons!J$4:J$10000)</f>
        <v>4.8491892217044121E-3</v>
      </c>
      <c r="M44" s="1" cm="1">
        <f t="array" ref="M44">SUMPRODUCT(("LNGA"=[1]OUT_PrimaryEnergyCons!$C$4:$C$10000)*1,[1]OUT_PrimaryEnergyCons!K$4:K$10000)</f>
        <v>1.0307916943695703E-2</v>
      </c>
      <c r="N44" s="1" cm="1">
        <f t="array" ref="N44">SUMPRODUCT(("LNGA"=[1]OUT_PrimaryEnergyCons!$C$4:$C$10000)*1,[1]OUT_PrimaryEnergyCons!L$4:L$10000)</f>
        <v>5.3121066114248721E-3</v>
      </c>
      <c r="O44" s="1" cm="1">
        <f t="array" ref="O44">SUMPRODUCT(("LNGA"=[1]OUT_PrimaryEnergyCons!$C$4:$C$10000)*1,[1]OUT_PrimaryEnergyCons!M$4:M$10000)</f>
        <v>1.0042441981479333E-2</v>
      </c>
      <c r="P44" s="1" cm="1">
        <f t="array" ref="P44">SUMPRODUCT(("LNGA"=[1]OUT_PrimaryEnergyCons!$C$4:$C$10000)*1,[1]OUT_PrimaryEnergyCons!N$4:N$10000)</f>
        <v>8.0406711077735914E-3</v>
      </c>
      <c r="Q44" s="1" cm="1">
        <f t="array" ref="Q44">SUMPRODUCT(("LNGA"=[1]OUT_PrimaryEnergyCons!$C$4:$C$10000)*1,[1]OUT_PrimaryEnergyCons!O$4:O$10000)</f>
        <v>1.7131345629944773E-2</v>
      </c>
      <c r="S44" s="3"/>
    </row>
    <row r="45" spans="1:19" x14ac:dyDescent="0.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0.51650057632353596</v>
      </c>
      <c r="H45" s="1" cm="1">
        <f t="array" ref="H45">SUMPRODUCT(("BIO"=[1]OUT_PrimaryEnergyCons!$C$4:$C$10000)*1+("LBIO"=[1]OUT_PrimaryEnergyCons!$C$4:$C$10000)*1,[1]OUT_PrimaryEnergyCons!F$4:F$10000)</f>
        <v>1.1671399326477991</v>
      </c>
      <c r="I45" s="1" cm="1">
        <f t="array" ref="I45">SUMPRODUCT(("BIO"=[1]OUT_PrimaryEnergyCons!$C$4:$C$10000)*1+("LBIO"=[1]OUT_PrimaryEnergyCons!$C$4:$C$10000)*1,[1]OUT_PrimaryEnergyCons!G$4:G$10000)</f>
        <v>2.2367474874759528</v>
      </c>
      <c r="J45" s="1" cm="1">
        <f t="array" ref="J45">SUMPRODUCT(("BIO"=[1]OUT_PrimaryEnergyCons!$C$4:$C$10000)*1+("LBIO"=[1]OUT_PrimaryEnergyCons!$C$4:$C$10000)*1,[1]OUT_PrimaryEnergyCons!H$4:H$10000)</f>
        <v>3.8491385853958233</v>
      </c>
      <c r="K45" s="1" cm="1">
        <f t="array" ref="K45">SUMPRODUCT(("BIO"=[1]OUT_PrimaryEnergyCons!$C$4:$C$10000)*1+("LBIO"=[1]OUT_PrimaryEnergyCons!$C$4:$C$10000)*1,[1]OUT_PrimaryEnergyCons!I$4:I$10000)</f>
        <v>6.1445591997183886</v>
      </c>
      <c r="L45" s="1" cm="1">
        <f t="array" ref="L45">SUMPRODUCT(("BIO"=[1]OUT_PrimaryEnergyCons!$C$4:$C$10000)*1+("LBIO"=[1]OUT_PrimaryEnergyCons!$C$4:$C$10000)*1,[1]OUT_PrimaryEnergyCons!J$4:J$10000)</f>
        <v>6.4161298865601033</v>
      </c>
      <c r="M45" s="1" cm="1">
        <f t="array" ref="M45">SUMPRODUCT(("BIO"=[1]OUT_PrimaryEnergyCons!$C$4:$C$10000)*1+("LBIO"=[1]OUT_PrimaryEnergyCons!$C$4:$C$10000)*1,[1]OUT_PrimaryEnergyCons!K$4:K$10000)</f>
        <v>6.7137493140793625</v>
      </c>
      <c r="N45" s="1" cm="1">
        <f t="array" ref="N45">SUMPRODUCT(("BIO"=[1]OUT_PrimaryEnergyCons!$C$4:$C$10000)*1+("LBIO"=[1]OUT_PrimaryEnergyCons!$C$4:$C$10000)*1,[1]OUT_PrimaryEnergyCons!L$4:L$10000)</f>
        <v>7.0973742444983801</v>
      </c>
      <c r="O45" s="1" cm="1">
        <f t="array" ref="O45">SUMPRODUCT(("BIO"=[1]OUT_PrimaryEnergyCons!$C$4:$C$10000)*1+("LBIO"=[1]OUT_PrimaryEnergyCons!$C$4:$C$10000)*1,[1]OUT_PrimaryEnergyCons!M$4:M$10000)</f>
        <v>7.3991506603671375</v>
      </c>
      <c r="P45" s="1" cm="1">
        <f t="array" ref="P45">SUMPRODUCT(("BIO"=[1]OUT_PrimaryEnergyCons!$C$4:$C$10000)*1+("LBIO"=[1]OUT_PrimaryEnergyCons!$C$4:$C$10000)*1,[1]OUT_PrimaryEnergyCons!N$4:N$10000)</f>
        <v>8.4047842803075099</v>
      </c>
      <c r="Q45" s="1" cm="1">
        <f t="array" ref="Q45">SUMPRODUCT(("BIO"=[1]OUT_PrimaryEnergyCons!$C$4:$C$10000)*1+("LBIO"=[1]OUT_PrimaryEnergyCons!$C$4:$C$10000)*1,[1]OUT_PrimaryEnergyCons!O$4:O$10000)</f>
        <v>8.676168959738991</v>
      </c>
      <c r="S45" s="3"/>
    </row>
    <row r="46" spans="1:19" x14ac:dyDescent="0.5">
      <c r="A46" s="5" t="str">
        <f t="shared" ref="A46:C47" si="45">A45</f>
        <v>STEM</v>
      </c>
      <c r="B46" s="5" t="str">
        <f t="shared" si="45"/>
        <v>SPS1</v>
      </c>
      <c r="C46" s="5" t="str">
        <f t="shared" si="45"/>
        <v>CH</v>
      </c>
      <c r="D46" t="s">
        <v>785</v>
      </c>
      <c r="E46" t="s">
        <v>8</v>
      </c>
      <c r="F46" s="1">
        <f t="shared" ref="F46:O46" si="46">F47</f>
        <v>0</v>
      </c>
      <c r="G46" s="1">
        <f t="shared" si="46"/>
        <v>0.51650057632353596</v>
      </c>
      <c r="H46" s="1">
        <f t="shared" si="46"/>
        <v>1.1671399326477991</v>
      </c>
      <c r="I46" s="1">
        <f t="shared" si="46"/>
        <v>2.2367474874759528</v>
      </c>
      <c r="J46" s="1">
        <f t="shared" si="46"/>
        <v>2.2367474874759528</v>
      </c>
      <c r="K46" s="1">
        <f t="shared" si="46"/>
        <v>3.8491385853958233</v>
      </c>
      <c r="L46" s="1">
        <f t="shared" si="46"/>
        <v>6.1445591997183886</v>
      </c>
      <c r="M46" s="1">
        <f t="shared" si="46"/>
        <v>6.4161298865601033</v>
      </c>
      <c r="N46" s="1">
        <f t="shared" si="46"/>
        <v>6.7137493140793625</v>
      </c>
      <c r="O46" s="1">
        <f t="shared" si="46"/>
        <v>7.0973742444983801</v>
      </c>
      <c r="P46" s="1">
        <f>P47</f>
        <v>7.3991506603671375</v>
      </c>
      <c r="Q46" s="1">
        <f>Q47</f>
        <v>8.4047842803075099</v>
      </c>
      <c r="S46" s="3"/>
    </row>
    <row r="47" spans="1:19" x14ac:dyDescent="0.5">
      <c r="A47" s="5" t="str">
        <f t="shared" si="45"/>
        <v>STEM</v>
      </c>
      <c r="B47" s="5" t="str">
        <f t="shared" si="45"/>
        <v>SPS1</v>
      </c>
      <c r="C47" s="5" t="str">
        <f t="shared" si="45"/>
        <v>CH</v>
      </c>
      <c r="D47" t="s">
        <v>611</v>
      </c>
      <c r="E47" t="s">
        <v>8</v>
      </c>
      <c r="F47" s="1">
        <f>F45</f>
        <v>0</v>
      </c>
      <c r="G47" s="1">
        <f>G45</f>
        <v>0.51650057632353596</v>
      </c>
      <c r="H47" s="1">
        <f>H45</f>
        <v>1.1671399326477991</v>
      </c>
      <c r="I47" s="1">
        <f>I45</f>
        <v>2.2367474874759528</v>
      </c>
      <c r="J47" s="1">
        <f>IF(J45-MAX(F45:I45)&lt;0,J45,MAX(F45:I45))</f>
        <v>2.2367474874759528</v>
      </c>
      <c r="K47" s="1">
        <f>IF(K45-MAX(G45:J45)&lt;0,K45,MAX(G45:J45))</f>
        <v>3.8491385853958233</v>
      </c>
      <c r="L47" s="1">
        <f t="shared" ref="L47:O47" si="47">IF(L45-MAX(H45:K45)&lt;0,L45,MAX(H45:K45))</f>
        <v>6.1445591997183886</v>
      </c>
      <c r="M47" s="1">
        <f t="shared" si="47"/>
        <v>6.4161298865601033</v>
      </c>
      <c r="N47" s="1">
        <f t="shared" si="47"/>
        <v>6.7137493140793625</v>
      </c>
      <c r="O47" s="1">
        <f t="shared" si="47"/>
        <v>7.0973742444983801</v>
      </c>
      <c r="P47" s="1">
        <f>IF(P45-MAX(L45:O45)&lt;0,P45,MAX(L45:O45))</f>
        <v>7.3991506603671375</v>
      </c>
      <c r="Q47" s="1">
        <f>IF(Q45-MAX(M45:P45)&lt;0,Q45,MAX(M45:P45))</f>
        <v>8.4047842803075099</v>
      </c>
      <c r="S47" s="3"/>
    </row>
    <row r="48" spans="1:19" x14ac:dyDescent="0.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O48" si="48">F49</f>
        <v>0</v>
      </c>
      <c r="G48" s="1">
        <f t="shared" si="48"/>
        <v>0</v>
      </c>
      <c r="H48" s="1">
        <f t="shared" si="48"/>
        <v>0</v>
      </c>
      <c r="I48" s="1">
        <f t="shared" si="48"/>
        <v>0</v>
      </c>
      <c r="J48" s="1">
        <f t="shared" si="48"/>
        <v>1.6123910979198706</v>
      </c>
      <c r="K48" s="1">
        <f t="shared" si="48"/>
        <v>2.2954206143225653</v>
      </c>
      <c r="L48" s="1">
        <f t="shared" si="48"/>
        <v>0.2715706868417147</v>
      </c>
      <c r="M48" s="1">
        <f t="shared" si="48"/>
        <v>0.29761942751925918</v>
      </c>
      <c r="N48" s="1">
        <f t="shared" si="48"/>
        <v>0.38362493041901757</v>
      </c>
      <c r="O48" s="1">
        <f t="shared" si="48"/>
        <v>0.30177641586875747</v>
      </c>
      <c r="P48" s="1">
        <f>P49</f>
        <v>1.0056336199403724</v>
      </c>
      <c r="Q48" s="1">
        <f>Q49</f>
        <v>0.27138467943148115</v>
      </c>
      <c r="S48" s="3"/>
    </row>
    <row r="49" spans="1:19" x14ac:dyDescent="0.5">
      <c r="A49" s="5" t="str">
        <f t="shared" ref="A49" si="49">A47</f>
        <v>STEM</v>
      </c>
      <c r="B49" s="5" t="str">
        <f t="shared" ref="B49" si="50">B47</f>
        <v>SPS1</v>
      </c>
      <c r="C49" s="5" t="str">
        <f t="shared" ref="C49" si="51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1.6123910979198706</v>
      </c>
      <c r="K49" s="1">
        <f>K45-K47</f>
        <v>2.2954206143225653</v>
      </c>
      <c r="L49" s="1">
        <f t="shared" ref="L49:O49" si="52">L45-L47</f>
        <v>0.2715706868417147</v>
      </c>
      <c r="M49" s="1">
        <f t="shared" si="52"/>
        <v>0.29761942751925918</v>
      </c>
      <c r="N49" s="1">
        <f t="shared" si="52"/>
        <v>0.38362493041901757</v>
      </c>
      <c r="O49" s="1">
        <f t="shared" si="52"/>
        <v>0.30177641586875747</v>
      </c>
      <c r="P49" s="1">
        <f>P45-P47</f>
        <v>1.0056336199403724</v>
      </c>
      <c r="Q49" s="1">
        <f>Q45-Q47</f>
        <v>0.27138467943148115</v>
      </c>
      <c r="S49" s="3"/>
    </row>
    <row r="50" spans="1:19" x14ac:dyDescent="0.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250.94822050099731</v>
      </c>
      <c r="G50" s="1" cm="1">
        <f t="array" ref="G50">SUMPRODUCT(("urn"=[1]OUT_PrimaryEnergyCons!$C$4:$C$10000)*1,[1]OUT_PrimaryEnergyCons!E$4:E$10000)</f>
        <v>254.39227640808039</v>
      </c>
      <c r="H50" s="1" cm="1">
        <f t="array" ref="H50">SUMPRODUCT(("urn"=[1]OUT_PrimaryEnergyCons!$C$4:$C$10000)*1,[1]OUT_PrimaryEnergyCons!F$4:F$10000)</f>
        <v>224.07675972322781</v>
      </c>
      <c r="I50" s="1" cm="1">
        <f t="array" ref="I50">SUMPRODUCT(("urn"=[1]OUT_PrimaryEnergyCons!$C$4:$C$10000)*1,[1]OUT_PrimaryEnergyCons!G$4:G$10000)</f>
        <v>221.50615815365475</v>
      </c>
      <c r="J50" s="1" cm="1">
        <f t="array" ref="J50">SUMPRODUCT(("urn"=[1]OUT_PrimaryEnergyCons!$C$4:$C$10000)*1,[1]OUT_PrimaryEnergyCons!H$4:H$10000)</f>
        <v>174.32481921688765</v>
      </c>
      <c r="K50" s="1" cm="1">
        <f t="array" ref="K50">SUMPRODUCT(("urn"=[1]OUT_PrimaryEnergyCons!$C$4:$C$10000)*1,[1]OUT_PrimaryEnergyCons!I$4:I$10000)</f>
        <v>100.00284405132813</v>
      </c>
      <c r="L50" s="1" cm="1">
        <f t="array" ref="L50">SUMPRODUCT(("urn"=[1]OUT_PrimaryEnergyCons!$C$4:$C$10000)*1,[1]OUT_PrimaryEnergyCons!J$4:J$10000)</f>
        <v>10.573387569910054</v>
      </c>
      <c r="M50" s="1" cm="1">
        <f t="array" ref="M50">SUMPRODUCT(("urn"=[1]OUT_PrimaryEnergyCons!$C$4:$C$10000)*1,[1]OUT_PrimaryEnergyCons!K$4:K$10000)</f>
        <v>18.960487767411369</v>
      </c>
      <c r="N50" s="1" cm="1">
        <f t="array" ref="N50">SUMPRODUCT(("urn"=[1]OUT_PrimaryEnergyCons!$C$4:$C$10000)*1,[1]OUT_PrimaryEnergyCons!L$4:L$10000)</f>
        <v>20.834040217021769</v>
      </c>
      <c r="O50" s="1" cm="1">
        <f t="array" ref="O50">SUMPRODUCT(("urn"=[1]OUT_PrimaryEnergyCons!$C$4:$C$10000)*1,[1]OUT_PrimaryEnergyCons!M$4:M$10000)</f>
        <v>20.208293096839316</v>
      </c>
      <c r="P50" s="1" cm="1">
        <f t="array" ref="P50">SUMPRODUCT(("urn"=[1]OUT_PrimaryEnergyCons!$C$4:$C$10000)*1,[1]OUT_PrimaryEnergyCons!N$4:N$10000)</f>
        <v>20.686842005602589</v>
      </c>
      <c r="Q50" s="1" cm="1">
        <f t="array" ref="Q50">SUMPRODUCT(("urn"=[1]OUT_PrimaryEnergyCons!$C$4:$C$10000)*1,[1]OUT_PrimaryEnergyCons!O$4:O$10000)</f>
        <v>21.476640339703611</v>
      </c>
      <c r="S50" s="3"/>
    </row>
    <row r="51" spans="1:19" x14ac:dyDescent="0.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97.160000825930268</v>
      </c>
      <c r="G51" s="1">
        <f t="shared" ref="G51:K51" si="53">SUM(G52:G55)</f>
        <v>50.277964830084329</v>
      </c>
      <c r="H51" s="1">
        <f t="shared" si="53"/>
        <v>50.455559217679294</v>
      </c>
      <c r="I51" s="1">
        <f t="shared" si="53"/>
        <v>50.739369406921334</v>
      </c>
      <c r="J51" s="1">
        <f t="shared" si="53"/>
        <v>56.290874588830619</v>
      </c>
      <c r="K51" s="1">
        <f t="shared" si="53"/>
        <v>59.661479231137932</v>
      </c>
      <c r="L51" s="1">
        <f t="shared" ref="L51:O51" si="54">SUM(L52:L55)</f>
        <v>65.439526595049315</v>
      </c>
      <c r="M51" s="1">
        <f t="shared" si="54"/>
        <v>55.664053971272715</v>
      </c>
      <c r="N51" s="1">
        <f t="shared" si="54"/>
        <v>69.098707178962059</v>
      </c>
      <c r="O51" s="1">
        <f t="shared" si="54"/>
        <v>69.16370771163804</v>
      </c>
      <c r="P51" s="1">
        <f>SUM(P52:P55)</f>
        <v>69.170454425594258</v>
      </c>
      <c r="Q51" s="1">
        <f>SUM(Q52:Q55)</f>
        <v>69.150411411960903</v>
      </c>
      <c r="S51" s="3"/>
    </row>
    <row r="52" spans="1:19" x14ac:dyDescent="0.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15.013805767966563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3.2348978944708118E-2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2.1273176657239132E-2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2.4903823997995771E-2</v>
      </c>
      <c r="J52" s="1" cm="1">
        <f t="array" ref="J52">SUMPRODUCT(([1]OUT_Electricity_CHP!$B$1:$B$10000="G-INTC-IMP00-AT")*1,([1]OUT_Electricity_CHP!$C$1:$C$10000="Var_Fout")*1,ISNUMBER(SEARCH("ELC",[1]OUT_Electricity_CHP!$D$1:$D$10000))*1,[1]OUT_Electricity_CHP!I$1:I$10000)</f>
        <v>1.723698404042847E-2</v>
      </c>
      <c r="K52" s="1" cm="1">
        <f t="array" ref="K52">SUMPRODUCT(([1]OUT_Electricity_CHP!$B$1:$B$10000="G-INTC-IMP00-AT")*1,([1]OUT_Electricity_CHP!$C$1:$C$10000="Var_Fout")*1,ISNUMBER(SEARCH("ELC",[1]OUT_Electricity_CHP!$D$1:$D$10000))*1,[1]OUT_Electricity_CHP!J$1:J$10000)</f>
        <v>1.3495857602633983E-2</v>
      </c>
      <c r="L52" s="1" cm="1">
        <f t="array" ref="L52">SUMPRODUCT(([1]OUT_Electricity_CHP!$B$1:$B$10000="G-INTC-IMP00-AT")*1,([1]OUT_Electricity_CHP!$C$1:$C$10000="Var_Fout")*1,ISNUMBER(SEARCH("ELC",[1]OUT_Electricity_CHP!$D$1:$D$10000))*1,[1]OUT_Electricity_CHP!K$1:K$10000)</f>
        <v>1.2006718692243193E-2</v>
      </c>
      <c r="M52" s="1" cm="1">
        <f t="array" ref="M52">SUMPRODUCT(([1]OUT_Electricity_CHP!$B$1:$B$10000="G-INTC-IMP00-AT")*1,([1]OUT_Electricity_CHP!$C$1:$C$10000="Var_Fout")*1,ISNUMBER(SEARCH("ELC",[1]OUT_Electricity_CHP!$D$1:$D$10000))*1,[1]OUT_Electricity_CHP!L$1:L$10000)</f>
        <v>1.4038732077328078E-2</v>
      </c>
      <c r="N52" s="1" cm="1">
        <f t="array" ref="N52">SUMPRODUCT(([1]OUT_Electricity_CHP!$B$1:$B$10000="G-INTC-IMP00-AT")*1,([1]OUT_Electricity_CHP!$C$1:$C$10000="Var_Fout")*1,ISNUMBER(SEARCH("ELC",[1]OUT_Electricity_CHP!$D$1:$D$10000))*1,[1]OUT_Electricity_CHP!M$1:M$10000)</f>
        <v>1.4162363022177082E-2</v>
      </c>
      <c r="O52" s="1" cm="1">
        <f t="array" ref="O52">SUMPRODUCT(([1]OUT_Electricity_CHP!$B$1:$B$10000="G-INTC-IMP00-AT")*1,([1]OUT_Electricity_CHP!$C$1:$C$10000="Var_Fout")*1,ISNUMBER(SEARCH("ELC",[1]OUT_Electricity_CHP!$D$1:$D$10000))*1,[1]OUT_Electricity_CHP!N$1:N$10000)</f>
        <v>2.5669514173091275E-2</v>
      </c>
      <c r="P52" s="1" cm="1">
        <f t="array" ref="P52">SUMPRODUCT(([1]OUT_Electricity_CHP!$B$1:$B$10000="G-INTC-IMP00-AT")*1,([1]OUT_Electricity_CHP!$C$1:$C$10000="Var_Fout")*1,ISNUMBER(SEARCH("ELC",[1]OUT_Electricity_CHP!$D$1:$D$10000))*1,[1]OUT_Electricity_CHP!O$1:O$10000)</f>
        <v>3.0824620414223881E-2</v>
      </c>
      <c r="Q52" s="1" cm="1">
        <f t="array" ref="Q52">SUMPRODUCT(([1]OUT_Electricity_CHP!$B$1:$B$10000="G-INTC-IMP00-AT")*1,([1]OUT_Electricity_CHP!$C$1:$C$10000="Var_Fout")*1,ISNUMBER(SEARCH("ELC",[1]OUT_Electricity_CHP!$D$1:$D$10000))*1,[1]OUT_Electricity_CHP!P$1:P$10000)</f>
        <v>4.8638721438372806E-2</v>
      </c>
      <c r="S52" s="3"/>
    </row>
    <row r="53" spans="1:19" x14ac:dyDescent="0.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28.948621071489502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17.842806384503117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21.629474422216301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15.318027964312433</v>
      </c>
      <c r="J53" s="1" cm="1">
        <f t="array" ref="J53">SUMPRODUCT(([1]OUT_Electricity_CHP!$B$1:$B$10000="G-INTC-IMP00-fr")*1,([1]OUT_Electricity_CHP!$C$1:$C$10000="Var_Fout")*1,ISNUMBER(SEARCH("ELC",[1]OUT_Electricity_CHP!$D$1:$D$10000))*1,[1]OUT_Electricity_CHP!I$1:I$10000)</f>
        <v>21.674573373415317</v>
      </c>
      <c r="K53" s="1" cm="1">
        <f t="array" ref="K53">SUMPRODUCT(([1]OUT_Electricity_CHP!$B$1:$B$10000="G-INTC-IMP00-fr")*1,([1]OUT_Electricity_CHP!$C$1:$C$10000="Var_Fout")*1,ISNUMBER(SEARCH("ELC",[1]OUT_Electricity_CHP!$D$1:$D$10000))*1,[1]OUT_Electricity_CHP!J$1:J$10000)</f>
        <v>30.040725096488366</v>
      </c>
      <c r="L53" s="1" cm="1">
        <f t="array" ref="L53">SUMPRODUCT(([1]OUT_Electricity_CHP!$B$1:$B$10000="G-INTC-IMP00-fr")*1,([1]OUT_Electricity_CHP!$C$1:$C$10000="Var_Fout")*1,ISNUMBER(SEARCH("ELC",[1]OUT_Electricity_CHP!$D$1:$D$10000))*1,[1]OUT_Electricity_CHP!K$1:K$10000)</f>
        <v>33.661825423806533</v>
      </c>
      <c r="M53" s="1" cm="1">
        <f t="array" ref="M53">SUMPRODUCT(([1]OUT_Electricity_CHP!$B$1:$B$10000="G-INTC-IMP00-fr")*1,([1]OUT_Electricity_CHP!$C$1:$C$10000="Var_Fout")*1,ISNUMBER(SEARCH("ELC",[1]OUT_Electricity_CHP!$D$1:$D$10000))*1,[1]OUT_Electricity_CHP!L$1:L$10000)</f>
        <v>28.883336746924989</v>
      </c>
      <c r="N53" s="1" cm="1">
        <f t="array" ref="N53">SUMPRODUCT(([1]OUT_Electricity_CHP!$B$1:$B$10000="G-INTC-IMP00-fr")*1,([1]OUT_Electricity_CHP!$C$1:$C$10000="Var_Fout")*1,ISNUMBER(SEARCH("ELC",[1]OUT_Electricity_CHP!$D$1:$D$10000))*1,[1]OUT_Electricity_CHP!M$1:M$10000)</f>
        <v>64.534875695677087</v>
      </c>
      <c r="O53" s="1" cm="1">
        <f t="array" ref="O53">SUMPRODUCT(([1]OUT_Electricity_CHP!$B$1:$B$10000="G-INTC-IMP00-fr")*1,([1]OUT_Electricity_CHP!$C$1:$C$10000="Var_Fout")*1,ISNUMBER(SEARCH("ELC",[1]OUT_Electricity_CHP!$D$1:$D$10000))*1,[1]OUT_Electricity_CHP!N$1:N$10000)</f>
        <v>69.125568182108495</v>
      </c>
      <c r="P53" s="1" cm="1">
        <f t="array" ref="P53">SUMPRODUCT(([1]OUT_Electricity_CHP!$B$1:$B$10000="G-INTC-IMP00-fr")*1,([1]OUT_Electricity_CHP!$C$1:$C$10000="Var_Fout")*1,ISNUMBER(SEARCH("ELC",[1]OUT_Electricity_CHP!$D$1:$D$10000))*1,[1]OUT_Electricity_CHP!O$1:O$10000)</f>
        <v>69.133379208870167</v>
      </c>
      <c r="Q53" s="1" cm="1">
        <f t="array" ref="Q53">SUMPRODUCT(([1]OUT_Electricity_CHP!$B$1:$B$10000="G-INTC-IMP00-fr")*1,([1]OUT_Electricity_CHP!$C$1:$C$10000="Var_Fout")*1,ISNUMBER(SEARCH("ELC",[1]OUT_Electricity_CHP!$D$1:$D$10000))*1,[1]OUT_Electricity_CHP!P$1:P$10000)</f>
        <v>69.088456410370114</v>
      </c>
      <c r="S53" s="3"/>
    </row>
    <row r="54" spans="1:19" x14ac:dyDescent="0.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46.398475558409203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32.401549918431002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28.803772565747742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35.395959098908072</v>
      </c>
      <c r="J54" s="1" cm="1">
        <f t="array" ref="J54">SUMPRODUCT(([1]OUT_Electricity_CHP!$B$1:$B$10000="G-INTC-IMP00-de")*1,([1]OUT_Electricity_CHP!$C$1:$C$10000="Var_Fout")*1,ISNUMBER(SEARCH("ELC",[1]OUT_Electricity_CHP!$D$1:$D$10000))*1,[1]OUT_Electricity_CHP!I$1:I$10000)</f>
        <v>34.598354098637259</v>
      </c>
      <c r="K54" s="1" cm="1">
        <f t="array" ref="K54">SUMPRODUCT(([1]OUT_Electricity_CHP!$B$1:$B$10000="G-INTC-IMP00-de")*1,([1]OUT_Electricity_CHP!$C$1:$C$10000="Var_Fout")*1,ISNUMBER(SEARCH("ELC",[1]OUT_Electricity_CHP!$D$1:$D$10000))*1,[1]OUT_Electricity_CHP!J$1:J$10000)</f>
        <v>29.60646295075308</v>
      </c>
      <c r="L54" s="1" cm="1">
        <f t="array" ref="L54">SUMPRODUCT(([1]OUT_Electricity_CHP!$B$1:$B$10000="G-INTC-IMP00-de")*1,([1]OUT_Electricity_CHP!$C$1:$C$10000="Var_Fout")*1,ISNUMBER(SEARCH("ELC",[1]OUT_Electricity_CHP!$D$1:$D$10000))*1,[1]OUT_Electricity_CHP!K$1:K$10000)</f>
        <v>31.764877840948866</v>
      </c>
      <c r="M54" s="1" cm="1">
        <f t="array" ref="M54">SUMPRODUCT(([1]OUT_Electricity_CHP!$B$1:$B$10000="G-INTC-IMP00-de")*1,([1]OUT_Electricity_CHP!$C$1:$C$10000="Var_Fout")*1,ISNUMBER(SEARCH("ELC",[1]OUT_Electricity_CHP!$D$1:$D$10000))*1,[1]OUT_Electricity_CHP!L$1:L$10000)</f>
        <v>26.765854564814944</v>
      </c>
      <c r="N54" s="1" cm="1">
        <f t="array" ref="N54">SUMPRODUCT(([1]OUT_Electricity_CHP!$B$1:$B$10000="G-INTC-IMP00-de")*1,([1]OUT_Electricity_CHP!$C$1:$C$10000="Var_Fout")*1,ISNUMBER(SEARCH("ELC",[1]OUT_Electricity_CHP!$D$1:$D$10000))*1,[1]OUT_Electricity_CHP!M$1:M$10000)</f>
        <v>4.5489066409135681</v>
      </c>
      <c r="O54" s="1" cm="1">
        <f t="array" ref="O54">SUMPRODUCT(([1]OUT_Electricity_CHP!$B$1:$B$10000="G-INTC-IMP00-de")*1,([1]OUT_Electricity_CHP!$C$1:$C$10000="Var_Fout")*1,ISNUMBER(SEARCH("ELC",[1]OUT_Electricity_CHP!$D$1:$D$10000))*1,[1]OUT_Electricity_CHP!N$1:N$10000)</f>
        <v>1.164263866997331E-2</v>
      </c>
      <c r="P54" s="1" cm="1">
        <f t="array" ref="P54">SUMPRODUCT(([1]OUT_Electricity_CHP!$B$1:$B$10000="G-INTC-IMP00-de")*1,([1]OUT_Electricity_CHP!$C$1:$C$10000="Var_Fout")*1,ISNUMBER(SEARCH("ELC",[1]OUT_Electricity_CHP!$D$1:$D$10000))*1,[1]OUT_Electricity_CHP!O$1:O$10000)</f>
        <v>5.4703598587615369E-3</v>
      </c>
      <c r="Q54" s="1" cm="1">
        <f t="array" ref="Q54">SUMPRODUCT(([1]OUT_Electricity_CHP!$B$1:$B$10000="G-INTC-IMP00-de")*1,([1]OUT_Electricity_CHP!$C$1:$C$10000="Var_Fout")*1,ISNUMBER(SEARCH("ELC",[1]OUT_Electricity_CHP!$D$1:$D$10000))*1,[1]OUT_Electricity_CHP!P$1:P$10000)</f>
        <v>1.1928854216788675E-2</v>
      </c>
      <c r="S54" s="3"/>
    </row>
    <row r="55" spans="1:19" x14ac:dyDescent="0.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6.7990984280650038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1.2595482055031289E-3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1.0390530580110407E-3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4.7851970282989775E-4</v>
      </c>
      <c r="J55" s="1" cm="1">
        <f t="array" ref="J55">SUMPRODUCT(([1]OUT_Electricity_CHP!$B$1:$B$10000="G-INTC-IMP00-it")*1,([1]OUT_Electricity_CHP!$C$1:$C$10000="Var_Fout")*1,ISNUMBER(SEARCH("ELC",[1]OUT_Electricity_CHP!$D$1:$D$10000))*1,[1]OUT_Electricity_CHP!I$1:I$10000)</f>
        <v>7.1013273760594717E-4</v>
      </c>
      <c r="K55" s="1" cm="1">
        <f t="array" ref="K55">SUMPRODUCT(([1]OUT_Electricity_CHP!$B$1:$B$10000="G-INTC-IMP00-it")*1,([1]OUT_Electricity_CHP!$C$1:$C$10000="Var_Fout")*1,ISNUMBER(SEARCH("ELC",[1]OUT_Electricity_CHP!$D$1:$D$10000))*1,[1]OUT_Electricity_CHP!J$1:J$10000)</f>
        <v>7.9532629385588457E-4</v>
      </c>
      <c r="L55" s="1" cm="1">
        <f t="array" ref="L55">SUMPRODUCT(([1]OUT_Electricity_CHP!$B$1:$B$10000="G-INTC-IMP00-it")*1,([1]OUT_Electricity_CHP!$C$1:$C$10000="Var_Fout")*1,ISNUMBER(SEARCH("ELC",[1]OUT_Electricity_CHP!$D$1:$D$10000))*1,[1]OUT_Electricity_CHP!K$1:K$10000)</f>
        <v>8.1661160167784087E-4</v>
      </c>
      <c r="M55" s="1" cm="1">
        <f t="array" ref="M55">SUMPRODUCT(([1]OUT_Electricity_CHP!$B$1:$B$10000="G-INTC-IMP00-it")*1,([1]OUT_Electricity_CHP!$C$1:$C$10000="Var_Fout")*1,ISNUMBER(SEARCH("ELC",[1]OUT_Electricity_CHP!$D$1:$D$10000))*1,[1]OUT_Electricity_CHP!L$1:L$10000)</f>
        <v>8.2392745544731768E-4</v>
      </c>
      <c r="N55" s="1" cm="1">
        <f t="array" ref="N55">SUMPRODUCT(([1]OUT_Electricity_CHP!$B$1:$B$10000="G-INTC-IMP00-it")*1,([1]OUT_Electricity_CHP!$C$1:$C$10000="Var_Fout")*1,ISNUMBER(SEARCH("ELC",[1]OUT_Electricity_CHP!$D$1:$D$10000))*1,[1]OUT_Electricity_CHP!M$1:M$10000)</f>
        <v>7.6247934921372851E-4</v>
      </c>
      <c r="O55" s="1" cm="1">
        <f t="array" ref="O55">SUMPRODUCT(([1]OUT_Electricity_CHP!$B$1:$B$10000="G-INTC-IMP00-it")*1,([1]OUT_Electricity_CHP!$C$1:$C$10000="Var_Fout")*1,ISNUMBER(SEARCH("ELC",[1]OUT_Electricity_CHP!$D$1:$D$10000))*1,[1]OUT_Electricity_CHP!N$1:N$10000)</f>
        <v>8.2737668649150904E-4</v>
      </c>
      <c r="P55" s="1" cm="1">
        <f t="array" ref="P55">SUMPRODUCT(([1]OUT_Electricity_CHP!$B$1:$B$10000="G-INTC-IMP00-it")*1,([1]OUT_Electricity_CHP!$C$1:$C$10000="Var_Fout")*1,ISNUMBER(SEARCH("ELC",[1]OUT_Electricity_CHP!$D$1:$D$10000))*1,[1]OUT_Electricity_CHP!O$1:O$10000)</f>
        <v>7.8023645110677836E-4</v>
      </c>
      <c r="Q55" s="1" cm="1">
        <f t="array" ref="Q55">SUMPRODUCT(([1]OUT_Electricity_CHP!$B$1:$B$10000="G-INTC-IMP00-it")*1,([1]OUT_Electricity_CHP!$C$1:$C$10000="Var_Fout")*1,ISNUMBER(SEARCH("ELC",[1]OUT_Electricity_CHP!$D$1:$D$10000))*1,[1]OUT_Electricity_CHP!P$1:P$10000)</f>
        <v>1.3874259356254099E-3</v>
      </c>
      <c r="S55" s="3"/>
    </row>
    <row r="56" spans="1:19" x14ac:dyDescent="0.5">
      <c r="A56" s="5" t="str">
        <f t="shared" ref="A56" si="55">A55</f>
        <v>STEM</v>
      </c>
      <c r="B56" s="5" t="str">
        <f t="shared" ref="B56" si="56">B55</f>
        <v>SPS1</v>
      </c>
      <c r="C56" s="5" t="str">
        <f t="shared" ref="C56" si="57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SUMPRODUCT(("h2"=[1]OUT_PrimaryEnergyCons!$C$4:$C$10000)*1,[1]OUT_PrimaryEnergyCons!H$4:H$10000)</f>
        <v>0</v>
      </c>
      <c r="K56" s="1" cm="1">
        <f t="array" ref="K56">SUMPRODUCT(("h2"=[1]OUT_PrimaryEnergyCons!$C$4:$C$10000)*1,[1]OUT_PrimaryEnergyCons!I$4:I$10000)</f>
        <v>6.722848364722111E-3</v>
      </c>
      <c r="L56" s="1" cm="1">
        <f t="array" ref="L56">SUMPRODUCT(("h2"=[1]OUT_PrimaryEnergyCons!$C$4:$C$10000)*1,[1]OUT_PrimaryEnergyCons!J$4:J$10000)</f>
        <v>6.7417177187377095E-3</v>
      </c>
      <c r="M56" s="1" cm="1">
        <f t="array" ref="M56">SUMPRODUCT(("h2"=[1]OUT_PrimaryEnergyCons!$C$4:$C$10000)*1,[1]OUT_PrimaryEnergyCons!K$4:K$10000)</f>
        <v>3.533835097255072E-3</v>
      </c>
      <c r="N56" s="1" cm="1">
        <f t="array" ref="N56">SUMPRODUCT(("h2"=[1]OUT_PrimaryEnergyCons!$C$4:$C$10000)*1,[1]OUT_PrimaryEnergyCons!L$4:L$10000)</f>
        <v>1.6291161246134197E-3</v>
      </c>
      <c r="O56" s="1" cm="1">
        <f t="array" ref="O56">SUMPRODUCT(("h2"=[1]OUT_PrimaryEnergyCons!$C$4:$C$10000)*1,[1]OUT_PrimaryEnergyCons!M$4:M$10000)</f>
        <v>5.6838985485762068E-3</v>
      </c>
      <c r="P56" s="1" cm="1">
        <f t="array" ref="P56">SUMPRODUCT(("h2"=[1]OUT_PrimaryEnergyCons!$C$4:$C$10000)*1,[1]OUT_PrimaryEnergyCons!N$4:N$10000)</f>
        <v>3.0959858094557558E-3</v>
      </c>
      <c r="Q56" s="1" cm="1">
        <f t="array" ref="Q56">SUMPRODUCT(("h2"=[1]OUT_PrimaryEnergyCons!$C$4:$C$10000)*1,[1]OUT_PrimaryEnergyCons!O$4:O$10000)</f>
        <v>6.8110791386313098E-3</v>
      </c>
      <c r="S56" s="3"/>
    </row>
    <row r="57" spans="1:19" x14ac:dyDescent="0.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117.17000696534897</v>
      </c>
      <c r="G57" s="3">
        <f t="shared" ref="G57:O57" si="58">G58</f>
        <v>35.818147925864416</v>
      </c>
      <c r="H57" s="3">
        <f t="shared" si="58"/>
        <v>64.432518209437347</v>
      </c>
      <c r="I57" s="3">
        <f t="shared" si="58"/>
        <v>81.006685441904509</v>
      </c>
      <c r="J57" s="3">
        <f t="shared" si="58"/>
        <v>65.123265350263239</v>
      </c>
      <c r="K57" s="3">
        <f t="shared" si="58"/>
        <v>43.196954004752769</v>
      </c>
      <c r="L57" s="3">
        <f t="shared" si="58"/>
        <v>30.161858416041213</v>
      </c>
      <c r="M57" s="3">
        <f t="shared" si="58"/>
        <v>29.596839003643868</v>
      </c>
      <c r="N57" s="3">
        <f t="shared" si="58"/>
        <v>45.773229641785328</v>
      </c>
      <c r="O57" s="3">
        <f t="shared" si="58"/>
        <v>39.651484720217788</v>
      </c>
      <c r="P57" s="3">
        <f>P58</f>
        <v>38.238885372277423</v>
      </c>
      <c r="Q57" s="3">
        <f>Q58</f>
        <v>32.433500862162504</v>
      </c>
      <c r="R57" s="1"/>
      <c r="S57" s="3"/>
    </row>
    <row r="58" spans="1:19" x14ac:dyDescent="0.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117.17000696534897</v>
      </c>
      <c r="G58" s="1">
        <f t="shared" ref="G58:K58" si="59">SUM(G59:G62)</f>
        <v>35.818147925864416</v>
      </c>
      <c r="H58" s="1">
        <f t="shared" si="59"/>
        <v>64.432518209437347</v>
      </c>
      <c r="I58" s="1">
        <f t="shared" si="59"/>
        <v>81.006685441904509</v>
      </c>
      <c r="J58" s="1">
        <f t="shared" si="59"/>
        <v>65.123265350263239</v>
      </c>
      <c r="K58" s="1">
        <f t="shared" si="59"/>
        <v>43.196954004752769</v>
      </c>
      <c r="L58" s="1">
        <f t="shared" ref="L58:O58" si="60">SUM(L59:L62)</f>
        <v>30.161858416041213</v>
      </c>
      <c r="M58" s="1">
        <f t="shared" si="60"/>
        <v>29.596839003643868</v>
      </c>
      <c r="N58" s="1">
        <f t="shared" si="60"/>
        <v>45.773229641785328</v>
      </c>
      <c r="O58" s="1">
        <f t="shared" si="60"/>
        <v>39.651484720217788</v>
      </c>
      <c r="P58" s="1">
        <f>SUM(P59:P62)</f>
        <v>38.238885372277423</v>
      </c>
      <c r="Q58" s="1">
        <f>SUM(Q59:Q62)</f>
        <v>32.433500862162504</v>
      </c>
      <c r="S58" s="3"/>
    </row>
    <row r="59" spans="1:19" x14ac:dyDescent="0.5">
      <c r="A59" s="5" t="str">
        <f t="shared" ref="A59:A63" si="61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62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6.229558553258002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1.908941165849198E-3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4.4903573938449501E-3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5.5817037969991255E-4</v>
      </c>
      <c r="J59" s="1" cm="1">
        <f t="array" ref="J59">SUMPRODUCT(([1]OUT_Electricity_CHP!$B$1:$B$10000="G-INTC-exp00-AT")*1,([1]OUT_Electricity_CHP!$C$1:$C$10000="Var_Fout")*1,ISNUMBER(SEARCH("ELC",[1]OUT_Electricity_CHP!$D$1:$D$10000))*1,[1]OUT_Electricity_CHP!I$1:I$10000)</f>
        <v>7.2339169319682165E-4</v>
      </c>
      <c r="K59" s="1" cm="1">
        <f t="array" ref="K59">SUMPRODUCT(([1]OUT_Electricity_CHP!$B$1:$B$10000="G-INTC-exp00-AT")*1,([1]OUT_Electricity_CHP!$C$1:$C$10000="Var_Fout")*1,ISNUMBER(SEARCH("ELC",[1]OUT_Electricity_CHP!$D$1:$D$10000))*1,[1]OUT_Electricity_CHP!J$1:J$10000)</f>
        <v>6.8410697868245872E-4</v>
      </c>
      <c r="L59" s="1" cm="1">
        <f t="array" ref="L59">SUMPRODUCT(([1]OUT_Electricity_CHP!$B$1:$B$10000="G-INTC-exp00-AT")*1,([1]OUT_Electricity_CHP!$C$1:$C$10000="Var_Fout")*1,ISNUMBER(SEARCH("ELC",[1]OUT_Electricity_CHP!$D$1:$D$10000))*1,[1]OUT_Electricity_CHP!K$1:K$10000)</f>
        <v>6.7015540161184965E-4</v>
      </c>
      <c r="M59" s="1" cm="1">
        <f t="array" ref="M59">SUMPRODUCT(([1]OUT_Electricity_CHP!$B$1:$B$10000="G-INTC-exp00-AT")*1,([1]OUT_Electricity_CHP!$C$1:$C$10000="Var_Fout")*1,ISNUMBER(SEARCH("ELC",[1]OUT_Electricity_CHP!$D$1:$D$10000))*1,[1]OUT_Electricity_CHP!L$1:L$10000)</f>
        <v>5.8056421762929294E-4</v>
      </c>
      <c r="N59" s="1" cm="1">
        <f t="array" ref="N59">SUMPRODUCT(([1]OUT_Electricity_CHP!$B$1:$B$10000="G-INTC-exp00-AT")*1,([1]OUT_Electricity_CHP!$C$1:$C$10000="Var_Fout")*1,ISNUMBER(SEARCH("ELC",[1]OUT_Electricity_CHP!$D$1:$D$10000))*1,[1]OUT_Electricity_CHP!M$1:M$10000)</f>
        <v>6.0878075005531512E-4</v>
      </c>
      <c r="O59" s="1" cm="1">
        <f t="array" ref="O59">SUMPRODUCT(([1]OUT_Electricity_CHP!$B$1:$B$10000="G-INTC-exp00-AT")*1,([1]OUT_Electricity_CHP!$C$1:$C$10000="Var_Fout")*1,ISNUMBER(SEARCH("ELC",[1]OUT_Electricity_CHP!$D$1:$D$10000))*1,[1]OUT_Electricity_CHP!N$1:N$10000)</f>
        <v>6.4479872757336606E-4</v>
      </c>
      <c r="P59" s="1" cm="1">
        <f t="array" ref="P59">SUMPRODUCT(([1]OUT_Electricity_CHP!$B$1:$B$10000="G-INTC-exp00-AT")*1,([1]OUT_Electricity_CHP!$C$1:$C$10000="Var_Fout")*1,ISNUMBER(SEARCH("ELC",[1]OUT_Electricity_CHP!$D$1:$D$10000))*1,[1]OUT_Electricity_CHP!O$1:O$10000)</f>
        <v>6.260200033595246E-4</v>
      </c>
      <c r="Q59" s="1" cm="1">
        <f t="array" ref="Q59">SUMPRODUCT(([1]OUT_Electricity_CHP!$B$1:$B$10000="G-INTC-exp00-AT")*1,([1]OUT_Electricity_CHP!$C$1:$C$10000="Var_Fout")*1,ISNUMBER(SEARCH("ELC",[1]OUT_Electricity_CHP!$D$1:$D$10000))*1,[1]OUT_Electricity_CHP!P$1:P$10000)</f>
        <v>1.1895683307966923E-3</v>
      </c>
      <c r="S59" s="3"/>
    </row>
    <row r="60" spans="1:19" x14ac:dyDescent="0.5">
      <c r="A60" s="5" t="str">
        <f t="shared" si="61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62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12.753360799734628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1.4673474560159632E-3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1.3363010496675019E-3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8.5442975718326669E-4</v>
      </c>
      <c r="J60" s="1" cm="1">
        <f t="array" ref="J60">SUMPRODUCT(([1]OUT_Electricity_CHP!$B$1:$B$10000="G-INTC-exp00-fr")*1,([1]OUT_Electricity_CHP!$C$1:$C$10000="Var_Fout")*1,ISNUMBER(SEARCH("ELC",[1]OUT_Electricity_CHP!$D$1:$D$10000))*1,[1]OUT_Electricity_CHP!I$1:I$10000)</f>
        <v>1.3636904135305406E-3</v>
      </c>
      <c r="K60" s="1" cm="1">
        <f t="array" ref="K60">SUMPRODUCT(([1]OUT_Electricity_CHP!$B$1:$B$10000="G-INTC-exp00-fr")*1,([1]OUT_Electricity_CHP!$C$1:$C$10000="Var_Fout")*1,ISNUMBER(SEARCH("ELC",[1]OUT_Electricity_CHP!$D$1:$D$10000))*1,[1]OUT_Electricity_CHP!J$1:J$10000)</f>
        <v>1.3707961718907233E-3</v>
      </c>
      <c r="L60" s="1" cm="1">
        <f t="array" ref="L60">SUMPRODUCT(([1]OUT_Electricity_CHP!$B$1:$B$10000="G-INTC-exp00-fr")*1,([1]OUT_Electricity_CHP!$C$1:$C$10000="Var_Fout")*1,ISNUMBER(SEARCH("ELC",[1]OUT_Electricity_CHP!$D$1:$D$10000))*1,[1]OUT_Electricity_CHP!K$1:K$10000)</f>
        <v>1.3253105330902463E-3</v>
      </c>
      <c r="M60" s="1" cm="1">
        <f t="array" ref="M60">SUMPRODUCT(([1]OUT_Electricity_CHP!$B$1:$B$10000="G-INTC-exp00-fr")*1,([1]OUT_Electricity_CHP!$C$1:$C$10000="Var_Fout")*1,ISNUMBER(SEARCH("ELC",[1]OUT_Electricity_CHP!$D$1:$D$10000))*1,[1]OUT_Electricity_CHP!L$1:L$10000)</f>
        <v>1.7856863809221962E-3</v>
      </c>
      <c r="N60" s="1" cm="1">
        <f t="array" ref="N60">SUMPRODUCT(([1]OUT_Electricity_CHP!$B$1:$B$10000="G-INTC-exp00-fr")*1,([1]OUT_Electricity_CHP!$C$1:$C$10000="Var_Fout")*1,ISNUMBER(SEARCH("ELC",[1]OUT_Electricity_CHP!$D$1:$D$10000))*1,[1]OUT_Electricity_CHP!M$1:M$10000)</f>
        <v>1.0505431050350129E-3</v>
      </c>
      <c r="O60" s="1" cm="1">
        <f t="array" ref="O60">SUMPRODUCT(([1]OUT_Electricity_CHP!$B$1:$B$10000="G-INTC-exp00-fr")*1,([1]OUT_Electricity_CHP!$C$1:$C$10000="Var_Fout")*1,ISNUMBER(SEARCH("ELC",[1]OUT_Electricity_CHP!$D$1:$D$10000))*1,[1]OUT_Electricity_CHP!N$1:N$10000)</f>
        <v>1.3587836566799768E-3</v>
      </c>
      <c r="P60" s="1" cm="1">
        <f t="array" ref="P60">SUMPRODUCT(([1]OUT_Electricity_CHP!$B$1:$B$10000="G-INTC-exp00-fr")*1,([1]OUT_Electricity_CHP!$C$1:$C$10000="Var_Fout")*1,ISNUMBER(SEARCH("ELC",[1]OUT_Electricity_CHP!$D$1:$D$10000))*1,[1]OUT_Electricity_CHP!O$1:O$10000)</f>
        <v>1.2801040780237877E-3</v>
      </c>
      <c r="Q60" s="1" cm="1">
        <f t="array" ref="Q60">SUMPRODUCT(([1]OUT_Electricity_CHP!$B$1:$B$10000="G-INTC-exp00-fr")*1,([1]OUT_Electricity_CHP!$C$1:$C$10000="Var_Fout")*1,ISNUMBER(SEARCH("ELC",[1]OUT_Electricity_CHP!$D$1:$D$10000))*1,[1]OUT_Electricity_CHP!P$1:P$10000)</f>
        <v>2.3257516815132608E-3</v>
      </c>
      <c r="S60" s="3"/>
    </row>
    <row r="61" spans="1:19" x14ac:dyDescent="0.5">
      <c r="A61" s="5" t="str">
        <f t="shared" si="61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62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26.492979874323456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1.0876975922808499E-3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1.1657627798135901E-3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1.1506661778645079E-3</v>
      </c>
      <c r="J61" s="1" cm="1">
        <f t="array" ref="J61">SUMPRODUCT(([1]OUT_Electricity_CHP!$B$1:$B$10000="G-INTC-exp00-de")*1,([1]OUT_Electricity_CHP!$C$1:$C$10000="Var_Fout")*1,ISNUMBER(SEARCH("ELC",[1]OUT_Electricity_CHP!$D$1:$D$10000))*1,[1]OUT_Electricity_CHP!I$1:I$10000)</f>
        <v>1.6493951896227954E-3</v>
      </c>
      <c r="K61" s="1" cm="1">
        <f t="array" ref="K61">SUMPRODUCT(([1]OUT_Electricity_CHP!$B$1:$B$10000="G-INTC-exp00-de")*1,([1]OUT_Electricity_CHP!$C$1:$C$10000="Var_Fout")*1,ISNUMBER(SEARCH("ELC",[1]OUT_Electricity_CHP!$D$1:$D$10000))*1,[1]OUT_Electricity_CHP!J$1:J$10000)</f>
        <v>1.7341945219820011E-3</v>
      </c>
      <c r="L61" s="1" cm="1">
        <f t="array" ref="L61">SUMPRODUCT(([1]OUT_Electricity_CHP!$B$1:$B$10000="G-INTC-exp00-de")*1,([1]OUT_Electricity_CHP!$C$1:$C$10000="Var_Fout")*1,ISNUMBER(SEARCH("ELC",[1]OUT_Electricity_CHP!$D$1:$D$10000))*1,[1]OUT_Electricity_CHP!K$1:K$10000)</f>
        <v>1.6957903314783812E-3</v>
      </c>
      <c r="M61" s="1" cm="1">
        <f t="array" ref="M61">SUMPRODUCT(([1]OUT_Electricity_CHP!$B$1:$B$10000="G-INTC-exp00-de")*1,([1]OUT_Electricity_CHP!$C$1:$C$10000="Var_Fout")*1,ISNUMBER(SEARCH("ELC",[1]OUT_Electricity_CHP!$D$1:$D$10000))*1,[1]OUT_Electricity_CHP!L$1:L$10000)</f>
        <v>1.4077314861445796E-3</v>
      </c>
      <c r="N61" s="1" cm="1">
        <f t="array" ref="N61">SUMPRODUCT(([1]OUT_Electricity_CHP!$B$1:$B$10000="G-INTC-exp00-de")*1,([1]OUT_Electricity_CHP!$C$1:$C$10000="Var_Fout")*1,ISNUMBER(SEARCH("ELC",[1]OUT_Electricity_CHP!$D$1:$D$10000))*1,[1]OUT_Electricity_CHP!M$1:M$10000)</f>
        <v>1.0430692811526146E-3</v>
      </c>
      <c r="O61" s="1" cm="1">
        <f t="array" ref="O61">SUMPRODUCT(([1]OUT_Electricity_CHP!$B$1:$B$10000="G-INTC-exp00-de")*1,([1]OUT_Electricity_CHP!$C$1:$C$10000="Var_Fout")*1,ISNUMBER(SEARCH("ELC",[1]OUT_Electricity_CHP!$D$1:$D$10000))*1,[1]OUT_Electricity_CHP!N$1:N$10000)</f>
        <v>2.0091434913157348E-3</v>
      </c>
      <c r="P61" s="1" cm="1">
        <f t="array" ref="P61">SUMPRODUCT(([1]OUT_Electricity_CHP!$B$1:$B$10000="G-INTC-exp00-de")*1,([1]OUT_Electricity_CHP!$C$1:$C$10000="Var_Fout")*1,ISNUMBER(SEARCH("ELC",[1]OUT_Electricity_CHP!$D$1:$D$10000))*1,[1]OUT_Electricity_CHP!O$1:O$10000)</f>
        <v>1.9931385731974472E-3</v>
      </c>
      <c r="Q61" s="1" cm="1">
        <f t="array" ref="Q61">SUMPRODUCT(([1]OUT_Electricity_CHP!$B$1:$B$10000="G-INTC-exp00-de")*1,([1]OUT_Electricity_CHP!$C$1:$C$10000="Var_Fout")*1,ISNUMBER(SEARCH("ELC",[1]OUT_Electricity_CHP!$D$1:$D$10000))*1,[1]OUT_Electricity_CHP!P$1:P$10000)</f>
        <v>4.0498958789099895E-3</v>
      </c>
      <c r="S61" s="3"/>
    </row>
    <row r="62" spans="1:19" x14ac:dyDescent="0.5">
      <c r="A62" s="5" t="str">
        <f t="shared" si="61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62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71.694107738032884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35.813683939650268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64.425525788214017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81.004122175589757</v>
      </c>
      <c r="J62" s="1" cm="1">
        <f t="array" ref="J62">SUMPRODUCT(([1]OUT_Electricity_CHP!$B$1:$B$10000="G-INTC-exp00-it")*1,([1]OUT_Electricity_CHP!$C$1:$C$10000="Var_Fout")*1,ISNUMBER(SEARCH("ELC",[1]OUT_Electricity_CHP!$D$1:$D$10000))*1,[1]OUT_Electricity_CHP!I$1:I$10000)</f>
        <v>65.119528872966882</v>
      </c>
      <c r="K62" s="1" cm="1">
        <f t="array" ref="K62">SUMPRODUCT(([1]OUT_Electricity_CHP!$B$1:$B$10000="G-INTC-exp00-it")*1,([1]OUT_Electricity_CHP!$C$1:$C$10000="Var_Fout")*1,ISNUMBER(SEARCH("ELC",[1]OUT_Electricity_CHP!$D$1:$D$10000))*1,[1]OUT_Electricity_CHP!J$1:J$10000)</f>
        <v>43.193164907080217</v>
      </c>
      <c r="L62" s="1" cm="1">
        <f t="array" ref="L62">SUMPRODUCT(([1]OUT_Electricity_CHP!$B$1:$B$10000="G-INTC-exp00-it")*1,([1]OUT_Electricity_CHP!$C$1:$C$10000="Var_Fout")*1,ISNUMBER(SEARCH("ELC",[1]OUT_Electricity_CHP!$D$1:$D$10000))*1,[1]OUT_Electricity_CHP!K$1:K$10000)</f>
        <v>30.158167159775033</v>
      </c>
      <c r="M62" s="1" cm="1">
        <f t="array" ref="M62">SUMPRODUCT(([1]OUT_Electricity_CHP!$B$1:$B$10000="G-INTC-exp00-it")*1,([1]OUT_Electricity_CHP!$C$1:$C$10000="Var_Fout")*1,ISNUMBER(SEARCH("ELC",[1]OUT_Electricity_CHP!$D$1:$D$10000))*1,[1]OUT_Electricity_CHP!L$1:L$10000)</f>
        <v>29.593065021559173</v>
      </c>
      <c r="N62" s="1" cm="1">
        <f t="array" ref="N62">SUMPRODUCT(([1]OUT_Electricity_CHP!$B$1:$B$10000="G-INTC-exp00-it")*1,([1]OUT_Electricity_CHP!$C$1:$C$10000="Var_Fout")*1,ISNUMBER(SEARCH("ELC",[1]OUT_Electricity_CHP!$D$1:$D$10000))*1,[1]OUT_Electricity_CHP!M$1:M$10000)</f>
        <v>45.770527248649081</v>
      </c>
      <c r="O62" s="1" cm="1">
        <f t="array" ref="O62">SUMPRODUCT(([1]OUT_Electricity_CHP!$B$1:$B$10000="G-INTC-exp00-it")*1,([1]OUT_Electricity_CHP!$C$1:$C$10000="Var_Fout")*1,ISNUMBER(SEARCH("ELC",[1]OUT_Electricity_CHP!$D$1:$D$10000))*1,[1]OUT_Electricity_CHP!N$1:N$10000)</f>
        <v>39.647471994342219</v>
      </c>
      <c r="P62" s="1" cm="1">
        <f t="array" ref="P62">SUMPRODUCT(([1]OUT_Electricity_CHP!$B$1:$B$10000="G-INTC-exp00-it")*1,([1]OUT_Electricity_CHP!$C$1:$C$10000="Var_Fout")*1,ISNUMBER(SEARCH("ELC",[1]OUT_Electricity_CHP!$D$1:$D$10000))*1,[1]OUT_Electricity_CHP!O$1:O$10000)</f>
        <v>38.234986109622845</v>
      </c>
      <c r="Q62" s="1" cm="1">
        <f t="array" ref="Q62">SUMPRODUCT(([1]OUT_Electricity_CHP!$B$1:$B$10000="G-INTC-exp00-it")*1,([1]OUT_Electricity_CHP!$C$1:$C$10000="Var_Fout")*1,ISNUMBER(SEARCH("ELC",[1]OUT_Electricity_CHP!$D$1:$D$10000))*1,[1]OUT_Electricity_CHP!P$1:P$10000)</f>
        <v>32.425935646271284</v>
      </c>
      <c r="S62" s="3"/>
    </row>
    <row r="63" spans="1:19" x14ac:dyDescent="0.5">
      <c r="A63" s="9" t="str">
        <f t="shared" si="61"/>
        <v>STEM</v>
      </c>
      <c r="B63" s="9" t="str">
        <f t="shared" ref="B63:B64" si="63">B62</f>
        <v>SPS1</v>
      </c>
      <c r="C63" s="2" t="str">
        <f t="shared" ref="C63:C64" si="64">C62</f>
        <v>CH</v>
      </c>
      <c r="D63" s="2" t="s">
        <v>29</v>
      </c>
      <c r="E63" s="2" t="s">
        <v>8</v>
      </c>
      <c r="F63" s="3">
        <f>SUM(F64,F66,F70,F82,F130,F151,F159,F161,F169,F173,F167)</f>
        <v>251.1824531649701</v>
      </c>
      <c r="G63" s="3">
        <f t="shared" ref="G63:K63" si="65">SUM(G64,G66,G74,G82,G130,G151,G159,G161,G169,G173,G167)</f>
        <v>229.66828736761971</v>
      </c>
      <c r="H63" s="3">
        <f t="shared" si="65"/>
        <v>256.2631566876484</v>
      </c>
      <c r="I63" s="3">
        <f t="shared" si="65"/>
        <v>289.23594651794741</v>
      </c>
      <c r="J63" s="3">
        <f t="shared" si="65"/>
        <v>279.35881440564606</v>
      </c>
      <c r="K63" s="3">
        <f t="shared" si="65"/>
        <v>259.20854700871053</v>
      </c>
      <c r="L63" s="3">
        <f t="shared" ref="L63:O63" si="66">SUM(L64,L66,L74,L82,L130,L151,L159,L161,L169,L173,L167)</f>
        <v>238.43055227291219</v>
      </c>
      <c r="M63" s="3">
        <f t="shared" si="66"/>
        <v>247.20005526042365</v>
      </c>
      <c r="N63" s="3">
        <f t="shared" si="66"/>
        <v>251.63634757352921</v>
      </c>
      <c r="O63" s="3">
        <f t="shared" si="66"/>
        <v>256.73672034557353</v>
      </c>
      <c r="P63" s="3">
        <f>SUM(P64,P66,P74,P82,P130,P151,P159,P161,P169,P173,P167)</f>
        <v>260.96156229355222</v>
      </c>
      <c r="Q63" s="3">
        <f>SUM(Q64,Q66,Q74,Q82,Q130,Q151,Q159,Q161,Q169,Q173,Q167)</f>
        <v>266.42135147982708</v>
      </c>
      <c r="S63" s="3"/>
    </row>
    <row r="64" spans="1:19" x14ac:dyDescent="0.5">
      <c r="A64" s="5" t="str">
        <f>A63</f>
        <v>STEM</v>
      </c>
      <c r="B64" s="5" t="str">
        <f t="shared" si="63"/>
        <v>SPS1</v>
      </c>
      <c r="C64" s="5" t="str">
        <f t="shared" si="64"/>
        <v>CH</v>
      </c>
      <c r="D64" t="s">
        <v>791</v>
      </c>
      <c r="E64" t="str">
        <f>E62</f>
        <v>PJ/yr.</v>
      </c>
      <c r="F64" s="1">
        <f>+F65</f>
        <v>82.760005798075312</v>
      </c>
      <c r="G64" s="1">
        <f t="shared" ref="G64:O64" si="67">+G65</f>
        <v>83.109660595184607</v>
      </c>
      <c r="H64" s="1">
        <f t="shared" si="67"/>
        <v>73.046668104287676</v>
      </c>
      <c r="I64" s="1">
        <f t="shared" si="67"/>
        <v>73.071735004824745</v>
      </c>
      <c r="J64" s="1">
        <f t="shared" si="67"/>
        <v>57.569503335680288</v>
      </c>
      <c r="K64" s="1">
        <f t="shared" si="67"/>
        <v>33.158876230422791</v>
      </c>
      <c r="L64" s="1">
        <f t="shared" si="67"/>
        <v>2.6986912728210166</v>
      </c>
      <c r="M64" s="1">
        <f t="shared" si="67"/>
        <v>4.9107720963410078</v>
      </c>
      <c r="N64" s="1">
        <f t="shared" si="67"/>
        <v>5.5319322954219512</v>
      </c>
      <c r="O64" s="1">
        <f t="shared" si="67"/>
        <v>5.3244569629860496</v>
      </c>
      <c r="P64" s="1">
        <f>+P65</f>
        <v>5.4831845964590942</v>
      </c>
      <c r="Q64" s="1">
        <f>+Q65</f>
        <v>5.9182305094053467</v>
      </c>
      <c r="S64" s="3"/>
    </row>
    <row r="65" spans="1:19" x14ac:dyDescent="0.5">
      <c r="A65" s="5" t="str">
        <f t="shared" ref="A65:A149" si="68">A64</f>
        <v>STEM</v>
      </c>
      <c r="B65" s="5" t="str">
        <f t="shared" ref="B65:B149" si="69">B64</f>
        <v>SPS1</v>
      </c>
      <c r="C65" s="5" t="str">
        <f t="shared" ref="C65:C149" si="70">C64</f>
        <v>CH</v>
      </c>
      <c r="D65" t="s">
        <v>30</v>
      </c>
      <c r="E65" t="str">
        <f>E63</f>
        <v>PJ/yr.</v>
      </c>
      <c r="F65" s="1">
        <f>'[1]Electricity and CHPs'!B14</f>
        <v>82.760005798075312</v>
      </c>
      <c r="G65" s="1">
        <f>'[1]Electricity and CHPs'!C14</f>
        <v>83.109660595184607</v>
      </c>
      <c r="H65" s="1">
        <f>'[1]Electricity and CHPs'!D14</f>
        <v>73.046668104287676</v>
      </c>
      <c r="I65" s="1">
        <f>'[1]Electricity and CHPs'!E14</f>
        <v>73.071735004824745</v>
      </c>
      <c r="J65" s="1">
        <f>'[1]Electricity and CHPs'!F14</f>
        <v>57.569503335680288</v>
      </c>
      <c r="K65" s="1">
        <f>'[1]Electricity and CHPs'!G14</f>
        <v>33.158876230422791</v>
      </c>
      <c r="L65" s="1">
        <f>'[1]Electricity and CHPs'!H14</f>
        <v>2.6986912728210166</v>
      </c>
      <c r="M65" s="1">
        <f>'[1]Electricity and CHPs'!I14</f>
        <v>4.9107720963410078</v>
      </c>
      <c r="N65" s="1">
        <f>'[1]Electricity and CHPs'!J14</f>
        <v>5.5319322954219512</v>
      </c>
      <c r="O65" s="1">
        <f>'[1]Electricity and CHPs'!K14</f>
        <v>5.3244569629860496</v>
      </c>
      <c r="P65" s="1">
        <f>'[1]Electricity and CHPs'!L14</f>
        <v>5.4831845964590942</v>
      </c>
      <c r="Q65" s="1">
        <f>'[1]Electricity and CHPs'!M14</f>
        <v>5.9182305094053467</v>
      </c>
      <c r="S65" s="3"/>
    </row>
    <row r="66" spans="1:19" x14ac:dyDescent="0.5">
      <c r="A66" s="5" t="str">
        <f t="shared" si="68"/>
        <v>STEM</v>
      </c>
      <c r="B66" s="5" t="str">
        <f t="shared" si="69"/>
        <v>SPS1</v>
      </c>
      <c r="C66" s="5" t="str">
        <f t="shared" si="70"/>
        <v>CH</v>
      </c>
      <c r="D66" t="s">
        <v>792</v>
      </c>
      <c r="E66" t="str">
        <f>E65</f>
        <v>PJ/yr.</v>
      </c>
      <c r="F66" s="1">
        <f>SUM(F67:F69)</f>
        <v>146.22000688314722</v>
      </c>
      <c r="G66" s="1">
        <f t="shared" ref="G66:K66" si="71">SUM(G67:G69)</f>
        <v>121.60042588745866</v>
      </c>
      <c r="H66" s="1">
        <f t="shared" si="71"/>
        <v>140.20623526179872</v>
      </c>
      <c r="I66" s="1">
        <f t="shared" si="71"/>
        <v>146.82559741691685</v>
      </c>
      <c r="J66" s="1">
        <f t="shared" si="71"/>
        <v>146.86266493393629</v>
      </c>
      <c r="K66" s="1">
        <f t="shared" si="71"/>
        <v>146.89282734029473</v>
      </c>
      <c r="L66" s="1">
        <f t="shared" ref="L66:O66" si="72">SUM(L67:L69)</f>
        <v>146.92241360060996</v>
      </c>
      <c r="M66" s="1">
        <f t="shared" si="72"/>
        <v>146.95455864560452</v>
      </c>
      <c r="N66" s="1">
        <f t="shared" si="72"/>
        <v>146.98365880771723</v>
      </c>
      <c r="O66" s="1">
        <f t="shared" si="72"/>
        <v>147.02005009680695</v>
      </c>
      <c r="P66" s="1">
        <f>SUM(P67:P69)</f>
        <v>147.05894142894113</v>
      </c>
      <c r="Q66" s="1">
        <f>SUM(Q67:Q69)</f>
        <v>147.12181378560922</v>
      </c>
      <c r="S66" s="3"/>
    </row>
    <row r="67" spans="1:19" x14ac:dyDescent="0.5">
      <c r="A67" s="5" t="str">
        <f t="shared" si="68"/>
        <v>STEM</v>
      </c>
      <c r="B67" s="5" t="str">
        <f t="shared" si="69"/>
        <v>SPS1</v>
      </c>
      <c r="C67" s="5" t="str">
        <f t="shared" si="70"/>
        <v>CH</v>
      </c>
      <c r="D67" t="s">
        <v>31</v>
      </c>
      <c r="E67" t="str">
        <f>E65</f>
        <v>PJ/yr.</v>
      </c>
      <c r="F67" s="1">
        <f>'[1]Electricity and CHPs'!B15</f>
        <v>66.745680000022219</v>
      </c>
      <c r="G67" s="1">
        <f>'[1]Electricity and CHPs'!C15</f>
        <v>49.7987992616575</v>
      </c>
      <c r="H67" s="1">
        <f>'[1]Electricity and CHPs'!D15</f>
        <v>68.526862096155028</v>
      </c>
      <c r="I67" s="1">
        <f>'[1]Electricity and CHPs'!E15</f>
        <v>69.613958639460236</v>
      </c>
      <c r="J67" s="1">
        <f>'[1]Electricity and CHPs'!F15</f>
        <v>70.697304527520572</v>
      </c>
      <c r="K67" s="1">
        <f>'[1]Electricity and CHPs'!G15</f>
        <v>71.781630460397707</v>
      </c>
      <c r="L67" s="1">
        <f>'[1]Electricity and CHPs'!H15</f>
        <v>72.865010275959506</v>
      </c>
      <c r="M67" s="1">
        <f>'[1]Electricity and CHPs'!I15</f>
        <v>73.950114967489398</v>
      </c>
      <c r="N67" s="1">
        <f>'[1]Electricity and CHPs'!J15</f>
        <v>73.950034467134302</v>
      </c>
      <c r="O67" s="1">
        <f>'[1]Electricity and CHPs'!K15</f>
        <v>73.951165863516977</v>
      </c>
      <c r="P67" s="1">
        <f>'[1]Electricity and CHPs'!L15</f>
        <v>73.951013813964806</v>
      </c>
      <c r="Q67" s="1">
        <f>'[1]Electricity and CHPs'!M15</f>
        <v>73.948738328836285</v>
      </c>
      <c r="S67" s="3"/>
    </row>
    <row r="68" spans="1:19" x14ac:dyDescent="0.5">
      <c r="A68" s="5" t="str">
        <f t="shared" si="68"/>
        <v>STEM</v>
      </c>
      <c r="B68" s="5" t="str">
        <f t="shared" si="69"/>
        <v>SPS1</v>
      </c>
      <c r="C68" s="5" t="str">
        <f t="shared" si="70"/>
        <v>CH</v>
      </c>
      <c r="D68" t="s">
        <v>32</v>
      </c>
      <c r="E68" t="str">
        <f t="shared" ref="E68:E69" si="73">E67</f>
        <v>PJ/yr.</v>
      </c>
      <c r="F68" s="1">
        <f>'[1]Electricity and CHPs'!B16</f>
        <v>66.632400407028271</v>
      </c>
      <c r="G68" s="1">
        <f>'[1]Electricity and CHPs'!C16</f>
        <v>55.764001579115615</v>
      </c>
      <c r="H68" s="1">
        <f>'[1]Electricity and CHPs'!D16</f>
        <v>65.558562430748694</v>
      </c>
      <c r="I68" s="1">
        <f>'[1]Electricity and CHPs'!E16</f>
        <v>64.478519889435219</v>
      </c>
      <c r="J68" s="1">
        <f>'[1]Electricity and CHPs'!F16</f>
        <v>63.395197736717506</v>
      </c>
      <c r="K68" s="1">
        <f>'[1]Electricity and CHPs'!G16</f>
        <v>62.310875791922619</v>
      </c>
      <c r="L68" s="1">
        <f>'[1]Electricity and CHPs'!H16</f>
        <v>61.227496053006021</v>
      </c>
      <c r="M68" s="1">
        <f>'[1]Electricity and CHPs'!I16</f>
        <v>60.142394894567914</v>
      </c>
      <c r="N68" s="1">
        <f>'[1]Electricity and CHPs'!J16</f>
        <v>60.142479872037178</v>
      </c>
      <c r="O68" s="1">
        <f>'[1]Electricity and CHPs'!K16</f>
        <v>60.141353371012684</v>
      </c>
      <c r="P68" s="1">
        <f>'[1]Electricity and CHPs'!L16</f>
        <v>60.141520967362759</v>
      </c>
      <c r="Q68" s="1">
        <f>'[1]Electricity and CHPs'!M16</f>
        <v>60.143859019447433</v>
      </c>
      <c r="S68" s="3"/>
    </row>
    <row r="69" spans="1:19" x14ac:dyDescent="0.5">
      <c r="A69" s="5" t="str">
        <f t="shared" si="68"/>
        <v>STEM</v>
      </c>
      <c r="B69" s="5" t="str">
        <f t="shared" si="69"/>
        <v>SPS1</v>
      </c>
      <c r="C69" s="5" t="str">
        <f t="shared" si="70"/>
        <v>CH</v>
      </c>
      <c r="D69" t="s">
        <v>33</v>
      </c>
      <c r="E69" t="str">
        <f t="shared" si="73"/>
        <v>PJ/yr.</v>
      </c>
      <c r="F69" s="1">
        <f>'[1]Electricity and CHPs'!B17</f>
        <v>12.841926476096717</v>
      </c>
      <c r="G69" s="1">
        <f>'[1]Electricity and CHPs'!C17</f>
        <v>16.037625046685537</v>
      </c>
      <c r="H69" s="1">
        <f>'[1]Electricity and CHPs'!D17</f>
        <v>6.1208107348950156</v>
      </c>
      <c r="I69" s="1">
        <f>'[1]Electricity and CHPs'!E17</f>
        <v>12.733118888021384</v>
      </c>
      <c r="J69" s="1">
        <f>'[1]Electricity and CHPs'!F17</f>
        <v>12.770162669698212</v>
      </c>
      <c r="K69" s="1">
        <f>'[1]Electricity and CHPs'!G17</f>
        <v>12.800321087974408</v>
      </c>
      <c r="L69" s="1">
        <f>'[1]Electricity and CHPs'!H17</f>
        <v>12.829907271644421</v>
      </c>
      <c r="M69" s="1">
        <f>'[1]Electricity and CHPs'!I17</f>
        <v>12.862048783547216</v>
      </c>
      <c r="N69" s="1">
        <f>'[1]Electricity and CHPs'!J17</f>
        <v>12.891144468545756</v>
      </c>
      <c r="O69" s="1">
        <f>'[1]Electricity and CHPs'!K17</f>
        <v>12.927530862277287</v>
      </c>
      <c r="P69" s="1">
        <f>'[1]Electricity and CHPs'!L17</f>
        <v>12.96640664761356</v>
      </c>
      <c r="Q69" s="1">
        <f>'[1]Electricity and CHPs'!M17</f>
        <v>13.029216437325477</v>
      </c>
      <c r="S69" s="3"/>
    </row>
    <row r="70" spans="1:19" x14ac:dyDescent="0.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0.11191297286119166</v>
      </c>
      <c r="G70" s="1">
        <f t="shared" ref="G70" si="74">SUM(G71:G73)</f>
        <v>0.17153417526033818</v>
      </c>
      <c r="H70" s="1">
        <f t="shared" ref="H70" si="75">SUM(H71:H73)</f>
        <v>1.5456592396561129E-2</v>
      </c>
      <c r="I70" s="1">
        <f t="shared" ref="I70" si="76">SUM(I71:I73)</f>
        <v>0.17153158862491286</v>
      </c>
      <c r="J70" s="1">
        <f t="shared" ref="J70" si="77">SUM(J71:J73)</f>
        <v>0.17154707842028352</v>
      </c>
      <c r="K70" s="1">
        <f t="shared" ref="K70" si="78">SUM(K71:K73)</f>
        <v>3.1038424844053388E-2</v>
      </c>
      <c r="L70" s="1">
        <f t="shared" ref="L70:O70" si="79">SUM(L71:L73)</f>
        <v>4.8926979060169587E-2</v>
      </c>
      <c r="M70" s="1">
        <f t="shared" si="79"/>
        <v>7.4596435200630418E-2</v>
      </c>
      <c r="N70" s="1">
        <f t="shared" si="79"/>
        <v>5.2809010486551552E-2</v>
      </c>
      <c r="O70" s="1">
        <f t="shared" si="79"/>
        <v>7.0456416692645366E-2</v>
      </c>
      <c r="P70" s="1">
        <f>SUM(P71:P73)</f>
        <v>5.7255330458997583E-2</v>
      </c>
      <c r="Q70" s="1">
        <f>SUM(Q71:Q73)</f>
        <v>8.9831809322774694E-2</v>
      </c>
      <c r="S70" s="3"/>
    </row>
    <row r="71" spans="1:19" x14ac:dyDescent="0.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3.9603134330969625E-2</v>
      </c>
      <c r="G71" s="1">
        <f>'[1]Electricity and CHPs'!C18</f>
        <v>1.0360428128379687E-4</v>
      </c>
      <c r="H71" s="1">
        <f>'[1]Electricity and CHPs'!D18</f>
        <v>9.708857912995441E-3</v>
      </c>
      <c r="I71" s="1">
        <f>'[1]Electricity and CHPs'!E18</f>
        <v>4.4811538961342786E-3</v>
      </c>
      <c r="J71" s="1">
        <f>'[1]Electricity and CHPs'!F18</f>
        <v>5.4328896720267769E-3</v>
      </c>
      <c r="K71" s="1">
        <f>'[1]Electricity and CHPs'!G18</f>
        <v>6.9787614766485045E-3</v>
      </c>
      <c r="L71" s="1">
        <f>'[1]Electricity and CHPs'!H18</f>
        <v>2.1778976248669344E-2</v>
      </c>
      <c r="M71" s="1">
        <f>'[1]Electricity and CHPs'!I18</f>
        <v>4.1423459244778617E-2</v>
      </c>
      <c r="N71" s="1">
        <f>'[1]Electricity and CHPs'!J18</f>
        <v>2.2277221610625619E-2</v>
      </c>
      <c r="O71" s="1">
        <f>'[1]Electricity and CHPs'!K18</f>
        <v>3.8128181777556752E-2</v>
      </c>
      <c r="P71" s="1">
        <f>'[1]Electricity and CHPs'!L18</f>
        <v>2.6465101416506463E-2</v>
      </c>
      <c r="Q71" s="1">
        <f>'[1]Electricity and CHPs'!M18</f>
        <v>5.7100895198917E-2</v>
      </c>
      <c r="S71" s="3"/>
    </row>
    <row r="72" spans="1:19" x14ac:dyDescent="0.5">
      <c r="A72" s="5" t="str">
        <f t="shared" ref="A72:A73" si="80">A71</f>
        <v>STEM</v>
      </c>
      <c r="B72" s="5" t="str">
        <f t="shared" ref="B72:B73" si="81">B71</f>
        <v>SPS1</v>
      </c>
      <c r="C72" s="5" t="str">
        <f t="shared" ref="C72:C73" si="82">C71</f>
        <v>CH</v>
      </c>
      <c r="D72" t="s">
        <v>228</v>
      </c>
      <c r="E72" t="str">
        <f>E126</f>
        <v>PJ/yr.</v>
      </c>
      <c r="F72" s="1">
        <f>'[1]Electricity and CHPs'!B28</f>
        <v>1.803141574646544E-3</v>
      </c>
      <c r="G72" s="1">
        <f>'[1]Electricity and CHPs'!C28</f>
        <v>7.0573866603733086E-5</v>
      </c>
      <c r="H72" s="1">
        <f>'[1]Electricity and CHPs'!D28</f>
        <v>2.6994323470618652E-3</v>
      </c>
      <c r="I72" s="1">
        <f>'[1]Electricity and CHPs'!E28</f>
        <v>1.8868866350573053E-3</v>
      </c>
      <c r="J72" s="1">
        <f>'[1]Electricity and CHPs'!F28</f>
        <v>2.5235006933218276E-3</v>
      </c>
      <c r="K72" s="1">
        <f>'[1]Electricity and CHPs'!G28</f>
        <v>2.8609273571540525E-3</v>
      </c>
      <c r="L72" s="1">
        <f>'[1]Electricity and CHPs'!H28</f>
        <v>2.8184302247215957E-3</v>
      </c>
      <c r="M72" s="1">
        <f>'[1]Electricity and CHPs'!I28</f>
        <v>4.3180561945554826E-3</v>
      </c>
      <c r="N72" s="1">
        <f>'[1]Electricity and CHPs'!J28</f>
        <v>3.3668963077220166E-3</v>
      </c>
      <c r="O72" s="1">
        <f>'[1]Electricity and CHPs'!K28</f>
        <v>4.341462478806301E-3</v>
      </c>
      <c r="P72" s="1">
        <f>'[1]Electricity and CHPs'!L28</f>
        <v>3.2406479401013537E-3</v>
      </c>
      <c r="Q72" s="1">
        <f>'[1]Electricity and CHPs'!M28</f>
        <v>4.3418781024656987E-3</v>
      </c>
      <c r="S72" s="3"/>
    </row>
    <row r="73" spans="1:19" x14ac:dyDescent="0.5">
      <c r="A73" s="5" t="str">
        <f t="shared" si="80"/>
        <v>STEM</v>
      </c>
      <c r="B73" s="5" t="str">
        <f t="shared" si="81"/>
        <v>SPS1</v>
      </c>
      <c r="C73" s="5" t="str">
        <f t="shared" si="82"/>
        <v>CH</v>
      </c>
      <c r="D73" t="s">
        <v>40</v>
      </c>
      <c r="E73" t="str">
        <f>E81</f>
        <v>PJ/yr.</v>
      </c>
      <c r="F73" s="1">
        <f>'[1]Electricity and CHPs'!B41</f>
        <v>7.0506696955575487E-2</v>
      </c>
      <c r="G73" s="1">
        <f>'[1]Electricity and CHPs'!C41</f>
        <v>0.17135999711245065</v>
      </c>
      <c r="H73" s="1">
        <f>'[1]Electricity and CHPs'!D41</f>
        <v>3.0483021365038236E-3</v>
      </c>
      <c r="I73" s="1">
        <f>'[1]Electricity and CHPs'!E41</f>
        <v>0.16516354809372127</v>
      </c>
      <c r="J73" s="1">
        <f>'[1]Electricity and CHPs'!F41</f>
        <v>0.16359068805493493</v>
      </c>
      <c r="K73" s="1">
        <f>'[1]Electricity and CHPs'!G41</f>
        <v>2.1198736010250831E-2</v>
      </c>
      <c r="L73" s="1">
        <f>'[1]Electricity and CHPs'!H41</f>
        <v>2.4329572586778644E-2</v>
      </c>
      <c r="M73" s="1">
        <f>'[1]Electricity and CHPs'!I41</f>
        <v>2.8854919761296317E-2</v>
      </c>
      <c r="N73" s="1">
        <f>'[1]Electricity and CHPs'!J41</f>
        <v>2.7164892568203914E-2</v>
      </c>
      <c r="O73" s="1">
        <f>'[1]Electricity and CHPs'!K41</f>
        <v>2.7986772436282305E-2</v>
      </c>
      <c r="P73" s="1">
        <f>'[1]Electricity and CHPs'!L41</f>
        <v>2.7549581102389767E-2</v>
      </c>
      <c r="Q73" s="1">
        <f>'[1]Electricity and CHPs'!M41</f>
        <v>2.8389036021391995E-2</v>
      </c>
      <c r="S73" s="3"/>
    </row>
    <row r="74" spans="1:19" x14ac:dyDescent="0.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0.11191297286119166</v>
      </c>
      <c r="G74" s="1">
        <f t="shared" ref="G74:K74" si="83">SUM(G75:G77)</f>
        <v>0.17153417526033818</v>
      </c>
      <c r="H74" s="1">
        <f t="shared" si="83"/>
        <v>1.5456592396561129E-2</v>
      </c>
      <c r="I74" s="1">
        <f t="shared" si="83"/>
        <v>0.17153158862491286</v>
      </c>
      <c r="J74" s="1">
        <f t="shared" si="83"/>
        <v>0.17154707842028352</v>
      </c>
      <c r="K74" s="1">
        <f t="shared" si="83"/>
        <v>3.1038424844053388E-2</v>
      </c>
      <c r="L74" s="1">
        <f t="shared" ref="L74:O74" si="84">SUM(L75:L77)</f>
        <v>4.8926979060169587E-2</v>
      </c>
      <c r="M74" s="1">
        <f t="shared" si="84"/>
        <v>7.4596435200630418E-2</v>
      </c>
      <c r="N74" s="1">
        <f t="shared" si="84"/>
        <v>5.2809010486551552E-2</v>
      </c>
      <c r="O74" s="1">
        <f t="shared" si="84"/>
        <v>7.0456416692645366E-2</v>
      </c>
      <c r="P74" s="1">
        <f>SUM(P75:P77)</f>
        <v>5.7255330458997583E-2</v>
      </c>
      <c r="Q74" s="1">
        <f>SUM(Q75:Q77)</f>
        <v>8.9831809322774694E-2</v>
      </c>
      <c r="S74" s="3"/>
    </row>
    <row r="75" spans="1:19" x14ac:dyDescent="0.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3.9603134330969625E-2</v>
      </c>
      <c r="G75" s="1">
        <f t="shared" ref="G75:K75" si="85">G71</f>
        <v>1.0360428128379687E-4</v>
      </c>
      <c r="H75" s="1">
        <f t="shared" si="85"/>
        <v>9.708857912995441E-3</v>
      </c>
      <c r="I75" s="1">
        <f t="shared" si="85"/>
        <v>4.4811538961342786E-3</v>
      </c>
      <c r="J75" s="1">
        <f t="shared" si="85"/>
        <v>5.4328896720267769E-3</v>
      </c>
      <c r="K75" s="1">
        <f t="shared" si="85"/>
        <v>6.9787614766485045E-3</v>
      </c>
      <c r="L75" s="1">
        <f t="shared" ref="L75:O75" si="86">L71</f>
        <v>2.1778976248669344E-2</v>
      </c>
      <c r="M75" s="1">
        <f t="shared" si="86"/>
        <v>4.1423459244778617E-2</v>
      </c>
      <c r="N75" s="1">
        <f t="shared" si="86"/>
        <v>2.2277221610625619E-2</v>
      </c>
      <c r="O75" s="1">
        <f t="shared" si="86"/>
        <v>3.8128181777556752E-2</v>
      </c>
      <c r="P75" s="1">
        <f>P71</f>
        <v>2.6465101416506463E-2</v>
      </c>
      <c r="Q75" s="1">
        <f>Q71</f>
        <v>5.7100895198917E-2</v>
      </c>
      <c r="S75" s="3"/>
    </row>
    <row r="76" spans="1:19" x14ac:dyDescent="0.5">
      <c r="A76" s="5" t="str">
        <f t="shared" si="68"/>
        <v>STEM</v>
      </c>
      <c r="B76" s="5" t="str">
        <f t="shared" si="69"/>
        <v>SPS1</v>
      </c>
      <c r="C76" s="5" t="str">
        <f t="shared" si="70"/>
        <v>CH</v>
      </c>
      <c r="D76" t="s">
        <v>515</v>
      </c>
      <c r="E76" t="str">
        <f>E134</f>
        <v>PJ/yr.</v>
      </c>
      <c r="F76" s="1">
        <f>'[1]Electricity and CHPs'!B28</f>
        <v>1.803141574646544E-3</v>
      </c>
      <c r="G76" s="1">
        <f>'[1]Electricity and CHPs'!C28</f>
        <v>7.0573866603733086E-5</v>
      </c>
      <c r="H76" s="1">
        <f>'[1]Electricity and CHPs'!D28</f>
        <v>2.6994323470618652E-3</v>
      </c>
      <c r="I76" s="1">
        <f>'[1]Electricity and CHPs'!E28</f>
        <v>1.8868866350573053E-3</v>
      </c>
      <c r="J76" s="1">
        <f>'[1]Electricity and CHPs'!F28</f>
        <v>2.5235006933218276E-3</v>
      </c>
      <c r="K76" s="1">
        <f>'[1]Electricity and CHPs'!G28</f>
        <v>2.8609273571540525E-3</v>
      </c>
      <c r="L76" s="1">
        <f>'[1]Electricity and CHPs'!H28</f>
        <v>2.8184302247215957E-3</v>
      </c>
      <c r="M76" s="1">
        <f>'[1]Electricity and CHPs'!I28</f>
        <v>4.3180561945554826E-3</v>
      </c>
      <c r="N76" s="1">
        <f>'[1]Electricity and CHPs'!J28</f>
        <v>3.3668963077220166E-3</v>
      </c>
      <c r="O76" s="1">
        <f>'[1]Electricity and CHPs'!K28</f>
        <v>4.341462478806301E-3</v>
      </c>
      <c r="P76" s="1">
        <f>'[1]Electricity and CHPs'!L28</f>
        <v>3.2406479401013537E-3</v>
      </c>
      <c r="Q76" s="1">
        <f>'[1]Electricity and CHPs'!M28</f>
        <v>4.3418781024656987E-3</v>
      </c>
      <c r="S76" s="3"/>
    </row>
    <row r="77" spans="1:19" x14ac:dyDescent="0.5">
      <c r="A77" s="5" t="str">
        <f t="shared" si="68"/>
        <v>STEM</v>
      </c>
      <c r="B77" s="5" t="str">
        <f t="shared" si="69"/>
        <v>SPS1</v>
      </c>
      <c r="C77" s="5" t="str">
        <f t="shared" si="70"/>
        <v>CH</v>
      </c>
      <c r="D77" t="s">
        <v>516</v>
      </c>
      <c r="E77" t="str">
        <f>E89</f>
        <v>PJ/yr.</v>
      </c>
      <c r="F77" s="1">
        <f>'[1]Electricity and CHPs'!B41</f>
        <v>7.0506696955575487E-2</v>
      </c>
      <c r="G77" s="1">
        <f>'[1]Electricity and CHPs'!C41</f>
        <v>0.17135999711245065</v>
      </c>
      <c r="H77" s="1">
        <f>'[1]Electricity and CHPs'!D41</f>
        <v>3.0483021365038236E-3</v>
      </c>
      <c r="I77" s="1">
        <f>'[1]Electricity and CHPs'!E41</f>
        <v>0.16516354809372127</v>
      </c>
      <c r="J77" s="1">
        <f>'[1]Electricity and CHPs'!F41</f>
        <v>0.16359068805493493</v>
      </c>
      <c r="K77" s="1">
        <f>'[1]Electricity and CHPs'!G41</f>
        <v>2.1198736010250831E-2</v>
      </c>
      <c r="L77" s="1">
        <f>'[1]Electricity and CHPs'!H41</f>
        <v>2.4329572586778644E-2</v>
      </c>
      <c r="M77" s="1">
        <f>'[1]Electricity and CHPs'!I41</f>
        <v>2.8854919761296317E-2</v>
      </c>
      <c r="N77" s="1">
        <f>'[1]Electricity and CHPs'!J41</f>
        <v>2.7164892568203914E-2</v>
      </c>
      <c r="O77" s="1">
        <f>'[1]Electricity and CHPs'!K41</f>
        <v>2.7986772436282305E-2</v>
      </c>
      <c r="P77" s="1">
        <f>'[1]Electricity and CHPs'!L41</f>
        <v>2.7549581102389767E-2</v>
      </c>
      <c r="Q77" s="1">
        <f>'[1]Electricity and CHPs'!M41</f>
        <v>2.8389036021391995E-2</v>
      </c>
      <c r="S77" s="3"/>
    </row>
    <row r="78" spans="1:19" x14ac:dyDescent="0.5">
      <c r="A78" s="5" t="str">
        <f t="shared" ref="A78:C79" si="87">A76</f>
        <v>STEM</v>
      </c>
      <c r="B78" s="5" t="str">
        <f t="shared" si="87"/>
        <v>SPS1</v>
      </c>
      <c r="C78" s="5" t="str">
        <f t="shared" si="87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8">SUM(G79:G81)</f>
        <v>0</v>
      </c>
      <c r="H78" s="1">
        <f t="shared" si="88"/>
        <v>0</v>
      </c>
      <c r="I78" s="1">
        <f t="shared" si="88"/>
        <v>0</v>
      </c>
      <c r="J78" s="1">
        <f t="shared" si="88"/>
        <v>0</v>
      </c>
      <c r="K78" s="1">
        <f t="shared" si="88"/>
        <v>0</v>
      </c>
      <c r="L78" s="1">
        <f t="shared" ref="L78:O78" si="89">SUM(L79:L81)</f>
        <v>0</v>
      </c>
      <c r="M78" s="1">
        <f t="shared" si="89"/>
        <v>0</v>
      </c>
      <c r="N78" s="1">
        <f t="shared" si="89"/>
        <v>0</v>
      </c>
      <c r="O78" s="1">
        <f t="shared" si="89"/>
        <v>0</v>
      </c>
      <c r="P78" s="1">
        <f>SUM(P79:P81)</f>
        <v>0</v>
      </c>
      <c r="Q78" s="1">
        <f>SUM(Q79:Q81)</f>
        <v>0</v>
      </c>
      <c r="S78" s="3"/>
    </row>
    <row r="79" spans="1:19" x14ac:dyDescent="0.5">
      <c r="A79" s="5" t="str">
        <f t="shared" si="87"/>
        <v>STEM</v>
      </c>
      <c r="B79" s="5" t="str">
        <f t="shared" si="87"/>
        <v>SPS1</v>
      </c>
      <c r="C79" s="5" t="str">
        <f t="shared" si="87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S79" s="3"/>
    </row>
    <row r="80" spans="1:19" x14ac:dyDescent="0.5">
      <c r="A80" s="5" t="str">
        <f t="shared" si="68"/>
        <v>STEM</v>
      </c>
      <c r="B80" s="5" t="str">
        <f t="shared" si="69"/>
        <v>SPS1</v>
      </c>
      <c r="C80" s="5" t="str">
        <f t="shared" si="70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S80" s="3"/>
    </row>
    <row r="81" spans="1:19" x14ac:dyDescent="0.5">
      <c r="A81" s="5" t="str">
        <f t="shared" si="68"/>
        <v>STEM</v>
      </c>
      <c r="B81" s="5" t="str">
        <f t="shared" si="69"/>
        <v>SPS1</v>
      </c>
      <c r="C81" s="5" t="str">
        <f t="shared" si="70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S81" s="3"/>
    </row>
    <row r="82" spans="1:19" x14ac:dyDescent="0.5">
      <c r="A82" s="5" t="str">
        <f t="shared" si="68"/>
        <v>STEM</v>
      </c>
      <c r="B82" s="5" t="str">
        <f t="shared" si="69"/>
        <v>SPS1</v>
      </c>
      <c r="C82" s="5" t="str">
        <f t="shared" si="70"/>
        <v>CH</v>
      </c>
      <c r="D82" t="s">
        <v>796</v>
      </c>
      <c r="E82" t="str">
        <f>E131</f>
        <v>PJ/yr.</v>
      </c>
      <c r="F82" s="1">
        <f>SUM(F83:F97)</f>
        <v>3.2352696687954592</v>
      </c>
      <c r="G82" s="1">
        <f t="shared" ref="G82:K82" si="90">SUM(G83:G97)</f>
        <v>1.8532792309973516</v>
      </c>
      <c r="H82" s="1">
        <f t="shared" si="90"/>
        <v>1.8585783155364615</v>
      </c>
      <c r="I82" s="1">
        <f t="shared" si="90"/>
        <v>5.4220472510647433</v>
      </c>
      <c r="J82" s="1">
        <f t="shared" si="90"/>
        <v>6.6694237286483906</v>
      </c>
      <c r="K82" s="1">
        <f t="shared" si="90"/>
        <v>7.2444068692432033</v>
      </c>
      <c r="L82" s="1">
        <f t="shared" ref="L82:O82" si="91">SUM(L83:L97)</f>
        <v>13.015105295138856</v>
      </c>
      <c r="M82" s="1">
        <f t="shared" si="91"/>
        <v>15.174010621247694</v>
      </c>
      <c r="N82" s="1">
        <f t="shared" si="91"/>
        <v>15.84374248459957</v>
      </c>
      <c r="O82" s="1">
        <f t="shared" si="91"/>
        <v>17.058832755498742</v>
      </c>
      <c r="P82" s="1">
        <f>SUM(P83:P97)</f>
        <v>17.365200847857345</v>
      </c>
      <c r="Q82" s="1">
        <f>SUM(Q83:Q97)</f>
        <v>16.628397786431986</v>
      </c>
      <c r="S82" s="3"/>
    </row>
    <row r="83" spans="1:19" x14ac:dyDescent="0.5">
      <c r="A83" s="5" t="str">
        <f t="shared" si="68"/>
        <v>STEM</v>
      </c>
      <c r="B83" s="5" t="str">
        <f t="shared" si="69"/>
        <v>SPS1</v>
      </c>
      <c r="C83" s="5" t="str">
        <f t="shared" si="70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'[1]Electricity and CHPs'!F21</f>
        <v>0</v>
      </c>
      <c r="K83" s="1">
        <f>'[1]Electricity and CHPs'!G21</f>
        <v>0.22564623675996853</v>
      </c>
      <c r="L83" s="1">
        <f>'[1]Electricity and CHPs'!H21</f>
        <v>5.4851372657915425</v>
      </c>
      <c r="M83" s="1">
        <f>'[1]Electricity and CHPs'!I21</f>
        <v>9.205906914622755</v>
      </c>
      <c r="N83" s="1">
        <f>'[1]Electricity and CHPs'!J21</f>
        <v>9.7863337712048466</v>
      </c>
      <c r="O83" s="1">
        <f>'[1]Electricity and CHPs'!K21</f>
        <v>11.444104531880349</v>
      </c>
      <c r="P83" s="1">
        <f>'[1]Electricity and CHPs'!L21</f>
        <v>12.074432306558872</v>
      </c>
      <c r="Q83" s="1">
        <f>'[1]Electricity and CHPs'!M21</f>
        <v>10.974587627284787</v>
      </c>
      <c r="S83" s="3"/>
    </row>
    <row r="84" spans="1:19" x14ac:dyDescent="0.5">
      <c r="A84" s="5" t="str">
        <f t="shared" si="68"/>
        <v>STEM</v>
      </c>
      <c r="B84" s="5" t="str">
        <f t="shared" si="69"/>
        <v>SPS1</v>
      </c>
      <c r="C84" s="5" t="str">
        <f t="shared" si="70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'[1]Electricity and CHPs'!F22</f>
        <v>2.0071558255138126E-2</v>
      </c>
      <c r="K84" s="1">
        <f>'[1]Electricity and CHPs'!G22</f>
        <v>6.7033204873744451E-2</v>
      </c>
      <c r="L84" s="1">
        <f>'[1]Electricity and CHPs'!H22</f>
        <v>0.75459833163283518</v>
      </c>
      <c r="M84" s="1">
        <f>'[1]Electricity and CHPs'!I22</f>
        <v>0.27025757452148208</v>
      </c>
      <c r="N84" s="1">
        <f>'[1]Electricity and CHPs'!J22</f>
        <v>0.48324961564613661</v>
      </c>
      <c r="O84" s="1">
        <f>'[1]Electricity and CHPs'!K22</f>
        <v>0.32438064410369011</v>
      </c>
      <c r="P84" s="1">
        <f>'[1]Electricity and CHPs'!L22</f>
        <v>8.4305205170911016E-2</v>
      </c>
      <c r="Q84" s="1">
        <f>'[1]Electricity and CHPs'!M22</f>
        <v>0.2594226490544746</v>
      </c>
      <c r="S84" s="3"/>
    </row>
    <row r="85" spans="1:19" x14ac:dyDescent="0.5">
      <c r="A85" s="5" t="str">
        <f t="shared" si="68"/>
        <v>STEM</v>
      </c>
      <c r="B85" s="5" t="str">
        <f t="shared" si="69"/>
        <v>SPS1</v>
      </c>
      <c r="C85" s="5" t="str">
        <f t="shared" si="70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'[1]Electricity and CHPs'!F23</f>
        <v>0</v>
      </c>
      <c r="K85" s="1">
        <f>'[1]Electricity and CHPs'!G23</f>
        <v>0</v>
      </c>
      <c r="L85" s="1">
        <f>'[1]Electricity and CHPs'!H23</f>
        <v>0</v>
      </c>
      <c r="M85" s="1">
        <f>'[1]Electricity and CHPs'!I23</f>
        <v>0</v>
      </c>
      <c r="N85" s="1">
        <f>'[1]Electricity and CHPs'!J23</f>
        <v>0</v>
      </c>
      <c r="O85" s="1">
        <f>'[1]Electricity and CHPs'!K23</f>
        <v>0</v>
      </c>
      <c r="P85" s="1">
        <f>'[1]Electricity and CHPs'!L23</f>
        <v>0</v>
      </c>
      <c r="Q85" s="1">
        <f>'[1]Electricity and CHPs'!M23</f>
        <v>0</v>
      </c>
      <c r="S85" s="3"/>
    </row>
    <row r="86" spans="1:19" x14ac:dyDescent="0.5">
      <c r="A86" s="5" t="str">
        <f t="shared" si="68"/>
        <v>STEM</v>
      </c>
      <c r="B86" s="5" t="str">
        <f t="shared" si="69"/>
        <v>SPS1</v>
      </c>
      <c r="C86" s="5" t="str">
        <f t="shared" si="70"/>
        <v>CH</v>
      </c>
      <c r="D86" t="s">
        <v>38</v>
      </c>
      <c r="E86" t="str">
        <f>E85</f>
        <v>PJ/yr.</v>
      </c>
      <c r="F86" s="1">
        <f>'[1]Electricity and CHPs'!B24</f>
        <v>0.96588295682558345</v>
      </c>
      <c r="G86" s="1">
        <f>'[1]Electricity and CHPs'!C24</f>
        <v>4.0032870713610383E-4</v>
      </c>
      <c r="H86" s="1">
        <f>'[1]Electricity and CHPs'!D24</f>
        <v>2.1703244154201537E-2</v>
      </c>
      <c r="I86" s="1">
        <f>'[1]Electricity and CHPs'!E24</f>
        <v>0.68207759238823662</v>
      </c>
      <c r="J86" s="1">
        <f>'[1]Electricity and CHPs'!F24</f>
        <v>0.24084788349367856</v>
      </c>
      <c r="K86" s="1">
        <f>'[1]Electricity and CHPs'!G24</f>
        <v>0.63314818672449613</v>
      </c>
      <c r="L86" s="1">
        <f>'[1]Electricity and CHPs'!H24</f>
        <v>0.26436888272149656</v>
      </c>
      <c r="M86" s="1">
        <f>'[1]Electricity and CHPs'!I24</f>
        <v>0.12064811294379214</v>
      </c>
      <c r="N86" s="1">
        <f>'[1]Electricity and CHPs'!J24</f>
        <v>0.10997523976605154</v>
      </c>
      <c r="O86" s="1">
        <f>'[1]Electricity and CHPs'!K24</f>
        <v>3.9037741845206447E-2</v>
      </c>
      <c r="P86" s="1">
        <f>'[1]Electricity and CHPs'!L24</f>
        <v>1.1357192381042672E-2</v>
      </c>
      <c r="Q86" s="1">
        <f>'[1]Electricity and CHPs'!M24</f>
        <v>1.5915642827395143E-2</v>
      </c>
      <c r="S86" s="3"/>
    </row>
    <row r="87" spans="1:19" x14ac:dyDescent="0.5">
      <c r="A87" s="5" t="str">
        <f t="shared" si="68"/>
        <v>STEM</v>
      </c>
      <c r="B87" s="5" t="str">
        <f t="shared" si="69"/>
        <v>SPS1</v>
      </c>
      <c r="C87" s="5" t="str">
        <f t="shared" si="70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'[1]Electricity and CHPs'!F29</f>
        <v>0</v>
      </c>
      <c r="K87" s="1">
        <f>'[1]Electricity and CHPs'!G29</f>
        <v>0.39559556300377602</v>
      </c>
      <c r="L87" s="1">
        <f>'[1]Electricity and CHPs'!H29</f>
        <v>0.72283510226504977</v>
      </c>
      <c r="M87" s="1">
        <f>'[1]Electricity and CHPs'!I29</f>
        <v>0.88158674588996222</v>
      </c>
      <c r="N87" s="1">
        <f>'[1]Electricity and CHPs'!J29</f>
        <v>0.83052211545870491</v>
      </c>
      <c r="O87" s="1">
        <f>'[1]Electricity and CHPs'!K29</f>
        <v>0.48566074770973477</v>
      </c>
      <c r="P87" s="1">
        <f>'[1]Electricity and CHPs'!L29</f>
        <v>0.1246676204922739</v>
      </c>
      <c r="Q87" s="1">
        <f>'[1]Electricity and CHPs'!M29</f>
        <v>4.3853316887397062E-2</v>
      </c>
      <c r="S87" s="3"/>
    </row>
    <row r="88" spans="1:19" x14ac:dyDescent="0.5">
      <c r="A88" s="5" t="str">
        <f t="shared" si="68"/>
        <v>STEM</v>
      </c>
      <c r="B88" s="5" t="str">
        <f t="shared" si="69"/>
        <v>SPS1</v>
      </c>
      <c r="C88" s="5" t="str">
        <f t="shared" si="70"/>
        <v>CH</v>
      </c>
      <c r="D88" t="s">
        <v>41</v>
      </c>
      <c r="E88" t="str">
        <f>E166</f>
        <v>PJ/yr.</v>
      </c>
      <c r="F88" s="1">
        <f>'[1]Electricity and CHPs'!B39</f>
        <v>0.66998032210914271</v>
      </c>
      <c r="G88" s="1">
        <f>'[1]Electricity and CHPs'!C39</f>
        <v>9.1266847754030683E-2</v>
      </c>
      <c r="H88" s="1">
        <f>'[1]Electricity and CHPs'!D39</f>
        <v>5.8818191371725483E-2</v>
      </c>
      <c r="I88" s="1">
        <f>'[1]Electricity and CHPs'!E39</f>
        <v>0.74228762237224644</v>
      </c>
      <c r="J88" s="1">
        <f>'[1]Electricity and CHPs'!F39</f>
        <v>0.55884932644259977</v>
      </c>
      <c r="K88" s="1">
        <f>'[1]Electricity and CHPs'!G39</f>
        <v>0.17022143146878352</v>
      </c>
      <c r="L88" s="1">
        <f>'[1]Electricity and CHPs'!H39</f>
        <v>0.12042265864170826</v>
      </c>
      <c r="M88" s="1">
        <f>'[1]Electricity and CHPs'!I39</f>
        <v>7.3336363454713588E-2</v>
      </c>
      <c r="N88" s="1">
        <f>'[1]Electricity and CHPs'!J39</f>
        <v>4.4729225811464726E-2</v>
      </c>
      <c r="O88" s="1">
        <f>'[1]Electricity and CHPs'!K39</f>
        <v>6.7379278640968002E-2</v>
      </c>
      <c r="P88" s="1">
        <f>'[1]Electricity and CHPs'!L39</f>
        <v>0.11019898635368168</v>
      </c>
      <c r="Q88" s="1">
        <f>'[1]Electricity and CHPs'!M39</f>
        <v>0.11295360676061827</v>
      </c>
      <c r="S88" s="3"/>
    </row>
    <row r="89" spans="1:19" x14ac:dyDescent="0.5">
      <c r="A89" s="5" t="str">
        <f t="shared" si="68"/>
        <v>STEM</v>
      </c>
      <c r="B89" s="5" t="str">
        <f t="shared" si="69"/>
        <v>SPS1</v>
      </c>
      <c r="C89" s="5" t="str">
        <f t="shared" si="70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'[1]Electricity and CHPs'!F40</f>
        <v>0</v>
      </c>
      <c r="K89" s="1">
        <f>'[1]Electricity and CHPs'!G40</f>
        <v>0</v>
      </c>
      <c r="L89" s="1">
        <f>'[1]Electricity and CHPs'!H40</f>
        <v>0</v>
      </c>
      <c r="M89" s="1">
        <f>'[1]Electricity and CHPs'!I40</f>
        <v>0</v>
      </c>
      <c r="N89" s="1">
        <f>'[1]Electricity and CHPs'!J40</f>
        <v>0</v>
      </c>
      <c r="O89" s="1">
        <f>'[1]Electricity and CHPs'!K40</f>
        <v>0</v>
      </c>
      <c r="P89" s="1">
        <f>'[1]Electricity and CHPs'!L40</f>
        <v>0</v>
      </c>
      <c r="Q89" s="1">
        <f>'[1]Electricity and CHPs'!M40</f>
        <v>0</v>
      </c>
      <c r="S89" s="3"/>
    </row>
    <row r="90" spans="1:19" x14ac:dyDescent="0.5">
      <c r="A90" s="5" t="str">
        <f t="shared" si="68"/>
        <v>STEM</v>
      </c>
      <c r="B90" s="5" t="str">
        <f t="shared" si="69"/>
        <v>SPS1</v>
      </c>
      <c r="C90" s="5" t="str">
        <f t="shared" si="70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3.8149692567829609E-3</v>
      </c>
      <c r="J90" s="1">
        <f>'[1]Electricity and CHPs'!F47</f>
        <v>5.169638541081845E-3</v>
      </c>
      <c r="K90" s="1">
        <f>'[1]Electricity and CHPs'!G47</f>
        <v>8.8321689173690137E-3</v>
      </c>
      <c r="L90" s="1">
        <f>'[1]Electricity and CHPs'!H47</f>
        <v>1.547850855152005E-2</v>
      </c>
      <c r="M90" s="1">
        <f>'[1]Electricity and CHPs'!I47</f>
        <v>2.4470627561742498E-2</v>
      </c>
      <c r="N90" s="1">
        <f>'[1]Electricity and CHPs'!J47</f>
        <v>2.1539924257900613E-2</v>
      </c>
      <c r="O90" s="1">
        <f>'[1]Electricity and CHPs'!K47</f>
        <v>3.1421032151813848E-2</v>
      </c>
      <c r="P90" s="1">
        <f>'[1]Electricity and CHPs'!L47</f>
        <v>3.3531238777639978E-2</v>
      </c>
      <c r="Q90" s="1">
        <f>'[1]Electricity and CHPs'!M47</f>
        <v>5.5263046322483231E-2</v>
      </c>
      <c r="S90" s="3"/>
    </row>
    <row r="91" spans="1:19" x14ac:dyDescent="0.5">
      <c r="A91" s="5" t="str">
        <f t="shared" si="68"/>
        <v>STEM</v>
      </c>
      <c r="B91" s="5" t="str">
        <f t="shared" si="69"/>
        <v>SPS1</v>
      </c>
      <c r="C91" s="5" t="str">
        <f t="shared" si="70"/>
        <v>CH</v>
      </c>
      <c r="D91" t="s">
        <v>44</v>
      </c>
      <c r="E91" t="str">
        <f>E90</f>
        <v>PJ/yr.</v>
      </c>
      <c r="F91" s="1">
        <f>'[1]Electricity and CHPs'!B48</f>
        <v>1.7311436794303813E-2</v>
      </c>
      <c r="G91" s="1">
        <f>'[1]Electricity and CHPs'!C48</f>
        <v>4.1753222851694111E-3</v>
      </c>
      <c r="H91" s="1">
        <f>'[1]Electricity and CHPs'!D48</f>
        <v>1.7068346615737418E-2</v>
      </c>
      <c r="I91" s="1">
        <f>'[1]Electricity and CHPs'!E48</f>
        <v>1.5161723021301894E-2</v>
      </c>
      <c r="J91" s="1">
        <f>'[1]Electricity and CHPs'!F48</f>
        <v>3.3674943423247519E-2</v>
      </c>
      <c r="K91" s="1">
        <f>'[1]Electricity and CHPs'!G48</f>
        <v>3.4203453803002007E-2</v>
      </c>
      <c r="L91" s="1">
        <f>'[1]Electricity and CHPs'!H48</f>
        <v>3.9424194468780718E-2</v>
      </c>
      <c r="M91" s="1">
        <f>'[1]Electricity and CHPs'!I48</f>
        <v>5.385345001020115E-2</v>
      </c>
      <c r="N91" s="1">
        <f>'[1]Electricity and CHPs'!J48</f>
        <v>4.6519884895529218E-2</v>
      </c>
      <c r="O91" s="1">
        <f>'[1]Electricity and CHPs'!K48</f>
        <v>5.056208821390655E-2</v>
      </c>
      <c r="P91" s="1">
        <f>'[1]Electricity and CHPs'!L48</f>
        <v>0.16856884277853831</v>
      </c>
      <c r="Q91" s="1">
        <f>'[1]Electricity and CHPs'!M48</f>
        <v>0.16516486821597007</v>
      </c>
      <c r="S91" s="3"/>
    </row>
    <row r="92" spans="1:19" x14ac:dyDescent="0.5">
      <c r="A92" s="5" t="str">
        <f t="shared" si="68"/>
        <v>STEM</v>
      </c>
      <c r="B92" s="5" t="str">
        <f t="shared" si="69"/>
        <v>SPS1</v>
      </c>
      <c r="C92" s="5" t="str">
        <f t="shared" si="70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7.3737533019802698E-4</v>
      </c>
      <c r="J92" s="1">
        <f>'[1]Electricity and CHPs'!F49</f>
        <v>2.607126760357677E-3</v>
      </c>
      <c r="K92" s="1">
        <f>'[1]Electricity and CHPs'!G49</f>
        <v>2.6485718221919427E-3</v>
      </c>
      <c r="L92" s="1">
        <f>'[1]Electricity and CHPs'!H49</f>
        <v>2.7987157914121956E-3</v>
      </c>
      <c r="M92" s="1">
        <f>'[1]Electricity and CHPs'!I49</f>
        <v>6.6644698453375319E-3</v>
      </c>
      <c r="N92" s="1">
        <f>'[1]Electricity and CHPs'!J49</f>
        <v>5.405112230415364E-3</v>
      </c>
      <c r="O92" s="1">
        <f>'[1]Electricity and CHPs'!K49</f>
        <v>8.5752261726224459E-3</v>
      </c>
      <c r="P92" s="1">
        <f>'[1]Electricity and CHPs'!L49</f>
        <v>8.2435163926668463E-3</v>
      </c>
      <c r="Q92" s="1">
        <f>'[1]Electricity and CHPs'!M49</f>
        <v>1.5022531791102318E-2</v>
      </c>
      <c r="S92" s="3"/>
    </row>
    <row r="93" spans="1:19" x14ac:dyDescent="0.5">
      <c r="A93" s="5" t="str">
        <f t="shared" si="68"/>
        <v>STEM</v>
      </c>
      <c r="B93" s="5" t="str">
        <f t="shared" si="69"/>
        <v>SPS1</v>
      </c>
      <c r="C93" s="5" t="str">
        <f t="shared" si="70"/>
        <v>CH</v>
      </c>
      <c r="D93" t="s">
        <v>46</v>
      </c>
      <c r="E93" t="str">
        <f>E156</f>
        <v>PJ/yr.</v>
      </c>
      <c r="F93" s="1">
        <f>'[1]Electricity and CHPs'!B51</f>
        <v>2.8296227147672673E-2</v>
      </c>
      <c r="G93" s="1">
        <f>'[1]Electricity and CHPs'!C51</f>
        <v>2.5404224509845568E-2</v>
      </c>
      <c r="H93" s="1">
        <f>'[1]Electricity and CHPs'!D51</f>
        <v>0.12596843272263056</v>
      </c>
      <c r="I93" s="1">
        <f>'[1]Electricity and CHPs'!E51</f>
        <v>0.62660383642723982</v>
      </c>
      <c r="J93" s="1">
        <f>'[1]Electricity and CHPs'!F51</f>
        <v>0.66985107858308224</v>
      </c>
      <c r="K93" s="1">
        <f>'[1]Electricity and CHPs'!G51</f>
        <v>0.75097436487679436</v>
      </c>
      <c r="L93" s="1">
        <f>'[1]Electricity and CHPs'!H51</f>
        <v>0.74058065482243995</v>
      </c>
      <c r="M93" s="1">
        <f>'[1]Electricity and CHPs'!I51</f>
        <v>0.72724786123152918</v>
      </c>
      <c r="N93" s="1">
        <f>'[1]Electricity and CHPs'!J51</f>
        <v>0.70977450937552244</v>
      </c>
      <c r="O93" s="1">
        <f>'[1]Electricity and CHPs'!K51</f>
        <v>0.68787460667437528</v>
      </c>
      <c r="P93" s="1">
        <f>'[1]Electricity and CHPs'!L51</f>
        <v>0.60266387949739353</v>
      </c>
      <c r="Q93" s="1">
        <f>'[1]Electricity and CHPs'!M51</f>
        <v>0.54076318199083417</v>
      </c>
      <c r="S93" s="3"/>
    </row>
    <row r="94" spans="1:19" x14ac:dyDescent="0.5">
      <c r="A94" s="5" t="str">
        <f t="shared" si="68"/>
        <v>STEM</v>
      </c>
      <c r="B94" s="5" t="str">
        <f t="shared" si="69"/>
        <v>SPS1</v>
      </c>
      <c r="C94" s="5" t="str">
        <f t="shared" si="70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3.1310704454395105E-3</v>
      </c>
      <c r="J94" s="1">
        <f>'[1]Electricity and CHPs'!F52</f>
        <v>1.23032707122302E-2</v>
      </c>
      <c r="K94" s="1">
        <f>'[1]Electricity and CHPs'!G52</f>
        <v>1.2565816536735913E-2</v>
      </c>
      <c r="L94" s="1">
        <f>'[1]Electricity and CHPs'!H52</f>
        <v>1.4130709338458659E-2</v>
      </c>
      <c r="M94" s="1">
        <f>'[1]Electricity and CHPs'!I52</f>
        <v>3.8101453745280942E-2</v>
      </c>
      <c r="N94" s="1">
        <f>'[1]Electricity and CHPs'!J52</f>
        <v>3.336984531927973E-2</v>
      </c>
      <c r="O94" s="1">
        <f>'[1]Electricity and CHPs'!K52</f>
        <v>6.5113279062824769E-2</v>
      </c>
      <c r="P94" s="1">
        <f>'[1]Electricity and CHPs'!L52</f>
        <v>6.3269036603922052E-2</v>
      </c>
      <c r="Q94" s="1">
        <f>'[1]Electricity and CHPs'!M52</f>
        <v>0.11380778678839634</v>
      </c>
      <c r="S94" s="3"/>
    </row>
    <row r="95" spans="1:19" x14ac:dyDescent="0.5">
      <c r="A95" s="5" t="str">
        <f t="shared" si="68"/>
        <v>STEM</v>
      </c>
      <c r="B95" s="5" t="str">
        <f t="shared" si="69"/>
        <v>SPS1</v>
      </c>
      <c r="C95" s="5" t="str">
        <f t="shared" si="70"/>
        <v>CH</v>
      </c>
      <c r="D95" t="s">
        <v>84</v>
      </c>
      <c r="E95" t="str">
        <f>E157</f>
        <v>PJ/yr.</v>
      </c>
      <c r="F95" s="1">
        <f>'[1]Electricity and CHPs'!B54</f>
        <v>0.95937142062843517</v>
      </c>
      <c r="G95" s="1">
        <f>'[1]Electricity and CHPs'!C54</f>
        <v>1.1061197708492967</v>
      </c>
      <c r="H95" s="1">
        <f>'[1]Electricity and CHPs'!D54</f>
        <v>1.1061202942024164</v>
      </c>
      <c r="I95" s="1">
        <f>'[1]Electricity and CHPs'!E54</f>
        <v>1.1061184455650488</v>
      </c>
      <c r="J95" s="1">
        <f>'[1]Electricity and CHPs'!F54</f>
        <v>1.1061191710409983</v>
      </c>
      <c r="K95" s="1">
        <f>'[1]Electricity and CHPs'!G54</f>
        <v>1.1061209391546785</v>
      </c>
      <c r="L95" s="1">
        <f>'[1]Electricity and CHPs'!H54</f>
        <v>1.1061269760134509</v>
      </c>
      <c r="M95" s="1">
        <f>'[1]Electricity and CHPs'!I54</f>
        <v>1.1061420325186193</v>
      </c>
      <c r="N95" s="1">
        <f>'[1]Electricity and CHPs'!J54</f>
        <v>1.1061518890338238</v>
      </c>
      <c r="O95" s="1">
        <f>'[1]Electricity and CHPs'!K54</f>
        <v>1.1061800074934498</v>
      </c>
      <c r="P95" s="1">
        <f>'[1]Electricity and CHPs'!L54</f>
        <v>1.1062134962771784</v>
      </c>
      <c r="Q95" s="1">
        <f>'[1]Electricity and CHPs'!M54</f>
        <v>1.1425432066680894</v>
      </c>
      <c r="S95" s="3"/>
    </row>
    <row r="96" spans="1:19" x14ac:dyDescent="0.5">
      <c r="A96" s="5" t="str">
        <f t="shared" si="68"/>
        <v>STEM</v>
      </c>
      <c r="B96" s="5" t="str">
        <f t="shared" si="69"/>
        <v>SPS1</v>
      </c>
      <c r="C96" s="5" t="str">
        <f t="shared" si="70"/>
        <v>CH</v>
      </c>
      <c r="D96" t="s">
        <v>85</v>
      </c>
      <c r="E96" t="str">
        <f>E95</f>
        <v>PJ/yr.</v>
      </c>
      <c r="F96" s="1">
        <f>'[1]Electricity and CHPs'!B55</f>
        <v>0.59442730529032106</v>
      </c>
      <c r="G96" s="1">
        <f>'[1]Electricity and CHPs'!C55</f>
        <v>0.6259127368918731</v>
      </c>
      <c r="H96" s="1">
        <f>'[1]Electricity and CHPs'!D55</f>
        <v>0.52889980646974999</v>
      </c>
      <c r="I96" s="1">
        <f>'[1]Electricity and CHPs'!E55</f>
        <v>2.2379538137678892</v>
      </c>
      <c r="J96" s="1">
        <f>'[1]Electricity and CHPs'!F55</f>
        <v>4.00715465500409</v>
      </c>
      <c r="K96" s="1">
        <f>'[1]Electricity and CHPs'!G55</f>
        <v>3.8250165384616261</v>
      </c>
      <c r="L96" s="1">
        <f>'[1]Electricity and CHPs'!H55</f>
        <v>3.739977519756216</v>
      </c>
      <c r="M96" s="1">
        <f>'[1]Electricity and CHPs'!I55</f>
        <v>2.64402224484712</v>
      </c>
      <c r="N96" s="1">
        <f>'[1]Electricity and CHPs'!J55</f>
        <v>2.6441483258475529</v>
      </c>
      <c r="O96" s="1">
        <f>'[1]Electricity and CHPs'!K55</f>
        <v>2.7031174669823086</v>
      </c>
      <c r="P96" s="1">
        <f>'[1]Electricity and CHPs'!L55</f>
        <v>2.9429158148231362</v>
      </c>
      <c r="Q96" s="1">
        <f>'[1]Electricity and CHPs'!M55</f>
        <v>3.1140321314270669</v>
      </c>
      <c r="S96" s="3"/>
    </row>
    <row r="97" spans="1:19" x14ac:dyDescent="0.5">
      <c r="A97" s="5" t="str">
        <f t="shared" si="68"/>
        <v>STEM</v>
      </c>
      <c r="B97" s="5" t="str">
        <f t="shared" si="69"/>
        <v>SPS1</v>
      </c>
      <c r="C97" s="5" t="str">
        <f t="shared" si="70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4.1608024903605108E-3</v>
      </c>
      <c r="J97" s="1">
        <f>'[1]Electricity and CHPs'!F58</f>
        <v>1.2775076391886197E-2</v>
      </c>
      <c r="K97" s="1">
        <f>'[1]Electricity and CHPs'!G58</f>
        <v>1.2400392840036805E-2</v>
      </c>
      <c r="L97" s="1">
        <f>'[1]Electricity and CHPs'!H58</f>
        <v>9.2257753439436655E-3</v>
      </c>
      <c r="M97" s="1">
        <f>'[1]Electricity and CHPs'!I58</f>
        <v>2.177277005515919E-2</v>
      </c>
      <c r="N97" s="1">
        <f>'[1]Electricity and CHPs'!J58</f>
        <v>2.2023025752343172E-2</v>
      </c>
      <c r="O97" s="1">
        <f>'[1]Electricity and CHPs'!K58</f>
        <v>4.5426104567490778E-2</v>
      </c>
      <c r="P97" s="1">
        <f>'[1]Electricity and CHPs'!L58</f>
        <v>3.4833711750090271E-2</v>
      </c>
      <c r="Q97" s="1">
        <f>'[1]Electricity and CHPs'!M58</f>
        <v>7.5068190413372399E-2</v>
      </c>
      <c r="S97" s="3"/>
    </row>
    <row r="98" spans="1:19" x14ac:dyDescent="0.5">
      <c r="A98" s="5" t="str">
        <f t="shared" ref="A98:A113" si="92">A97</f>
        <v>STEM</v>
      </c>
      <c r="B98" s="5" t="str">
        <f t="shared" ref="B98:B113" si="93">B97</f>
        <v>SPS1</v>
      </c>
      <c r="C98" s="5" t="str">
        <f t="shared" ref="C98:C113" si="94">C97</f>
        <v>CH</v>
      </c>
      <c r="D98" t="s">
        <v>797</v>
      </c>
      <c r="E98" t="str">
        <f t="shared" ref="E98:E108" si="95">E173</f>
        <v>PJ/yr.</v>
      </c>
      <c r="F98" s="1">
        <f>F82-F114</f>
        <v>2.2153896701495936</v>
      </c>
      <c r="G98" s="1">
        <f t="shared" ref="G98:K98" si="96">G82-G114</f>
        <v>0.71443212694708258</v>
      </c>
      <c r="H98" s="1">
        <f t="shared" si="96"/>
        <v>0.68927847044436397</v>
      </c>
      <c r="I98" s="1">
        <f>I82-I114</f>
        <v>4.1359264194390404</v>
      </c>
      <c r="J98" s="1">
        <f t="shared" si="96"/>
        <v>5.393137867709239</v>
      </c>
      <c r="K98" s="1">
        <f t="shared" si="96"/>
        <v>5.9990782113866832</v>
      </c>
      <c r="L98" s="1">
        <f t="shared" ref="L98:O98" si="97">L82-L114</f>
        <v>11.712765102918498</v>
      </c>
      <c r="M98" s="1">
        <f t="shared" si="97"/>
        <v>13.853978183048328</v>
      </c>
      <c r="N98" s="1">
        <f t="shared" si="97"/>
        <v>14.527442897543558</v>
      </c>
      <c r="O98" s="1">
        <f t="shared" si="97"/>
        <v>15.726892710002133</v>
      </c>
      <c r="P98" s="1">
        <f t="shared" ref="P98:Q113" si="98">P82-P114</f>
        <v>16.016830188675449</v>
      </c>
      <c r="Q98" s="1">
        <f t="shared" si="98"/>
        <v>15.237545254021022</v>
      </c>
      <c r="S98" s="3"/>
    </row>
    <row r="99" spans="1:19" x14ac:dyDescent="0.5">
      <c r="A99" s="5" t="str">
        <f t="shared" si="92"/>
        <v>STEM</v>
      </c>
      <c r="B99" s="5" t="str">
        <f t="shared" si="93"/>
        <v>SPS1</v>
      </c>
      <c r="C99" s="5" t="str">
        <f t="shared" si="94"/>
        <v>CH</v>
      </c>
      <c r="D99" t="s">
        <v>552</v>
      </c>
      <c r="E99" t="str">
        <f t="shared" si="95"/>
        <v>PJ/yr.</v>
      </c>
      <c r="F99" s="1">
        <f t="shared" ref="F99:K99" si="99">F83-F115</f>
        <v>0</v>
      </c>
      <c r="G99" s="1">
        <f t="shared" si="99"/>
        <v>0</v>
      </c>
      <c r="H99" s="1">
        <f t="shared" si="99"/>
        <v>0</v>
      </c>
      <c r="I99" s="1">
        <f t="shared" si="99"/>
        <v>0</v>
      </c>
      <c r="J99" s="1">
        <f t="shared" si="99"/>
        <v>0</v>
      </c>
      <c r="K99" s="1">
        <f t="shared" si="99"/>
        <v>0.22052889647788135</v>
      </c>
      <c r="L99" s="1">
        <f t="shared" ref="L99:O99" si="100">L83-L115</f>
        <v>5.3947637345433677</v>
      </c>
      <c r="M99" s="1">
        <f t="shared" si="100"/>
        <v>9.0659386491951537</v>
      </c>
      <c r="N99" s="1">
        <f t="shared" si="100"/>
        <v>9.6467875203601334</v>
      </c>
      <c r="O99" s="1">
        <f t="shared" si="100"/>
        <v>11.282148930210747</v>
      </c>
      <c r="P99" s="1">
        <f t="shared" si="98"/>
        <v>11.89459882690756</v>
      </c>
      <c r="Q99" s="1">
        <f t="shared" si="98"/>
        <v>10.798614616560652</v>
      </c>
      <c r="S99" s="3"/>
    </row>
    <row r="100" spans="1:19" x14ac:dyDescent="0.5">
      <c r="A100" s="5" t="str">
        <f t="shared" si="92"/>
        <v>STEM</v>
      </c>
      <c r="B100" s="5" t="str">
        <f t="shared" si="93"/>
        <v>SPS1</v>
      </c>
      <c r="C100" s="5" t="str">
        <f t="shared" si="94"/>
        <v>CH</v>
      </c>
      <c r="D100" t="s">
        <v>553</v>
      </c>
      <c r="E100" t="str">
        <f t="shared" si="95"/>
        <v>PJ/yr.</v>
      </c>
      <c r="F100" s="1">
        <f t="shared" ref="F100:K100" si="101">F84-F116</f>
        <v>0</v>
      </c>
      <c r="G100" s="1">
        <f t="shared" si="101"/>
        <v>0</v>
      </c>
      <c r="H100" s="1">
        <f t="shared" si="101"/>
        <v>0</v>
      </c>
      <c r="I100" s="1">
        <f t="shared" si="101"/>
        <v>0</v>
      </c>
      <c r="J100" s="1">
        <f t="shared" si="101"/>
        <v>1.9457622671707888E-2</v>
      </c>
      <c r="K100" s="1">
        <f t="shared" si="101"/>
        <v>6.5512985771208676E-2</v>
      </c>
      <c r="L100" s="1">
        <f t="shared" ref="L100:O100" si="102">L84-L116</f>
        <v>0.74216551316374268</v>
      </c>
      <c r="M100" s="1">
        <f t="shared" si="102"/>
        <v>0.26614852972282599</v>
      </c>
      <c r="N100" s="1">
        <f t="shared" si="102"/>
        <v>0.47635881530536051</v>
      </c>
      <c r="O100" s="1">
        <f t="shared" si="102"/>
        <v>0.319790047937827</v>
      </c>
      <c r="P100" s="1">
        <f t="shared" si="98"/>
        <v>8.3049585195273126E-2</v>
      </c>
      <c r="Q100" s="1">
        <f t="shared" si="98"/>
        <v>0.25526291329450407</v>
      </c>
      <c r="S100" s="3"/>
    </row>
    <row r="101" spans="1:19" x14ac:dyDescent="0.5">
      <c r="A101" s="5" t="str">
        <f t="shared" si="92"/>
        <v>STEM</v>
      </c>
      <c r="B101" s="5" t="str">
        <f t="shared" si="93"/>
        <v>SPS1</v>
      </c>
      <c r="C101" s="5" t="str">
        <f t="shared" si="94"/>
        <v>CH</v>
      </c>
      <c r="D101" t="s">
        <v>554</v>
      </c>
      <c r="E101" t="str">
        <f t="shared" si="95"/>
        <v>PJ/yr.</v>
      </c>
      <c r="F101" s="1">
        <f t="shared" ref="F101:K101" si="103">F85-F117</f>
        <v>0</v>
      </c>
      <c r="G101" s="1">
        <f t="shared" si="103"/>
        <v>0</v>
      </c>
      <c r="H101" s="1">
        <f t="shared" si="103"/>
        <v>0</v>
      </c>
      <c r="I101" s="1">
        <f t="shared" si="103"/>
        <v>0</v>
      </c>
      <c r="J101" s="1">
        <f t="shared" si="103"/>
        <v>0</v>
      </c>
      <c r="K101" s="1">
        <f t="shared" si="103"/>
        <v>0</v>
      </c>
      <c r="L101" s="1">
        <f t="shared" ref="L101:O101" si="104">L85-L117</f>
        <v>0</v>
      </c>
      <c r="M101" s="1">
        <f t="shared" si="104"/>
        <v>0</v>
      </c>
      <c r="N101" s="1">
        <f t="shared" si="104"/>
        <v>0</v>
      </c>
      <c r="O101" s="1">
        <f t="shared" si="104"/>
        <v>0</v>
      </c>
      <c r="P101" s="1">
        <f t="shared" si="98"/>
        <v>0</v>
      </c>
      <c r="Q101" s="1">
        <f t="shared" si="98"/>
        <v>0</v>
      </c>
      <c r="S101" s="3"/>
    </row>
    <row r="102" spans="1:19" x14ac:dyDescent="0.5">
      <c r="A102" s="5" t="str">
        <f t="shared" si="92"/>
        <v>STEM</v>
      </c>
      <c r="B102" s="5" t="str">
        <f t="shared" si="93"/>
        <v>SPS1</v>
      </c>
      <c r="C102" s="5" t="str">
        <f t="shared" si="94"/>
        <v>CH</v>
      </c>
      <c r="D102" t="s">
        <v>555</v>
      </c>
      <c r="E102" t="str">
        <f t="shared" si="95"/>
        <v>PJ/yr.</v>
      </c>
      <c r="F102" s="1">
        <f t="shared" ref="F102:K102" si="105">F86-F118</f>
        <v>0.94020333591289218</v>
      </c>
      <c r="G102" s="1">
        <f t="shared" si="105"/>
        <v>3.8279337273002992E-4</v>
      </c>
      <c r="H102" s="1">
        <f t="shared" si="105"/>
        <v>1.9880948186008489E-2</v>
      </c>
      <c r="I102" s="1">
        <f t="shared" si="105"/>
        <v>0.65363050726673544</v>
      </c>
      <c r="J102" s="1">
        <f t="shared" si="105"/>
        <v>0.23348098731197439</v>
      </c>
      <c r="K102" s="1">
        <f t="shared" si="105"/>
        <v>0.61878927355590507</v>
      </c>
      <c r="L102" s="1">
        <f t="shared" ref="L102:O102" si="106">L86-L118</f>
        <v>0.26001312126541049</v>
      </c>
      <c r="M102" s="1">
        <f t="shared" si="106"/>
        <v>0.11881375732272535</v>
      </c>
      <c r="N102" s="1">
        <f t="shared" si="106"/>
        <v>0.10840707003529326</v>
      </c>
      <c r="O102" s="1">
        <f t="shared" si="106"/>
        <v>3.8485284381125223E-2</v>
      </c>
      <c r="P102" s="1">
        <f t="shared" si="98"/>
        <v>1.1188041287798905E-2</v>
      </c>
      <c r="Q102" s="1">
        <f t="shared" si="98"/>
        <v>1.5660442023404695E-2</v>
      </c>
      <c r="S102" s="3"/>
    </row>
    <row r="103" spans="1:19" x14ac:dyDescent="0.5">
      <c r="A103" s="5" t="str">
        <f t="shared" si="92"/>
        <v>STEM</v>
      </c>
      <c r="B103" s="5" t="str">
        <f t="shared" si="93"/>
        <v>SPS1</v>
      </c>
      <c r="C103" s="5" t="str">
        <f t="shared" si="94"/>
        <v>CH</v>
      </c>
      <c r="D103" t="s">
        <v>556</v>
      </c>
      <c r="E103" t="str">
        <f t="shared" si="95"/>
        <v>PJ/yr.</v>
      </c>
      <c r="F103" s="1">
        <f t="shared" ref="F103:K103" si="107">F87-F119</f>
        <v>0</v>
      </c>
      <c r="G103" s="1">
        <f t="shared" si="107"/>
        <v>0</v>
      </c>
      <c r="H103" s="1">
        <f t="shared" si="107"/>
        <v>0</v>
      </c>
      <c r="I103" s="1">
        <f t="shared" si="107"/>
        <v>0</v>
      </c>
      <c r="J103" s="1">
        <f t="shared" si="107"/>
        <v>0</v>
      </c>
      <c r="K103" s="1">
        <f t="shared" si="107"/>
        <v>0.38662401028017518</v>
      </c>
      <c r="L103" s="1">
        <f t="shared" ref="L103:O103" si="108">L87-L119</f>
        <v>0.71092561713525493</v>
      </c>
      <c r="M103" s="1">
        <f t="shared" si="108"/>
        <v>0.86818294235484494</v>
      </c>
      <c r="N103" s="1">
        <f t="shared" si="108"/>
        <v>0.81867945301070078</v>
      </c>
      <c r="O103" s="1">
        <f t="shared" si="108"/>
        <v>0.47878773476376552</v>
      </c>
      <c r="P103" s="1">
        <f t="shared" si="98"/>
        <v>0.12281085311607215</v>
      </c>
      <c r="Q103" s="1">
        <f t="shared" si="98"/>
        <v>4.3150146940151943E-2</v>
      </c>
      <c r="S103" s="3"/>
    </row>
    <row r="104" spans="1:19" x14ac:dyDescent="0.5">
      <c r="A104" s="5" t="str">
        <f t="shared" si="92"/>
        <v>STEM</v>
      </c>
      <c r="B104" s="5" t="str">
        <f t="shared" si="93"/>
        <v>SPS1</v>
      </c>
      <c r="C104" s="5" t="str">
        <f t="shared" si="94"/>
        <v>CH</v>
      </c>
      <c r="D104" t="s">
        <v>557</v>
      </c>
      <c r="E104" t="str">
        <f t="shared" si="95"/>
        <v>PJ/yr.</v>
      </c>
      <c r="F104" s="1">
        <f t="shared" ref="F104:K104" si="109">F88-F120</f>
        <v>0.65216776980231872</v>
      </c>
      <c r="G104" s="1">
        <f t="shared" si="109"/>
        <v>8.726914619771671E-2</v>
      </c>
      <c r="H104" s="1">
        <f t="shared" si="109"/>
        <v>5.3879567807821438E-2</v>
      </c>
      <c r="I104" s="1">
        <f t="shared" si="109"/>
        <v>0.71132938622154041</v>
      </c>
      <c r="J104" s="1">
        <f t="shared" si="109"/>
        <v>0.54175561189797528</v>
      </c>
      <c r="K104" s="1">
        <f t="shared" si="109"/>
        <v>0.16636104806227289</v>
      </c>
      <c r="L104" s="1">
        <f t="shared" ref="L104:O104" si="110">L88-L120</f>
        <v>0.11843856592417182</v>
      </c>
      <c r="M104" s="1">
        <f t="shared" si="110"/>
        <v>7.22213441871149E-2</v>
      </c>
      <c r="N104" s="1">
        <f t="shared" si="110"/>
        <v>4.4091418445488487E-2</v>
      </c>
      <c r="O104" s="1">
        <f t="shared" si="110"/>
        <v>6.6425735130249228E-2</v>
      </c>
      <c r="P104" s="1">
        <f t="shared" si="98"/>
        <v>0.10855771108152953</v>
      </c>
      <c r="Q104" s="1">
        <f t="shared" si="98"/>
        <v>0.11114244201084683</v>
      </c>
      <c r="S104" s="3"/>
    </row>
    <row r="105" spans="1:19" x14ac:dyDescent="0.5">
      <c r="A105" s="5" t="str">
        <f t="shared" si="92"/>
        <v>STEM</v>
      </c>
      <c r="B105" s="5" t="str">
        <f t="shared" si="93"/>
        <v>SPS1</v>
      </c>
      <c r="C105" s="5" t="str">
        <f t="shared" si="94"/>
        <v>CH</v>
      </c>
      <c r="D105" t="s">
        <v>558</v>
      </c>
      <c r="E105" t="str">
        <f t="shared" si="95"/>
        <v>PJ/yr.</v>
      </c>
      <c r="F105" s="1">
        <f t="shared" ref="F105:K105" si="111">F89-F121</f>
        <v>0</v>
      </c>
      <c r="G105" s="1">
        <f t="shared" si="111"/>
        <v>0</v>
      </c>
      <c r="H105" s="1">
        <f t="shared" si="111"/>
        <v>0</v>
      </c>
      <c r="I105" s="1">
        <f t="shared" si="111"/>
        <v>0</v>
      </c>
      <c r="J105" s="1">
        <f t="shared" si="111"/>
        <v>0</v>
      </c>
      <c r="K105" s="1">
        <f t="shared" si="111"/>
        <v>0</v>
      </c>
      <c r="L105" s="1">
        <f t="shared" ref="L105:O105" si="112">L89-L121</f>
        <v>0</v>
      </c>
      <c r="M105" s="1">
        <f t="shared" si="112"/>
        <v>0</v>
      </c>
      <c r="N105" s="1">
        <f t="shared" si="112"/>
        <v>0</v>
      </c>
      <c r="O105" s="1">
        <f t="shared" si="112"/>
        <v>0</v>
      </c>
      <c r="P105" s="1">
        <f t="shared" si="98"/>
        <v>0</v>
      </c>
      <c r="Q105" s="1">
        <f t="shared" si="98"/>
        <v>0</v>
      </c>
      <c r="S105" s="3"/>
    </row>
    <row r="106" spans="1:19" x14ac:dyDescent="0.5">
      <c r="A106" s="5" t="str">
        <f t="shared" si="92"/>
        <v>STEM</v>
      </c>
      <c r="B106" s="5" t="str">
        <f t="shared" si="93"/>
        <v>SPS1</v>
      </c>
      <c r="C106" s="5" t="str">
        <f t="shared" si="94"/>
        <v>CH</v>
      </c>
      <c r="D106" t="s">
        <v>559</v>
      </c>
      <c r="E106" t="str">
        <f t="shared" si="95"/>
        <v>PJ/yr.</v>
      </c>
      <c r="F106" s="1">
        <f t="shared" ref="F106:K106" si="113">F90-F122</f>
        <v>0</v>
      </c>
      <c r="G106" s="1">
        <f t="shared" si="113"/>
        <v>0</v>
      </c>
      <c r="H106" s="1">
        <f t="shared" si="113"/>
        <v>0</v>
      </c>
      <c r="I106" s="1">
        <f t="shared" si="113"/>
        <v>3.6558601519029355E-3</v>
      </c>
      <c r="J106" s="1">
        <f t="shared" si="113"/>
        <v>5.0115130476100032E-3</v>
      </c>
      <c r="K106" s="1">
        <f t="shared" si="113"/>
        <v>8.6318677094781443E-3</v>
      </c>
      <c r="L106" s="1">
        <f t="shared" ref="L106:O106" si="114">L90-L122</f>
        <v>1.5223483488614159E-2</v>
      </c>
      <c r="M106" s="1">
        <f t="shared" si="114"/>
        <v>2.4098571736552537E-2</v>
      </c>
      <c r="N106" s="1">
        <f t="shared" si="114"/>
        <v>2.1232780056206473E-2</v>
      </c>
      <c r="O106" s="1">
        <f t="shared" si="114"/>
        <v>3.0976365454384546E-2</v>
      </c>
      <c r="P106" s="1">
        <f t="shared" si="98"/>
        <v>3.3031833158120583E-2</v>
      </c>
      <c r="Q106" s="1">
        <f t="shared" si="98"/>
        <v>5.4376926044125154E-2</v>
      </c>
      <c r="S106" s="3"/>
    </row>
    <row r="107" spans="1:19" x14ac:dyDescent="0.5">
      <c r="A107" s="5" t="str">
        <f t="shared" si="92"/>
        <v>STEM</v>
      </c>
      <c r="B107" s="5" t="str">
        <f t="shared" si="93"/>
        <v>SPS1</v>
      </c>
      <c r="C107" s="5" t="str">
        <f t="shared" si="94"/>
        <v>CH</v>
      </c>
      <c r="D107" t="s">
        <v>560</v>
      </c>
      <c r="E107" t="str">
        <f t="shared" si="95"/>
        <v>PJ/yr.</v>
      </c>
      <c r="F107" s="1">
        <f t="shared" ref="F107:K107" si="115">F91-F123</f>
        <v>1.6851183167101637E-2</v>
      </c>
      <c r="G107" s="1">
        <f t="shared" si="115"/>
        <v>3.9924333960678696E-3</v>
      </c>
      <c r="H107" s="1">
        <f t="shared" si="115"/>
        <v>1.5635216204422462E-2</v>
      </c>
      <c r="I107" s="1">
        <f t="shared" si="115"/>
        <v>1.4529380264130507E-2</v>
      </c>
      <c r="J107" s="1">
        <f t="shared" si="115"/>
        <v>3.2644916467954234E-2</v>
      </c>
      <c r="K107" s="1">
        <f t="shared" si="115"/>
        <v>3.3427767425751237E-2</v>
      </c>
      <c r="L107" s="1">
        <f t="shared" ref="L107:O107" si="116">L91-L123</f>
        <v>3.8774638496320596E-2</v>
      </c>
      <c r="M107" s="1">
        <f t="shared" si="116"/>
        <v>5.3034652464763576E-2</v>
      </c>
      <c r="N107" s="1">
        <f t="shared" si="116"/>
        <v>4.585654398782385E-2</v>
      </c>
      <c r="O107" s="1">
        <f t="shared" si="116"/>
        <v>4.9846539575256595E-2</v>
      </c>
      <c r="P107" s="1">
        <f t="shared" si="98"/>
        <v>0.16605822192382594</v>
      </c>
      <c r="Q107" s="1">
        <f t="shared" si="98"/>
        <v>0.16251651730631406</v>
      </c>
      <c r="S107" s="3"/>
    </row>
    <row r="108" spans="1:19" x14ac:dyDescent="0.5">
      <c r="A108" s="5" t="str">
        <f t="shared" si="92"/>
        <v>STEM</v>
      </c>
      <c r="B108" s="5" t="str">
        <f t="shared" si="93"/>
        <v>SPS1</v>
      </c>
      <c r="C108" s="5" t="str">
        <f t="shared" si="94"/>
        <v>CH</v>
      </c>
      <c r="D108" t="s">
        <v>561</v>
      </c>
      <c r="E108" t="str">
        <f t="shared" si="95"/>
        <v>PJ/yr.</v>
      </c>
      <c r="F108" s="1">
        <f t="shared" ref="F108:K108" si="117">F92-F124</f>
        <v>0</v>
      </c>
      <c r="G108" s="1">
        <f t="shared" si="117"/>
        <v>0</v>
      </c>
      <c r="H108" s="1">
        <f t="shared" si="117"/>
        <v>0</v>
      </c>
      <c r="I108" s="1">
        <f t="shared" si="117"/>
        <v>7.0662196867622121E-4</v>
      </c>
      <c r="J108" s="1">
        <f t="shared" si="117"/>
        <v>2.5273816868386823E-3</v>
      </c>
      <c r="K108" s="1">
        <f t="shared" si="117"/>
        <v>2.58850592669854E-3</v>
      </c>
      <c r="L108" s="1">
        <f t="shared" ref="L108:O108" si="118">L92-L124</f>
        <v>2.7526039410110457E-3</v>
      </c>
      <c r="M108" s="1">
        <f t="shared" si="118"/>
        <v>6.5631420464690952E-3</v>
      </c>
      <c r="N108" s="1">
        <f t="shared" si="118"/>
        <v>5.3280391236949802E-3</v>
      </c>
      <c r="O108" s="1">
        <f t="shared" si="118"/>
        <v>8.453870595139636E-3</v>
      </c>
      <c r="P108" s="1">
        <f t="shared" si="98"/>
        <v>8.1207395862864223E-3</v>
      </c>
      <c r="Q108" s="1">
        <f t="shared" si="98"/>
        <v>1.4781651656216253E-2</v>
      </c>
      <c r="S108" s="3"/>
    </row>
    <row r="109" spans="1:19" x14ac:dyDescent="0.5">
      <c r="A109" s="5" t="str">
        <f t="shared" si="92"/>
        <v>STEM</v>
      </c>
      <c r="B109" s="5" t="str">
        <f t="shared" si="93"/>
        <v>SPS1</v>
      </c>
      <c r="C109" s="5" t="str">
        <f t="shared" si="94"/>
        <v>CH</v>
      </c>
      <c r="D109" t="s">
        <v>562</v>
      </c>
      <c r="E109" t="str">
        <f>E185</f>
        <v>PJ/yr.</v>
      </c>
      <c r="F109" s="1">
        <f t="shared" ref="F109:K109" si="119">F93-F125</f>
        <v>2.7543924416501435E-2</v>
      </c>
      <c r="G109" s="1">
        <f t="shared" si="119"/>
        <v>2.4291460013654519E-2</v>
      </c>
      <c r="H109" s="1">
        <f t="shared" si="119"/>
        <v>0.11539159151681443</v>
      </c>
      <c r="I109" s="1">
        <f t="shared" si="119"/>
        <v>0.6004703688111992</v>
      </c>
      <c r="J109" s="1">
        <f t="shared" si="119"/>
        <v>0.64936211566780866</v>
      </c>
      <c r="K109" s="1">
        <f t="shared" si="119"/>
        <v>0.73394331918607081</v>
      </c>
      <c r="L109" s="1">
        <f t="shared" ref="L109:O109" si="120">L93-L125</f>
        <v>0.72837879264338445</v>
      </c>
      <c r="M109" s="1">
        <f t="shared" si="120"/>
        <v>0.71619065387362912</v>
      </c>
      <c r="N109" s="1">
        <f t="shared" si="120"/>
        <v>0.69965362304115963</v>
      </c>
      <c r="O109" s="1">
        <f t="shared" si="120"/>
        <v>0.67813988732723518</v>
      </c>
      <c r="P109" s="1">
        <f t="shared" si="98"/>
        <v>0.59368795915939931</v>
      </c>
      <c r="Q109" s="1">
        <f t="shared" si="98"/>
        <v>0.53209226619376981</v>
      </c>
      <c r="S109" s="3"/>
    </row>
    <row r="110" spans="1:19" x14ac:dyDescent="0.5">
      <c r="A110" s="5" t="str">
        <f t="shared" si="92"/>
        <v>STEM</v>
      </c>
      <c r="B110" s="5" t="str">
        <f t="shared" si="93"/>
        <v>SPS1</v>
      </c>
      <c r="C110" s="5" t="str">
        <f t="shared" si="94"/>
        <v>CH</v>
      </c>
      <c r="D110" t="s">
        <v>563</v>
      </c>
      <c r="E110" t="str">
        <f>E187</f>
        <v>PJ/yr.</v>
      </c>
      <c r="F110" s="1">
        <f t="shared" ref="F110:K110" si="121">F94-F126</f>
        <v>0</v>
      </c>
      <c r="G110" s="1">
        <f t="shared" si="121"/>
        <v>0</v>
      </c>
      <c r="H110" s="1">
        <f t="shared" si="121"/>
        <v>0</v>
      </c>
      <c r="I110" s="1">
        <f t="shared" si="121"/>
        <v>3.0004843823921027E-3</v>
      </c>
      <c r="J110" s="1">
        <f t="shared" si="121"/>
        <v>1.1926946383705303E-2</v>
      </c>
      <c r="K110" s="1">
        <f t="shared" si="121"/>
        <v>1.2280841435603786E-2</v>
      </c>
      <c r="L110" s="1">
        <f t="shared" ref="L110:O110" si="122">L94-L126</f>
        <v>1.3897890716047431E-2</v>
      </c>
      <c r="M110" s="1">
        <f t="shared" si="122"/>
        <v>3.7522152385789029E-2</v>
      </c>
      <c r="N110" s="1">
        <f t="shared" si="122"/>
        <v>3.2894014746315307E-2</v>
      </c>
      <c r="O110" s="1">
        <f t="shared" si="122"/>
        <v>6.4191803707726119E-2</v>
      </c>
      <c r="P110" s="1">
        <f t="shared" si="98"/>
        <v>6.2326723895730456E-2</v>
      </c>
      <c r="Q110" s="1">
        <f t="shared" si="98"/>
        <v>0.11198292561227219</v>
      </c>
      <c r="S110" s="3"/>
    </row>
    <row r="111" spans="1:19" x14ac:dyDescent="0.5">
      <c r="A111" s="5" t="str">
        <f t="shared" si="92"/>
        <v>STEM</v>
      </c>
      <c r="B111" s="5" t="str">
        <f t="shared" si="93"/>
        <v>SPS1</v>
      </c>
      <c r="C111" s="5" t="str">
        <f t="shared" si="94"/>
        <v>CH</v>
      </c>
      <c r="D111" t="s">
        <v>564</v>
      </c>
      <c r="E111" t="str">
        <f>E189</f>
        <v>PJ/yr.</v>
      </c>
      <c r="F111" s="1">
        <f t="shared" ref="F111:K111" si="123">F95-F127</f>
        <v>0</v>
      </c>
      <c r="G111" s="1">
        <f t="shared" si="123"/>
        <v>0</v>
      </c>
      <c r="H111" s="1">
        <f t="shared" si="123"/>
        <v>0</v>
      </c>
      <c r="I111" s="1">
        <f t="shared" si="123"/>
        <v>0</v>
      </c>
      <c r="J111" s="1">
        <f t="shared" si="123"/>
        <v>0</v>
      </c>
      <c r="K111" s="1">
        <f t="shared" si="123"/>
        <v>0</v>
      </c>
      <c r="L111" s="1">
        <f t="shared" ref="L111:O111" si="124">L95-L127</f>
        <v>0</v>
      </c>
      <c r="M111" s="1">
        <f t="shared" si="124"/>
        <v>0</v>
      </c>
      <c r="N111" s="1">
        <f t="shared" si="124"/>
        <v>0</v>
      </c>
      <c r="O111" s="1">
        <f t="shared" si="124"/>
        <v>0</v>
      </c>
      <c r="P111" s="1">
        <f t="shared" si="98"/>
        <v>0</v>
      </c>
      <c r="Q111" s="1">
        <f t="shared" si="98"/>
        <v>0</v>
      </c>
      <c r="S111" s="3"/>
    </row>
    <row r="112" spans="1:19" x14ac:dyDescent="0.5">
      <c r="A112" s="5" t="str">
        <f t="shared" si="92"/>
        <v>STEM</v>
      </c>
      <c r="B112" s="5" t="str">
        <f t="shared" si="93"/>
        <v>SPS1</v>
      </c>
      <c r="C112" s="5" t="str">
        <f t="shared" si="94"/>
        <v>CH</v>
      </c>
      <c r="D112" t="s">
        <v>565</v>
      </c>
      <c r="E112" t="str">
        <f>E190</f>
        <v>PJ/yr.</v>
      </c>
      <c r="F112" s="1">
        <f t="shared" ref="F112:K112" si="125">F96-F128</f>
        <v>0.57862345685077921</v>
      </c>
      <c r="G112" s="1">
        <f t="shared" si="125"/>
        <v>0.59849629396691328</v>
      </c>
      <c r="H112" s="1">
        <f t="shared" si="125"/>
        <v>0.48449114672929716</v>
      </c>
      <c r="I112" s="1">
        <f t="shared" si="125"/>
        <v>2.1446165404888595</v>
      </c>
      <c r="J112" s="1">
        <f t="shared" si="125"/>
        <v>3.8845864517911997</v>
      </c>
      <c r="K112" s="1">
        <f t="shared" si="125"/>
        <v>3.7382705262392237</v>
      </c>
      <c r="L112" s="1">
        <f t="shared" ref="L112:O112" si="126">L96-L128</f>
        <v>3.6783573708208208</v>
      </c>
      <c r="M112" s="1">
        <f t="shared" si="126"/>
        <v>2.6038220548174547</v>
      </c>
      <c r="N112" s="1">
        <f t="shared" si="126"/>
        <v>2.6064446265689698</v>
      </c>
      <c r="O112" s="1">
        <f t="shared" si="126"/>
        <v>2.664863271162166</v>
      </c>
      <c r="P112" s="1">
        <f t="shared" si="98"/>
        <v>2.8990847859297082</v>
      </c>
      <c r="Q112" s="1">
        <f t="shared" si="98"/>
        <v>3.0640999036049914</v>
      </c>
      <c r="S112" s="3"/>
    </row>
    <row r="113" spans="1:19" x14ac:dyDescent="0.5">
      <c r="A113" s="5" t="str">
        <f t="shared" si="92"/>
        <v>STEM</v>
      </c>
      <c r="B113" s="5" t="str">
        <f t="shared" si="93"/>
        <v>SPS1</v>
      </c>
      <c r="C113" s="5" t="str">
        <f t="shared" si="94"/>
        <v>CH</v>
      </c>
      <c r="D113" t="s">
        <v>566</v>
      </c>
      <c r="E113" t="str">
        <f>E195</f>
        <v>PJ/yr.</v>
      </c>
      <c r="F113" s="1">
        <f t="shared" ref="F113:K113" si="127">F97-F129</f>
        <v>0</v>
      </c>
      <c r="G113" s="1">
        <f t="shared" si="127"/>
        <v>0</v>
      </c>
      <c r="H113" s="1">
        <f>H97-H129</f>
        <v>0</v>
      </c>
      <c r="I113" s="1">
        <f t="shared" si="127"/>
        <v>3.9872698836044334E-3</v>
      </c>
      <c r="J113" s="1">
        <f t="shared" si="127"/>
        <v>1.2384320782465052E-2</v>
      </c>
      <c r="K113" s="1">
        <f t="shared" si="127"/>
        <v>1.2119169316413284E-2</v>
      </c>
      <c r="L113" s="1">
        <f t="shared" ref="L113:O113" si="128">L97-L129</f>
        <v>9.0737707803506314E-3</v>
      </c>
      <c r="M113" s="1">
        <f t="shared" si="128"/>
        <v>2.1441732941006538E-2</v>
      </c>
      <c r="N113" s="1">
        <f t="shared" si="128"/>
        <v>2.1708992862412655E-2</v>
      </c>
      <c r="O113" s="1">
        <f t="shared" si="128"/>
        <v>4.478323975650976E-2</v>
      </c>
      <c r="P113" s="1">
        <f t="shared" si="98"/>
        <v>3.4314907434148494E-2</v>
      </c>
      <c r="Q113" s="1">
        <f t="shared" si="98"/>
        <v>7.3864502773773863E-2</v>
      </c>
      <c r="S113" s="3"/>
    </row>
    <row r="114" spans="1:19" x14ac:dyDescent="0.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1.0198799986458655</v>
      </c>
      <c r="G114" s="1">
        <f t="shared" ref="G114:Q114" si="129">SUM(G115:G129)</f>
        <v>1.138847104050269</v>
      </c>
      <c r="H114" s="1">
        <f t="shared" si="129"/>
        <v>1.1692998450920975</v>
      </c>
      <c r="I114" s="1">
        <f t="shared" si="129"/>
        <v>1.2861208316257029</v>
      </c>
      <c r="J114" s="1">
        <f t="shared" si="129"/>
        <v>1.2762858609391512</v>
      </c>
      <c r="K114" s="1">
        <f t="shared" si="129"/>
        <v>1.2453286578565206</v>
      </c>
      <c r="L114" s="1">
        <f t="shared" si="129"/>
        <v>1.3023401922203575</v>
      </c>
      <c r="M114" s="1">
        <f t="shared" si="129"/>
        <v>1.3200324381993656</v>
      </c>
      <c r="N114" s="1">
        <f t="shared" si="129"/>
        <v>1.3162995870560126</v>
      </c>
      <c r="O114" s="1">
        <f t="shared" si="129"/>
        <v>1.331940045496609</v>
      </c>
      <c r="P114" s="1">
        <f t="shared" si="129"/>
        <v>1.3483706591818947</v>
      </c>
      <c r="Q114" s="1">
        <f t="shared" si="129"/>
        <v>1.3908525324109642</v>
      </c>
      <c r="S114" s="3"/>
    </row>
    <row r="115" spans="1:19" x14ac:dyDescent="0.5">
      <c r="A115" s="5" t="str">
        <f t="shared" si="68"/>
        <v>STEM</v>
      </c>
      <c r="B115" s="5" t="str">
        <f t="shared" si="69"/>
        <v>SPS1</v>
      </c>
      <c r="C115" s="5" t="str">
        <f t="shared" si="70"/>
        <v>CH</v>
      </c>
      <c r="D115" t="s">
        <v>613</v>
      </c>
      <c r="E115" t="str">
        <f t="shared" ref="E115:E130" si="130">E114</f>
        <v>PJ/yr.</v>
      </c>
      <c r="F115" s="1">
        <f>'[1]Electricity and CHPs_IN'!P$23/SUM('[1]Electricity and CHPs_IN'!P$22:P$23)*F83</f>
        <v>0</v>
      </c>
      <c r="G115" s="1">
        <f>'[1]Electricity and CHPs_IN'!Q$23/SUM('[1]Electricity and CHPs_IN'!Q$22:Q$23)*G83</f>
        <v>0</v>
      </c>
      <c r="H115" s="1">
        <f>'[1]Electricity and CHPs_IN'!R$23/SUM('[1]Electricity and CHPs_IN'!R$22:R$23)*H83</f>
        <v>0</v>
      </c>
      <c r="I115" s="1">
        <f>'[1]Electricity and CHPs_IN'!S$23/SUM('[1]Electricity and CHPs_IN'!S$22:S$23)*I83</f>
        <v>0</v>
      </c>
      <c r="J115" s="1">
        <f>'[1]Electricity and CHPs_IN'!T$23/SUM('[1]Electricity and CHPs_IN'!T$22:T$23)*J83</f>
        <v>0</v>
      </c>
      <c r="K115" s="1">
        <f>'[1]Electricity and CHPs_IN'!U$23/SUM('[1]Electricity and CHPs_IN'!U$22:U$23)*K83</f>
        <v>5.1173402820871763E-3</v>
      </c>
      <c r="L115" s="1">
        <f>'[1]Electricity and CHPs_IN'!V$23/SUM('[1]Electricity and CHPs_IN'!V$22:V$23)*L83</f>
        <v>9.0373531248174904E-2</v>
      </c>
      <c r="M115" s="1">
        <f>'[1]Electricity and CHPs_IN'!W$23/SUM('[1]Electricity and CHPs_IN'!W$22:W$23)*M83</f>
        <v>0.13996826542760132</v>
      </c>
      <c r="N115" s="1">
        <f>'[1]Electricity and CHPs_IN'!X$23/SUM('[1]Electricity and CHPs_IN'!X$22:X$23)*N83</f>
        <v>0.13954625084471328</v>
      </c>
      <c r="O115" s="1">
        <f>'[1]Electricity and CHPs_IN'!Y$23/SUM('[1]Electricity and CHPs_IN'!Y$22:Y$23)*O83</f>
        <v>0.16195560166960254</v>
      </c>
      <c r="P115" s="1">
        <f>'[1]Electricity and CHPs_IN'!Z$23/SUM('[1]Electricity and CHPs_IN'!Z$22:Z$23)*P83</f>
        <v>0.17983347965131291</v>
      </c>
      <c r="Q115" s="1">
        <f>'[1]Electricity and CHPs_IN'!AA$23/SUM('[1]Electricity and CHPs_IN'!AA$22:AA$23)*Q83</f>
        <v>0.17597301072413468</v>
      </c>
      <c r="S115" s="3"/>
    </row>
    <row r="116" spans="1:19" x14ac:dyDescent="0.5">
      <c r="A116" s="5" t="str">
        <f t="shared" si="68"/>
        <v>STEM</v>
      </c>
      <c r="B116" s="5" t="str">
        <f t="shared" si="69"/>
        <v>SPS1</v>
      </c>
      <c r="C116" s="5" t="str">
        <f t="shared" si="70"/>
        <v>CH</v>
      </c>
      <c r="D116" t="s">
        <v>614</v>
      </c>
      <c r="E116" t="str">
        <f t="shared" si="130"/>
        <v>PJ/yr.</v>
      </c>
      <c r="F116" s="1">
        <f>'[1]Electricity and CHPs_IN'!P$23/SUM('[1]Electricity and CHPs_IN'!P$22:P$23)*F84</f>
        <v>0</v>
      </c>
      <c r="G116" s="1">
        <f>'[1]Electricity and CHPs_IN'!Q$23/SUM('[1]Electricity and CHPs_IN'!Q$22:Q$23)*G84</f>
        <v>0</v>
      </c>
      <c r="H116" s="1">
        <f>'[1]Electricity and CHPs_IN'!R$23/SUM('[1]Electricity and CHPs_IN'!R$22:R$23)*H84</f>
        <v>0</v>
      </c>
      <c r="I116" s="1">
        <f>'[1]Electricity and CHPs_IN'!S$23/SUM('[1]Electricity and CHPs_IN'!S$22:S$23)*I84</f>
        <v>0</v>
      </c>
      <c r="J116" s="1">
        <f>'[1]Electricity and CHPs_IN'!T$23/SUM('[1]Electricity and CHPs_IN'!T$22:T$23)*J84</f>
        <v>6.1393558343023871E-4</v>
      </c>
      <c r="K116" s="1">
        <f>'[1]Electricity and CHPs_IN'!U$23/SUM('[1]Electricity and CHPs_IN'!U$22:U$23)*K84</f>
        <v>1.5202191025357776E-3</v>
      </c>
      <c r="L116" s="1">
        <f>'[1]Electricity and CHPs_IN'!V$23/SUM('[1]Electricity and CHPs_IN'!V$22:V$23)*L84</f>
        <v>1.243281846909251E-2</v>
      </c>
      <c r="M116" s="1">
        <f>'[1]Electricity and CHPs_IN'!W$23/SUM('[1]Electricity and CHPs_IN'!W$22:W$23)*M84</f>
        <v>4.1090447986560667E-3</v>
      </c>
      <c r="N116" s="1">
        <f>'[1]Electricity and CHPs_IN'!X$23/SUM('[1]Electricity and CHPs_IN'!X$22:X$23)*N84</f>
        <v>6.8908003407761043E-3</v>
      </c>
      <c r="O116" s="1">
        <f>'[1]Electricity and CHPs_IN'!Y$23/SUM('[1]Electricity and CHPs_IN'!Y$22:Y$23)*O84</f>
        <v>4.5905961658630904E-3</v>
      </c>
      <c r="P116" s="1">
        <f>'[1]Electricity and CHPs_IN'!Z$23/SUM('[1]Electricity and CHPs_IN'!Z$22:Z$23)*P84</f>
        <v>1.2556199756378885E-3</v>
      </c>
      <c r="Q116" s="1">
        <f>'[1]Electricity and CHPs_IN'!AA$23/SUM('[1]Electricity and CHPs_IN'!AA$22:AA$23)*Q84</f>
        <v>4.1597357599705139E-3</v>
      </c>
      <c r="S116" s="3"/>
    </row>
    <row r="117" spans="1:19" x14ac:dyDescent="0.5">
      <c r="A117" s="5" t="str">
        <f t="shared" si="68"/>
        <v>STEM</v>
      </c>
      <c r="B117" s="5" t="str">
        <f t="shared" si="69"/>
        <v>SPS1</v>
      </c>
      <c r="C117" s="5" t="str">
        <f t="shared" si="70"/>
        <v>CH</v>
      </c>
      <c r="D117" t="s">
        <v>615</v>
      </c>
      <c r="E117" t="str">
        <f t="shared" si="130"/>
        <v>PJ/yr.</v>
      </c>
      <c r="F117" s="1">
        <f>'[1]Electricity and CHPs_IN'!P$23/SUM('[1]Electricity and CHPs_IN'!P$22:P$23)*F85</f>
        <v>0</v>
      </c>
      <c r="G117" s="1">
        <f>'[1]Electricity and CHPs_IN'!Q$23/SUM('[1]Electricity and CHPs_IN'!Q$22:Q$23)*G85</f>
        <v>0</v>
      </c>
      <c r="H117" s="1">
        <f>'[1]Electricity and CHPs_IN'!R$23/SUM('[1]Electricity and CHPs_IN'!R$22:R$23)*H85</f>
        <v>0</v>
      </c>
      <c r="I117" s="1">
        <f>'[1]Electricity and CHPs_IN'!S$23/SUM('[1]Electricity and CHPs_IN'!S$22:S$23)*I85</f>
        <v>0</v>
      </c>
      <c r="J117" s="1">
        <f>'[1]Electricity and CHPs_IN'!T$23/SUM('[1]Electricity and CHPs_IN'!T$22:T$23)*J85</f>
        <v>0</v>
      </c>
      <c r="K117" s="1">
        <f>'[1]Electricity and CHPs_IN'!U$23/SUM('[1]Electricity and CHPs_IN'!U$22:U$23)*K85</f>
        <v>0</v>
      </c>
      <c r="L117" s="1">
        <f>'[1]Electricity and CHPs_IN'!V$23/SUM('[1]Electricity and CHPs_IN'!V$22:V$23)*L85</f>
        <v>0</v>
      </c>
      <c r="M117" s="1">
        <f>'[1]Electricity and CHPs_IN'!W$23/SUM('[1]Electricity and CHPs_IN'!W$22:W$23)*M85</f>
        <v>0</v>
      </c>
      <c r="N117" s="1">
        <f>'[1]Electricity and CHPs_IN'!X$23/SUM('[1]Electricity and CHPs_IN'!X$22:X$23)*N85</f>
        <v>0</v>
      </c>
      <c r="O117" s="1">
        <f>'[1]Electricity and CHPs_IN'!Y$23/SUM('[1]Electricity and CHPs_IN'!Y$22:Y$23)*O85</f>
        <v>0</v>
      </c>
      <c r="P117" s="1">
        <f>'[1]Electricity and CHPs_IN'!Z$23/SUM('[1]Electricity and CHPs_IN'!Z$22:Z$23)*P85</f>
        <v>0</v>
      </c>
      <c r="Q117" s="1">
        <f>'[1]Electricity and CHPs_IN'!AA$23/SUM('[1]Electricity and CHPs_IN'!AA$22:AA$23)*Q85</f>
        <v>0</v>
      </c>
      <c r="S117" s="3"/>
    </row>
    <row r="118" spans="1:19" x14ac:dyDescent="0.5">
      <c r="A118" s="5" t="str">
        <f t="shared" si="68"/>
        <v>STEM</v>
      </c>
      <c r="B118" s="5" t="str">
        <f t="shared" si="69"/>
        <v>SPS1</v>
      </c>
      <c r="C118" s="5" t="str">
        <f t="shared" si="70"/>
        <v>CH</v>
      </c>
      <c r="D118" t="s">
        <v>616</v>
      </c>
      <c r="E118" t="str">
        <f t="shared" si="130"/>
        <v>PJ/yr.</v>
      </c>
      <c r="F118" s="1">
        <f>'[1]Electricity and CHPs_IN'!P$23/SUM('[1]Electricity and CHPs_IN'!P$22:P$23)*F86</f>
        <v>2.5679620912691277E-2</v>
      </c>
      <c r="G118" s="1">
        <f>'[1]Electricity and CHPs_IN'!Q$23/SUM('[1]Electricity and CHPs_IN'!Q$22:Q$23)*G86</f>
        <v>1.7535334406073891E-5</v>
      </c>
      <c r="H118" s="1">
        <f>'[1]Electricity and CHPs_IN'!R$23/SUM('[1]Electricity and CHPs_IN'!R$22:R$23)*H86</f>
        <v>1.8222959681930473E-3</v>
      </c>
      <c r="I118" s="1">
        <f>'[1]Electricity and CHPs_IN'!S$23/SUM('[1]Electricity and CHPs_IN'!S$22:S$23)*I86</f>
        <v>2.8447085121501212E-2</v>
      </c>
      <c r="J118" s="1">
        <f>'[1]Electricity and CHPs_IN'!T$23/SUM('[1]Electricity and CHPs_IN'!T$22:T$23)*J86</f>
        <v>7.3668961817041616E-3</v>
      </c>
      <c r="K118" s="1">
        <f>'[1]Electricity and CHPs_IN'!U$23/SUM('[1]Electricity and CHPs_IN'!U$22:U$23)*K86</f>
        <v>1.4358913168591012E-2</v>
      </c>
      <c r="L118" s="1">
        <f>'[1]Electricity and CHPs_IN'!V$23/SUM('[1]Electricity and CHPs_IN'!V$22:V$23)*L86</f>
        <v>4.3557614560860922E-3</v>
      </c>
      <c r="M118" s="1">
        <f>'[1]Electricity and CHPs_IN'!W$23/SUM('[1]Electricity and CHPs_IN'!W$22:W$23)*M86</f>
        <v>1.8343556210667945E-3</v>
      </c>
      <c r="N118" s="1">
        <f>'[1]Electricity and CHPs_IN'!X$23/SUM('[1]Electricity and CHPs_IN'!X$22:X$23)*N86</f>
        <v>1.5681697307582748E-3</v>
      </c>
      <c r="O118" s="1">
        <f>'[1]Electricity and CHPs_IN'!Y$23/SUM('[1]Electricity and CHPs_IN'!Y$22:Y$23)*O86</f>
        <v>5.5245746408122138E-4</v>
      </c>
      <c r="P118" s="1">
        <f>'[1]Electricity and CHPs_IN'!Z$23/SUM('[1]Electricity and CHPs_IN'!Z$22:Z$23)*P86</f>
        <v>1.6915109324376623E-4</v>
      </c>
      <c r="Q118" s="1">
        <f>'[1]Electricity and CHPs_IN'!AA$23/SUM('[1]Electricity and CHPs_IN'!AA$22:AA$23)*Q86</f>
        <v>2.5520080399044819E-4</v>
      </c>
      <c r="S118" s="3"/>
    </row>
    <row r="119" spans="1:19" x14ac:dyDescent="0.5">
      <c r="A119" s="5" t="str">
        <f t="shared" si="68"/>
        <v>STEM</v>
      </c>
      <c r="B119" s="5" t="str">
        <f t="shared" si="69"/>
        <v>SPS1</v>
      </c>
      <c r="C119" s="5" t="str">
        <f t="shared" si="70"/>
        <v>CH</v>
      </c>
      <c r="D119" t="s">
        <v>617</v>
      </c>
      <c r="E119" t="str">
        <f t="shared" si="130"/>
        <v>PJ/yr.</v>
      </c>
      <c r="F119" s="1">
        <f>'[1]Electricity and CHPs_IN'!P$23/SUM('[1]Electricity and CHPs_IN'!P$22:P$23)*F87</f>
        <v>0</v>
      </c>
      <c r="G119" s="1">
        <f>'[1]Electricity and CHPs_IN'!Q$23/SUM('[1]Electricity and CHPs_IN'!Q$22:Q$23)*G87</f>
        <v>0</v>
      </c>
      <c r="H119" s="1">
        <f>'[1]Electricity and CHPs_IN'!R$23/SUM('[1]Electricity and CHPs_IN'!R$22:R$23)*H87</f>
        <v>0</v>
      </c>
      <c r="I119" s="1">
        <f>'[1]Electricity and CHPs_IN'!S$23/SUM('[1]Electricity and CHPs_IN'!S$22:S$23)*I87</f>
        <v>0</v>
      </c>
      <c r="J119" s="1">
        <f>'[1]Electricity and CHPs_IN'!T$23/SUM('[1]Electricity and CHPs_IN'!T$22:T$23)*J87</f>
        <v>0</v>
      </c>
      <c r="K119" s="1">
        <f>'[1]Electricity and CHPs_IN'!U$23/SUM('[1]Electricity and CHPs_IN'!U$22:U$23)*K87</f>
        <v>8.9715527236008535E-3</v>
      </c>
      <c r="L119" s="1">
        <f>'[1]Electricity and CHPs_IN'!V$23/SUM('[1]Electricity and CHPs_IN'!V$22:V$23)*L87</f>
        <v>1.1909485129794889E-2</v>
      </c>
      <c r="M119" s="1">
        <f>'[1]Electricity and CHPs_IN'!W$23/SUM('[1]Electricity and CHPs_IN'!W$22:W$23)*M87</f>
        <v>1.340380353511733E-2</v>
      </c>
      <c r="N119" s="1">
        <f>'[1]Electricity and CHPs_IN'!X$23/SUM('[1]Electricity and CHPs_IN'!X$22:X$23)*N87</f>
        <v>1.1842662448004138E-2</v>
      </c>
      <c r="O119" s="1">
        <f>'[1]Electricity and CHPs_IN'!Y$23/SUM('[1]Electricity and CHPs_IN'!Y$22:Y$23)*O87</f>
        <v>6.8730129459692625E-3</v>
      </c>
      <c r="P119" s="1">
        <f>'[1]Electricity and CHPs_IN'!Z$23/SUM('[1]Electricity and CHPs_IN'!Z$22:Z$23)*P87</f>
        <v>1.856767376201748E-3</v>
      </c>
      <c r="Q119" s="1">
        <f>'[1]Electricity and CHPs_IN'!AA$23/SUM('[1]Electricity and CHPs_IN'!AA$22:AA$23)*Q87</f>
        <v>7.031699472451209E-4</v>
      </c>
      <c r="S119" s="3"/>
    </row>
    <row r="120" spans="1:19" x14ac:dyDescent="0.5">
      <c r="A120" s="5" t="str">
        <f t="shared" si="68"/>
        <v>STEM</v>
      </c>
      <c r="B120" s="5" t="str">
        <f t="shared" si="69"/>
        <v>SPS1</v>
      </c>
      <c r="C120" s="5" t="str">
        <f t="shared" si="70"/>
        <v>CH</v>
      </c>
      <c r="D120" t="s">
        <v>618</v>
      </c>
      <c r="E120" t="str">
        <f t="shared" si="130"/>
        <v>PJ/yr.</v>
      </c>
      <c r="F120" s="1">
        <f>'[1]Electricity and CHPs_IN'!P$23/SUM('[1]Electricity and CHPs_IN'!P$22:P$23)*F88</f>
        <v>1.7812552306824048E-2</v>
      </c>
      <c r="G120" s="1">
        <f>'[1]Electricity and CHPs_IN'!Q$23/SUM('[1]Electricity and CHPs_IN'!Q$22:Q$23)*G88</f>
        <v>3.9977015563139699E-3</v>
      </c>
      <c r="H120" s="1">
        <f>'[1]Electricity and CHPs_IN'!R$23/SUM('[1]Electricity and CHPs_IN'!R$22:R$23)*H88</f>
        <v>4.9386235639040455E-3</v>
      </c>
      <c r="I120" s="1">
        <f>'[1]Electricity and CHPs_IN'!S$23/SUM('[1]Electricity and CHPs_IN'!S$22:S$23)*I88</f>
        <v>3.0958236150706035E-2</v>
      </c>
      <c r="J120" s="1">
        <f>'[1]Electricity and CHPs_IN'!T$23/SUM('[1]Electricity and CHPs_IN'!T$22:T$23)*J88</f>
        <v>1.7093714544624546E-2</v>
      </c>
      <c r="K120" s="1">
        <f>'[1]Electricity and CHPs_IN'!U$23/SUM('[1]Electricity and CHPs_IN'!U$22:U$23)*K88</f>
        <v>3.8603834065106131E-3</v>
      </c>
      <c r="L120" s="1">
        <f>'[1]Electricity and CHPs_IN'!V$23/SUM('[1]Electricity and CHPs_IN'!V$22:V$23)*L88</f>
        <v>1.9840927175364363E-3</v>
      </c>
      <c r="M120" s="1">
        <f>'[1]Electricity and CHPs_IN'!W$23/SUM('[1]Electricity and CHPs_IN'!W$22:W$23)*M88</f>
        <v>1.1150192675986913E-3</v>
      </c>
      <c r="N120" s="1">
        <f>'[1]Electricity and CHPs_IN'!X$23/SUM('[1]Electricity and CHPs_IN'!X$22:X$23)*N88</f>
        <v>6.3780736597623933E-4</v>
      </c>
      <c r="O120" s="1">
        <f>'[1]Electricity and CHPs_IN'!Y$23/SUM('[1]Electricity and CHPs_IN'!Y$22:Y$23)*O88</f>
        <v>9.5354351071876985E-4</v>
      </c>
      <c r="P120" s="1">
        <f>'[1]Electricity and CHPs_IN'!Z$23/SUM('[1]Electricity and CHPs_IN'!Z$22:Z$23)*P88</f>
        <v>1.6412752721521498E-3</v>
      </c>
      <c r="Q120" s="1">
        <f>'[1]Electricity and CHPs_IN'!AA$23/SUM('[1]Electricity and CHPs_IN'!AA$22:AA$23)*Q88</f>
        <v>1.811164749771438E-3</v>
      </c>
      <c r="S120" s="3"/>
    </row>
    <row r="121" spans="1:19" x14ac:dyDescent="0.5">
      <c r="A121" s="5" t="str">
        <f t="shared" si="68"/>
        <v>STEM</v>
      </c>
      <c r="B121" s="5" t="str">
        <f t="shared" si="69"/>
        <v>SPS1</v>
      </c>
      <c r="C121" s="5" t="str">
        <f t="shared" si="70"/>
        <v>CH</v>
      </c>
      <c r="D121" t="s">
        <v>619</v>
      </c>
      <c r="E121" t="str">
        <f t="shared" si="130"/>
        <v>PJ/yr.</v>
      </c>
      <c r="F121" s="1">
        <f>'[1]Electricity and CHPs_IN'!P$23/SUM('[1]Electricity and CHPs_IN'!P$22:P$23)*F89</f>
        <v>0</v>
      </c>
      <c r="G121" s="1">
        <f>'[1]Electricity and CHPs_IN'!Q$23/SUM('[1]Electricity and CHPs_IN'!Q$22:Q$23)*G89</f>
        <v>0</v>
      </c>
      <c r="H121" s="1">
        <f>'[1]Electricity and CHPs_IN'!R$23/SUM('[1]Electricity and CHPs_IN'!R$22:R$23)*H89</f>
        <v>0</v>
      </c>
      <c r="I121" s="1">
        <f>'[1]Electricity and CHPs_IN'!S$23/SUM('[1]Electricity and CHPs_IN'!S$22:S$23)*I89</f>
        <v>0</v>
      </c>
      <c r="J121" s="1">
        <f>'[1]Electricity and CHPs_IN'!T$23/SUM('[1]Electricity and CHPs_IN'!T$22:T$23)*J89</f>
        <v>0</v>
      </c>
      <c r="K121" s="1">
        <f>'[1]Electricity and CHPs_IN'!U$23/SUM('[1]Electricity and CHPs_IN'!U$22:U$23)*K89</f>
        <v>0</v>
      </c>
      <c r="L121" s="1">
        <f>'[1]Electricity and CHPs_IN'!V$23/SUM('[1]Electricity and CHPs_IN'!V$22:V$23)*L89</f>
        <v>0</v>
      </c>
      <c r="M121" s="1">
        <f>'[1]Electricity and CHPs_IN'!W$23/SUM('[1]Electricity and CHPs_IN'!W$22:W$23)*M89</f>
        <v>0</v>
      </c>
      <c r="N121" s="1">
        <f>'[1]Electricity and CHPs_IN'!X$23/SUM('[1]Electricity and CHPs_IN'!X$22:X$23)*N89</f>
        <v>0</v>
      </c>
      <c r="O121" s="1">
        <f>'[1]Electricity and CHPs_IN'!Y$23/SUM('[1]Electricity and CHPs_IN'!Y$22:Y$23)*O89</f>
        <v>0</v>
      </c>
      <c r="P121" s="1">
        <f>'[1]Electricity and CHPs_IN'!Z$23/SUM('[1]Electricity and CHPs_IN'!Z$22:Z$23)*P89</f>
        <v>0</v>
      </c>
      <c r="Q121" s="1">
        <f>'[1]Electricity and CHPs_IN'!AA$23/SUM('[1]Electricity and CHPs_IN'!AA$22:AA$23)*Q89</f>
        <v>0</v>
      </c>
      <c r="S121" s="3"/>
    </row>
    <row r="122" spans="1:19" x14ac:dyDescent="0.5">
      <c r="A122" s="5" t="str">
        <f t="shared" si="68"/>
        <v>STEM</v>
      </c>
      <c r="B122" s="5" t="str">
        <f t="shared" si="69"/>
        <v>SPS1</v>
      </c>
      <c r="C122" s="5" t="str">
        <f t="shared" si="70"/>
        <v>CH</v>
      </c>
      <c r="D122" t="s">
        <v>620</v>
      </c>
      <c r="E122" t="str">
        <f t="shared" si="130"/>
        <v>PJ/yr.</v>
      </c>
      <c r="F122" s="1">
        <f>'[1]Electricity and CHPs_IN'!P$23/SUM('[1]Electricity and CHPs_IN'!P$22:P$23)*F90</f>
        <v>0</v>
      </c>
      <c r="G122" s="1">
        <f>'[1]Electricity and CHPs_IN'!Q$23/SUM('[1]Electricity and CHPs_IN'!Q$22:Q$23)*G90</f>
        <v>0</v>
      </c>
      <c r="H122" s="1">
        <f>'[1]Electricity and CHPs_IN'!R$23/SUM('[1]Electricity and CHPs_IN'!R$22:R$23)*H90</f>
        <v>0</v>
      </c>
      <c r="I122" s="1">
        <f>'[1]Electricity and CHPs_IN'!S$23/SUM('[1]Electricity and CHPs_IN'!S$22:S$23)*I90</f>
        <v>1.5910910488002532E-4</v>
      </c>
      <c r="J122" s="1">
        <f>'[1]Electricity and CHPs_IN'!T$23/SUM('[1]Electricity and CHPs_IN'!T$22:T$23)*J90</f>
        <v>1.5812549347184152E-4</v>
      </c>
      <c r="K122" s="1">
        <f>'[1]Electricity and CHPs_IN'!U$23/SUM('[1]Electricity and CHPs_IN'!U$22:U$23)*K90</f>
        <v>2.0030120789086918E-4</v>
      </c>
      <c r="L122" s="1">
        <f>'[1]Electricity and CHPs_IN'!V$23/SUM('[1]Electricity and CHPs_IN'!V$22:V$23)*L90</f>
        <v>2.5502506290589185E-4</v>
      </c>
      <c r="M122" s="1">
        <f>'[1]Electricity and CHPs_IN'!W$23/SUM('[1]Electricity and CHPs_IN'!W$22:W$23)*M90</f>
        <v>3.7205582518996246E-4</v>
      </c>
      <c r="N122" s="1">
        <f>'[1]Electricity and CHPs_IN'!X$23/SUM('[1]Electricity and CHPs_IN'!X$22:X$23)*N90</f>
        <v>3.0714420169414085E-4</v>
      </c>
      <c r="O122" s="1">
        <f>'[1]Electricity and CHPs_IN'!Y$23/SUM('[1]Electricity and CHPs_IN'!Y$22:Y$23)*O90</f>
        <v>4.4466669742930157E-4</v>
      </c>
      <c r="P122" s="1">
        <f>'[1]Electricity and CHPs_IN'!Z$23/SUM('[1]Electricity and CHPs_IN'!Z$22:Z$23)*P90</f>
        <v>4.9940561951939517E-4</v>
      </c>
      <c r="Q122" s="1">
        <f>'[1]Electricity and CHPs_IN'!AA$23/SUM('[1]Electricity and CHPs_IN'!AA$22:AA$23)*Q90</f>
        <v>8.8612027835807607E-4</v>
      </c>
      <c r="S122" s="3"/>
    </row>
    <row r="123" spans="1:19" x14ac:dyDescent="0.5">
      <c r="A123" s="5" t="str">
        <f t="shared" si="68"/>
        <v>STEM</v>
      </c>
      <c r="B123" s="5" t="str">
        <f t="shared" si="69"/>
        <v>SPS1</v>
      </c>
      <c r="C123" s="5" t="str">
        <f t="shared" si="70"/>
        <v>CH</v>
      </c>
      <c r="D123" t="s">
        <v>621</v>
      </c>
      <c r="E123" t="str">
        <f t="shared" si="130"/>
        <v>PJ/yr.</v>
      </c>
      <c r="F123" s="1">
        <f>'[1]Electricity and CHPs_IN'!P$23/SUM('[1]Electricity and CHPs_IN'!P$22:P$23)*F91</f>
        <v>4.6025362720217592E-4</v>
      </c>
      <c r="G123" s="1">
        <f>'[1]Electricity and CHPs_IN'!Q$23/SUM('[1]Electricity and CHPs_IN'!Q$22:Q$23)*G91</f>
        <v>1.8288888910154114E-4</v>
      </c>
      <c r="H123" s="1">
        <f>'[1]Electricity and CHPs_IN'!R$23/SUM('[1]Electricity and CHPs_IN'!R$22:R$23)*H91</f>
        <v>1.4331304113149549E-3</v>
      </c>
      <c r="I123" s="1">
        <f>'[1]Electricity and CHPs_IN'!S$23/SUM('[1]Electricity and CHPs_IN'!S$22:S$23)*I91</f>
        <v>6.323427571713878E-4</v>
      </c>
      <c r="J123" s="1">
        <f>'[1]Electricity and CHPs_IN'!T$23/SUM('[1]Electricity and CHPs_IN'!T$22:T$23)*J91</f>
        <v>1.0300269552932862E-3</v>
      </c>
      <c r="K123" s="1">
        <f>'[1]Electricity and CHPs_IN'!U$23/SUM('[1]Electricity and CHPs_IN'!U$22:U$23)*K91</f>
        <v>7.7568637725077222E-4</v>
      </c>
      <c r="L123" s="1">
        <f>'[1]Electricity and CHPs_IN'!V$23/SUM('[1]Electricity and CHPs_IN'!V$22:V$23)*L91</f>
        <v>6.4955597246012166E-4</v>
      </c>
      <c r="M123" s="1">
        <f>'[1]Electricity and CHPs_IN'!W$23/SUM('[1]Electricity and CHPs_IN'!W$22:W$23)*M91</f>
        <v>8.1879754543757305E-4</v>
      </c>
      <c r="N123" s="1">
        <f>'[1]Electricity and CHPs_IN'!X$23/SUM('[1]Electricity and CHPs_IN'!X$22:X$23)*N91</f>
        <v>6.6334090770536682E-4</v>
      </c>
      <c r="O123" s="1">
        <f>'[1]Electricity and CHPs_IN'!Y$23/SUM('[1]Electricity and CHPs_IN'!Y$22:Y$23)*O91</f>
        <v>7.155486386499542E-4</v>
      </c>
      <c r="P123" s="1">
        <f>'[1]Electricity and CHPs_IN'!Z$23/SUM('[1]Electricity and CHPs_IN'!Z$22:Z$23)*P91</f>
        <v>2.5106208547123819E-3</v>
      </c>
      <c r="Q123" s="1">
        <f>'[1]Electricity and CHPs_IN'!AA$23/SUM('[1]Electricity and CHPs_IN'!AA$22:AA$23)*Q91</f>
        <v>2.648350909656004E-3</v>
      </c>
      <c r="S123" s="3"/>
    </row>
    <row r="124" spans="1:19" x14ac:dyDescent="0.5">
      <c r="A124" s="5" t="str">
        <f t="shared" si="68"/>
        <v>STEM</v>
      </c>
      <c r="B124" s="5" t="str">
        <f t="shared" si="69"/>
        <v>SPS1</v>
      </c>
      <c r="C124" s="5" t="str">
        <f t="shared" si="70"/>
        <v>CH</v>
      </c>
      <c r="D124" t="s">
        <v>622</v>
      </c>
      <c r="E124" t="str">
        <f t="shared" si="130"/>
        <v>PJ/yr.</v>
      </c>
      <c r="F124" s="1">
        <f>'[1]Electricity and CHPs_IN'!P$23/SUM('[1]Electricity and CHPs_IN'!P$22:P$23)*F92</f>
        <v>0</v>
      </c>
      <c r="G124" s="1">
        <f>'[1]Electricity and CHPs_IN'!Q$23/SUM('[1]Electricity and CHPs_IN'!Q$22:Q$23)*G92</f>
        <v>0</v>
      </c>
      <c r="H124" s="1">
        <f>'[1]Electricity and CHPs_IN'!R$23/SUM('[1]Electricity and CHPs_IN'!R$22:R$23)*H92</f>
        <v>0</v>
      </c>
      <c r="I124" s="1">
        <f>'[1]Electricity and CHPs_IN'!S$23/SUM('[1]Electricity and CHPs_IN'!S$22:S$23)*I92</f>
        <v>3.07533615218058E-5</v>
      </c>
      <c r="J124" s="1">
        <f>'[1]Electricity and CHPs_IN'!T$23/SUM('[1]Electricity and CHPs_IN'!T$22:T$23)*J92</f>
        <v>7.9745073518994891E-5</v>
      </c>
      <c r="K124" s="1">
        <f>'[1]Electricity and CHPs_IN'!U$23/SUM('[1]Electricity and CHPs_IN'!U$22:U$23)*K92</f>
        <v>6.0065895493402658E-5</v>
      </c>
      <c r="L124" s="1">
        <f>'[1]Electricity and CHPs_IN'!V$23/SUM('[1]Electricity and CHPs_IN'!V$22:V$23)*L92</f>
        <v>4.6111850401149645E-5</v>
      </c>
      <c r="M124" s="1">
        <f>'[1]Electricity and CHPs_IN'!W$23/SUM('[1]Electricity and CHPs_IN'!W$22:W$23)*M92</f>
        <v>1.0132779886843709E-4</v>
      </c>
      <c r="N124" s="1">
        <f>'[1]Electricity and CHPs_IN'!X$23/SUM('[1]Electricity and CHPs_IN'!X$22:X$23)*N92</f>
        <v>7.7073106720384088E-5</v>
      </c>
      <c r="O124" s="1">
        <f>'[1]Electricity and CHPs_IN'!Y$23/SUM('[1]Electricity and CHPs_IN'!Y$22:Y$23)*O92</f>
        <v>1.2135557748281074E-4</v>
      </c>
      <c r="P124" s="1">
        <f>'[1]Electricity and CHPs_IN'!Z$23/SUM('[1]Electricity and CHPs_IN'!Z$22:Z$23)*P92</f>
        <v>1.2277680638042422E-4</v>
      </c>
      <c r="Q124" s="1">
        <f>'[1]Electricity and CHPs_IN'!AA$23/SUM('[1]Electricity and CHPs_IN'!AA$22:AA$23)*Q92</f>
        <v>2.4088013488606525E-4</v>
      </c>
      <c r="S124" s="3"/>
    </row>
    <row r="125" spans="1:19" x14ac:dyDescent="0.5">
      <c r="A125" s="5" t="str">
        <f t="shared" si="68"/>
        <v>STEM</v>
      </c>
      <c r="B125" s="5" t="str">
        <f t="shared" si="69"/>
        <v>SPS1</v>
      </c>
      <c r="C125" s="5" t="str">
        <f t="shared" si="70"/>
        <v>CH</v>
      </c>
      <c r="D125" t="s">
        <v>623</v>
      </c>
      <c r="E125" t="str">
        <f t="shared" si="130"/>
        <v>PJ/yr.</v>
      </c>
      <c r="F125" s="1">
        <f>'[1]Electricity and CHPs_IN'!P$23/SUM('[1]Electricity and CHPs_IN'!P$22:P$23)*F93</f>
        <v>7.523027311712384E-4</v>
      </c>
      <c r="G125" s="1">
        <f>'[1]Electricity and CHPs_IN'!Q$23/SUM('[1]Electricity and CHPs_IN'!Q$22:Q$23)*G93</f>
        <v>1.112764496191049E-3</v>
      </c>
      <c r="H125" s="1">
        <f>'[1]Electricity and CHPs_IN'!R$23/SUM('[1]Electricity and CHPs_IN'!R$22:R$23)*H93</f>
        <v>1.0576841205816126E-2</v>
      </c>
      <c r="I125" s="1">
        <f>'[1]Electricity and CHPs_IN'!S$23/SUM('[1]Electricity and CHPs_IN'!S$22:S$23)*I93</f>
        <v>2.6133467616040587E-2</v>
      </c>
      <c r="J125" s="1">
        <f>'[1]Electricity and CHPs_IN'!T$23/SUM('[1]Electricity and CHPs_IN'!T$22:T$23)*J93</f>
        <v>2.0488962915273627E-2</v>
      </c>
      <c r="K125" s="1">
        <f>'[1]Electricity and CHPs_IN'!U$23/SUM('[1]Electricity and CHPs_IN'!U$22:U$23)*K93</f>
        <v>1.7031045690723574E-2</v>
      </c>
      <c r="L125" s="1">
        <f>'[1]Electricity and CHPs_IN'!V$23/SUM('[1]Electricity and CHPs_IN'!V$22:V$23)*L93</f>
        <v>1.220186217905548E-2</v>
      </c>
      <c r="M125" s="1">
        <f>'[1]Electricity and CHPs_IN'!W$23/SUM('[1]Electricity and CHPs_IN'!W$22:W$23)*M93</f>
        <v>1.1057207357900091E-2</v>
      </c>
      <c r="N125" s="1">
        <f>'[1]Electricity and CHPs_IN'!X$23/SUM('[1]Electricity and CHPs_IN'!X$22:X$23)*N93</f>
        <v>1.0120886334362764E-2</v>
      </c>
      <c r="O125" s="1">
        <f>'[1]Electricity and CHPs_IN'!Y$23/SUM('[1]Electricity and CHPs_IN'!Y$22:Y$23)*O93</f>
        <v>9.7347193471401285E-3</v>
      </c>
      <c r="P125" s="1">
        <f>'[1]Electricity and CHPs_IN'!Z$23/SUM('[1]Electricity and CHPs_IN'!Z$22:Z$23)*P93</f>
        <v>8.9759203379941848E-3</v>
      </c>
      <c r="Q125" s="1">
        <f>'[1]Electricity and CHPs_IN'!AA$23/SUM('[1]Electricity and CHPs_IN'!AA$22:AA$23)*Q93</f>
        <v>8.6709157970643169E-3</v>
      </c>
      <c r="S125" s="3"/>
    </row>
    <row r="126" spans="1:19" x14ac:dyDescent="0.5">
      <c r="A126" s="5" t="str">
        <f t="shared" si="68"/>
        <v>STEM</v>
      </c>
      <c r="B126" s="5" t="str">
        <f t="shared" si="69"/>
        <v>SPS1</v>
      </c>
      <c r="C126" s="5" t="str">
        <f t="shared" si="70"/>
        <v>CH</v>
      </c>
      <c r="D126" t="s">
        <v>624</v>
      </c>
      <c r="E126" t="str">
        <f t="shared" si="130"/>
        <v>PJ/yr.</v>
      </c>
      <c r="F126" s="1">
        <f>'[1]Electricity and CHPs_IN'!P$23/SUM('[1]Electricity and CHPs_IN'!P$22:P$23)*F94</f>
        <v>0</v>
      </c>
      <c r="G126" s="1">
        <f>'[1]Electricity and CHPs_IN'!Q$23/SUM('[1]Electricity and CHPs_IN'!Q$22:Q$23)*G94</f>
        <v>0</v>
      </c>
      <c r="H126" s="1">
        <f>'[1]Electricity and CHPs_IN'!R$23/SUM('[1]Electricity and CHPs_IN'!R$22:R$23)*H94</f>
        <v>0</v>
      </c>
      <c r="I126" s="1">
        <f>'[1]Electricity and CHPs_IN'!S$23/SUM('[1]Electricity and CHPs_IN'!S$22:S$23)*I94</f>
        <v>1.3058606304740792E-4</v>
      </c>
      <c r="J126" s="1">
        <f>'[1]Electricity and CHPs_IN'!T$23/SUM('[1]Electricity and CHPs_IN'!T$22:T$23)*J94</f>
        <v>3.7632432852489743E-4</v>
      </c>
      <c r="K126" s="1">
        <f>'[1]Electricity and CHPs_IN'!U$23/SUM('[1]Electricity and CHPs_IN'!U$22:U$23)*K94</f>
        <v>2.8497510113212684E-4</v>
      </c>
      <c r="L126" s="1">
        <f>'[1]Electricity and CHPs_IN'!V$23/SUM('[1]Electricity and CHPs_IN'!V$22:V$23)*L94</f>
        <v>2.3281862241122687E-4</v>
      </c>
      <c r="M126" s="1">
        <f>'[1]Electricity and CHPs_IN'!W$23/SUM('[1]Electricity and CHPs_IN'!W$22:W$23)*M94</f>
        <v>5.7930135949191221E-4</v>
      </c>
      <c r="N126" s="1">
        <f>'[1]Electricity and CHPs_IN'!X$23/SUM('[1]Electricity and CHPs_IN'!X$22:X$23)*N94</f>
        <v>4.7583057296442358E-4</v>
      </c>
      <c r="O126" s="1">
        <f>'[1]Electricity and CHPs_IN'!Y$23/SUM('[1]Electricity and CHPs_IN'!Y$22:Y$23)*O94</f>
        <v>9.2147535509865051E-4</v>
      </c>
      <c r="P126" s="1">
        <f>'[1]Electricity and CHPs_IN'!Z$23/SUM('[1]Electricity and CHPs_IN'!Z$22:Z$23)*P94</f>
        <v>9.4231270819159581E-4</v>
      </c>
      <c r="Q126" s="1">
        <f>'[1]Electricity and CHPs_IN'!AA$23/SUM('[1]Electricity and CHPs_IN'!AA$22:AA$23)*Q94</f>
        <v>1.8248611761241538E-3</v>
      </c>
      <c r="S126" s="3"/>
    </row>
    <row r="127" spans="1:19" x14ac:dyDescent="0.5">
      <c r="A127" s="5" t="str">
        <f t="shared" si="68"/>
        <v>STEM</v>
      </c>
      <c r="B127" s="5" t="str">
        <f t="shared" si="69"/>
        <v>SPS1</v>
      </c>
      <c r="C127" s="5" t="str">
        <f t="shared" si="70"/>
        <v>CH</v>
      </c>
      <c r="D127" t="s">
        <v>625</v>
      </c>
      <c r="E127" t="str">
        <f t="shared" si="130"/>
        <v>PJ/yr.</v>
      </c>
      <c r="F127" s="1">
        <f t="shared" ref="F127" si="131">F95</f>
        <v>0.95937142062843517</v>
      </c>
      <c r="G127" s="1">
        <f t="shared" ref="G127:Q127" si="132">G95</f>
        <v>1.1061197708492967</v>
      </c>
      <c r="H127" s="1">
        <f t="shared" si="132"/>
        <v>1.1061202942024164</v>
      </c>
      <c r="I127" s="1">
        <f t="shared" si="132"/>
        <v>1.1061184455650488</v>
      </c>
      <c r="J127" s="1">
        <f t="shared" si="132"/>
        <v>1.1061191710409983</v>
      </c>
      <c r="K127" s="1">
        <f t="shared" si="132"/>
        <v>1.1061209391546785</v>
      </c>
      <c r="L127" s="1">
        <f t="shared" si="132"/>
        <v>1.1061269760134509</v>
      </c>
      <c r="M127" s="1">
        <f t="shared" si="132"/>
        <v>1.1061420325186193</v>
      </c>
      <c r="N127" s="1">
        <f t="shared" si="132"/>
        <v>1.1061518890338238</v>
      </c>
      <c r="O127" s="1">
        <f t="shared" si="132"/>
        <v>1.1061800074934498</v>
      </c>
      <c r="P127" s="1">
        <f t="shared" si="132"/>
        <v>1.1062134962771784</v>
      </c>
      <c r="Q127" s="1">
        <f t="shared" si="132"/>
        <v>1.1425432066680894</v>
      </c>
      <c r="S127" s="3"/>
    </row>
    <row r="128" spans="1:19" x14ac:dyDescent="0.5">
      <c r="A128" s="5" t="str">
        <f t="shared" si="68"/>
        <v>STEM</v>
      </c>
      <c r="B128" s="5" t="str">
        <f t="shared" si="69"/>
        <v>SPS1</v>
      </c>
      <c r="C128" s="5" t="str">
        <f t="shared" si="70"/>
        <v>CH</v>
      </c>
      <c r="D128" t="s">
        <v>626</v>
      </c>
      <c r="E128" t="str">
        <f t="shared" si="130"/>
        <v>PJ/yr.</v>
      </c>
      <c r="F128" s="1">
        <f>'[1]Electricity and CHPs_IN'!P$23/SUM('[1]Electricity and CHPs_IN'!P$22:P$23)*F96</f>
        <v>1.5803848439541836E-2</v>
      </c>
      <c r="G128" s="1">
        <f>'[1]Electricity and CHPs_IN'!Q$23/SUM('[1]Electricity and CHPs_IN'!Q$22:Q$23)*G96</f>
        <v>2.7416442924959799E-2</v>
      </c>
      <c r="H128" s="1">
        <f>'[1]Electricity and CHPs_IN'!R$23/SUM('[1]Electricity and CHPs_IN'!R$22:R$23)*H96</f>
        <v>4.4408659740452848E-2</v>
      </c>
      <c r="I128" s="1">
        <f>'[1]Electricity and CHPs_IN'!S$23/SUM('[1]Electricity and CHPs_IN'!S$22:S$23)*I96</f>
        <v>9.3337273279029617E-2</v>
      </c>
      <c r="J128" s="1">
        <f>'[1]Electricity and CHPs_IN'!T$23/SUM('[1]Electricity and CHPs_IN'!T$22:T$23)*J96</f>
        <v>0.12256820321289016</v>
      </c>
      <c r="K128" s="1">
        <f>'[1]Electricity and CHPs_IN'!U$23/SUM('[1]Electricity and CHPs_IN'!U$22:U$23)*K96</f>
        <v>8.6746012222402386E-2</v>
      </c>
      <c r="L128" s="1">
        <f>'[1]Electricity and CHPs_IN'!V$23/SUM('[1]Electricity and CHPs_IN'!V$22:V$23)*L96</f>
        <v>6.1620148935394976E-2</v>
      </c>
      <c r="M128" s="1">
        <f>'[1]Electricity and CHPs_IN'!W$23/SUM('[1]Electricity and CHPs_IN'!W$22:W$23)*M96</f>
        <v>4.0200190029665239E-2</v>
      </c>
      <c r="N128" s="1">
        <f>'[1]Electricity and CHPs_IN'!X$23/SUM('[1]Electricity and CHPs_IN'!X$22:X$23)*N96</f>
        <v>3.7703699278583268E-2</v>
      </c>
      <c r="O128" s="1">
        <f>'[1]Electricity and CHPs_IN'!Y$23/SUM('[1]Electricity and CHPs_IN'!Y$22:Y$23)*O96</f>
        <v>3.8254195820142563E-2</v>
      </c>
      <c r="P128" s="1">
        <f>'[1]Electricity and CHPs_IN'!Z$23/SUM('[1]Electricity and CHPs_IN'!Z$22:Z$23)*P96</f>
        <v>4.3831028893428083E-2</v>
      </c>
      <c r="Q128" s="1">
        <f>'[1]Electricity and CHPs_IN'!AA$23/SUM('[1]Electricity and CHPs_IN'!AA$22:AA$23)*Q96</f>
        <v>4.9932227822075521E-2</v>
      </c>
      <c r="S128" s="3"/>
    </row>
    <row r="129" spans="1:19" x14ac:dyDescent="0.5">
      <c r="A129" s="5" t="str">
        <f t="shared" si="68"/>
        <v>STEM</v>
      </c>
      <c r="B129" s="5" t="str">
        <f t="shared" si="69"/>
        <v>SPS1</v>
      </c>
      <c r="C129" s="5" t="str">
        <f t="shared" si="70"/>
        <v>CH</v>
      </c>
      <c r="D129" t="s">
        <v>627</v>
      </c>
      <c r="E129" t="str">
        <f t="shared" si="130"/>
        <v>PJ/yr.</v>
      </c>
      <c r="F129" s="1">
        <f>'[1]Electricity and CHPs_IN'!P$23/SUM('[1]Electricity and CHPs_IN'!P$22:P$23)*F97</f>
        <v>0</v>
      </c>
      <c r="G129" s="1">
        <f>'[1]Electricity and CHPs_IN'!Q$23/SUM('[1]Electricity and CHPs_IN'!Q$22:Q$23)*G97</f>
        <v>0</v>
      </c>
      <c r="H129" s="1">
        <f>'[1]Electricity and CHPs_IN'!R$23/SUM('[1]Electricity and CHPs_IN'!R$22:R$23)*H97</f>
        <v>0</v>
      </c>
      <c r="I129" s="1">
        <f>'[1]Electricity and CHPs_IN'!S$23/SUM('[1]Electricity and CHPs_IN'!S$22:S$23)*I97</f>
        <v>1.7353260675607705E-4</v>
      </c>
      <c r="J129" s="1">
        <f>'[1]Electricity and CHPs_IN'!T$23/SUM('[1]Electricity and CHPs_IN'!T$22:T$23)*J97</f>
        <v>3.9075560942114545E-4</v>
      </c>
      <c r="K129" s="1">
        <f>'[1]Electricity and CHPs_IN'!U$23/SUM('[1]Electricity and CHPs_IN'!U$22:U$23)*K97</f>
        <v>2.8122352362352159E-4</v>
      </c>
      <c r="L129" s="1">
        <f>'[1]Electricity and CHPs_IN'!V$23/SUM('[1]Electricity and CHPs_IN'!V$22:V$23)*L97</f>
        <v>1.5200456359303459E-4</v>
      </c>
      <c r="M129" s="1">
        <f>'[1]Electricity and CHPs_IN'!W$23/SUM('[1]Electricity and CHPs_IN'!W$22:W$23)*M97</f>
        <v>3.3103711415265094E-4</v>
      </c>
      <c r="N129" s="1">
        <f>'[1]Electricity and CHPs_IN'!X$23/SUM('[1]Electricity and CHPs_IN'!X$22:X$23)*N97</f>
        <v>3.1403288993051573E-4</v>
      </c>
      <c r="O129" s="1">
        <f>'[1]Electricity and CHPs_IN'!Y$23/SUM('[1]Electricity and CHPs_IN'!Y$22:Y$23)*O97</f>
        <v>6.42864810981016E-4</v>
      </c>
      <c r="P129" s="1">
        <f>'[1]Electricity and CHPs_IN'!Z$23/SUM('[1]Electricity and CHPs_IN'!Z$22:Z$23)*P97</f>
        <v>5.1880431594177609E-4</v>
      </c>
      <c r="Q129" s="1">
        <f>'[1]Electricity and CHPs_IN'!AA$23/SUM('[1]Electricity and CHPs_IN'!AA$22:AA$23)*Q97</f>
        <v>1.2036876395985399E-3</v>
      </c>
      <c r="S129" s="3"/>
    </row>
    <row r="130" spans="1:19" x14ac:dyDescent="0.5">
      <c r="A130" s="5" t="str">
        <f t="shared" si="68"/>
        <v>STEM</v>
      </c>
      <c r="B130" s="5" t="str">
        <f t="shared" si="69"/>
        <v>SPS1</v>
      </c>
      <c r="C130" s="5" t="str">
        <f t="shared" si="70"/>
        <v>CH</v>
      </c>
      <c r="D130" t="s">
        <v>799</v>
      </c>
      <c r="E130" t="str">
        <f t="shared" si="130"/>
        <v>PJ/yr.</v>
      </c>
      <c r="F130" s="1">
        <f>SUM(F131:F136)</f>
        <v>8.2712242761117949</v>
      </c>
      <c r="G130" s="1">
        <f t="shared" ref="G130:Q130" si="133">SUM(G131:G136)</f>
        <v>8.9472605864337549</v>
      </c>
      <c r="H130" s="1">
        <f t="shared" si="133"/>
        <v>9.8609582838739769</v>
      </c>
      <c r="I130" s="1">
        <f t="shared" si="133"/>
        <v>9.1356808872748623</v>
      </c>
      <c r="J130" s="1">
        <f t="shared" si="133"/>
        <v>9.2150791273508936</v>
      </c>
      <c r="K130" s="1">
        <f t="shared" si="133"/>
        <v>9.3891403590878788</v>
      </c>
      <c r="L130" s="1">
        <f t="shared" si="133"/>
        <v>9.5669462162491516</v>
      </c>
      <c r="M130" s="1">
        <f t="shared" si="133"/>
        <v>9.7485993221821179</v>
      </c>
      <c r="N130" s="1">
        <f t="shared" si="133"/>
        <v>9.74856650184641</v>
      </c>
      <c r="O130" s="1">
        <f t="shared" si="133"/>
        <v>9.7485837729495604</v>
      </c>
      <c r="P130" s="1">
        <f t="shared" si="133"/>
        <v>9.7485824763587718</v>
      </c>
      <c r="Q130" s="1">
        <f t="shared" si="133"/>
        <v>9.7486826379848814</v>
      </c>
      <c r="S130" s="3"/>
    </row>
    <row r="131" spans="1:19" x14ac:dyDescent="0.5">
      <c r="A131" s="5" t="str">
        <f t="shared" si="68"/>
        <v>STEM</v>
      </c>
      <c r="B131" s="5" t="str">
        <f t="shared" si="69"/>
        <v>SPS1</v>
      </c>
      <c r="C131" s="5" t="str">
        <f t="shared" si="70"/>
        <v>CH</v>
      </c>
      <c r="D131" t="s">
        <v>53</v>
      </c>
      <c r="E131" t="str">
        <f>E75</f>
        <v>PJ/yr.</v>
      </c>
      <c r="F131" s="1">
        <f>'[1]Electricity and CHPs'!B19</f>
        <v>6.5070003240065519</v>
      </c>
      <c r="G131" s="1">
        <f>'[1]Electricity and CHPs'!C19</f>
        <v>7.3027688545081206</v>
      </c>
      <c r="H131" s="1">
        <f>'[1]Electricity and CHPs'!D19</f>
        <v>8.1976625740838038</v>
      </c>
      <c r="I131" s="1">
        <f>'[1]Electricity and CHPs'!E19</f>
        <v>7.3981494654182063</v>
      </c>
      <c r="J131" s="1">
        <f>'[1]Electricity and CHPs'!F19</f>
        <v>7.4918692978135297</v>
      </c>
      <c r="K131" s="1">
        <f>'[1]Electricity and CHPs'!G19</f>
        <v>7.6680336810107521</v>
      </c>
      <c r="L131" s="1">
        <f>'[1]Electricity and CHPs'!H19</f>
        <v>7.8484703195242398</v>
      </c>
      <c r="M131" s="1">
        <f>'[1]Electricity and CHPs'!I19</f>
        <v>8.0333276156353524</v>
      </c>
      <c r="N131" s="1">
        <f>'[1]Electricity and CHPs'!J19</f>
        <v>8.0333011282872544</v>
      </c>
      <c r="O131" s="1">
        <f>'[1]Electricity and CHPs'!K19</f>
        <v>8.0333205907047986</v>
      </c>
      <c r="P131" s="1">
        <f>'[1]Electricity and CHPs'!L19</f>
        <v>8.0333263419412333</v>
      </c>
      <c r="Q131" s="1">
        <f>'[1]Electricity and CHPs'!M19</f>
        <v>8.0334617339208574</v>
      </c>
      <c r="S131" s="3"/>
    </row>
    <row r="132" spans="1:19" x14ac:dyDescent="0.5">
      <c r="A132" s="5" t="str">
        <f t="shared" si="68"/>
        <v>STEM</v>
      </c>
      <c r="B132" s="5" t="str">
        <f t="shared" si="69"/>
        <v>SPS1</v>
      </c>
      <c r="C132" s="5" t="str">
        <f t="shared" si="70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'[1]Electricity and CHPs'!F20</f>
        <v>0</v>
      </c>
      <c r="K132" s="1">
        <f>'[1]Electricity and CHPs'!G20</f>
        <v>0</v>
      </c>
      <c r="L132" s="1">
        <f>'[1]Electricity and CHPs'!H20</f>
        <v>0</v>
      </c>
      <c r="M132" s="1">
        <f>'[1]Electricity and CHPs'!I20</f>
        <v>0</v>
      </c>
      <c r="N132" s="1">
        <f>'[1]Electricity and CHPs'!J20</f>
        <v>0</v>
      </c>
      <c r="O132" s="1">
        <f>'[1]Electricity and CHPs'!K20</f>
        <v>0</v>
      </c>
      <c r="P132" s="1">
        <f>'[1]Electricity and CHPs'!L20</f>
        <v>0</v>
      </c>
      <c r="Q132" s="1">
        <f>'[1]Electricity and CHPs'!M20</f>
        <v>0</v>
      </c>
      <c r="S132" s="3"/>
    </row>
    <row r="133" spans="1:19" x14ac:dyDescent="0.5">
      <c r="A133" s="5" t="str">
        <f t="shared" si="68"/>
        <v>STEM</v>
      </c>
      <c r="B133" s="5" t="str">
        <f t="shared" si="69"/>
        <v>SPS1</v>
      </c>
      <c r="C133" s="5" t="str">
        <f t="shared" si="70"/>
        <v>CH</v>
      </c>
      <c r="D133" t="s">
        <v>51</v>
      </c>
      <c r="E133" t="str">
        <f>E152</f>
        <v>PJ/yr.</v>
      </c>
      <c r="F133" s="1">
        <f>'[1]Electricity and CHPs'!B26</f>
        <v>1.5341728703272268</v>
      </c>
      <c r="G133" s="1">
        <f>'[1]Electricity and CHPs'!C26</f>
        <v>1.4143325237059328</v>
      </c>
      <c r="H133" s="1">
        <f>'[1]Electricity and CHPs'!D26</f>
        <v>1.3265854317246653</v>
      </c>
      <c r="I133" s="1">
        <f>'[1]Electricity and CHPs'!E26</f>
        <v>1.4045833951222635</v>
      </c>
      <c r="J133" s="1">
        <f>'[1]Electricity and CHPs'!F26</f>
        <v>1.3940204411019721</v>
      </c>
      <c r="K133" s="1">
        <f>'[1]Electricity and CHPs'!G26</f>
        <v>1.3935793902431499</v>
      </c>
      <c r="L133" s="1">
        <f>'[1]Electricity and CHPs'!H26</f>
        <v>1.3926099171157664</v>
      </c>
      <c r="M133" s="1">
        <f>'[1]Electricity and CHPs'!I26</f>
        <v>1.3910626095513448</v>
      </c>
      <c r="N133" s="1">
        <f>'[1]Electricity and CHPs'!J26</f>
        <v>1.3910610181747165</v>
      </c>
      <c r="O133" s="1">
        <f>'[1]Electricity and CHPs'!K26</f>
        <v>1.3910542963094088</v>
      </c>
      <c r="P133" s="1">
        <f>'[1]Electricity and CHPs'!L26</f>
        <v>1.391049887295936</v>
      </c>
      <c r="Q133" s="1">
        <f>'[1]Electricity and CHPs'!M26</f>
        <v>1.3910007265054116</v>
      </c>
      <c r="S133" s="3"/>
    </row>
    <row r="134" spans="1:19" x14ac:dyDescent="0.5">
      <c r="A134" s="5" t="str">
        <f t="shared" si="68"/>
        <v>STEM</v>
      </c>
      <c r="B134" s="5" t="str">
        <f t="shared" si="69"/>
        <v>SPS1</v>
      </c>
      <c r="C134" s="5" t="str">
        <f t="shared" si="70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'[1]Electricity and CHPs'!F27</f>
        <v>0</v>
      </c>
      <c r="K134" s="1">
        <f>'[1]Electricity and CHPs'!G27</f>
        <v>0</v>
      </c>
      <c r="L134" s="1">
        <f>'[1]Electricity and CHPs'!H27</f>
        <v>0</v>
      </c>
      <c r="M134" s="1">
        <f>'[1]Electricity and CHPs'!I27</f>
        <v>0</v>
      </c>
      <c r="N134" s="1">
        <f>'[1]Electricity and CHPs'!J27</f>
        <v>0</v>
      </c>
      <c r="O134" s="1">
        <f>'[1]Electricity and CHPs'!K27</f>
        <v>0</v>
      </c>
      <c r="P134" s="1">
        <f>'[1]Electricity and CHPs'!L27</f>
        <v>0</v>
      </c>
      <c r="Q134" s="1">
        <f>'[1]Electricity and CHPs'!M27</f>
        <v>0</v>
      </c>
      <c r="S134" s="3"/>
    </row>
    <row r="135" spans="1:19" x14ac:dyDescent="0.5">
      <c r="A135" s="5" t="str">
        <f t="shared" si="68"/>
        <v>STEM</v>
      </c>
      <c r="B135" s="5" t="str">
        <f t="shared" si="69"/>
        <v>SPS1</v>
      </c>
      <c r="C135" s="5" t="str">
        <f t="shared" si="70"/>
        <v>CH</v>
      </c>
      <c r="D135" t="s">
        <v>48</v>
      </c>
      <c r="E135" t="str">
        <f>E155</f>
        <v>PJ/yr.</v>
      </c>
      <c r="F135" s="1">
        <f>'[1]Electricity and CHPs'!B44</f>
        <v>0.23005108177801603</v>
      </c>
      <c r="G135" s="1">
        <f>'[1]Electricity and CHPs'!C44</f>
        <v>0.23015920821970107</v>
      </c>
      <c r="H135" s="1">
        <f>'[1]Electricity and CHPs'!D44</f>
        <v>0.33671027806550829</v>
      </c>
      <c r="I135" s="1">
        <f>'[1]Electricity and CHPs'!E44</f>
        <v>0.33294802673439294</v>
      </c>
      <c r="J135" s="1">
        <f>'[1]Electricity and CHPs'!F44</f>
        <v>0.3291893884353923</v>
      </c>
      <c r="K135" s="1">
        <f>'[1]Electricity and CHPs'!G44</f>
        <v>0.32752728783397744</v>
      </c>
      <c r="L135" s="1">
        <f>'[1]Electricity and CHPs'!H44</f>
        <v>0.32586597960914537</v>
      </c>
      <c r="M135" s="1">
        <f>'[1]Electricity and CHPs'!I44</f>
        <v>0.3242090969954205</v>
      </c>
      <c r="N135" s="1">
        <f>'[1]Electricity and CHPs'!J44</f>
        <v>0.32420435538443976</v>
      </c>
      <c r="O135" s="1">
        <f>'[1]Electricity and CHPs'!K44</f>
        <v>0.32420888593535296</v>
      </c>
      <c r="P135" s="1">
        <f>'[1]Electricity and CHPs'!L44</f>
        <v>0.32420624712160295</v>
      </c>
      <c r="Q135" s="1">
        <f>'[1]Electricity and CHPs'!M44</f>
        <v>0.32422017755861182</v>
      </c>
      <c r="S135" s="3"/>
    </row>
    <row r="136" spans="1:19" x14ac:dyDescent="0.5">
      <c r="A136" s="5" t="str">
        <f t="shared" si="68"/>
        <v>STEM</v>
      </c>
      <c r="B136" s="5" t="str">
        <f t="shared" si="69"/>
        <v>SPS1</v>
      </c>
      <c r="C136" s="5" t="str">
        <f t="shared" si="70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'[1]Electricity and CHPs'!F45</f>
        <v>0</v>
      </c>
      <c r="K136" s="1">
        <f>'[1]Electricity and CHPs'!G45</f>
        <v>0</v>
      </c>
      <c r="L136" s="1">
        <f>'[1]Electricity and CHPs'!H45</f>
        <v>0</v>
      </c>
      <c r="M136" s="1">
        <f>'[1]Electricity and CHPs'!I45</f>
        <v>0</v>
      </c>
      <c r="N136" s="1">
        <f>'[1]Electricity and CHPs'!J45</f>
        <v>0</v>
      </c>
      <c r="O136" s="1">
        <f>'[1]Electricity and CHPs'!K45</f>
        <v>0</v>
      </c>
      <c r="P136" s="1">
        <f>'[1]Electricity and CHPs'!L45</f>
        <v>0</v>
      </c>
      <c r="Q136" s="1">
        <f>'[1]Electricity and CHPs'!M45</f>
        <v>0</v>
      </c>
      <c r="S136" s="3"/>
    </row>
    <row r="137" spans="1:19" x14ac:dyDescent="0.5">
      <c r="A137" s="5" t="str">
        <f t="shared" si="68"/>
        <v>STEM</v>
      </c>
      <c r="B137" s="5" t="str">
        <f t="shared" si="69"/>
        <v>SPS1</v>
      </c>
      <c r="C137" s="5" t="str">
        <f t="shared" si="70"/>
        <v>CH</v>
      </c>
      <c r="D137" t="s">
        <v>89</v>
      </c>
      <c r="E137" t="str">
        <f t="shared" ref="E137:E151" si="134">E136</f>
        <v>PJ/yr.</v>
      </c>
      <c r="F137" s="1">
        <f>SUM(F138:F141)</f>
        <v>4.0205865971668899</v>
      </c>
      <c r="G137" s="1">
        <f t="shared" ref="G137:K137" si="135">SUM(G138:G141)</f>
        <v>4.3585506891070267</v>
      </c>
      <c r="H137" s="1">
        <f t="shared" si="135"/>
        <v>4.7621240029042342</v>
      </c>
      <c r="I137" s="1">
        <f t="shared" si="135"/>
        <v>4.4013664302702349</v>
      </c>
      <c r="J137" s="1">
        <f t="shared" si="135"/>
        <v>4.4429448694577509</v>
      </c>
      <c r="K137" s="1">
        <f t="shared" si="135"/>
        <v>4.5308065356269509</v>
      </c>
      <c r="L137" s="1">
        <f t="shared" ref="L137:O137" si="136">SUM(L138:L141)</f>
        <v>4.6205401183200028</v>
      </c>
      <c r="M137" s="1">
        <f t="shared" si="136"/>
        <v>4.7121951125933483</v>
      </c>
      <c r="N137" s="1">
        <f t="shared" si="136"/>
        <v>4.712181073230985</v>
      </c>
      <c r="O137" s="1">
        <f t="shared" si="136"/>
        <v>4.7121874435071041</v>
      </c>
      <c r="P137" s="1">
        <f>SUM(P138:P141)</f>
        <v>4.7121881146185842</v>
      </c>
      <c r="Q137" s="1">
        <f>SUM(Q138:Q141)</f>
        <v>4.7122312302131348</v>
      </c>
      <c r="S137" s="3"/>
    </row>
    <row r="138" spans="1:19" x14ac:dyDescent="0.5">
      <c r="A138" s="5" t="str">
        <f t="shared" si="68"/>
        <v>STEM</v>
      </c>
      <c r="B138" s="5" t="str">
        <f t="shared" si="69"/>
        <v>SPS1</v>
      </c>
      <c r="C138" s="5" t="str">
        <f t="shared" si="70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3.2535001620032764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3.6513844272540608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4.0988312870419019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3.6990747327091031</v>
      </c>
      <c r="J138" s="1" cm="1">
        <f t="array" ref="J138">J131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3.7459346489067649</v>
      </c>
      <c r="K138" s="1" cm="1">
        <f t="array" ref="K138">K131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3.8340168405053756</v>
      </c>
      <c r="L138" s="1" cm="1">
        <f t="array" ref="L138">L131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3.9242351597621199</v>
      </c>
      <c r="M138" s="1" cm="1">
        <f t="array" ref="M138">M131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4.0166638078176762</v>
      </c>
      <c r="N138" s="1" cm="1">
        <f t="array" ref="N138">N131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4.0166505641436272</v>
      </c>
      <c r="O138" s="1" cm="1">
        <f t="array" ref="O138">O131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4.0166602953523993</v>
      </c>
      <c r="P138" s="1" cm="1">
        <f t="array" ref="P138">P131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4.0166631709706166</v>
      </c>
      <c r="Q138" s="1" cm="1">
        <f t="array" ref="Q138">Q131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4.0167308669604287</v>
      </c>
      <c r="S138" s="3"/>
    </row>
    <row r="139" spans="1:19" x14ac:dyDescent="0.5">
      <c r="A139" s="5" t="str">
        <f t="shared" si="68"/>
        <v>STEM</v>
      </c>
      <c r="B139" s="5" t="str">
        <f t="shared" si="69"/>
        <v>SPS1</v>
      </c>
      <c r="C139" s="5" t="str">
        <f t="shared" si="70"/>
        <v>CH</v>
      </c>
      <c r="D139" t="s">
        <v>61</v>
      </c>
      <c r="E139" t="str">
        <f t="shared" si="134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39" s="1" cm="1">
        <f t="array" ref="K139">K132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</v>
      </c>
      <c r="L139" s="1" cm="1">
        <f t="array" ref="L139">L132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</v>
      </c>
      <c r="M139" s="1" cm="1">
        <f t="array" ref="M139">M132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</v>
      </c>
      <c r="N139" s="1" cm="1">
        <f t="array" ref="N139">N132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</v>
      </c>
      <c r="O139" s="1" cm="1">
        <f t="array" ref="O139">O132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</v>
      </c>
      <c r="P139" s="1" cm="1">
        <f t="array" ref="P139">P132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</v>
      </c>
      <c r="Q139" s="1" cm="1">
        <f t="array" ref="Q139">Q132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</v>
      </c>
      <c r="S139" s="3"/>
    </row>
    <row r="140" spans="1:19" x14ac:dyDescent="0.5">
      <c r="A140" s="5" t="str">
        <f t="shared" si="68"/>
        <v>STEM</v>
      </c>
      <c r="B140" s="5" t="str">
        <f t="shared" si="69"/>
        <v>SPS1</v>
      </c>
      <c r="C140" s="5" t="str">
        <f t="shared" si="70"/>
        <v>CH</v>
      </c>
      <c r="D140" t="s">
        <v>62</v>
      </c>
      <c r="E140" t="str">
        <f t="shared" si="134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0.76708643516361341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0.70716626185296627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0.66329271586233263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0.70229169756113174</v>
      </c>
      <c r="J140" s="1" cm="1">
        <f t="array" ref="J140">J133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0.69701022055098594</v>
      </c>
      <c r="K140" s="1" cm="1">
        <f t="array" ref="K140">K133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0.69678969512157496</v>
      </c>
      <c r="L140" s="1" cm="1">
        <f t="array" ref="L140">L133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0.69630495855788321</v>
      </c>
      <c r="M140" s="1" cm="1">
        <f t="array" ref="M140">M133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0.69553130477567238</v>
      </c>
      <c r="N140" s="1" cm="1">
        <f t="array" ref="N140">N133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0.69553050908735825</v>
      </c>
      <c r="O140" s="1" cm="1">
        <f t="array" ref="O140">O133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0.6955271481547044</v>
      </c>
      <c r="P140" s="1" cm="1">
        <f t="array" ref="P140">P133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0.69552494364796802</v>
      </c>
      <c r="Q140" s="1" cm="1">
        <f t="array" ref="Q140">Q133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0.69550036325270581</v>
      </c>
      <c r="S140" s="3"/>
    </row>
    <row r="141" spans="1:19" x14ac:dyDescent="0.5">
      <c r="A141" s="5" t="str">
        <f t="shared" si="68"/>
        <v>STEM</v>
      </c>
      <c r="B141" s="5" t="str">
        <f t="shared" si="69"/>
        <v>SPS1</v>
      </c>
      <c r="C141" s="5" t="str">
        <f t="shared" si="70"/>
        <v>CH</v>
      </c>
      <c r="D141" t="s">
        <v>63</v>
      </c>
      <c r="E141" t="str">
        <f t="shared" si="134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41" s="1" cm="1">
        <f t="array" ref="K141">K134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</v>
      </c>
      <c r="L141" s="1" cm="1">
        <f t="array" ref="L141">L134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</v>
      </c>
      <c r="M141" s="1" cm="1">
        <f t="array" ref="M141">M134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</v>
      </c>
      <c r="N141" s="1" cm="1">
        <f t="array" ref="N141">N134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</v>
      </c>
      <c r="O141" s="1" cm="1">
        <f t="array" ref="O141">O134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</v>
      </c>
      <c r="P141" s="1" cm="1">
        <f t="array" ref="P141">P134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</v>
      </c>
      <c r="Q141" s="1" cm="1">
        <f t="array" ref="Q141">Q134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</v>
      </c>
      <c r="S141" s="3"/>
    </row>
    <row r="142" spans="1:19" x14ac:dyDescent="0.5">
      <c r="A142" s="5" t="str">
        <f t="shared" si="68"/>
        <v>STEM</v>
      </c>
      <c r="B142" s="5" t="str">
        <f t="shared" si="69"/>
        <v>SPS1</v>
      </c>
      <c r="C142" s="5" t="str">
        <f t="shared" si="70"/>
        <v>CH</v>
      </c>
      <c r="D142" t="s">
        <v>64</v>
      </c>
      <c r="E142" t="str">
        <f t="shared" si="134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S142" s="3"/>
    </row>
    <row r="143" spans="1:19" x14ac:dyDescent="0.5">
      <c r="A143" s="5" t="str">
        <f t="shared" si="68"/>
        <v>STEM</v>
      </c>
      <c r="B143" s="5" t="str">
        <f t="shared" si="69"/>
        <v>SPS1</v>
      </c>
      <c r="C143" s="5" t="str">
        <f t="shared" si="70"/>
        <v>CH</v>
      </c>
      <c r="D143" t="s">
        <v>65</v>
      </c>
      <c r="E143" t="str">
        <f t="shared" si="134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S143" s="3"/>
    </row>
    <row r="144" spans="1:19" x14ac:dyDescent="0.5">
      <c r="A144" s="5" t="str">
        <f t="shared" si="68"/>
        <v>STEM</v>
      </c>
      <c r="B144" s="5" t="str">
        <f t="shared" si="69"/>
        <v>SPS1</v>
      </c>
      <c r="C144" s="5" t="str">
        <f t="shared" si="70"/>
        <v>CH</v>
      </c>
      <c r="D144" t="s">
        <v>800</v>
      </c>
      <c r="E144" t="str">
        <f>E143</f>
        <v>PJ/yr.</v>
      </c>
      <c r="F144" s="1">
        <f>SUM(F145:F150)</f>
        <v>4.250637678944905</v>
      </c>
      <c r="G144" s="1">
        <f t="shared" ref="G144:K144" si="137">SUM(G145:G150)</f>
        <v>4.5887098973267282</v>
      </c>
      <c r="H144" s="1">
        <f t="shared" si="137"/>
        <v>5.0988342809697427</v>
      </c>
      <c r="I144" s="1">
        <f t="shared" si="137"/>
        <v>4.7343144570046274</v>
      </c>
      <c r="J144" s="1">
        <f t="shared" si="137"/>
        <v>4.7721342578931436</v>
      </c>
      <c r="K144" s="1">
        <f t="shared" si="137"/>
        <v>4.8583338234609297</v>
      </c>
      <c r="L144" s="1">
        <f t="shared" ref="L144:O144" si="138">SUM(L145:L150)</f>
        <v>4.946406097929148</v>
      </c>
      <c r="M144" s="1">
        <f t="shared" si="138"/>
        <v>5.0364042095887687</v>
      </c>
      <c r="N144" s="1">
        <f t="shared" si="138"/>
        <v>5.036385428615425</v>
      </c>
      <c r="O144" s="1">
        <f t="shared" si="138"/>
        <v>5.0363963294424572</v>
      </c>
      <c r="P144" s="1">
        <f>SUM(P145:P150)</f>
        <v>5.0363943617401876</v>
      </c>
      <c r="Q144" s="1">
        <f>SUM(Q145:Q150)</f>
        <v>5.0364514077717466</v>
      </c>
      <c r="S144" s="3"/>
    </row>
    <row r="145" spans="1:19" x14ac:dyDescent="0.5">
      <c r="A145" s="5" t="str">
        <f t="shared" si="68"/>
        <v>STEM</v>
      </c>
      <c r="B145" s="5" t="str">
        <f t="shared" si="69"/>
        <v>SPS1</v>
      </c>
      <c r="C145" s="5" t="str">
        <f t="shared" si="70"/>
        <v>CH</v>
      </c>
      <c r="D145" t="s">
        <v>56</v>
      </c>
      <c r="E145" t="str">
        <f>E144</f>
        <v>PJ/yr.</v>
      </c>
      <c r="F145" s="1">
        <f>F131-F138</f>
        <v>3.2535001620032755</v>
      </c>
      <c r="G145" s="1">
        <f t="shared" ref="G145:K145" si="139">G131-G138</f>
        <v>3.6513844272540599</v>
      </c>
      <c r="H145" s="1">
        <f t="shared" si="139"/>
        <v>4.0988312870419019</v>
      </c>
      <c r="I145" s="1">
        <f t="shared" si="139"/>
        <v>3.6990747327091031</v>
      </c>
      <c r="J145" s="1">
        <f t="shared" si="139"/>
        <v>3.7459346489067649</v>
      </c>
      <c r="K145" s="1">
        <f t="shared" si="139"/>
        <v>3.8340168405053765</v>
      </c>
      <c r="L145" s="1">
        <f t="shared" ref="L145:O145" si="140">L131-L138</f>
        <v>3.9242351597621199</v>
      </c>
      <c r="M145" s="1">
        <f t="shared" si="140"/>
        <v>4.0166638078176762</v>
      </c>
      <c r="N145" s="1">
        <f t="shared" si="140"/>
        <v>4.0166505641436272</v>
      </c>
      <c r="O145" s="1">
        <f t="shared" si="140"/>
        <v>4.0166602953523993</v>
      </c>
      <c r="P145" s="1">
        <f t="shared" ref="P145:Q150" si="141">P131-P138</f>
        <v>4.0166631709706166</v>
      </c>
      <c r="Q145" s="1">
        <f t="shared" si="141"/>
        <v>4.0167308669604287</v>
      </c>
      <c r="S145" s="3"/>
    </row>
    <row r="146" spans="1:19" x14ac:dyDescent="0.5">
      <c r="A146" s="5" t="str">
        <f t="shared" si="68"/>
        <v>STEM</v>
      </c>
      <c r="B146" s="5" t="str">
        <f t="shared" si="69"/>
        <v>SPS1</v>
      </c>
      <c r="C146" s="5" t="str">
        <f t="shared" si="70"/>
        <v>CH</v>
      </c>
      <c r="D146" t="s">
        <v>57</v>
      </c>
      <c r="E146" t="str">
        <f t="shared" si="134"/>
        <v>PJ/yr.</v>
      </c>
      <c r="F146" s="1">
        <f t="shared" ref="F146:K146" si="142">F132-F139</f>
        <v>0</v>
      </c>
      <c r="G146" s="1">
        <f t="shared" si="142"/>
        <v>0</v>
      </c>
      <c r="H146" s="1">
        <f t="shared" si="142"/>
        <v>0</v>
      </c>
      <c r="I146" s="1">
        <f t="shared" si="142"/>
        <v>0</v>
      </c>
      <c r="J146" s="1">
        <f t="shared" si="142"/>
        <v>0</v>
      </c>
      <c r="K146" s="1">
        <f t="shared" si="142"/>
        <v>0</v>
      </c>
      <c r="L146" s="1">
        <f t="shared" ref="L146:O146" si="143">L132-L139</f>
        <v>0</v>
      </c>
      <c r="M146" s="1">
        <f t="shared" si="143"/>
        <v>0</v>
      </c>
      <c r="N146" s="1">
        <f t="shared" si="143"/>
        <v>0</v>
      </c>
      <c r="O146" s="1">
        <f t="shared" si="143"/>
        <v>0</v>
      </c>
      <c r="P146" s="1">
        <f t="shared" si="141"/>
        <v>0</v>
      </c>
      <c r="Q146" s="1">
        <f t="shared" si="141"/>
        <v>0</v>
      </c>
      <c r="S146" s="3"/>
    </row>
    <row r="147" spans="1:19" x14ac:dyDescent="0.5">
      <c r="A147" s="5" t="str">
        <f t="shared" si="68"/>
        <v>STEM</v>
      </c>
      <c r="B147" s="5" t="str">
        <f t="shared" si="69"/>
        <v>SPS1</v>
      </c>
      <c r="C147" s="5" t="str">
        <f t="shared" si="70"/>
        <v>CH</v>
      </c>
      <c r="D147" t="s">
        <v>58</v>
      </c>
      <c r="E147" t="str">
        <f t="shared" si="134"/>
        <v>PJ/yr.</v>
      </c>
      <c r="F147" s="1">
        <f t="shared" ref="F147:K147" si="144">F133-F140</f>
        <v>0.76708643516361341</v>
      </c>
      <c r="G147" s="1">
        <f t="shared" si="144"/>
        <v>0.70716626185296649</v>
      </c>
      <c r="H147" s="1">
        <f t="shared" si="144"/>
        <v>0.66329271586233263</v>
      </c>
      <c r="I147" s="1">
        <f t="shared" si="144"/>
        <v>0.70229169756113174</v>
      </c>
      <c r="J147" s="1">
        <f t="shared" si="144"/>
        <v>0.69701022055098616</v>
      </c>
      <c r="K147" s="1">
        <f t="shared" si="144"/>
        <v>0.69678969512157496</v>
      </c>
      <c r="L147" s="1">
        <f t="shared" ref="L147:O147" si="145">L133-L140</f>
        <v>0.69630495855788321</v>
      </c>
      <c r="M147" s="1">
        <f t="shared" si="145"/>
        <v>0.69553130477567238</v>
      </c>
      <c r="N147" s="1">
        <f t="shared" si="145"/>
        <v>0.69553050908735825</v>
      </c>
      <c r="O147" s="1">
        <f t="shared" si="145"/>
        <v>0.6955271481547044</v>
      </c>
      <c r="P147" s="1">
        <f t="shared" si="141"/>
        <v>0.69552494364796802</v>
      </c>
      <c r="Q147" s="1">
        <f t="shared" si="141"/>
        <v>0.69550036325270581</v>
      </c>
      <c r="S147" s="3"/>
    </row>
    <row r="148" spans="1:19" x14ac:dyDescent="0.5">
      <c r="A148" s="5" t="str">
        <f t="shared" si="68"/>
        <v>STEM</v>
      </c>
      <c r="B148" s="5" t="str">
        <f t="shared" si="69"/>
        <v>SPS1</v>
      </c>
      <c r="C148" s="5" t="str">
        <f t="shared" si="70"/>
        <v>CH</v>
      </c>
      <c r="D148" t="s">
        <v>59</v>
      </c>
      <c r="E148" t="str">
        <f t="shared" si="134"/>
        <v>PJ/yr.</v>
      </c>
      <c r="F148" s="1">
        <f t="shared" ref="F148:K148" si="146">F134-F141</f>
        <v>0</v>
      </c>
      <c r="G148" s="1">
        <f t="shared" si="146"/>
        <v>0</v>
      </c>
      <c r="H148" s="1">
        <f t="shared" si="146"/>
        <v>0</v>
      </c>
      <c r="I148" s="1">
        <f t="shared" si="146"/>
        <v>0</v>
      </c>
      <c r="J148" s="1">
        <f t="shared" si="146"/>
        <v>0</v>
      </c>
      <c r="K148" s="1">
        <f t="shared" si="146"/>
        <v>0</v>
      </c>
      <c r="L148" s="1">
        <f t="shared" ref="L148:O148" si="147">L134-L141</f>
        <v>0</v>
      </c>
      <c r="M148" s="1">
        <f t="shared" si="147"/>
        <v>0</v>
      </c>
      <c r="N148" s="1">
        <f t="shared" si="147"/>
        <v>0</v>
      </c>
      <c r="O148" s="1">
        <f t="shared" si="147"/>
        <v>0</v>
      </c>
      <c r="P148" s="1">
        <f t="shared" si="141"/>
        <v>0</v>
      </c>
      <c r="Q148" s="1">
        <f t="shared" si="141"/>
        <v>0</v>
      </c>
      <c r="S148" s="3"/>
    </row>
    <row r="149" spans="1:19" x14ac:dyDescent="0.5">
      <c r="A149" s="5" t="str">
        <f t="shared" si="68"/>
        <v>STEM</v>
      </c>
      <c r="B149" s="5" t="str">
        <f t="shared" si="69"/>
        <v>SPS1</v>
      </c>
      <c r="C149" s="5" t="str">
        <f t="shared" si="70"/>
        <v>CH</v>
      </c>
      <c r="D149" t="s">
        <v>54</v>
      </c>
      <c r="E149" t="str">
        <f t="shared" si="134"/>
        <v>PJ/yr.</v>
      </c>
      <c r="F149" s="1">
        <f t="shared" ref="F149:K149" si="148">F135-F142</f>
        <v>0.23005108177801603</v>
      </c>
      <c r="G149" s="1">
        <f t="shared" si="148"/>
        <v>0.23015920821970107</v>
      </c>
      <c r="H149" s="1">
        <f t="shared" si="148"/>
        <v>0.33671027806550829</v>
      </c>
      <c r="I149" s="1">
        <f t="shared" si="148"/>
        <v>0.33294802673439294</v>
      </c>
      <c r="J149" s="1">
        <f t="shared" si="148"/>
        <v>0.3291893884353923</v>
      </c>
      <c r="K149" s="1">
        <f t="shared" si="148"/>
        <v>0.32752728783397744</v>
      </c>
      <c r="L149" s="1">
        <f t="shared" ref="L149:O149" si="149">L135-L142</f>
        <v>0.32586597960914537</v>
      </c>
      <c r="M149" s="1">
        <f t="shared" si="149"/>
        <v>0.3242090969954205</v>
      </c>
      <c r="N149" s="1">
        <f t="shared" si="149"/>
        <v>0.32420435538443976</v>
      </c>
      <c r="O149" s="1">
        <f t="shared" si="149"/>
        <v>0.32420888593535296</v>
      </c>
      <c r="P149" s="1">
        <f t="shared" si="141"/>
        <v>0.32420624712160295</v>
      </c>
      <c r="Q149" s="1">
        <f t="shared" si="141"/>
        <v>0.32422017755861182</v>
      </c>
      <c r="S149" s="3"/>
    </row>
    <row r="150" spans="1:19" x14ac:dyDescent="0.5">
      <c r="A150" s="5" t="str">
        <f t="shared" ref="A150:A181" si="150">A149</f>
        <v>STEM</v>
      </c>
      <c r="B150" s="5" t="str">
        <f t="shared" ref="B150:B181" si="151">B149</f>
        <v>SPS1</v>
      </c>
      <c r="C150" s="5" t="str">
        <f t="shared" ref="C150:C181" si="152">C149</f>
        <v>CH</v>
      </c>
      <c r="D150" t="s">
        <v>55</v>
      </c>
      <c r="E150" t="str">
        <f t="shared" si="134"/>
        <v>PJ/yr.</v>
      </c>
      <c r="F150" s="1">
        <f t="shared" ref="F150:K150" si="153">F136-F143</f>
        <v>0</v>
      </c>
      <c r="G150" s="1">
        <f t="shared" si="153"/>
        <v>0</v>
      </c>
      <c r="H150" s="1">
        <f t="shared" si="153"/>
        <v>0</v>
      </c>
      <c r="I150" s="1">
        <f t="shared" si="153"/>
        <v>0</v>
      </c>
      <c r="J150" s="1">
        <f t="shared" si="153"/>
        <v>0</v>
      </c>
      <c r="K150" s="1">
        <f t="shared" si="153"/>
        <v>0</v>
      </c>
      <c r="L150" s="1">
        <f t="shared" ref="L150:O150" si="154">L136-L143</f>
        <v>0</v>
      </c>
      <c r="M150" s="1">
        <f t="shared" si="154"/>
        <v>0</v>
      </c>
      <c r="N150" s="1">
        <f t="shared" si="154"/>
        <v>0</v>
      </c>
      <c r="O150" s="1">
        <f t="shared" si="154"/>
        <v>0</v>
      </c>
      <c r="P150" s="1">
        <f t="shared" si="141"/>
        <v>0</v>
      </c>
      <c r="Q150" s="1">
        <f t="shared" si="141"/>
        <v>0</v>
      </c>
      <c r="S150" s="3"/>
    </row>
    <row r="151" spans="1:19" x14ac:dyDescent="0.5">
      <c r="A151" s="5" t="str">
        <f t="shared" si="150"/>
        <v>STEM</v>
      </c>
      <c r="B151" s="5" t="str">
        <f t="shared" si="151"/>
        <v>SPS1</v>
      </c>
      <c r="C151" s="5" t="str">
        <f t="shared" si="152"/>
        <v>CH</v>
      </c>
      <c r="D151" t="s">
        <v>801</v>
      </c>
      <c r="E151" t="str">
        <f t="shared" si="134"/>
        <v>PJ/yr.</v>
      </c>
      <c r="F151" s="1">
        <f>SUM(F152:F158)</f>
        <v>0.57608494159648571</v>
      </c>
      <c r="G151" s="1">
        <f t="shared" ref="G151:K151" si="155">SUM(G152:G158)</f>
        <v>0.57607934623323576</v>
      </c>
      <c r="H151" s="1">
        <f t="shared" si="155"/>
        <v>1.8445873331755891</v>
      </c>
      <c r="I151" s="1">
        <f t="shared" si="155"/>
        <v>3.0623653931603321</v>
      </c>
      <c r="J151" s="1">
        <f t="shared" si="155"/>
        <v>3.8700468164043782</v>
      </c>
      <c r="K151" s="1">
        <f t="shared" si="155"/>
        <v>4.542293432485752</v>
      </c>
      <c r="L151" s="1">
        <f t="shared" ref="L151:O151" si="156">SUM(L152:L158)</f>
        <v>5.2145187176459489</v>
      </c>
      <c r="M151" s="1">
        <f t="shared" si="156"/>
        <v>5.8842448625918857</v>
      </c>
      <c r="N151" s="1">
        <f t="shared" si="156"/>
        <v>5.8865404293979475</v>
      </c>
      <c r="O151" s="1">
        <f t="shared" si="156"/>
        <v>5.8866672306629635</v>
      </c>
      <c r="P151" s="1">
        <f>SUM(P152:P158)</f>
        <v>5.88670666574136</v>
      </c>
      <c r="Q151" s="1">
        <f>SUM(Q152:Q158)</f>
        <v>5.8868639087709029</v>
      </c>
      <c r="S151" s="3"/>
    </row>
    <row r="152" spans="1:19" x14ac:dyDescent="0.5">
      <c r="A152" s="5" t="str">
        <f t="shared" si="150"/>
        <v>STEM</v>
      </c>
      <c r="B152" s="5" t="str">
        <f t="shared" si="151"/>
        <v>SPS1</v>
      </c>
      <c r="C152" s="5" t="str">
        <f t="shared" si="152"/>
        <v>CH</v>
      </c>
      <c r="D152" t="s">
        <v>66</v>
      </c>
      <c r="E152" t="str">
        <f>E86</f>
        <v>PJ/yr.</v>
      </c>
      <c r="F152" s="1">
        <f>'[1]Electricity and CHPs'!B25</f>
        <v>0.40339295109917378</v>
      </c>
      <c r="G152" s="1">
        <f>'[1]Electricity and CHPs'!C25</f>
        <v>5.4858980042692254E-2</v>
      </c>
      <c r="H152" s="1">
        <f>'[1]Electricity and CHPs'!D25</f>
        <v>0.68619388690396266</v>
      </c>
      <c r="I152" s="1">
        <f>'[1]Electricity and CHPs'!E25</f>
        <v>1.0655445920971909</v>
      </c>
      <c r="J152" s="1">
        <f>'[1]Electricity and CHPs'!F25</f>
        <v>1.2506854894181723</v>
      </c>
      <c r="K152" s="1">
        <f>'[1]Electricity and CHPs'!G25</f>
        <v>1.288667802158652</v>
      </c>
      <c r="L152" s="1">
        <f>'[1]Electricity and CHPs'!H25</f>
        <v>0.77666610603669162</v>
      </c>
      <c r="M152" s="1">
        <f>'[1]Electricity and CHPs'!I25</f>
        <v>0.46970553955152516</v>
      </c>
      <c r="N152" s="1">
        <f>'[1]Electricity and CHPs'!J25</f>
        <v>0.28399067164852099</v>
      </c>
      <c r="O152" s="1">
        <f>'[1]Electricity and CHPs'!K25</f>
        <v>0.34777922956143026</v>
      </c>
      <c r="P152" s="1">
        <f>'[1]Electricity and CHPs'!L25</f>
        <v>0.35081123286243493</v>
      </c>
      <c r="Q152" s="1">
        <f>'[1]Electricity and CHPs'!M25</f>
        <v>0.31262050433495003</v>
      </c>
      <c r="S152" s="3"/>
    </row>
    <row r="153" spans="1:19" x14ac:dyDescent="0.5">
      <c r="A153" s="5" t="str">
        <f t="shared" si="150"/>
        <v>STEM</v>
      </c>
      <c r="B153" s="5" t="str">
        <f t="shared" si="151"/>
        <v>SPS1</v>
      </c>
      <c r="C153" s="5" t="str">
        <f t="shared" si="152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'[1]Electricity and CHPs'!F31</f>
        <v>0</v>
      </c>
      <c r="K153" s="1">
        <f>'[1]Electricity and CHPs'!G31</f>
        <v>0</v>
      </c>
      <c r="L153" s="1">
        <f>'[1]Electricity and CHPs'!H31</f>
        <v>0</v>
      </c>
      <c r="M153" s="1">
        <f>'[1]Electricity and CHPs'!I31</f>
        <v>0</v>
      </c>
      <c r="N153" s="1">
        <f>'[1]Electricity and CHPs'!J31</f>
        <v>0</v>
      </c>
      <c r="O153" s="1">
        <f>'[1]Electricity and CHPs'!K31</f>
        <v>0</v>
      </c>
      <c r="P153" s="1">
        <f>'[1]Electricity and CHPs'!L31</f>
        <v>0</v>
      </c>
      <c r="Q153" s="1">
        <f>'[1]Electricity and CHPs'!M31</f>
        <v>0</v>
      </c>
      <c r="S153" s="3"/>
    </row>
    <row r="154" spans="1:19" x14ac:dyDescent="0.5">
      <c r="A154" s="5" t="str">
        <f t="shared" si="150"/>
        <v>STEM</v>
      </c>
      <c r="B154" s="5" t="str">
        <f t="shared" si="151"/>
        <v>SPS1</v>
      </c>
      <c r="C154" s="5" t="str">
        <f t="shared" si="152"/>
        <v>CH</v>
      </c>
      <c r="D154" t="s">
        <v>68</v>
      </c>
      <c r="E154" t="str">
        <f>E77</f>
        <v>PJ/yr.</v>
      </c>
      <c r="F154" s="1">
        <f>'[1]Electricity and CHPs'!B42</f>
        <v>0.17269199049731196</v>
      </c>
      <c r="G154" s="1">
        <f>'[1]Electricity and CHPs'!C42</f>
        <v>0.52122036619054346</v>
      </c>
      <c r="H154" s="1">
        <f>'[1]Electricity and CHPs'!D42</f>
        <v>1.1583934462716263</v>
      </c>
      <c r="I154" s="1">
        <f>'[1]Electricity and CHPs'!E42</f>
        <v>1.9728371813481045</v>
      </c>
      <c r="J154" s="1">
        <f>'[1]Electricity and CHPs'!F42</f>
        <v>2.5917204110152712</v>
      </c>
      <c r="K154" s="1">
        <f>'[1]Electricity and CHPs'!G42</f>
        <v>3.228447781494411</v>
      </c>
      <c r="L154" s="1">
        <f>'[1]Electricity and CHPs'!H42</f>
        <v>4.405116817577249</v>
      </c>
      <c r="M154" s="1">
        <f>'[1]Electricity and CHPs'!I42</f>
        <v>5.3529517571019252</v>
      </c>
      <c r="N154" s="1">
        <f>'[1]Electricity and CHPs'!J42</f>
        <v>5.5453384185409194</v>
      </c>
      <c r="O154" s="1">
        <f>'[1]Electricity and CHPs'!K42</f>
        <v>5.4764587815022798</v>
      </c>
      <c r="P154" s="1">
        <f>'[1]Electricity and CHPs'!L42</f>
        <v>5.4765239148198708</v>
      </c>
      <c r="Q154" s="1">
        <f>'[1]Electricity and CHPs'!M42</f>
        <v>5.4672797639150588</v>
      </c>
      <c r="S154" s="3"/>
    </row>
    <row r="155" spans="1:19" x14ac:dyDescent="0.5">
      <c r="A155" s="5" t="str">
        <f t="shared" si="150"/>
        <v>STEM</v>
      </c>
      <c r="B155" s="5" t="str">
        <f t="shared" si="151"/>
        <v>SPS1</v>
      </c>
      <c r="C155" s="5" t="str">
        <f t="shared" si="152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'[1]Electricity and CHPs'!F43</f>
        <v>0</v>
      </c>
      <c r="K155" s="1">
        <f>'[1]Electricity and CHPs'!G43</f>
        <v>0</v>
      </c>
      <c r="L155" s="1">
        <f>'[1]Electricity and CHPs'!H43</f>
        <v>0</v>
      </c>
      <c r="M155" s="1">
        <f>'[1]Electricity and CHPs'!I43</f>
        <v>0</v>
      </c>
      <c r="N155" s="1">
        <f>'[1]Electricity and CHPs'!J43</f>
        <v>0</v>
      </c>
      <c r="O155" s="1">
        <f>'[1]Electricity and CHPs'!K43</f>
        <v>0</v>
      </c>
      <c r="P155" s="1">
        <f>'[1]Electricity and CHPs'!L43</f>
        <v>0</v>
      </c>
      <c r="Q155" s="1">
        <f>'[1]Electricity and CHPs'!M43</f>
        <v>0</v>
      </c>
      <c r="S155" s="3"/>
    </row>
    <row r="156" spans="1:19" x14ac:dyDescent="0.5">
      <c r="A156" s="5" t="str">
        <f t="shared" si="150"/>
        <v>STEM</v>
      </c>
      <c r="B156" s="5" t="str">
        <f t="shared" si="151"/>
        <v>SPS1</v>
      </c>
      <c r="C156" s="5" t="str">
        <f t="shared" si="152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3.720179436576823E-3</v>
      </c>
      <c r="J156" s="1">
        <f>'[1]Electricity and CHPs'!F50</f>
        <v>7.2092678398944059E-3</v>
      </c>
      <c r="K156" s="1">
        <f>'[1]Electricity and CHPs'!G50</f>
        <v>7.3192264818403808E-3</v>
      </c>
      <c r="L156" s="1">
        <f>'[1]Electricity and CHPs'!H50</f>
        <v>7.89359491409709E-3</v>
      </c>
      <c r="M156" s="1">
        <f>'[1]Electricity and CHPs'!I50</f>
        <v>1.5830184520586488E-2</v>
      </c>
      <c r="N156" s="1">
        <f>'[1]Electricity and CHPs'!J50</f>
        <v>1.4739629590230403E-2</v>
      </c>
      <c r="O156" s="1">
        <f>'[1]Electricity and CHPs'!K50</f>
        <v>1.8864183154015519E-2</v>
      </c>
      <c r="P156" s="1">
        <f>'[1]Electricity and CHPs'!L50</f>
        <v>1.380539282528143E-2</v>
      </c>
      <c r="Q156" s="1">
        <f>'[1]Electricity and CHPs'!M50</f>
        <v>2.3881576973059919E-2</v>
      </c>
      <c r="S156" s="3"/>
    </row>
    <row r="157" spans="1:19" x14ac:dyDescent="0.5">
      <c r="A157" s="5" t="str">
        <f t="shared" si="150"/>
        <v>STEM</v>
      </c>
      <c r="B157" s="5" t="str">
        <f t="shared" si="151"/>
        <v>SPS1</v>
      </c>
      <c r="C157" s="5" t="str">
        <f t="shared" si="152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9.6367707948283553E-3</v>
      </c>
      <c r="J157" s="1">
        <f>'[1]Electricity and CHPs'!F53</f>
        <v>1.2264123957807828E-2</v>
      </c>
      <c r="K157" s="1">
        <f>'[1]Electricity and CHPs'!G53</f>
        <v>1.1285576342583103E-2</v>
      </c>
      <c r="L157" s="1">
        <f>'[1]Electricity and CHPs'!H53</f>
        <v>1.3697900201202356E-2</v>
      </c>
      <c r="M157" s="1">
        <f>'[1]Electricity and CHPs'!I53</f>
        <v>3.0057310445430575E-2</v>
      </c>
      <c r="N157" s="1">
        <f>'[1]Electricity and CHPs'!J53</f>
        <v>2.8152489024036876E-2</v>
      </c>
      <c r="O157" s="1">
        <f>'[1]Electricity and CHPs'!K53</f>
        <v>2.5255812122062592E-2</v>
      </c>
      <c r="P157" s="1">
        <f>'[1]Electricity and CHPs'!L53</f>
        <v>2.6809564896671668E-2</v>
      </c>
      <c r="Q157" s="1">
        <f>'[1]Electricity and CHPs'!M53</f>
        <v>4.584506773461567E-2</v>
      </c>
      <c r="S157" s="3"/>
    </row>
    <row r="158" spans="1:19" x14ac:dyDescent="0.5">
      <c r="A158" s="5" t="str">
        <f t="shared" si="150"/>
        <v>STEM</v>
      </c>
      <c r="B158" s="5" t="str">
        <f t="shared" si="151"/>
        <v>SPS1</v>
      </c>
      <c r="C158" s="5" t="str">
        <f t="shared" si="152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1.0626669483631619E-2</v>
      </c>
      <c r="J158" s="1">
        <f>'[1]Electricity and CHPs'!F56</f>
        <v>8.1675241732325713E-3</v>
      </c>
      <c r="K158" s="1">
        <f>'[1]Electricity and CHPs'!G56</f>
        <v>6.5730460082648514E-3</v>
      </c>
      <c r="L158" s="1">
        <f>'[1]Electricity and CHPs'!H56</f>
        <v>1.1144298916709183E-2</v>
      </c>
      <c r="M158" s="1">
        <f>'[1]Electricity and CHPs'!I56</f>
        <v>1.5700070972418143E-2</v>
      </c>
      <c r="N158" s="1">
        <f>'[1]Electricity and CHPs'!J56</f>
        <v>1.4319220594239785E-2</v>
      </c>
      <c r="O158" s="1">
        <f>'[1]Electricity and CHPs'!K56</f>
        <v>1.8309224323175801E-2</v>
      </c>
      <c r="P158" s="1">
        <f>'[1]Electricity and CHPs'!L56</f>
        <v>1.8756560337101182E-2</v>
      </c>
      <c r="Q158" s="1">
        <f>'[1]Electricity and CHPs'!M56</f>
        <v>3.7236995813218626E-2</v>
      </c>
      <c r="S158" s="3"/>
    </row>
    <row r="159" spans="1:19" x14ac:dyDescent="0.5">
      <c r="A159" s="5" t="str">
        <f t="shared" si="150"/>
        <v>STEM</v>
      </c>
      <c r="B159" s="5" t="str">
        <f t="shared" si="151"/>
        <v>SPS1</v>
      </c>
      <c r="C159" s="5" t="str">
        <f t="shared" si="152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O159" si="157">G160</f>
        <v>0.54529302637759147</v>
      </c>
      <c r="H159" s="1">
        <f t="shared" si="157"/>
        <v>0.50316562471114035</v>
      </c>
      <c r="I159" s="1">
        <f t="shared" si="157"/>
        <v>0.56389216751934657</v>
      </c>
      <c r="J159" s="1">
        <f t="shared" si="157"/>
        <v>0.56613504054168295</v>
      </c>
      <c r="K159" s="1">
        <f t="shared" si="157"/>
        <v>0.56870496347360744</v>
      </c>
      <c r="L159" s="1">
        <f t="shared" si="157"/>
        <v>0.58036305042839709</v>
      </c>
      <c r="M159" s="1">
        <f t="shared" si="157"/>
        <v>0.58044372954834755</v>
      </c>
      <c r="N159" s="1">
        <f t="shared" si="157"/>
        <v>0.58220676548390526</v>
      </c>
      <c r="O159" s="1">
        <f t="shared" si="157"/>
        <v>0.5823498779490649</v>
      </c>
      <c r="P159" s="1">
        <f>P160</f>
        <v>0.58444918281009461</v>
      </c>
      <c r="Q159" s="1">
        <f>Q160</f>
        <v>0.59684864279550764</v>
      </c>
      <c r="S159" s="3"/>
    </row>
    <row r="160" spans="1:19" x14ac:dyDescent="0.5">
      <c r="A160" s="5" t="str">
        <f t="shared" si="150"/>
        <v>STEM</v>
      </c>
      <c r="B160" s="5" t="str">
        <f t="shared" si="151"/>
        <v>SPS1</v>
      </c>
      <c r="C160" s="5" t="str">
        <f t="shared" si="152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0.54529302637759147</v>
      </c>
      <c r="H160" s="1">
        <f>'[1]Electricity and CHPs'!D33</f>
        <v>0.50316562471114035</v>
      </c>
      <c r="I160" s="1">
        <f>'[1]Electricity and CHPs'!E33</f>
        <v>0.56389216751934657</v>
      </c>
      <c r="J160" s="1">
        <f>'[1]Electricity and CHPs'!F33</f>
        <v>0.56613504054168295</v>
      </c>
      <c r="K160" s="1">
        <f>'[1]Electricity and CHPs'!G33</f>
        <v>0.56870496347360744</v>
      </c>
      <c r="L160" s="1">
        <f>'[1]Electricity and CHPs'!H33</f>
        <v>0.58036305042839709</v>
      </c>
      <c r="M160" s="1">
        <f>'[1]Electricity and CHPs'!I33</f>
        <v>0.58044372954834755</v>
      </c>
      <c r="N160" s="1">
        <f>'[1]Electricity and CHPs'!J33</f>
        <v>0.58220676548390526</v>
      </c>
      <c r="O160" s="1">
        <f>'[1]Electricity and CHPs'!K33</f>
        <v>0.5823498779490649</v>
      </c>
      <c r="P160" s="1">
        <f>'[1]Electricity and CHPs'!L33</f>
        <v>0.58444918281009461</v>
      </c>
      <c r="Q160" s="1">
        <f>'[1]Electricity and CHPs'!M33</f>
        <v>0.59684864279550764</v>
      </c>
      <c r="S160" s="3"/>
    </row>
    <row r="161" spans="1:19" x14ac:dyDescent="0.5">
      <c r="A161" s="5" t="str">
        <f t="shared" si="150"/>
        <v>STEM</v>
      </c>
      <c r="B161" s="5" t="str">
        <f t="shared" si="151"/>
        <v>SPS1</v>
      </c>
      <c r="C161" s="5" t="str">
        <f t="shared" si="152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8">SUM(G162:G166)</f>
        <v>12.821505832092461</v>
      </c>
      <c r="H161" s="1">
        <f t="shared" si="158"/>
        <v>28.800014597251664</v>
      </c>
      <c r="I161" s="1">
        <f t="shared" si="158"/>
        <v>50.654734140569829</v>
      </c>
      <c r="J161" s="1">
        <f t="shared" si="158"/>
        <v>53.976280628753251</v>
      </c>
      <c r="K161" s="1">
        <f t="shared" si="158"/>
        <v>56.681661088422231</v>
      </c>
      <c r="L161" s="1">
        <f t="shared" ref="L161:O161" si="159">SUM(L162:L166)</f>
        <v>59.324723406436561</v>
      </c>
      <c r="M161" s="1">
        <f t="shared" si="159"/>
        <v>62.201473136128172</v>
      </c>
      <c r="N161" s="1">
        <f t="shared" si="159"/>
        <v>64.815846190088948</v>
      </c>
      <c r="O161" s="1">
        <f t="shared" si="159"/>
        <v>68.065430972453726</v>
      </c>
      <c r="P161" s="1">
        <f>SUM(P162:P166)</f>
        <v>71.529281556135928</v>
      </c>
      <c r="Q161" s="1">
        <f>SUM(Q162:Q166)</f>
        <v>76.634088467535236</v>
      </c>
      <c r="S161" s="3"/>
    </row>
    <row r="162" spans="1:19" x14ac:dyDescent="0.5">
      <c r="A162" s="5" t="str">
        <f t="shared" si="150"/>
        <v>STEM</v>
      </c>
      <c r="B162" s="5" t="str">
        <f t="shared" si="151"/>
        <v>SPS1</v>
      </c>
      <c r="C162" s="5" t="str">
        <f t="shared" si="152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0.15618976333301607</v>
      </c>
      <c r="I162" s="1">
        <f>'[1]Electricity and CHPs'!E34</f>
        <v>0.30237862956283768</v>
      </c>
      <c r="J162" s="1">
        <f>'[1]Electricity and CHPs'!F34</f>
        <v>1.0553737620987678</v>
      </c>
      <c r="K162" s="1">
        <f>'[1]Electricity and CHPs'!G34</f>
        <v>1.0612518126546735</v>
      </c>
      <c r="L162" s="1">
        <f>'[1]Electricity and CHPs'!H34</f>
        <v>0.86710290071721363</v>
      </c>
      <c r="M162" s="1">
        <f>'[1]Electricity and CHPs'!I34</f>
        <v>0.76190701927693305</v>
      </c>
      <c r="N162" s="1">
        <f>'[1]Electricity and CHPs'!J34</f>
        <v>0.24222431206686859</v>
      </c>
      <c r="O162" s="1">
        <f>'[1]Electricity and CHPs'!K34</f>
        <v>0.19785984260459472</v>
      </c>
      <c r="P162" s="1">
        <f>'[1]Electricity and CHPs'!L34</f>
        <v>0.19971029213985989</v>
      </c>
      <c r="Q162" s="1">
        <f>'[1]Electricity and CHPs'!M34</f>
        <v>1.6653254975685723</v>
      </c>
      <c r="S162" s="3"/>
    </row>
    <row r="163" spans="1:19" x14ac:dyDescent="0.5">
      <c r="A163" s="5" t="str">
        <f t="shared" si="150"/>
        <v>STEM</v>
      </c>
      <c r="B163" s="5" t="str">
        <f t="shared" si="151"/>
        <v>SPS1</v>
      </c>
      <c r="C163" s="5" t="str">
        <f t="shared" si="152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4.8486226008987279</v>
      </c>
      <c r="H163" s="1">
        <f>'[1]Electricity and CHPs'!D35</f>
        <v>11.927072092541732</v>
      </c>
      <c r="I163" s="1">
        <f>'[1]Electricity and CHPs'!E35</f>
        <v>14.116607143568489</v>
      </c>
      <c r="J163" s="1">
        <f>'[1]Electricity and CHPs'!F35</f>
        <v>14.836718811243156</v>
      </c>
      <c r="K163" s="1">
        <f>'[1]Electricity and CHPs'!G35</f>
        <v>15.59354245769409</v>
      </c>
      <c r="L163" s="1">
        <f>'[1]Electricity and CHPs'!H35</f>
        <v>16.388974994190907</v>
      </c>
      <c r="M163" s="1">
        <f>'[1]Electricity and CHPs'!I35</f>
        <v>17.224984168750087</v>
      </c>
      <c r="N163" s="1">
        <f>'[1]Electricity and CHPs'!J35</f>
        <v>18.103639305753067</v>
      </c>
      <c r="O163" s="1">
        <f>'[1]Electricity and CHPs'!K35</f>
        <v>19.027121576951131</v>
      </c>
      <c r="P163" s="1">
        <f>'[1]Electricity and CHPs'!L35</f>
        <v>19.997727115338037</v>
      </c>
      <c r="Q163" s="1">
        <f>'[1]Electricity and CHPs'!M35</f>
        <v>21.017943069540127</v>
      </c>
      <c r="S163" s="3"/>
    </row>
    <row r="164" spans="1:19" x14ac:dyDescent="0.5">
      <c r="A164" s="5" t="str">
        <f t="shared" si="150"/>
        <v>STEM</v>
      </c>
      <c r="B164" s="5" t="str">
        <f t="shared" si="151"/>
        <v>SPS1</v>
      </c>
      <c r="C164" s="5" t="str">
        <f t="shared" si="152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3.39074895711946</v>
      </c>
      <c r="H164" s="1">
        <f>'[1]Electricity and CHPs'!D36</f>
        <v>6.9699056392086884</v>
      </c>
      <c r="I164" s="1">
        <f>'[1]Electricity and CHPs'!E36</f>
        <v>18.91638404044593</v>
      </c>
      <c r="J164" s="1">
        <f>'[1]Electricity and CHPs'!F36</f>
        <v>19.881322410564309</v>
      </c>
      <c r="K164" s="1">
        <f>'[1]Electricity and CHPs'!G36</f>
        <v>20.8954709595825</v>
      </c>
      <c r="L164" s="1">
        <f>'[1]Electricity and CHPs'!H36</f>
        <v>21.961351828452528</v>
      </c>
      <c r="M164" s="1">
        <f>'[1]Electricity and CHPs'!I36</f>
        <v>23.081606348898454</v>
      </c>
      <c r="N164" s="1">
        <f>'[1]Electricity and CHPs'!J36</f>
        <v>24.259004878098594</v>
      </c>
      <c r="O164" s="1">
        <f>'[1]Electricity and CHPs'!K36</f>
        <v>25.496470251187272</v>
      </c>
      <c r="P164" s="1">
        <f>'[1]Electricity and CHPs'!L36</f>
        <v>26.797062210319741</v>
      </c>
      <c r="Q164" s="1">
        <f>'[1]Electricity and CHPs'!M36</f>
        <v>28.164266347371555</v>
      </c>
      <c r="S164" s="3"/>
    </row>
    <row r="165" spans="1:19" x14ac:dyDescent="0.5">
      <c r="A165" s="5" t="str">
        <f t="shared" si="150"/>
        <v>STEM</v>
      </c>
      <c r="B165" s="5" t="str">
        <f t="shared" si="151"/>
        <v>SPS1</v>
      </c>
      <c r="C165" s="5" t="str">
        <f t="shared" si="152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1.2876789795301395</v>
      </c>
      <c r="H165" s="1">
        <f>'[1]Electricity and CHPs'!D37</f>
        <v>5.8107627371106076</v>
      </c>
      <c r="I165" s="1">
        <f>'[1]Electricity and CHPs'!E37</f>
        <v>12.910305214125218</v>
      </c>
      <c r="J165" s="1">
        <f>'[1]Electricity and CHPs'!F37</f>
        <v>13.568880600762526</v>
      </c>
      <c r="K165" s="1">
        <f>'[1]Electricity and CHPs'!G37</f>
        <v>14.261031481636639</v>
      </c>
      <c r="L165" s="1">
        <f>'[1]Electricity and CHPs'!H37</f>
        <v>14.988489641312128</v>
      </c>
      <c r="M165" s="1">
        <f>'[1]Electricity and CHPs'!I37</f>
        <v>15.753057987260592</v>
      </c>
      <c r="N165" s="1">
        <f>'[1]Electricity and CHPs'!J37</f>
        <v>16.556626777684759</v>
      </c>
      <c r="O165" s="1">
        <f>'[1]Electricity and CHPs'!K37</f>
        <v>17.40119142670499</v>
      </c>
      <c r="P165" s="1">
        <f>'[1]Electricity and CHPs'!L37</f>
        <v>18.288840912057474</v>
      </c>
      <c r="Q165" s="1">
        <f>'[1]Electricity and CHPs'!M37</f>
        <v>19.221869774791799</v>
      </c>
      <c r="S165" s="3"/>
    </row>
    <row r="166" spans="1:19" x14ac:dyDescent="0.5">
      <c r="A166" s="5" t="str">
        <f t="shared" si="150"/>
        <v>STEM</v>
      </c>
      <c r="B166" s="5" t="str">
        <f t="shared" si="151"/>
        <v>SPS1</v>
      </c>
      <c r="C166" s="5" t="str">
        <f t="shared" si="152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3.2944552945441319</v>
      </c>
      <c r="H166" s="1">
        <f>'[1]Electricity and CHPs'!D38</f>
        <v>3.9360843650576216</v>
      </c>
      <c r="I166" s="1">
        <f>'[1]Electricity and CHPs'!E38</f>
        <v>4.4090591128673529</v>
      </c>
      <c r="J166" s="1">
        <f>'[1]Electricity and CHPs'!F38</f>
        <v>4.6339850440844899</v>
      </c>
      <c r="K166" s="1">
        <f>'[1]Electricity and CHPs'!G38</f>
        <v>4.8703643768543285</v>
      </c>
      <c r="L166" s="1">
        <f>'[1]Electricity and CHPs'!H38</f>
        <v>5.118804041763779</v>
      </c>
      <c r="M166" s="1">
        <f>'[1]Electricity and CHPs'!I38</f>
        <v>5.3799176119421048</v>
      </c>
      <c r="N166" s="1">
        <f>'[1]Electricity and CHPs'!J38</f>
        <v>5.6543509164856562</v>
      </c>
      <c r="O166" s="1">
        <f>'[1]Electricity and CHPs'!K38</f>
        <v>5.9427878750057426</v>
      </c>
      <c r="P166" s="1">
        <f>'[1]Electricity and CHPs'!L38</f>
        <v>6.2459410262808186</v>
      </c>
      <c r="Q166" s="1">
        <f>'[1]Electricity and CHPs'!M38</f>
        <v>6.5646837782631895</v>
      </c>
      <c r="S166" s="3"/>
    </row>
    <row r="167" spans="1:19" x14ac:dyDescent="0.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'[1]Electricity and CHPs'!F32</f>
        <v>0</v>
      </c>
      <c r="K167" s="1">
        <f>'[1]Electricity and CHPs'!G32</f>
        <v>0</v>
      </c>
      <c r="L167" s="1">
        <f>'[1]Electricity and CHPs'!H32</f>
        <v>1.4938825984127976E-2</v>
      </c>
      <c r="M167" s="1">
        <f>'[1]Electricity and CHPs'!I32</f>
        <v>2.3503314794420714E-2</v>
      </c>
      <c r="N167" s="1">
        <f>'[1]Electricity and CHPs'!J32</f>
        <v>2.4709241744400725E-2</v>
      </c>
      <c r="O167" s="1">
        <f>'[1]Electricity and CHPs'!K32</f>
        <v>2.7777486607999745E-2</v>
      </c>
      <c r="P167" s="1">
        <f>'[1]Electricity and CHPs'!L32</f>
        <v>3.2135869677913292E-2</v>
      </c>
      <c r="Q167" s="1">
        <f>'[1]Electricity and CHPs'!M32</f>
        <v>5.7229793608533822E-2</v>
      </c>
      <c r="S167" s="3"/>
    </row>
    <row r="168" spans="1:19" x14ac:dyDescent="0.5">
      <c r="A168" s="5" t="str">
        <f t="shared" ref="A168" si="160">A167</f>
        <v>STEM</v>
      </c>
      <c r="B168" s="5" t="str">
        <f t="shared" ref="B168" si="161">B167</f>
        <v>SPS1</v>
      </c>
      <c r="C168" s="5" t="str">
        <f t="shared" ref="C168" si="162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63">G167</f>
        <v>0</v>
      </c>
      <c r="H168" s="1">
        <f t="shared" si="163"/>
        <v>0</v>
      </c>
      <c r="I168" s="1">
        <f t="shared" si="163"/>
        <v>0</v>
      </c>
      <c r="J168" s="1">
        <f t="shared" si="163"/>
        <v>0</v>
      </c>
      <c r="K168" s="1">
        <f t="shared" si="163"/>
        <v>0</v>
      </c>
      <c r="L168" s="1">
        <f t="shared" ref="L168:O168" si="164">L167</f>
        <v>1.4938825984127976E-2</v>
      </c>
      <c r="M168" s="1">
        <f t="shared" si="164"/>
        <v>2.3503314794420714E-2</v>
      </c>
      <c r="N168" s="1">
        <f t="shared" si="164"/>
        <v>2.4709241744400725E-2</v>
      </c>
      <c r="O168" s="1">
        <f t="shared" si="164"/>
        <v>2.7777486607999745E-2</v>
      </c>
      <c r="P168" s="1">
        <f>P167</f>
        <v>3.2135869677913292E-2</v>
      </c>
      <c r="Q168" s="1">
        <f>Q167</f>
        <v>5.7229793608533822E-2</v>
      </c>
      <c r="S168" s="3"/>
    </row>
    <row r="169" spans="1:19" x14ac:dyDescent="0.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65">SUM(F170:F172)</f>
        <v>0</v>
      </c>
      <c r="G169" s="1">
        <f t="shared" si="165"/>
        <v>0</v>
      </c>
      <c r="H169" s="1">
        <f t="shared" si="165"/>
        <v>0</v>
      </c>
      <c r="I169" s="1">
        <f t="shared" si="165"/>
        <v>8.1061714490367962E-3</v>
      </c>
      <c r="J169" s="1">
        <f t="shared" si="165"/>
        <v>2.2455162798323637E-2</v>
      </c>
      <c r="K169" s="1">
        <f t="shared" si="165"/>
        <v>3.7763449071250593E-2</v>
      </c>
      <c r="L169" s="1">
        <f t="shared" ref="L169:O169" si="166">SUM(L170:L172)</f>
        <v>3.9474855178177726E-2</v>
      </c>
      <c r="M169" s="1">
        <f t="shared" si="166"/>
        <v>9.9811393532481002E-2</v>
      </c>
      <c r="N169" s="1">
        <f t="shared" si="166"/>
        <v>9.1715437366853322E-2</v>
      </c>
      <c r="O169" s="1">
        <f t="shared" si="166"/>
        <v>0.25441274358095595</v>
      </c>
      <c r="P169" s="1">
        <f>SUM(P170:P172)</f>
        <v>0.23699737471025811</v>
      </c>
      <c r="Q169" s="1">
        <f>SUM(Q170:Q172)</f>
        <v>0.32099513807025182</v>
      </c>
      <c r="S169" s="3"/>
    </row>
    <row r="170" spans="1:19" x14ac:dyDescent="0.5">
      <c r="A170" s="5" t="str">
        <f t="shared" si="150"/>
        <v>STEM</v>
      </c>
      <c r="B170" s="5" t="str">
        <f t="shared" si="151"/>
        <v>SPS1</v>
      </c>
      <c r="C170" s="5" t="str">
        <f t="shared" si="152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'[1]Electricity and CHPs'!F30</f>
        <v>0</v>
      </c>
      <c r="K170" s="1">
        <f>'[1]Electricity and CHPs'!G30</f>
        <v>4.7327791452933272E-3</v>
      </c>
      <c r="L170" s="1">
        <f>'[1]Electricity and CHPs'!H30</f>
        <v>4.7746892899170309E-3</v>
      </c>
      <c r="M170" s="1">
        <f>'[1]Electricity and CHPs'!I30</f>
        <v>1.1086691684588382E-2</v>
      </c>
      <c r="N170" s="1">
        <f>'[1]Electricity and CHPs'!J30</f>
        <v>1.1188385844782739E-2</v>
      </c>
      <c r="O170" s="1">
        <f>'[1]Electricity and CHPs'!K30</f>
        <v>5.1033093216758127E-2</v>
      </c>
      <c r="P170" s="1">
        <f>'[1]Electricity and CHPs'!L30</f>
        <v>5.1829128566715878E-2</v>
      </c>
      <c r="Q170" s="1">
        <f>'[1]Electricity and CHPs'!M30</f>
        <v>6.2134368358720278E-2</v>
      </c>
      <c r="S170" s="3"/>
    </row>
    <row r="171" spans="1:19" x14ac:dyDescent="0.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4.8566400825238165E-3</v>
      </c>
      <c r="J171" s="1">
        <f>'[1]Electricity and CHPs'!F46</f>
        <v>1.4629301184321451E-2</v>
      </c>
      <c r="K171" s="1">
        <f>'[1]Electricity and CHPs'!G46</f>
        <v>2.4231563976985074E-2</v>
      </c>
      <c r="L171" s="1">
        <f>'[1]Electricity and CHPs'!H46</f>
        <v>2.3782016425570061E-2</v>
      </c>
      <c r="M171" s="1">
        <f>'[1]Electricity and CHPs'!I46</f>
        <v>6.2528366509615088E-2</v>
      </c>
      <c r="N171" s="1">
        <f>'[1]Electricity and CHPs'!J46</f>
        <v>5.6189356427558623E-2</v>
      </c>
      <c r="O171" s="1">
        <f>'[1]Electricity and CHPs'!K46</f>
        <v>0.14811573889567822</v>
      </c>
      <c r="P171" s="1">
        <f>'[1]Electricity and CHPs'!L46</f>
        <v>0.14256289448621584</v>
      </c>
      <c r="Q171" s="1">
        <f>'[1]Electricity and CHPs'!M46</f>
        <v>0.18302244024823439</v>
      </c>
      <c r="S171" s="3"/>
    </row>
    <row r="172" spans="1:19" x14ac:dyDescent="0.5">
      <c r="A172" s="5" t="str">
        <f t="shared" si="150"/>
        <v>STEM</v>
      </c>
      <c r="B172" s="5" t="str">
        <f t="shared" si="151"/>
        <v>SPS1</v>
      </c>
      <c r="C172" s="5" t="str">
        <f t="shared" si="152"/>
        <v>CH</v>
      </c>
      <c r="D172" t="s">
        <v>234</v>
      </c>
      <c r="E172" t="str">
        <f t="shared" ref="E172:E180" si="167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3.2495313665129792E-3</v>
      </c>
      <c r="J172" s="1">
        <f>'[1]Electricity and CHPs'!F57</f>
        <v>7.8258616140021858E-3</v>
      </c>
      <c r="K172" s="1">
        <f>'[1]Electricity and CHPs'!G57</f>
        <v>8.7991059489721975E-3</v>
      </c>
      <c r="L172" s="1">
        <f>'[1]Electricity and CHPs'!H57</f>
        <v>1.0918149462690633E-2</v>
      </c>
      <c r="M172" s="1">
        <f>'[1]Electricity and CHPs'!I57</f>
        <v>2.6196335338277532E-2</v>
      </c>
      <c r="N172" s="1">
        <f>'[1]Electricity and CHPs'!J57</f>
        <v>2.4337695094511957E-2</v>
      </c>
      <c r="O172" s="1">
        <f>'[1]Electricity and CHPs'!K57</f>
        <v>5.5263911468519597E-2</v>
      </c>
      <c r="P172" s="1">
        <f>'[1]Electricity and CHPs'!L57</f>
        <v>4.2605351657326401E-2</v>
      </c>
      <c r="Q172" s="1">
        <f>'[1]Electricity and CHPs'!M57</f>
        <v>7.5838329463297174E-2</v>
      </c>
      <c r="S172" s="3"/>
    </row>
    <row r="173" spans="1:19" x14ac:dyDescent="0.5">
      <c r="A173" s="5" t="str">
        <f t="shared" si="150"/>
        <v>STEM</v>
      </c>
      <c r="B173" s="5" t="str">
        <f t="shared" si="151"/>
        <v>SPS1</v>
      </c>
      <c r="C173" s="5" t="str">
        <f t="shared" si="152"/>
        <v>CH</v>
      </c>
      <c r="D173" t="s">
        <v>806</v>
      </c>
      <c r="E173" t="str">
        <f t="shared" si="167"/>
        <v>PJ/yr.</v>
      </c>
      <c r="F173" s="1">
        <f>SUM(F174:F180)</f>
        <v>0.12894862438256693</v>
      </c>
      <c r="G173" s="1">
        <f t="shared" ref="G173:K173" si="168">SUM(G174:G180)</f>
        <v>4.3248687581743536E-2</v>
      </c>
      <c r="H173" s="1">
        <f t="shared" si="168"/>
        <v>0.12749257461667979</v>
      </c>
      <c r="I173" s="1">
        <f t="shared" si="168"/>
        <v>0.32025649654275667</v>
      </c>
      <c r="J173" s="1">
        <f t="shared" si="168"/>
        <v>0.43567855311226861</v>
      </c>
      <c r="K173" s="1">
        <f t="shared" si="168"/>
        <v>0.66183485136500741</v>
      </c>
      <c r="L173" s="1">
        <f t="shared" ref="L173:O173" si="169">SUM(L174:L180)</f>
        <v>1.0044500533598468</v>
      </c>
      <c r="M173" s="1">
        <f t="shared" si="169"/>
        <v>1.5480417032523432</v>
      </c>
      <c r="N173" s="1">
        <f t="shared" si="169"/>
        <v>2.0746204093754721</v>
      </c>
      <c r="O173" s="1">
        <f t="shared" si="169"/>
        <v>2.6977020293848697</v>
      </c>
      <c r="P173" s="1">
        <f>SUM(P174:P180)</f>
        <v>2.9788269644012972</v>
      </c>
      <c r="Q173" s="1">
        <f>SUM(Q174:Q180)</f>
        <v>3.4183690002924303</v>
      </c>
      <c r="S173" s="3"/>
    </row>
    <row r="174" spans="1:19" x14ac:dyDescent="0.5">
      <c r="A174" s="5" t="str">
        <f t="shared" si="150"/>
        <v>STEM</v>
      </c>
      <c r="B174" s="5" t="str">
        <f t="shared" si="151"/>
        <v>SPS1</v>
      </c>
      <c r="C174" s="5" t="str">
        <f t="shared" si="152"/>
        <v>CH</v>
      </c>
      <c r="D174" t="s">
        <v>79</v>
      </c>
      <c r="E174" t="str">
        <f t="shared" si="167"/>
        <v>PJ/yr.</v>
      </c>
      <c r="F174" s="1">
        <f>'[1]Electricity and CHPs'!B70</f>
        <v>9.4650584105559751E-2</v>
      </c>
      <c r="G174" s="1">
        <f>'[1]Electricity and CHPs'!C70</f>
        <v>1.2392244792462922E-2</v>
      </c>
      <c r="H174" s="1">
        <f>'[1]Electricity and CHPs'!D70</f>
        <v>9.4229072449902931E-2</v>
      </c>
      <c r="I174" s="1">
        <f>'[1]Electricity and CHPs'!E70</f>
        <v>4.6160741550133208E-2</v>
      </c>
      <c r="J174" s="1">
        <f>'[1]Electricity and CHPs'!F70</f>
        <v>4.2927642888613206E-2</v>
      </c>
      <c r="K174" s="1">
        <f>'[1]Electricity and CHPs'!G70</f>
        <v>3.8379101319349719E-2</v>
      </c>
      <c r="L174" s="1">
        <f>'[1]Electricity and CHPs'!H70</f>
        <v>8.28229741354926E-3</v>
      </c>
      <c r="M174" s="1">
        <f>'[1]Electricity and CHPs'!I70</f>
        <v>3.172324400779529E-2</v>
      </c>
      <c r="N174" s="1">
        <f>'[1]Electricity and CHPs'!J70</f>
        <v>7.5984337970941743E-2</v>
      </c>
      <c r="O174" s="1">
        <f>'[1]Electricity and CHPs'!K70</f>
        <v>9.4189536708737379E-2</v>
      </c>
      <c r="P174" s="1">
        <f>'[1]Electricity and CHPs'!L70</f>
        <v>9.4281591610153981E-2</v>
      </c>
      <c r="Q174" s="1">
        <f>'[1]Electricity and CHPs'!M70</f>
        <v>9.4267876819352545E-2</v>
      </c>
      <c r="S174" s="3"/>
    </row>
    <row r="175" spans="1:19" x14ac:dyDescent="0.5">
      <c r="A175" s="5" t="str">
        <f t="shared" si="150"/>
        <v>STEM</v>
      </c>
      <c r="B175" s="5" t="str">
        <f t="shared" si="151"/>
        <v>SPS1</v>
      </c>
      <c r="C175" s="5" t="str">
        <f t="shared" si="152"/>
        <v>CH</v>
      </c>
      <c r="D175" t="s">
        <v>80</v>
      </c>
      <c r="E175" t="str">
        <f t="shared" si="167"/>
        <v>PJ/yr.</v>
      </c>
      <c r="F175" s="1">
        <f>'[1]Electricity and CHPs'!B71</f>
        <v>9.2475116178565801E-3</v>
      </c>
      <c r="G175" s="1">
        <f>'[1]Electricity and CHPs'!C71</f>
        <v>7.5133922283555608E-3</v>
      </c>
      <c r="H175" s="1">
        <f>'[1]Electricity and CHPs'!D71</f>
        <v>8.9306646055141662E-3</v>
      </c>
      <c r="I175" s="1">
        <f>'[1]Electricity and CHPs'!E71</f>
        <v>8.3842168271776405E-3</v>
      </c>
      <c r="J175" s="1">
        <f>'[1]Electricity and CHPs'!F71</f>
        <v>2.0099160391847535E-2</v>
      </c>
      <c r="K175" s="1">
        <f>'[1]Electricity and CHPs'!G71</f>
        <v>0.16093455318785424</v>
      </c>
      <c r="L175" s="1">
        <f>'[1]Electricity and CHPs'!H71</f>
        <v>0.18922064904932101</v>
      </c>
      <c r="M175" s="1">
        <f>'[1]Electricity and CHPs'!I71</f>
        <v>0.29696083430342834</v>
      </c>
      <c r="N175" s="1">
        <f>'[1]Electricity and CHPs'!J71</f>
        <v>0.30143325532277693</v>
      </c>
      <c r="O175" s="1">
        <f>'[1]Electricity and CHPs'!K71</f>
        <v>0.37969788056131859</v>
      </c>
      <c r="P175" s="1">
        <f>'[1]Electricity and CHPs'!L71</f>
        <v>0.38294499080408045</v>
      </c>
      <c r="Q175" s="1">
        <f>'[1]Electricity and CHPs'!M71</f>
        <v>0.41364545537847713</v>
      </c>
      <c r="S175" s="3"/>
    </row>
    <row r="176" spans="1:19" x14ac:dyDescent="0.5">
      <c r="A176" s="5" t="str">
        <f t="shared" si="150"/>
        <v>STEM</v>
      </c>
      <c r="B176" s="5" t="str">
        <f t="shared" si="151"/>
        <v>SPS1</v>
      </c>
      <c r="C176" s="5" t="str">
        <f t="shared" si="152"/>
        <v>CH</v>
      </c>
      <c r="D176" t="s">
        <v>81</v>
      </c>
      <c r="E176" t="str">
        <f t="shared" si="167"/>
        <v>PJ/yr.</v>
      </c>
      <c r="F176" s="1">
        <f>'[1]Electricity and CHPs'!B72</f>
        <v>8.4912144153567529E-3</v>
      </c>
      <c r="G176" s="1">
        <f>'[1]Electricity and CHPs'!C72</f>
        <v>6.8823461636031173E-3</v>
      </c>
      <c r="H176" s="1">
        <f>'[1]Electricity and CHPs'!D72</f>
        <v>7.9147958387957539E-3</v>
      </c>
      <c r="I176" s="1">
        <f>'[1]Electricity and CHPs'!E72</f>
        <v>8.0214073304272094E-3</v>
      </c>
      <c r="J176" s="1">
        <f>'[1]Electricity and CHPs'!F72</f>
        <v>1.9863148019189165E-2</v>
      </c>
      <c r="K176" s="1">
        <f>'[1]Electricity and CHPs'!G72</f>
        <v>8.229237439876369E-2</v>
      </c>
      <c r="L176" s="1">
        <f>'[1]Electricity and CHPs'!H72</f>
        <v>0.39779395183490629</v>
      </c>
      <c r="M176" s="1">
        <f>'[1]Electricity and CHPs'!I72</f>
        <v>0.77236481460421491</v>
      </c>
      <c r="N176" s="1">
        <f>'[1]Electricity and CHPs'!J72</f>
        <v>1.2321347535007616</v>
      </c>
      <c r="O176" s="1">
        <f>'[1]Electricity and CHPs'!K72</f>
        <v>1.7320585280458398</v>
      </c>
      <c r="P176" s="1">
        <f>'[1]Electricity and CHPs'!L72</f>
        <v>1.9853230453095636</v>
      </c>
      <c r="Q176" s="1">
        <f>'[1]Electricity and CHPs'!M72</f>
        <v>2.3633095914704354</v>
      </c>
      <c r="S176" s="3"/>
    </row>
    <row r="177" spans="1:19" x14ac:dyDescent="0.5">
      <c r="A177" s="5" t="str">
        <f t="shared" si="150"/>
        <v>STEM</v>
      </c>
      <c r="B177" s="5" t="str">
        <f t="shared" si="151"/>
        <v>SPS1</v>
      </c>
      <c r="C177" s="5" t="str">
        <f t="shared" si="152"/>
        <v>CH</v>
      </c>
      <c r="D177" t="s">
        <v>82</v>
      </c>
      <c r="E177" t="str">
        <f t="shared" si="167"/>
        <v>PJ/yr.</v>
      </c>
      <c r="F177" s="1">
        <f>'[1]Electricity and CHPs'!B73</f>
        <v>2.7528902008559348E-3</v>
      </c>
      <c r="G177" s="1">
        <f>'[1]Electricity and CHPs'!C73</f>
        <v>2.7373899675858099E-3</v>
      </c>
      <c r="H177" s="1">
        <f>'[1]Electricity and CHPs'!D73</f>
        <v>2.7297019580452887E-3</v>
      </c>
      <c r="I177" s="1">
        <f>'[1]Electricity and CHPs'!E73</f>
        <v>4.6674425248688867E-2</v>
      </c>
      <c r="J177" s="1">
        <f>'[1]Electricity and CHPs'!F73</f>
        <v>6.5301730694296845E-2</v>
      </c>
      <c r="K177" s="1">
        <f>'[1]Electricity and CHPs'!G73</f>
        <v>6.9367600039078103E-2</v>
      </c>
      <c r="L177" s="1">
        <f>'[1]Electricity and CHPs'!H73</f>
        <v>7.3076971306905422E-2</v>
      </c>
      <c r="M177" s="1">
        <f>'[1]Electricity and CHPs'!I73</f>
        <v>8.7718912334976085E-2</v>
      </c>
      <c r="N177" s="1">
        <f>'[1]Electricity and CHPs'!J73</f>
        <v>8.6917097297787044E-2</v>
      </c>
      <c r="O177" s="1">
        <f>'[1]Electricity and CHPs'!K73</f>
        <v>0.10275633990815933</v>
      </c>
      <c r="P177" s="1">
        <f>'[1]Electricity and CHPs'!L73</f>
        <v>0.12868138756933936</v>
      </c>
      <c r="Q177" s="1">
        <f>'[1]Electricity and CHPs'!M73</f>
        <v>0.12264296067857501</v>
      </c>
      <c r="S177" s="3"/>
    </row>
    <row r="178" spans="1:19" x14ac:dyDescent="0.5">
      <c r="A178" s="5" t="str">
        <f t="shared" si="150"/>
        <v>STEM</v>
      </c>
      <c r="B178" s="5" t="str">
        <f t="shared" si="151"/>
        <v>SPS1</v>
      </c>
      <c r="C178" s="5" t="str">
        <f t="shared" si="152"/>
        <v>CH</v>
      </c>
      <c r="D178" t="s">
        <v>1852</v>
      </c>
      <c r="E178" t="str">
        <f t="shared" si="167"/>
        <v>PJ/yr.</v>
      </c>
      <c r="F178" s="1">
        <f>'[1]Electricity and CHPs'!B74</f>
        <v>5.5235869520659691E-3</v>
      </c>
      <c r="G178" s="1">
        <f>'[1]Electricity and CHPs'!C74</f>
        <v>5.4902265369076381E-3</v>
      </c>
      <c r="H178" s="1">
        <f>'[1]Electricity and CHPs'!D74</f>
        <v>5.4796403787024306E-3</v>
      </c>
      <c r="I178" s="1">
        <f>'[1]Electricity and CHPs'!E74</f>
        <v>7.847522782752453E-2</v>
      </c>
      <c r="J178" s="1">
        <f>'[1]Electricity and CHPs'!F74</f>
        <v>0.10751802688733586</v>
      </c>
      <c r="K178" s="1">
        <f>'[1]Electricity and CHPs'!G74</f>
        <v>0.11145996347003106</v>
      </c>
      <c r="L178" s="1">
        <f>'[1]Electricity and CHPs'!H74</f>
        <v>0.12491480738097815</v>
      </c>
      <c r="M178" s="1">
        <f>'[1]Electricity and CHPs'!I74</f>
        <v>0.13435831521982156</v>
      </c>
      <c r="N178" s="1">
        <f>'[1]Electricity and CHPs'!J74</f>
        <v>0.14264803506018467</v>
      </c>
      <c r="O178" s="1">
        <f>'[1]Electricity and CHPs'!K74</f>
        <v>0.14623790097950345</v>
      </c>
      <c r="P178" s="1">
        <f>'[1]Electricity and CHPs'!L74</f>
        <v>0.14570636934611769</v>
      </c>
      <c r="Q178" s="1">
        <f>'[1]Electricity and CHPs'!M74</f>
        <v>0.15898414288068408</v>
      </c>
      <c r="S178" s="3"/>
    </row>
    <row r="179" spans="1:19" x14ac:dyDescent="0.5">
      <c r="A179" s="5" t="str">
        <f t="shared" si="150"/>
        <v>STEM</v>
      </c>
      <c r="B179" s="5" t="str">
        <f t="shared" si="151"/>
        <v>SPS1</v>
      </c>
      <c r="C179" s="5" t="str">
        <f t="shared" si="152"/>
        <v>CH</v>
      </c>
      <c r="D179" t="s">
        <v>83</v>
      </c>
      <c r="E179" t="str">
        <f t="shared" si="167"/>
        <v>PJ/yr.</v>
      </c>
      <c r="F179" s="1">
        <f>'[1]Electricity and CHPs'!B75</f>
        <v>5.521340885550432E-3</v>
      </c>
      <c r="G179" s="1">
        <f>'[1]Electricity and CHPs'!C75</f>
        <v>5.4873995043054017E-3</v>
      </c>
      <c r="H179" s="1">
        <f>'[1]Electricity and CHPs'!D75</f>
        <v>5.4732063787036626E-3</v>
      </c>
      <c r="I179" s="1">
        <f>'[1]Electricity and CHPs'!E75</f>
        <v>7.8217041575353613E-2</v>
      </c>
      <c r="J179" s="1">
        <f>'[1]Electricity and CHPs'!F75</f>
        <v>0.10834850873946791</v>
      </c>
      <c r="K179" s="1">
        <f>'[1]Electricity and CHPs'!G75</f>
        <v>0.11955615767130481</v>
      </c>
      <c r="L179" s="1">
        <f>'[1]Electricity and CHPs'!H75</f>
        <v>0.12769786172385209</v>
      </c>
      <c r="M179" s="1">
        <f>'[1]Electricity and CHPs'!I75</f>
        <v>0.13431911316456357</v>
      </c>
      <c r="N179" s="1">
        <f>'[1]Electricity and CHPs'!J75</f>
        <v>0.14257032976295017</v>
      </c>
      <c r="O179" s="1">
        <f>'[1]Electricity and CHPs'!K75</f>
        <v>0.14618343250666874</v>
      </c>
      <c r="P179" s="1">
        <f>'[1]Electricity and CHPs'!L75</f>
        <v>0.14563276176375675</v>
      </c>
      <c r="Q179" s="1">
        <f>'[1]Electricity and CHPs'!M75</f>
        <v>0.15896060869857051</v>
      </c>
      <c r="S179" s="3"/>
    </row>
    <row r="180" spans="1:19" x14ac:dyDescent="0.5">
      <c r="A180" s="5" t="str">
        <f t="shared" si="150"/>
        <v>STEM</v>
      </c>
      <c r="B180" s="5" t="str">
        <f t="shared" si="151"/>
        <v>SPS1</v>
      </c>
      <c r="C180" s="5" t="str">
        <f t="shared" si="152"/>
        <v>CH</v>
      </c>
      <c r="D180" t="s">
        <v>87</v>
      </c>
      <c r="E180" t="str">
        <f t="shared" si="167"/>
        <v>PJ/yr.</v>
      </c>
      <c r="F180" s="1">
        <f>'[1]Electricity and CHPs'!B76</f>
        <v>2.7614962053215159E-3</v>
      </c>
      <c r="G180" s="1">
        <f>'[1]Electricity and CHPs'!C76</f>
        <v>2.7456883885230844E-3</v>
      </c>
      <c r="H180" s="1">
        <f>'[1]Electricity and CHPs'!D76</f>
        <v>2.7354930070155672E-3</v>
      </c>
      <c r="I180" s="1">
        <f>'[1]Electricity and CHPs'!E76</f>
        <v>5.4323436183451618E-2</v>
      </c>
      <c r="J180" s="1">
        <f>'[1]Electricity and CHPs'!F76</f>
        <v>7.1620335491518083E-2</v>
      </c>
      <c r="K180" s="1">
        <f>'[1]Electricity and CHPs'!G76</f>
        <v>7.9845101278625777E-2</v>
      </c>
      <c r="L180" s="1">
        <f>'[1]Electricity and CHPs'!H76</f>
        <v>8.3463514650334664E-2</v>
      </c>
      <c r="M180" s="1">
        <f>'[1]Electricity and CHPs'!I76</f>
        <v>9.0596469617543418E-2</v>
      </c>
      <c r="N180" s="1">
        <f>'[1]Electricity and CHPs'!J76</f>
        <v>9.2932600460069709E-2</v>
      </c>
      <c r="O180" s="1">
        <f>'[1]Electricity and CHPs'!K76</f>
        <v>9.6578410674642373E-2</v>
      </c>
      <c r="P180" s="1">
        <f>'[1]Electricity and CHPs'!L76</f>
        <v>9.6256817998285116E-2</v>
      </c>
      <c r="Q180" s="1">
        <f>'[1]Electricity and CHPs'!M76</f>
        <v>0.10655836436633587</v>
      </c>
      <c r="S180" s="3"/>
    </row>
    <row r="181" spans="1:19" x14ac:dyDescent="0.5">
      <c r="A181" s="9" t="str">
        <f t="shared" si="150"/>
        <v>STEM</v>
      </c>
      <c r="B181" s="9" t="str">
        <f t="shared" si="151"/>
        <v>SPS1</v>
      </c>
      <c r="C181" s="2" t="str">
        <f t="shared" si="152"/>
        <v>CH</v>
      </c>
      <c r="D181" s="2" t="s">
        <v>152</v>
      </c>
      <c r="E181" s="2" t="str">
        <f>E169</f>
        <v>PJ/yr.</v>
      </c>
      <c r="F181" s="3">
        <f>SUM(F182,F233)</f>
        <v>31.034612800406606</v>
      </c>
      <c r="G181" s="3">
        <f t="shared" ref="G181:K181" si="170">SUM(G182,G233)</f>
        <v>37.526255381723338</v>
      </c>
      <c r="H181" s="3">
        <f t="shared" si="170"/>
        <v>37.972625272630999</v>
      </c>
      <c r="I181" s="3">
        <f t="shared" si="170"/>
        <v>40.004899197710429</v>
      </c>
      <c r="J181" s="3">
        <f t="shared" si="170"/>
        <v>42.595945508842348</v>
      </c>
      <c r="K181" s="3">
        <f t="shared" si="170"/>
        <v>42.028288521583818</v>
      </c>
      <c r="L181" s="3">
        <f t="shared" ref="L181:O181" si="171">SUM(L182,L233)</f>
        <v>46.058299407229107</v>
      </c>
      <c r="M181" s="3">
        <f t="shared" si="171"/>
        <v>49.05810687924194</v>
      </c>
      <c r="N181" s="3">
        <f t="shared" si="171"/>
        <v>49.016475403095058</v>
      </c>
      <c r="O181" s="3">
        <f t="shared" si="171"/>
        <v>48.964357454813992</v>
      </c>
      <c r="P181" s="3">
        <f>SUM(P182,P233)</f>
        <v>49.448681663044752</v>
      </c>
      <c r="Q181" s="3">
        <f>SUM(Q182,Q233)</f>
        <v>48.827957046575946</v>
      </c>
      <c r="S181" s="3"/>
    </row>
    <row r="182" spans="1:19" x14ac:dyDescent="0.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72">F183+F210</f>
        <v>24.50846237598774</v>
      </c>
      <c r="G182" s="1">
        <f t="shared" si="172"/>
        <v>29.284558083071126</v>
      </c>
      <c r="H182" s="1">
        <f t="shared" si="172"/>
        <v>29.429754467570575</v>
      </c>
      <c r="I182" s="1">
        <f t="shared" si="172"/>
        <v>25.805006349574164</v>
      </c>
      <c r="J182" s="1">
        <f t="shared" si="172"/>
        <v>25.047462373583254</v>
      </c>
      <c r="K182" s="1">
        <f t="shared" si="172"/>
        <v>24.846511694202057</v>
      </c>
      <c r="L182" s="1">
        <f t="shared" ref="L182:O182" si="173">L183+L210</f>
        <v>26.857769078830131</v>
      </c>
      <c r="M182" s="1">
        <f t="shared" si="173"/>
        <v>29.675431189782085</v>
      </c>
      <c r="N182" s="1">
        <f t="shared" si="173"/>
        <v>29.33944242621018</v>
      </c>
      <c r="O182" s="1">
        <f t="shared" si="173"/>
        <v>29.199535662724031</v>
      </c>
      <c r="P182" s="1">
        <f>P183+P210</f>
        <v>29.21324785626004</v>
      </c>
      <c r="Q182" s="1">
        <f>Q183+Q210</f>
        <v>28.169688522497914</v>
      </c>
      <c r="S182" s="3"/>
    </row>
    <row r="183" spans="1:19" x14ac:dyDescent="0.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74">SUM(F185,F189,F190,F198,F199,F207,F209)</f>
        <v>17.423009646437322</v>
      </c>
      <c r="G183" s="1">
        <f t="shared" si="174"/>
        <v>13.444807205901897</v>
      </c>
      <c r="H183" s="1">
        <f t="shared" si="174"/>
        <v>14.246916448057535</v>
      </c>
      <c r="I183" s="1">
        <f t="shared" si="174"/>
        <v>17.03510525194126</v>
      </c>
      <c r="J183" s="1">
        <f t="shared" si="174"/>
        <v>16.139359586404581</v>
      </c>
      <c r="K183" s="1">
        <f t="shared" si="174"/>
        <v>17.27013900695491</v>
      </c>
      <c r="L183" s="1">
        <f t="shared" ref="L183:O183" si="175">SUM(L185,L189,L190,L198,L199,L207,L209)</f>
        <v>15.268720025781331</v>
      </c>
      <c r="M183" s="1">
        <f t="shared" si="175"/>
        <v>14.099321628450701</v>
      </c>
      <c r="N183" s="1">
        <f t="shared" si="175"/>
        <v>13.613565863101389</v>
      </c>
      <c r="O183" s="1">
        <f t="shared" si="175"/>
        <v>13.291900296914218</v>
      </c>
      <c r="P183" s="1">
        <f>SUM(P185,P189,P190,P198,P199,P207,P209)</f>
        <v>13.110664330578826</v>
      </c>
      <c r="Q183" s="1">
        <f>SUM(Q185,Q189,Q190,Q198,Q199,Q207,Q209)</f>
        <v>13.014998529811582</v>
      </c>
      <c r="S183" s="3"/>
    </row>
    <row r="184" spans="1:19" x14ac:dyDescent="0.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9.2732995267536481E-3</v>
      </c>
      <c r="G184" s="1">
        <f t="shared" ref="G184:O184" si="176">G185</f>
        <v>3.6295131396205571E-4</v>
      </c>
      <c r="H184" s="1">
        <f t="shared" si="176"/>
        <v>1.3882794927746725E-2</v>
      </c>
      <c r="I184" s="1">
        <f t="shared" si="176"/>
        <v>9.7039884088661373E-3</v>
      </c>
      <c r="J184" s="1">
        <f t="shared" si="176"/>
        <v>1.297800356565511E-2</v>
      </c>
      <c r="K184" s="1">
        <f t="shared" si="176"/>
        <v>1.4713340693935116E-2</v>
      </c>
      <c r="L184" s="1">
        <f t="shared" si="176"/>
        <v>1.4494784012853921E-2</v>
      </c>
      <c r="M184" s="1">
        <f t="shared" si="176"/>
        <v>2.220714614342818E-2</v>
      </c>
      <c r="N184" s="1">
        <f t="shared" si="176"/>
        <v>1.7315466725427487E-2</v>
      </c>
      <c r="O184" s="1">
        <f t="shared" si="176"/>
        <v>2.2327521319575216E-2</v>
      </c>
      <c r="P184" s="1">
        <f>P185</f>
        <v>1.666618940623554E-2</v>
      </c>
      <c r="Q184" s="1">
        <f>Q185</f>
        <v>2.2329658812680724E-2</v>
      </c>
      <c r="S184" s="3"/>
    </row>
    <row r="185" spans="1:19" x14ac:dyDescent="0.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9.2732995267536481E-3</v>
      </c>
      <c r="G185" s="1">
        <f>'[1]Electricity and CHPs'!C$94</f>
        <v>3.6295131396205571E-4</v>
      </c>
      <c r="H185" s="1">
        <f>'[1]Electricity and CHPs'!D$94</f>
        <v>1.3882794927746725E-2</v>
      </c>
      <c r="I185" s="1">
        <f>'[1]Electricity and CHPs'!E$94</f>
        <v>9.7039884088661373E-3</v>
      </c>
      <c r="J185" s="1">
        <f>'[1]Electricity and CHPs'!F$94</f>
        <v>1.297800356565511E-2</v>
      </c>
      <c r="K185" s="1">
        <f>'[1]Electricity and CHPs'!G$94</f>
        <v>1.4713340693935116E-2</v>
      </c>
      <c r="L185" s="1">
        <f>'[1]Electricity and CHPs'!H$94</f>
        <v>1.4494784012853921E-2</v>
      </c>
      <c r="M185" s="1">
        <f>'[1]Electricity and CHPs'!I$94</f>
        <v>2.220714614342818E-2</v>
      </c>
      <c r="N185" s="1">
        <f>'[1]Electricity and CHPs'!J$94</f>
        <v>1.7315466725427487E-2</v>
      </c>
      <c r="O185" s="1">
        <f>'[1]Electricity and CHPs'!K$94</f>
        <v>2.2327521319575216E-2</v>
      </c>
      <c r="P185" s="1">
        <f>'[1]Electricity and CHPs'!L$94</f>
        <v>1.666618940623554E-2</v>
      </c>
      <c r="Q185" s="1">
        <f>'[1]Electricity and CHPs'!M$94</f>
        <v>2.2329658812680724E-2</v>
      </c>
      <c r="S185" s="3"/>
    </row>
    <row r="186" spans="1:19" x14ac:dyDescent="0.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9.2732995267536481E-3</v>
      </c>
      <c r="G186" s="1">
        <f t="shared" ref="G186:K186" si="177">G185-G187</f>
        <v>3.6295131396205571E-4</v>
      </c>
      <c r="H186" s="1">
        <f t="shared" si="177"/>
        <v>1.3882794927746725E-2</v>
      </c>
      <c r="I186" s="1">
        <f t="shared" si="177"/>
        <v>9.7039884088661373E-3</v>
      </c>
      <c r="J186" s="1">
        <f t="shared" si="177"/>
        <v>1.297800356565511E-2</v>
      </c>
      <c r="K186" s="1">
        <f t="shared" si="177"/>
        <v>1.4713340693935116E-2</v>
      </c>
      <c r="L186" s="1">
        <f t="shared" ref="L186:O186" si="178">L185-L187</f>
        <v>1.4494784012853921E-2</v>
      </c>
      <c r="M186" s="1">
        <f t="shared" si="178"/>
        <v>2.220714614342818E-2</v>
      </c>
      <c r="N186" s="1">
        <f t="shared" si="178"/>
        <v>1.7315466725427487E-2</v>
      </c>
      <c r="O186" s="1">
        <f t="shared" si="178"/>
        <v>2.2327521319575216E-2</v>
      </c>
      <c r="P186" s="1">
        <f>P185-P187</f>
        <v>1.666618940623554E-2</v>
      </c>
      <c r="Q186" s="1">
        <f>Q185-Q187</f>
        <v>2.2329658812680724E-2</v>
      </c>
      <c r="S186" s="3"/>
    </row>
    <row r="187" spans="1:19" x14ac:dyDescent="0.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9">F185*IFERROR(F80/F76,0)</f>
        <v>0</v>
      </c>
      <c r="G187" s="1">
        <f t="shared" si="179"/>
        <v>0</v>
      </c>
      <c r="H187" s="1">
        <f t="shared" si="179"/>
        <v>0</v>
      </c>
      <c r="I187" s="1">
        <f t="shared" si="179"/>
        <v>0</v>
      </c>
      <c r="J187" s="1">
        <f t="shared" si="179"/>
        <v>0</v>
      </c>
      <c r="K187" s="1">
        <f t="shared" si="179"/>
        <v>0</v>
      </c>
      <c r="L187" s="1">
        <f t="shared" ref="L187:O187" si="180">L185*IFERROR(L80/L76,0)</f>
        <v>0</v>
      </c>
      <c r="M187" s="1">
        <f t="shared" si="180"/>
        <v>0</v>
      </c>
      <c r="N187" s="1">
        <f t="shared" si="180"/>
        <v>0</v>
      </c>
      <c r="O187" s="1">
        <f t="shared" si="180"/>
        <v>0</v>
      </c>
      <c r="P187" s="1">
        <f>P185*IFERROR(P80/P76,0)</f>
        <v>0</v>
      </c>
      <c r="Q187" s="1">
        <f>Q185*IFERROR(Q80/Q76,0)</f>
        <v>0</v>
      </c>
      <c r="S187" s="3"/>
    </row>
    <row r="188" spans="1:19" x14ac:dyDescent="0.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1.8035553414014855</v>
      </c>
      <c r="G188" s="1">
        <f t="shared" ref="G188:K188" si="181">SUM(G189:G190)</f>
        <v>7.6925361495522987E-4</v>
      </c>
      <c r="H188" s="1">
        <f t="shared" si="181"/>
        <v>4.3471517247776599E-2</v>
      </c>
      <c r="I188" s="1">
        <f t="shared" si="181"/>
        <v>1.4587810351825519</v>
      </c>
      <c r="J188" s="1">
        <f t="shared" si="181"/>
        <v>0.51233962341150485</v>
      </c>
      <c r="K188" s="1">
        <f t="shared" si="181"/>
        <v>1.8439579199282468</v>
      </c>
      <c r="L188" s="1">
        <f t="shared" ref="L188:O188" si="182">SUM(L189:L190)</f>
        <v>1.4960448637406238</v>
      </c>
      <c r="M188" s="1">
        <f t="shared" si="182"/>
        <v>1.4206463096031758</v>
      </c>
      <c r="N188" s="1">
        <f t="shared" si="182"/>
        <v>1.3306449294128759</v>
      </c>
      <c r="O188" s="1">
        <f t="shared" si="182"/>
        <v>0.72521534071849436</v>
      </c>
      <c r="P188" s="1">
        <f>SUM(P189:P190)</f>
        <v>0.18895777736215147</v>
      </c>
      <c r="Q188" s="1">
        <f>SUM(Q189:Q190)</f>
        <v>9.1420696025541981E-2</v>
      </c>
      <c r="S188" s="3"/>
    </row>
    <row r="189" spans="1:19" x14ac:dyDescent="0.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1.8035553414014855</v>
      </c>
      <c r="G189" s="1">
        <f>'[1]Electricity and CHPs'!C$91</f>
        <v>7.6925361495522987E-4</v>
      </c>
      <c r="H189" s="1">
        <f>'[1]Electricity and CHPs'!D$91</f>
        <v>4.3471517247776599E-2</v>
      </c>
      <c r="I189" s="1">
        <f>'[1]Electricity and CHPs'!E$91</f>
        <v>1.4587810351825519</v>
      </c>
      <c r="J189" s="1">
        <f>'[1]Electricity and CHPs'!F$91</f>
        <v>0.51233962341150485</v>
      </c>
      <c r="K189" s="1">
        <f>'[1]Electricity and CHPs'!G$91</f>
        <v>1.3395735770984321</v>
      </c>
      <c r="L189" s="1">
        <f>'[1]Electricity and CHPs'!H$91</f>
        <v>0.55635923079605909</v>
      </c>
      <c r="M189" s="1">
        <f>'[1]Electricity and CHPs'!I$91</f>
        <v>0.25254387129897576</v>
      </c>
      <c r="N189" s="1">
        <f>'[1]Electricity and CHPs'!J$91</f>
        <v>0.23020312643009128</v>
      </c>
      <c r="O189" s="1">
        <f>'[1]Electricity and CHPs'!K$91</f>
        <v>8.171485000309521E-2</v>
      </c>
      <c r="P189" s="1">
        <f>'[1]Electricity and CHPs'!L$91</f>
        <v>2.3773180209888469E-2</v>
      </c>
      <c r="Q189" s="1">
        <f>'[1]Electricity and CHPs'!M$91</f>
        <v>3.3315051149740836E-2</v>
      </c>
      <c r="S189" s="3"/>
    </row>
    <row r="190" spans="1:19" x14ac:dyDescent="0.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'[1]Electricity and CHPs'!F$95</f>
        <v>0</v>
      </c>
      <c r="K190" s="1">
        <f>'[1]Electricity and CHPs'!G$95</f>
        <v>0.5043843428298147</v>
      </c>
      <c r="L190" s="1">
        <f>'[1]Electricity and CHPs'!H$95</f>
        <v>0.93968563294456486</v>
      </c>
      <c r="M190" s="1">
        <f>'[1]Electricity and CHPs'!I$95</f>
        <v>1.1681024383042</v>
      </c>
      <c r="N190" s="1">
        <f>'[1]Electricity and CHPs'!J$95</f>
        <v>1.1004418029827847</v>
      </c>
      <c r="O190" s="1">
        <f>'[1]Electricity and CHPs'!K$95</f>
        <v>0.64350049071539916</v>
      </c>
      <c r="P190" s="1">
        <f>'[1]Electricity and CHPs'!L$95</f>
        <v>0.165184597152263</v>
      </c>
      <c r="Q190" s="1">
        <f>'[1]Electricity and CHPs'!M$95</f>
        <v>5.8105644875801145E-2</v>
      </c>
      <c r="S190" s="3"/>
    </row>
    <row r="191" spans="1:19" x14ac:dyDescent="0.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1.75560479300951</v>
      </c>
      <c r="G191" s="1">
        <f t="shared" ref="G191:K191" si="183">SUM(G192:G193)</f>
        <v>7.3555850605879207E-4</v>
      </c>
      <c r="H191" s="1">
        <f t="shared" si="183"/>
        <v>3.9821465207214635E-2</v>
      </c>
      <c r="I191" s="1">
        <f t="shared" si="183"/>
        <v>1.3979403496878595</v>
      </c>
      <c r="J191" s="1">
        <f t="shared" si="183"/>
        <v>0.49666851698243369</v>
      </c>
      <c r="K191" s="1">
        <f t="shared" si="183"/>
        <v>1.8021395396281126</v>
      </c>
      <c r="L191" s="1">
        <f t="shared" ref="L191:O191" si="184">SUM(L192:L193)</f>
        <v>1.4713959168336546</v>
      </c>
      <c r="M191" s="1">
        <f t="shared" si="184"/>
        <v>1.3990465474520475</v>
      </c>
      <c r="N191" s="1">
        <f t="shared" si="184"/>
        <v>1.3116708666590122</v>
      </c>
      <c r="O191" s="1">
        <f t="shared" si="184"/>
        <v>0.71495217975916414</v>
      </c>
      <c r="P191" s="1">
        <f>SUM(P192:P193)</f>
        <v>0.18614348897595917</v>
      </c>
      <c r="Q191" s="1">
        <f>SUM(Q192:Q193)</f>
        <v>8.9954802666404376E-2</v>
      </c>
      <c r="S191" s="3"/>
    </row>
    <row r="192" spans="1:19" x14ac:dyDescent="0.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1.75560479300951</v>
      </c>
      <c r="G192" s="1">
        <f t="shared" ref="G192:K192" si="185">G189-G195</f>
        <v>7.3555850605879207E-4</v>
      </c>
      <c r="H192" s="1">
        <f t="shared" si="185"/>
        <v>3.9821465207214635E-2</v>
      </c>
      <c r="I192" s="1">
        <f t="shared" si="185"/>
        <v>1.3979403496878595</v>
      </c>
      <c r="J192" s="1">
        <f t="shared" si="185"/>
        <v>0.49666851698243369</v>
      </c>
      <c r="K192" s="1">
        <f t="shared" si="185"/>
        <v>1.309193926520889</v>
      </c>
      <c r="L192" s="1">
        <f t="shared" ref="L192:O192" si="186">L189-L195</f>
        <v>0.54719261455782309</v>
      </c>
      <c r="M192" s="1">
        <f t="shared" si="186"/>
        <v>0.24870414883187786</v>
      </c>
      <c r="N192" s="1">
        <f t="shared" si="186"/>
        <v>0.2269205914198332</v>
      </c>
      <c r="O192" s="1">
        <f t="shared" si="186"/>
        <v>8.055843119717418E-2</v>
      </c>
      <c r="P192" s="1">
        <f>P189-P195</f>
        <v>2.3419108597163483E-2</v>
      </c>
      <c r="Q192" s="1">
        <f>Q189-Q195</f>
        <v>3.2780857970703015E-2</v>
      </c>
      <c r="S192" s="3"/>
    </row>
    <row r="193" spans="1:19" x14ac:dyDescent="0.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87">F190-F196</f>
        <v>0</v>
      </c>
      <c r="G193" s="1">
        <f t="shared" si="187"/>
        <v>0</v>
      </c>
      <c r="H193" s="1">
        <f t="shared" si="187"/>
        <v>0</v>
      </c>
      <c r="I193" s="1">
        <f t="shared" si="187"/>
        <v>0</v>
      </c>
      <c r="J193" s="1">
        <f t="shared" si="187"/>
        <v>0</v>
      </c>
      <c r="K193" s="1">
        <f t="shared" si="187"/>
        <v>0.49294561310722362</v>
      </c>
      <c r="L193" s="1">
        <f t="shared" ref="L193:O193" si="188">L190-L196</f>
        <v>0.92420330227583147</v>
      </c>
      <c r="M193" s="1">
        <f t="shared" si="188"/>
        <v>1.1503423986201695</v>
      </c>
      <c r="N193" s="1">
        <f t="shared" si="188"/>
        <v>1.0847502752391791</v>
      </c>
      <c r="O193" s="1">
        <f t="shared" si="188"/>
        <v>0.63439374856198993</v>
      </c>
      <c r="P193" s="1">
        <f>P190-P196</f>
        <v>0.16272438037879569</v>
      </c>
      <c r="Q193" s="1">
        <f>Q190-Q196</f>
        <v>5.7173944695701362E-2</v>
      </c>
      <c r="S193" s="3"/>
    </row>
    <row r="194" spans="1:19" x14ac:dyDescent="0.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4.7950548391975628E-2</v>
      </c>
      <c r="G194" s="1">
        <f t="shared" ref="G194:K194" si="189">SUM(G195:G196)</f>
        <v>3.3695108896437761E-5</v>
      </c>
      <c r="H194" s="1">
        <f t="shared" si="189"/>
        <v>3.6500520405619626E-3</v>
      </c>
      <c r="I194" s="1">
        <f t="shared" si="189"/>
        <v>6.0840685494692404E-2</v>
      </c>
      <c r="J194" s="1">
        <f t="shared" si="189"/>
        <v>1.567110642907114E-2</v>
      </c>
      <c r="K194" s="1">
        <f t="shared" si="189"/>
        <v>4.1818380300134253E-2</v>
      </c>
      <c r="L194" s="1">
        <f t="shared" ref="L194:O194" si="190">SUM(L195:L196)</f>
        <v>2.4648946906969366E-2</v>
      </c>
      <c r="M194" s="1">
        <f t="shared" si="190"/>
        <v>2.1599762151128375E-2</v>
      </c>
      <c r="N194" s="1">
        <f t="shared" si="190"/>
        <v>1.8974062753863558E-2</v>
      </c>
      <c r="O194" s="1">
        <f t="shared" si="190"/>
        <v>1.0263160959330319E-2</v>
      </c>
      <c r="P194" s="1">
        <f>SUM(P195:P196)</f>
        <v>2.8142883861923033E-3</v>
      </c>
      <c r="Q194" s="1">
        <f>SUM(Q195:Q196)</f>
        <v>1.4658933591376105E-3</v>
      </c>
      <c r="S194" s="3"/>
    </row>
    <row r="195" spans="1:19" x14ac:dyDescent="0.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91">F189*IFERROR(F118/F86,0)</f>
        <v>4.7950548391975628E-2</v>
      </c>
      <c r="G195" s="1">
        <f t="shared" si="191"/>
        <v>3.3695108896437761E-5</v>
      </c>
      <c r="H195" s="1">
        <f t="shared" si="191"/>
        <v>3.6500520405619626E-3</v>
      </c>
      <c r="I195" s="1">
        <f t="shared" si="191"/>
        <v>6.0840685494692404E-2</v>
      </c>
      <c r="J195" s="1">
        <f t="shared" si="191"/>
        <v>1.567110642907114E-2</v>
      </c>
      <c r="K195" s="1">
        <f t="shared" si="191"/>
        <v>3.037965057754316E-2</v>
      </c>
      <c r="L195" s="1">
        <f t="shared" ref="L195:O195" si="192">L189*IFERROR(L118/L86,0)</f>
        <v>9.1666162382360045E-3</v>
      </c>
      <c r="M195" s="1">
        <f t="shared" si="192"/>
        <v>3.8397224670979136E-3</v>
      </c>
      <c r="N195" s="1">
        <f t="shared" si="192"/>
        <v>3.2825350102580662E-3</v>
      </c>
      <c r="O195" s="1">
        <f t="shared" si="192"/>
        <v>1.1564188059210376E-3</v>
      </c>
      <c r="P195" s="1">
        <f>P189*IFERROR(P118/P86,0)</f>
        <v>3.54071612724986E-4</v>
      </c>
      <c r="Q195" s="1">
        <f>Q189*IFERROR(Q118/Q86,0)</f>
        <v>5.3419317903782479E-4</v>
      </c>
      <c r="S195" s="3"/>
    </row>
    <row r="196" spans="1:19" x14ac:dyDescent="0.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91"/>
        <v>0</v>
      </c>
      <c r="G196" s="1">
        <f t="shared" si="191"/>
        <v>0</v>
      </c>
      <c r="H196" s="1">
        <f t="shared" si="191"/>
        <v>0</v>
      </c>
      <c r="I196" s="1">
        <f t="shared" si="191"/>
        <v>0</v>
      </c>
      <c r="J196" s="1">
        <f t="shared" si="191"/>
        <v>0</v>
      </c>
      <c r="K196" s="1">
        <f t="shared" si="191"/>
        <v>1.1438729722591095E-2</v>
      </c>
      <c r="L196" s="1">
        <f t="shared" ref="L196:O196" si="193">L190*IFERROR(L119/L87,0)</f>
        <v>1.5482330668733359E-2</v>
      </c>
      <c r="M196" s="1">
        <f t="shared" si="193"/>
        <v>1.7760039684030463E-2</v>
      </c>
      <c r="N196" s="1">
        <f t="shared" si="193"/>
        <v>1.5691527743605493E-2</v>
      </c>
      <c r="O196" s="1">
        <f t="shared" si="193"/>
        <v>9.1067421534092811E-3</v>
      </c>
      <c r="P196" s="1">
        <f>P190*IFERROR(P119/P87,0)</f>
        <v>2.4602167734673174E-3</v>
      </c>
      <c r="Q196" s="1">
        <f>Q190*IFERROR(Q119/Q87,0)</f>
        <v>9.3170018009978571E-4</v>
      </c>
      <c r="S196" s="3"/>
    </row>
    <row r="197" spans="1:19" x14ac:dyDescent="0.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14.326464682601873</v>
      </c>
      <c r="G197" s="1">
        <f t="shared" ref="G197:K197" si="194">SUM(G198:G199)</f>
        <v>13.051650355319127</v>
      </c>
      <c r="H197" s="1">
        <f t="shared" si="194"/>
        <v>12.149473471988973</v>
      </c>
      <c r="I197" s="1">
        <f t="shared" si="194"/>
        <v>12.779629735421334</v>
      </c>
      <c r="J197" s="1">
        <f t="shared" si="194"/>
        <v>12.34293916380026</v>
      </c>
      <c r="K197" s="1">
        <f t="shared" si="194"/>
        <v>12.034785888990461</v>
      </c>
      <c r="L197" s="1">
        <f t="shared" ref="L197:O197" si="195">SUM(L198:L199)</f>
        <v>11.72005509538681</v>
      </c>
      <c r="M197" s="1">
        <f t="shared" si="195"/>
        <v>11.399037741212208</v>
      </c>
      <c r="N197" s="1">
        <f t="shared" si="195"/>
        <v>11.399056887241155</v>
      </c>
      <c r="O197" s="1">
        <f t="shared" si="195"/>
        <v>11.399047441673835</v>
      </c>
      <c r="P197" s="1">
        <f>SUM(P198:P199)</f>
        <v>11.399026711782131</v>
      </c>
      <c r="Q197" s="1">
        <f>SUM(Q198:Q199)</f>
        <v>11.398883741466665</v>
      </c>
      <c r="S197" s="3"/>
    </row>
    <row r="198" spans="1:19" x14ac:dyDescent="0.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14.326464682601873</v>
      </c>
      <c r="G198" s="1">
        <f>'[1]Electricity and CHPs'!C$93-G199</f>
        <v>13.051650355319127</v>
      </c>
      <c r="H198" s="1">
        <f>'[1]Electricity and CHPs'!D$93-H199</f>
        <v>12.149473471988973</v>
      </c>
      <c r="I198" s="1">
        <f>'[1]Electricity and CHPs'!E$93-I199</f>
        <v>12.779629735421334</v>
      </c>
      <c r="J198" s="1">
        <f>'[1]Electricity and CHPs'!F$93-J199</f>
        <v>12.34293916380026</v>
      </c>
      <c r="K198" s="1">
        <f>'[1]Electricity and CHPs'!G$93-K199</f>
        <v>12.034785888990461</v>
      </c>
      <c r="L198" s="1">
        <f>'[1]Electricity and CHPs'!H$93-L199</f>
        <v>11.72005509538681</v>
      </c>
      <c r="M198" s="1">
        <f>'[1]Electricity and CHPs'!I$93-M199</f>
        <v>11.399037741212208</v>
      </c>
      <c r="N198" s="1">
        <f>'[1]Electricity and CHPs'!J$93-N199</f>
        <v>11.399056887241155</v>
      </c>
      <c r="O198" s="1">
        <f>'[1]Electricity and CHPs'!K$93-O199</f>
        <v>11.399047441673835</v>
      </c>
      <c r="P198" s="1">
        <f>'[1]Electricity and CHPs'!L$93-P199</f>
        <v>11.399026711782131</v>
      </c>
      <c r="Q198" s="1">
        <f>'[1]Electricity and CHPs'!M$93-Q199</f>
        <v>11.398883741466665</v>
      </c>
      <c r="S198" s="3"/>
    </row>
    <row r="199" spans="1:19" x14ac:dyDescent="0.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SUMPRODUCT(("CHPWSTCCS"=[1]OUT_Electricity_CHP!$B$1:$B$10000)*1,([1]OUT_Electricity_CHP!$C$1:$C$10000="Var_Fout")*1,([1]OUT_Electricity_CHP!$D$1:$D$10000="LTH")*1,[1]OUT_Electricity_CHP!I$1:I$10000)</f>
        <v>0</v>
      </c>
      <c r="K199" s="1" cm="1">
        <f t="array" ref="K199">SUMPRODUCT(("CHPWSTCCS"=[1]OUT_Electricity_CHP!$B$1:$B$10000)*1,([1]OUT_Electricity_CHP!$C$1:$C$10000="Var_Fout")*1,([1]OUT_Electricity_CHP!$D$1:$D$10000="LTH")*1,[1]OUT_Electricity_CHP!J$1:J$10000)</f>
        <v>0</v>
      </c>
      <c r="L199" s="1" cm="1">
        <f t="array" ref="L199">SUMPRODUCT(("CHPWSTCCS"=[1]OUT_Electricity_CHP!$B$1:$B$10000)*1,([1]OUT_Electricity_CHP!$C$1:$C$10000="Var_Fout")*1,([1]OUT_Electricity_CHP!$D$1:$D$10000="LTH")*1,[1]OUT_Electricity_CHP!K$1:K$10000)</f>
        <v>0</v>
      </c>
      <c r="M199" s="1" cm="1">
        <f t="array" ref="M199">SUMPRODUCT(("CHPWSTCCS"=[1]OUT_Electricity_CHP!$B$1:$B$10000)*1,([1]OUT_Electricity_CHP!$C$1:$C$10000="Var_Fout")*1,([1]OUT_Electricity_CHP!$D$1:$D$10000="LTH")*1,[1]OUT_Electricity_CHP!L$1:L$10000)</f>
        <v>0</v>
      </c>
      <c r="N199" s="1" cm="1">
        <f t="array" ref="N199">SUMPRODUCT(("CHPWSTCCS"=[1]OUT_Electricity_CHP!$B$1:$B$10000)*1,([1]OUT_Electricity_CHP!$C$1:$C$10000="Var_Fout")*1,([1]OUT_Electricity_CHP!$D$1:$D$10000="LTH")*1,[1]OUT_Electricity_CHP!M$1:M$10000)</f>
        <v>0</v>
      </c>
      <c r="O199" s="1" cm="1">
        <f t="array" ref="O199">SUMPRODUCT(("CHPWSTCCS"=[1]OUT_Electricity_CHP!$B$1:$B$10000)*1,([1]OUT_Electricity_CHP!$C$1:$C$10000="Var_Fout")*1,([1]OUT_Electricity_CHP!$D$1:$D$10000="LTH")*1,[1]OUT_Electricity_CHP!N$1:N$10000)</f>
        <v>0</v>
      </c>
      <c r="P199" s="1" cm="1">
        <f t="array" ref="P199">SUMPRODUCT(("CHPWSTCCS"=[1]OUT_Electricity_CHP!$B$1:$B$10000)*1,([1]OUT_Electricity_CHP!$C$1:$C$10000="Var_Fout")*1,([1]OUT_Electricity_CHP!$D$1:$D$10000="LTH")*1,[1]OUT_Electricity_CHP!O$1:O$10000)</f>
        <v>0</v>
      </c>
      <c r="Q199" s="1" cm="1">
        <f t="array" ref="Q199">SUMPRODUCT(("CHPWSTCCS"=[1]OUT_Electricity_CHP!$B$1:$B$10000)*1,([1]OUT_Electricity_CHP!$C$1:$C$10000="Var_Fout")*1,([1]OUT_Electricity_CHP!$D$1:$D$10000="LTH")*1,[1]OUT_Electricity_CHP!P$1:P$10000)</f>
        <v>0</v>
      </c>
      <c r="S199" s="3"/>
    </row>
    <row r="200" spans="1:19" x14ac:dyDescent="0.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7.1632323413009367</v>
      </c>
      <c r="G200" s="1">
        <f t="shared" ref="G200:K200" si="196">SUM(G201:G202)</f>
        <v>6.5258251776595619</v>
      </c>
      <c r="H200" s="1">
        <f t="shared" si="196"/>
        <v>6.0747367359944864</v>
      </c>
      <c r="I200" s="1">
        <f t="shared" si="196"/>
        <v>6.3898148677106672</v>
      </c>
      <c r="J200" s="1">
        <f t="shared" si="196"/>
        <v>6.1714695819001291</v>
      </c>
      <c r="K200" s="1">
        <f t="shared" si="196"/>
        <v>6.0173929444952305</v>
      </c>
      <c r="L200" s="1">
        <f t="shared" ref="L200:O200" si="197">SUM(L201:L202)</f>
        <v>5.8600275476934041</v>
      </c>
      <c r="M200" s="1">
        <f t="shared" si="197"/>
        <v>5.699518870606104</v>
      </c>
      <c r="N200" s="1">
        <f t="shared" si="197"/>
        <v>5.6995284436205775</v>
      </c>
      <c r="O200" s="1">
        <f t="shared" si="197"/>
        <v>5.6995237208369174</v>
      </c>
      <c r="P200" s="1">
        <f>SUM(P201:P202)</f>
        <v>5.6995133558910656</v>
      </c>
      <c r="Q200" s="1">
        <f>SUM(Q201:Q202)</f>
        <v>5.6994418707333327</v>
      </c>
      <c r="S200" s="3"/>
    </row>
    <row r="201" spans="1:19" x14ac:dyDescent="0.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8">F198*F140/F133</f>
        <v>7.1632323413009367</v>
      </c>
      <c r="G201" s="1">
        <f t="shared" si="198"/>
        <v>6.5258251776595619</v>
      </c>
      <c r="H201" s="1">
        <f t="shared" si="198"/>
        <v>6.0747367359944864</v>
      </c>
      <c r="I201" s="1">
        <f t="shared" si="198"/>
        <v>6.3898148677106672</v>
      </c>
      <c r="J201" s="1">
        <f t="shared" si="198"/>
        <v>6.1714695819001291</v>
      </c>
      <c r="K201" s="1">
        <f t="shared" si="198"/>
        <v>6.0173929444952305</v>
      </c>
      <c r="L201" s="1">
        <f t="shared" ref="L201:O201" si="199">L198*L140/L133</f>
        <v>5.8600275476934041</v>
      </c>
      <c r="M201" s="1">
        <f t="shared" si="199"/>
        <v>5.699518870606104</v>
      </c>
      <c r="N201" s="1">
        <f t="shared" si="199"/>
        <v>5.6995284436205775</v>
      </c>
      <c r="O201" s="1">
        <f t="shared" si="199"/>
        <v>5.6995237208369174</v>
      </c>
      <c r="P201" s="1">
        <f>P198*P140/P133</f>
        <v>5.6995133558910656</v>
      </c>
      <c r="Q201" s="1">
        <f>Q198*Q140/Q133</f>
        <v>5.6994418707333327</v>
      </c>
      <c r="S201" s="3"/>
    </row>
    <row r="202" spans="1:19" x14ac:dyDescent="0.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200">F199*IFERROR(F141/F134,0)</f>
        <v>0</v>
      </c>
      <c r="G202" s="1">
        <f t="shared" si="200"/>
        <v>0</v>
      </c>
      <c r="H202" s="1">
        <f t="shared" si="200"/>
        <v>0</v>
      </c>
      <c r="I202" s="1">
        <f t="shared" si="200"/>
        <v>0</v>
      </c>
      <c r="J202" s="1">
        <f t="shared" si="200"/>
        <v>0</v>
      </c>
      <c r="K202" s="1">
        <f t="shared" si="200"/>
        <v>0</v>
      </c>
      <c r="L202" s="1">
        <f t="shared" ref="L202:O202" si="201">L199*IFERROR(L141/L134,0)</f>
        <v>0</v>
      </c>
      <c r="M202" s="1">
        <f t="shared" si="201"/>
        <v>0</v>
      </c>
      <c r="N202" s="1">
        <f t="shared" si="201"/>
        <v>0</v>
      </c>
      <c r="O202" s="1">
        <f t="shared" si="201"/>
        <v>0</v>
      </c>
      <c r="P202" s="1">
        <f>P199*IFERROR(P141/P134,0)</f>
        <v>0</v>
      </c>
      <c r="Q202" s="1">
        <f>Q199*IFERROR(Q141/Q134,0)</f>
        <v>0</v>
      </c>
      <c r="S202" s="3"/>
    </row>
    <row r="203" spans="1:19" x14ac:dyDescent="0.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7.1632323413009367</v>
      </c>
      <c r="G203" s="1">
        <f t="shared" ref="G203:K203" si="202">SUM(G204:G205)</f>
        <v>6.5258251776595655</v>
      </c>
      <c r="H203" s="1">
        <f t="shared" si="202"/>
        <v>6.0747367359944864</v>
      </c>
      <c r="I203" s="1">
        <f t="shared" si="202"/>
        <v>6.3898148677106672</v>
      </c>
      <c r="J203" s="1">
        <f t="shared" si="202"/>
        <v>6.1714695819001308</v>
      </c>
      <c r="K203" s="1">
        <f t="shared" si="202"/>
        <v>6.0173929444952305</v>
      </c>
      <c r="L203" s="1">
        <f t="shared" ref="L203:O203" si="203">SUM(L204:L205)</f>
        <v>5.8600275476934058</v>
      </c>
      <c r="M203" s="1">
        <f t="shared" si="203"/>
        <v>5.699518870606104</v>
      </c>
      <c r="N203" s="1">
        <f t="shared" si="203"/>
        <v>5.6995284436205775</v>
      </c>
      <c r="O203" s="1">
        <f t="shared" si="203"/>
        <v>5.6995237208369174</v>
      </c>
      <c r="P203" s="1">
        <f>SUM(P204:P205)</f>
        <v>5.6995133558910656</v>
      </c>
      <c r="Q203" s="1">
        <f>SUM(Q204:Q205)</f>
        <v>5.6994418707333327</v>
      </c>
      <c r="S203" s="3"/>
    </row>
    <row r="204" spans="1:19" x14ac:dyDescent="0.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204">F198-F201</f>
        <v>7.1632323413009367</v>
      </c>
      <c r="G204" s="1">
        <f t="shared" si="204"/>
        <v>6.5258251776595655</v>
      </c>
      <c r="H204" s="1">
        <f t="shared" si="204"/>
        <v>6.0747367359944864</v>
      </c>
      <c r="I204" s="1">
        <f t="shared" si="204"/>
        <v>6.3898148677106672</v>
      </c>
      <c r="J204" s="1">
        <f t="shared" si="204"/>
        <v>6.1714695819001308</v>
      </c>
      <c r="K204" s="1">
        <f t="shared" si="204"/>
        <v>6.0173929444952305</v>
      </c>
      <c r="L204" s="1">
        <f t="shared" ref="L204:O204" si="205">L198-L201</f>
        <v>5.8600275476934058</v>
      </c>
      <c r="M204" s="1">
        <f t="shared" si="205"/>
        <v>5.699518870606104</v>
      </c>
      <c r="N204" s="1">
        <f t="shared" si="205"/>
        <v>5.6995284436205775</v>
      </c>
      <c r="O204" s="1">
        <f t="shared" si="205"/>
        <v>5.6995237208369174</v>
      </c>
      <c r="P204" s="1">
        <f>P198-P201</f>
        <v>5.6995133558910656</v>
      </c>
      <c r="Q204" s="1">
        <f>Q198-Q201</f>
        <v>5.6994418707333327</v>
      </c>
      <c r="S204" s="3"/>
    </row>
    <row r="205" spans="1:19" x14ac:dyDescent="0.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204"/>
        <v>0</v>
      </c>
      <c r="G205" s="1">
        <f t="shared" si="204"/>
        <v>0</v>
      </c>
      <c r="H205" s="1">
        <f t="shared" si="204"/>
        <v>0</v>
      </c>
      <c r="I205" s="1">
        <f t="shared" si="204"/>
        <v>0</v>
      </c>
      <c r="J205" s="1">
        <f t="shared" si="204"/>
        <v>0</v>
      </c>
      <c r="K205" s="1">
        <f t="shared" si="204"/>
        <v>0</v>
      </c>
      <c r="L205" s="1">
        <f t="shared" ref="L205:O205" si="206">L199-L202</f>
        <v>0</v>
      </c>
      <c r="M205" s="1">
        <f t="shared" si="206"/>
        <v>0</v>
      </c>
      <c r="N205" s="1">
        <f t="shared" si="206"/>
        <v>0</v>
      </c>
      <c r="O205" s="1">
        <f t="shared" si="206"/>
        <v>0</v>
      </c>
      <c r="P205" s="1">
        <f>P199-P202</f>
        <v>0</v>
      </c>
      <c r="Q205" s="1">
        <f>Q199-Q202</f>
        <v>0</v>
      </c>
      <c r="S205" s="3"/>
    </row>
    <row r="206" spans="1:19" x14ac:dyDescent="0.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1.2837163229072102</v>
      </c>
      <c r="G206" s="1">
        <f t="shared" ref="G206:O206" si="207">G207</f>
        <v>0.39202464565385253</v>
      </c>
      <c r="H206" s="1">
        <f t="shared" si="207"/>
        <v>2.0400886638930391</v>
      </c>
      <c r="I206" s="1">
        <f t="shared" si="207"/>
        <v>2.7869904929285063</v>
      </c>
      <c r="J206" s="1">
        <f t="shared" si="207"/>
        <v>3.2711027956271632</v>
      </c>
      <c r="K206" s="1">
        <f t="shared" si="207"/>
        <v>3.370934911237268</v>
      </c>
      <c r="L206" s="1">
        <f t="shared" si="207"/>
        <v>2.0322137625678147</v>
      </c>
      <c r="M206" s="1">
        <f t="shared" si="207"/>
        <v>1.2434400824613376</v>
      </c>
      <c r="N206" s="1">
        <f t="shared" si="207"/>
        <v>0.85242990234637017</v>
      </c>
      <c r="O206" s="1">
        <f t="shared" si="207"/>
        <v>1.0809110898573553</v>
      </c>
      <c r="P206" s="1">
        <f>P207</f>
        <v>1.4406102278845965</v>
      </c>
      <c r="Q206" s="1">
        <f>Q207</f>
        <v>1.4239567781968794</v>
      </c>
      <c r="S206" s="3"/>
    </row>
    <row r="207" spans="1:19" x14ac:dyDescent="0.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1.2837163229072102</v>
      </c>
      <c r="G207" s="1">
        <f>'[1]Electricity and CHPs'!C$92</f>
        <v>0.39202464565385253</v>
      </c>
      <c r="H207" s="1">
        <f>'[1]Electricity and CHPs'!D$92</f>
        <v>2.0400886638930391</v>
      </c>
      <c r="I207" s="1">
        <f>'[1]Electricity and CHPs'!E$92</f>
        <v>2.7869904929285063</v>
      </c>
      <c r="J207" s="1">
        <f>'[1]Electricity and CHPs'!F$92</f>
        <v>3.2711027956271632</v>
      </c>
      <c r="K207" s="1">
        <f>'[1]Electricity and CHPs'!G$92</f>
        <v>3.370934911237268</v>
      </c>
      <c r="L207" s="1">
        <f>'[1]Electricity and CHPs'!H$92</f>
        <v>2.0322137625678147</v>
      </c>
      <c r="M207" s="1">
        <f>'[1]Electricity and CHPs'!I$92</f>
        <v>1.2434400824613376</v>
      </c>
      <c r="N207" s="1">
        <f>'[1]Electricity and CHPs'!J$92</f>
        <v>0.85242990234637017</v>
      </c>
      <c r="O207" s="1">
        <f>'[1]Electricity and CHPs'!K$92</f>
        <v>1.0809110898573553</v>
      </c>
      <c r="P207" s="1">
        <f>'[1]Electricity and CHPs'!L$92</f>
        <v>1.4406102278845965</v>
      </c>
      <c r="Q207" s="1">
        <f>'[1]Electricity and CHPs'!M$92</f>
        <v>1.4239567781968794</v>
      </c>
      <c r="S207" s="3"/>
    </row>
    <row r="208" spans="1:19" x14ac:dyDescent="0.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O208" si="208">+G209</f>
        <v>0</v>
      </c>
      <c r="H208" s="1">
        <f t="shared" si="208"/>
        <v>0</v>
      </c>
      <c r="I208" s="1">
        <f t="shared" si="208"/>
        <v>0</v>
      </c>
      <c r="J208" s="1">
        <f t="shared" si="208"/>
        <v>0</v>
      </c>
      <c r="K208" s="1">
        <f t="shared" si="208"/>
        <v>5.7469461049990175E-3</v>
      </c>
      <c r="L208" s="1">
        <f t="shared" si="208"/>
        <v>5.9115200732305926E-3</v>
      </c>
      <c r="M208" s="1">
        <f t="shared" si="208"/>
        <v>1.3990349030551991E-2</v>
      </c>
      <c r="N208" s="1">
        <f t="shared" si="208"/>
        <v>1.4118677375559148E-2</v>
      </c>
      <c r="O208" s="1">
        <f t="shared" si="208"/>
        <v>6.4398903344956585E-2</v>
      </c>
      <c r="P208" s="1">
        <f>+P209</f>
        <v>6.5403424143712766E-2</v>
      </c>
      <c r="Q208" s="1">
        <f>+Q209</f>
        <v>7.8407655309813556E-2</v>
      </c>
      <c r="S208" s="3"/>
    </row>
    <row r="209" spans="1:20" x14ac:dyDescent="0.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'[1]Electricity and CHPs'!F$96</f>
        <v>0</v>
      </c>
      <c r="K209" s="1">
        <f>'[1]Electricity and CHPs'!G$96</f>
        <v>5.7469461049990175E-3</v>
      </c>
      <c r="L209" s="1">
        <f>'[1]Electricity and CHPs'!H$96</f>
        <v>5.9115200732305926E-3</v>
      </c>
      <c r="M209" s="1">
        <f>'[1]Electricity and CHPs'!I$96</f>
        <v>1.3990349030551991E-2</v>
      </c>
      <c r="N209" s="1">
        <f>'[1]Electricity and CHPs'!J$96</f>
        <v>1.4118677375559148E-2</v>
      </c>
      <c r="O209" s="1">
        <f>'[1]Electricity and CHPs'!K$96</f>
        <v>6.4398903344956585E-2</v>
      </c>
      <c r="P209" s="1">
        <f>'[1]Electricity and CHPs'!L$96</f>
        <v>6.5403424143712766E-2</v>
      </c>
      <c r="Q209" s="1">
        <f>'[1]Electricity and CHPs'!M$96</f>
        <v>7.8407655309813556E-2</v>
      </c>
      <c r="S209" s="3"/>
    </row>
    <row r="210" spans="1:20" x14ac:dyDescent="0.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7.0854527295504166</v>
      </c>
      <c r="G210" s="1">
        <f t="shared" ref="G210:K210" si="209">SUM(G211,G217,G219,G225,G227,G229,G231)</f>
        <v>15.839750877169228</v>
      </c>
      <c r="H210" s="1">
        <f t="shared" si="209"/>
        <v>15.182838019513039</v>
      </c>
      <c r="I210" s="1">
        <f t="shared" si="209"/>
        <v>8.7699010976329035</v>
      </c>
      <c r="J210" s="1">
        <f t="shared" si="209"/>
        <v>8.9081027871786738</v>
      </c>
      <c r="K210" s="1">
        <f t="shared" si="209"/>
        <v>7.5763726872471473</v>
      </c>
      <c r="L210" s="1">
        <f t="shared" ref="L210:O210" si="210">SUM(L211,L217,L219,L225,L227,L229,L231)</f>
        <v>11.589049053048802</v>
      </c>
      <c r="M210" s="1">
        <f t="shared" si="210"/>
        <v>15.576109561331384</v>
      </c>
      <c r="N210" s="1">
        <f t="shared" si="210"/>
        <v>15.725876563108791</v>
      </c>
      <c r="O210" s="1">
        <f t="shared" si="210"/>
        <v>15.907635365809814</v>
      </c>
      <c r="P210" s="1">
        <f>SUM(P211,P217,P219,P225,P227,P229,P231)</f>
        <v>16.102583525681212</v>
      </c>
      <c r="Q210" s="1">
        <f>SUM(Q211,Q217,Q219,Q225,Q227,Q229,Q231)</f>
        <v>15.154689992686334</v>
      </c>
      <c r="S210" s="3"/>
    </row>
    <row r="211" spans="1:20" x14ac:dyDescent="0.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2.63468844702509</v>
      </c>
      <c r="G211" s="1">
        <f t="shared" ref="G211:O211" si="211">+G212</f>
        <v>3.4922946396779375</v>
      </c>
      <c r="H211" s="1">
        <f t="shared" si="211"/>
        <v>3.0974544278417353</v>
      </c>
      <c r="I211" s="1">
        <f t="shared" si="211"/>
        <v>2.0485555652917937</v>
      </c>
      <c r="J211" s="1">
        <f t="shared" si="211"/>
        <v>3.0280622633529637</v>
      </c>
      <c r="K211" s="1">
        <f t="shared" si="211"/>
        <v>3.0637731957432699</v>
      </c>
      <c r="L211" s="1">
        <f t="shared" si="211"/>
        <v>1.5182032789261903</v>
      </c>
      <c r="M211" s="1">
        <f t="shared" si="211"/>
        <v>1.5274713979609982</v>
      </c>
      <c r="N211" s="1">
        <f t="shared" si="211"/>
        <v>1.523931754877379</v>
      </c>
      <c r="O211" s="1">
        <f t="shared" si="211"/>
        <v>1.5267166845238831</v>
      </c>
      <c r="P211" s="1">
        <f>+P212</f>
        <v>1.5169838595869116</v>
      </c>
      <c r="Q211" s="1">
        <f>+Q212</f>
        <v>1.5187626956659954</v>
      </c>
      <c r="S211" s="3"/>
    </row>
    <row r="212" spans="1:20" x14ac:dyDescent="0.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2.63468844702509</v>
      </c>
      <c r="G212" s="1">
        <f>'[1]Electricity and CHPs'!C$97+G216</f>
        <v>3.4922946396779375</v>
      </c>
      <c r="H212" s="1">
        <f>'[1]Electricity and CHPs'!D$97+H216</f>
        <v>3.0974544278417353</v>
      </c>
      <c r="I212" s="1">
        <f>'[1]Electricity and CHPs'!E$97+I216</f>
        <v>2.0485555652917937</v>
      </c>
      <c r="J212" s="1">
        <f>'[1]Electricity and CHPs'!F$97+J216</f>
        <v>3.0280622633529637</v>
      </c>
      <c r="K212" s="1">
        <f>'[1]Electricity and CHPs'!G$97+K216</f>
        <v>3.0637731957432699</v>
      </c>
      <c r="L212" s="1">
        <f>'[1]Electricity and CHPs'!H$97+L216</f>
        <v>1.5182032789261903</v>
      </c>
      <c r="M212" s="1">
        <f>'[1]Electricity and CHPs'!I$97+M216</f>
        <v>1.5274713979609982</v>
      </c>
      <c r="N212" s="1">
        <f>'[1]Electricity and CHPs'!J$97+N216</f>
        <v>1.523931754877379</v>
      </c>
      <c r="O212" s="1">
        <f>'[1]Electricity and CHPs'!K$97+O216</f>
        <v>1.5267166845238831</v>
      </c>
      <c r="P212" s="1">
        <f>'[1]Electricity and CHPs'!L$97+P216</f>
        <v>1.5169838595869116</v>
      </c>
      <c r="Q212" s="1">
        <f>'[1]Electricity and CHPs'!M$97+Q216</f>
        <v>1.5187626956659954</v>
      </c>
      <c r="S212" s="3"/>
    </row>
    <row r="213" spans="1:20" x14ac:dyDescent="0.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1.7329118779207788</v>
      </c>
      <c r="G213" s="1">
        <f t="shared" ref="G213:O213" si="212">G214</f>
        <v>1.9784321402393807</v>
      </c>
      <c r="H213" s="1">
        <f t="shared" si="212"/>
        <v>1.5835910214220736</v>
      </c>
      <c r="I213" s="1">
        <f t="shared" si="212"/>
        <v>0.53469218505794447</v>
      </c>
      <c r="J213" s="1">
        <f t="shared" si="212"/>
        <v>1.5141954206369315</v>
      </c>
      <c r="K213" s="1">
        <f t="shared" si="212"/>
        <v>1.549901271832568</v>
      </c>
      <c r="L213" s="1">
        <f t="shared" si="212"/>
        <v>4.3257277769870317E-3</v>
      </c>
      <c r="M213" s="1">
        <f t="shared" si="212"/>
        <v>1.358480368540671E-2</v>
      </c>
      <c r="N213" s="1">
        <f t="shared" si="212"/>
        <v>1.0038426972969416E-2</v>
      </c>
      <c r="O213" s="1">
        <f t="shared" si="212"/>
        <v>1.2806661532994257E-2</v>
      </c>
      <c r="P213" s="1">
        <f>P214</f>
        <v>3.0558547236583244E-3</v>
      </c>
      <c r="Q213" s="1">
        <f>Q214</f>
        <v>4.7466699813762947E-3</v>
      </c>
      <c r="S213" s="3"/>
    </row>
    <row r="214" spans="1:20" x14ac:dyDescent="0.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1.7329118779207788</v>
      </c>
      <c r="G214" s="1">
        <f t="shared" ref="G214:K214" si="213">G212-G216</f>
        <v>1.9784321402393807</v>
      </c>
      <c r="H214" s="1">
        <f t="shared" si="213"/>
        <v>1.5835910214220736</v>
      </c>
      <c r="I214" s="1">
        <f t="shared" si="213"/>
        <v>0.53469218505794447</v>
      </c>
      <c r="J214" s="1">
        <f t="shared" si="213"/>
        <v>1.5141954206369315</v>
      </c>
      <c r="K214" s="1">
        <f t="shared" si="213"/>
        <v>1.549901271832568</v>
      </c>
      <c r="L214" s="1">
        <f t="shared" ref="L214:O214" si="214">L212-L216</f>
        <v>4.3257277769870317E-3</v>
      </c>
      <c r="M214" s="1">
        <f t="shared" si="214"/>
        <v>1.358480368540671E-2</v>
      </c>
      <c r="N214" s="1">
        <f t="shared" si="214"/>
        <v>1.0038426972969416E-2</v>
      </c>
      <c r="O214" s="1">
        <f t="shared" si="214"/>
        <v>1.2806661532994257E-2</v>
      </c>
      <c r="P214" s="1">
        <f>P212-P216</f>
        <v>3.0558547236583244E-3</v>
      </c>
      <c r="Q214" s="1">
        <f>Q212-Q216</f>
        <v>4.7466699813762947E-3</v>
      </c>
      <c r="S214" s="3"/>
    </row>
    <row r="215" spans="1:20" x14ac:dyDescent="0.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0.90177656910431103</v>
      </c>
      <c r="G215" s="1">
        <f t="shared" ref="G215:O215" si="215">G216</f>
        <v>1.5138624994385568</v>
      </c>
      <c r="H215" s="1">
        <f t="shared" si="215"/>
        <v>1.5138634064196617</v>
      </c>
      <c r="I215" s="1">
        <f t="shared" si="215"/>
        <v>1.5138633802338493</v>
      </c>
      <c r="J215" s="1">
        <f t="shared" si="215"/>
        <v>1.5138668427160322</v>
      </c>
      <c r="K215" s="1">
        <f t="shared" si="215"/>
        <v>1.5138719239107019</v>
      </c>
      <c r="L215" s="1">
        <f t="shared" si="215"/>
        <v>1.5138775511492033</v>
      </c>
      <c r="M215" s="1">
        <f t="shared" si="215"/>
        <v>1.5138865942755915</v>
      </c>
      <c r="N215" s="1">
        <f t="shared" si="215"/>
        <v>1.5138933279044096</v>
      </c>
      <c r="O215" s="1">
        <f t="shared" si="215"/>
        <v>1.5139100229908888</v>
      </c>
      <c r="P215" s="1">
        <f>P216</f>
        <v>1.5139280048632533</v>
      </c>
      <c r="Q215" s="1">
        <f>Q216</f>
        <v>1.5140160256846191</v>
      </c>
      <c r="S215" s="3"/>
    </row>
    <row r="216" spans="1:20" x14ac:dyDescent="0.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0.90177656910431103</v>
      </c>
      <c r="G216" s="1">
        <f>'[1]Electricity and CHPs'!C$98</f>
        <v>1.5138624994385568</v>
      </c>
      <c r="H216" s="1">
        <f>'[1]Electricity and CHPs'!D$98</f>
        <v>1.5138634064196617</v>
      </c>
      <c r="I216" s="1">
        <f>'[1]Electricity and CHPs'!E$98</f>
        <v>1.5138633802338493</v>
      </c>
      <c r="J216" s="1">
        <f>'[1]Electricity and CHPs'!F$98</f>
        <v>1.5138668427160322</v>
      </c>
      <c r="K216" s="1">
        <f>'[1]Electricity and CHPs'!G$98</f>
        <v>1.5138719239107019</v>
      </c>
      <c r="L216" s="1">
        <f>'[1]Electricity and CHPs'!H$98</f>
        <v>1.5138775511492033</v>
      </c>
      <c r="M216" s="1">
        <f>'[1]Electricity and CHPs'!I$98</f>
        <v>1.5138865942755915</v>
      </c>
      <c r="N216" s="1">
        <f>'[1]Electricity and CHPs'!J$98</f>
        <v>1.5138933279044096</v>
      </c>
      <c r="O216" s="1">
        <f>'[1]Electricity and CHPs'!K$98</f>
        <v>1.5139100229908888</v>
      </c>
      <c r="P216" s="1">
        <f>'[1]Electricity and CHPs'!L$98</f>
        <v>1.5139280048632533</v>
      </c>
      <c r="Q216" s="1">
        <f>'[1]Electricity and CHPs'!M$98</f>
        <v>1.5140160256846191</v>
      </c>
      <c r="S216" s="3"/>
    </row>
    <row r="217" spans="1:20" x14ac:dyDescent="0.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2.9000664718865621</v>
      </c>
      <c r="G217" s="1">
        <f t="shared" ref="G217:O217" si="216">+G218</f>
        <v>7.603676744897709</v>
      </c>
      <c r="H217" s="1">
        <f t="shared" si="216"/>
        <v>7.5989401252884203</v>
      </c>
      <c r="I217" s="1">
        <f t="shared" si="216"/>
        <v>2.299264066438151</v>
      </c>
      <c r="J217" s="1">
        <f t="shared" si="216"/>
        <v>1.4054179611657838</v>
      </c>
      <c r="K217" s="1">
        <f t="shared" si="216"/>
        <v>0</v>
      </c>
      <c r="L217" s="1">
        <f t="shared" si="216"/>
        <v>5.4757596986347385</v>
      </c>
      <c r="M217" s="1">
        <f t="shared" si="216"/>
        <v>9.3349909344282818</v>
      </c>
      <c r="N217" s="1">
        <f t="shared" si="216"/>
        <v>9.3353334601893128</v>
      </c>
      <c r="O217" s="1">
        <f t="shared" si="216"/>
        <v>9.3354702697572591</v>
      </c>
      <c r="P217" s="1">
        <f>+P218</f>
        <v>9.3346420894308331</v>
      </c>
      <c r="Q217" s="1">
        <f>+Q218</f>
        <v>8.1584741919960102</v>
      </c>
      <c r="S217" s="3"/>
    </row>
    <row r="218" spans="1:20" x14ac:dyDescent="0.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2.9000664718865621</v>
      </c>
      <c r="G218" s="1">
        <f>'[1]Electricity and CHPs'!C$99</f>
        <v>7.603676744897709</v>
      </c>
      <c r="H218" s="1">
        <f>'[1]Electricity and CHPs'!D$99</f>
        <v>7.5989401252884203</v>
      </c>
      <c r="I218" s="1">
        <f>'[1]Electricity and CHPs'!E$99</f>
        <v>2.299264066438151</v>
      </c>
      <c r="J218" s="1">
        <f>'[1]Electricity and CHPs'!F$99</f>
        <v>1.4054179611657838</v>
      </c>
      <c r="K218" s="1">
        <f>'[1]Electricity and CHPs'!G$99</f>
        <v>0</v>
      </c>
      <c r="L218" s="1">
        <f>'[1]Electricity and CHPs'!H$99</f>
        <v>5.4757596986347385</v>
      </c>
      <c r="M218" s="1">
        <f>'[1]Electricity and CHPs'!I$99</f>
        <v>9.3349909344282818</v>
      </c>
      <c r="N218" s="1">
        <f>'[1]Electricity and CHPs'!J$99</f>
        <v>9.3353334601893128</v>
      </c>
      <c r="O218" s="1">
        <f>'[1]Electricity and CHPs'!K$99</f>
        <v>9.3354702697572591</v>
      </c>
      <c r="P218" s="1">
        <f>'[1]Electricity and CHPs'!L$99</f>
        <v>9.3346420894308331</v>
      </c>
      <c r="Q218" s="1">
        <f>'[1]Electricity and CHPs'!M$99</f>
        <v>8.1584741919960102</v>
      </c>
      <c r="S218" s="3"/>
    </row>
    <row r="219" spans="1:20" x14ac:dyDescent="0.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0.18408846093124132</v>
      </c>
      <c r="G219" s="1">
        <f t="shared" ref="G219:O219" si="217">+G220</f>
        <v>0.18580595205516853</v>
      </c>
      <c r="H219" s="1">
        <f t="shared" si="217"/>
        <v>3.6282123923757816E-3</v>
      </c>
      <c r="I219" s="1">
        <f t="shared" si="217"/>
        <v>3.6094334045338266E-3</v>
      </c>
      <c r="J219" s="1">
        <f t="shared" si="217"/>
        <v>2.9698784268752535E-3</v>
      </c>
      <c r="K219" s="1">
        <f t="shared" si="217"/>
        <v>2.6293849679437098E-3</v>
      </c>
      <c r="L219" s="1">
        <f t="shared" si="217"/>
        <v>2.6651718360870534E-3</v>
      </c>
      <c r="M219" s="1">
        <f t="shared" si="217"/>
        <v>1.168082491565125E-3</v>
      </c>
      <c r="N219" s="1">
        <f t="shared" si="217"/>
        <v>2.1077645958373519E-3</v>
      </c>
      <c r="O219" s="1">
        <f t="shared" si="217"/>
        <v>1.1312981502597378E-3</v>
      </c>
      <c r="P219" s="1">
        <f>+P220</f>
        <v>2.2186312784331402E-3</v>
      </c>
      <c r="Q219" s="1">
        <f>+Q220</f>
        <v>1.1241261343010642E-3</v>
      </c>
      <c r="S219" s="3"/>
    </row>
    <row r="220" spans="1:20" x14ac:dyDescent="0.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0.18408846093124132</v>
      </c>
      <c r="G220" s="1">
        <f>'[1]Electricity and CHPs'!C$100</f>
        <v>0.18580595205516853</v>
      </c>
      <c r="H220" s="1">
        <f>'[1]Electricity and CHPs'!D$100</f>
        <v>3.6282123923757816E-3</v>
      </c>
      <c r="I220" s="1">
        <f>'[1]Electricity and CHPs'!E$100</f>
        <v>3.6094334045338266E-3</v>
      </c>
      <c r="J220" s="1">
        <f>'[1]Electricity and CHPs'!F$100</f>
        <v>2.9698784268752535E-3</v>
      </c>
      <c r="K220" s="1">
        <f>'[1]Electricity and CHPs'!G$100</f>
        <v>2.6293849679437098E-3</v>
      </c>
      <c r="L220" s="1">
        <f>'[1]Electricity and CHPs'!H$100</f>
        <v>2.6651718360870534E-3</v>
      </c>
      <c r="M220" s="1">
        <f>'[1]Electricity and CHPs'!I$100</f>
        <v>1.168082491565125E-3</v>
      </c>
      <c r="N220" s="1">
        <f>'[1]Electricity and CHPs'!J$100</f>
        <v>2.1077645958373519E-3</v>
      </c>
      <c r="O220" s="1">
        <f>'[1]Electricity and CHPs'!K$100</f>
        <v>1.1312981502597378E-3</v>
      </c>
      <c r="P220" s="1">
        <f>'[1]Electricity and CHPs'!L$100</f>
        <v>2.2186312784331402E-3</v>
      </c>
      <c r="Q220" s="1">
        <f>'[1]Electricity and CHPs'!M$100</f>
        <v>1.1241261343010642E-3</v>
      </c>
      <c r="S220" s="3"/>
    </row>
    <row r="221" spans="1:20" x14ac:dyDescent="0.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0.18408846093124132</v>
      </c>
      <c r="G221" s="1">
        <f t="shared" ref="G221:O221" si="218">G222</f>
        <v>0.18580595205516853</v>
      </c>
      <c r="H221" s="1">
        <f t="shared" si="218"/>
        <v>3.6282123923757816E-3</v>
      </c>
      <c r="I221" s="1">
        <f t="shared" si="218"/>
        <v>3.6094334045338266E-3</v>
      </c>
      <c r="J221" s="1">
        <f t="shared" si="218"/>
        <v>2.9698784268752535E-3</v>
      </c>
      <c r="K221" s="1">
        <f t="shared" si="218"/>
        <v>2.6293849679437098E-3</v>
      </c>
      <c r="L221" s="1">
        <f>L222</f>
        <v>2.6651718360870534E-3</v>
      </c>
      <c r="M221" s="1">
        <f t="shared" si="218"/>
        <v>1.168082491565125E-3</v>
      </c>
      <c r="N221" s="1">
        <f t="shared" si="218"/>
        <v>2.1077645958373519E-3</v>
      </c>
      <c r="O221" s="1">
        <f t="shared" si="218"/>
        <v>1.1312981502597378E-3</v>
      </c>
      <c r="P221" s="1">
        <f>P222</f>
        <v>2.2186312784331402E-3</v>
      </c>
      <c r="Q221" s="1">
        <f>Q222</f>
        <v>1.1241261343010642E-3</v>
      </c>
      <c r="S221" s="3"/>
    </row>
    <row r="222" spans="1:20" x14ac:dyDescent="0.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0.18408846093124132</v>
      </c>
      <c r="G222" s="1">
        <f t="shared" ref="G222:K222" si="219">G220-G224</f>
        <v>0.18580595205516853</v>
      </c>
      <c r="H222" s="1">
        <f t="shared" si="219"/>
        <v>3.6282123923757816E-3</v>
      </c>
      <c r="I222" s="1">
        <f t="shared" si="219"/>
        <v>3.6094334045338266E-3</v>
      </c>
      <c r="J222" s="1">
        <f t="shared" si="219"/>
        <v>2.9698784268752535E-3</v>
      </c>
      <c r="K222" s="1">
        <f t="shared" si="219"/>
        <v>2.6293849679437098E-3</v>
      </c>
      <c r="L222" s="1">
        <f>L220-L224</f>
        <v>2.6651718360870534E-3</v>
      </c>
      <c r="M222" s="1">
        <f t="shared" ref="M222:O222" si="220">M220-M224</f>
        <v>1.168082491565125E-3</v>
      </c>
      <c r="N222" s="1">
        <f t="shared" si="220"/>
        <v>2.1077645958373519E-3</v>
      </c>
      <c r="O222" s="1">
        <f t="shared" si="220"/>
        <v>1.1312981502597378E-3</v>
      </c>
      <c r="P222" s="1">
        <f>P220-P224</f>
        <v>2.2186312784331402E-3</v>
      </c>
      <c r="Q222" s="1">
        <f>Q220-Q224</f>
        <v>1.1241261343010642E-3</v>
      </c>
      <c r="S222" s="3"/>
    </row>
    <row r="223" spans="1:20" x14ac:dyDescent="0.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O223" si="221">G224</f>
        <v>0</v>
      </c>
      <c r="H223" s="1">
        <f t="shared" si="221"/>
        <v>0</v>
      </c>
      <c r="I223" s="1">
        <f t="shared" si="221"/>
        <v>0</v>
      </c>
      <c r="J223" s="1">
        <f t="shared" si="221"/>
        <v>0</v>
      </c>
      <c r="K223" s="1">
        <f t="shared" si="221"/>
        <v>0</v>
      </c>
      <c r="L223" s="1">
        <f t="shared" si="221"/>
        <v>0</v>
      </c>
      <c r="M223" s="1">
        <f t="shared" si="221"/>
        <v>0</v>
      </c>
      <c r="N223" s="1">
        <f t="shared" si="221"/>
        <v>0</v>
      </c>
      <c r="O223" s="1">
        <f t="shared" si="221"/>
        <v>0</v>
      </c>
      <c r="P223" s="1">
        <f>P224</f>
        <v>0</v>
      </c>
      <c r="Q223" s="1">
        <f>Q224</f>
        <v>0</v>
      </c>
      <c r="S223" s="3"/>
    </row>
    <row r="224" spans="1:20" x14ac:dyDescent="0.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/>
      <c r="S224" s="3"/>
      <c r="T224" s="1"/>
    </row>
    <row r="225" spans="1:19" x14ac:dyDescent="0.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1.3666093497075225</v>
      </c>
      <c r="G225" s="1">
        <f t="shared" ref="G225:O225" si="222">+G226</f>
        <v>1.2333625271226043</v>
      </c>
      <c r="H225" s="1">
        <f t="shared" si="222"/>
        <v>1.0574640706360943</v>
      </c>
      <c r="I225" s="1">
        <f t="shared" si="222"/>
        <v>0.81826870872943913</v>
      </c>
      <c r="J225" s="1">
        <f t="shared" si="222"/>
        <v>0.68775047275913204</v>
      </c>
      <c r="K225" s="1">
        <f t="shared" si="222"/>
        <v>0.53229966903497139</v>
      </c>
      <c r="L225" s="1">
        <f t="shared" si="222"/>
        <v>0.41188910708057624</v>
      </c>
      <c r="M225" s="1">
        <f t="shared" si="222"/>
        <v>0.31872786691897342</v>
      </c>
      <c r="N225" s="1">
        <f t="shared" si="222"/>
        <v>0.24666658591098925</v>
      </c>
      <c r="O225" s="1">
        <f t="shared" si="222"/>
        <v>0.19092487177836001</v>
      </c>
      <c r="P225" s="1">
        <f>+P226</f>
        <v>0.14778721316502694</v>
      </c>
      <c r="Q225" s="1">
        <f>+Q226</f>
        <v>0.11453400102077894</v>
      </c>
      <c r="S225" s="3"/>
    </row>
    <row r="226" spans="1:19" x14ac:dyDescent="0.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1.3666093497075225</v>
      </c>
      <c r="G226" s="1">
        <f>'[1]Electricity and CHPs'!C$101</f>
        <v>1.2333625271226043</v>
      </c>
      <c r="H226" s="1">
        <f>'[1]Electricity and CHPs'!D$101</f>
        <v>1.0574640706360943</v>
      </c>
      <c r="I226" s="1">
        <f>'[1]Electricity and CHPs'!E$101</f>
        <v>0.81826870872943913</v>
      </c>
      <c r="J226" s="1">
        <f>'[1]Electricity and CHPs'!F$101</f>
        <v>0.68775047275913204</v>
      </c>
      <c r="K226" s="1">
        <f>'[1]Electricity and CHPs'!G$101</f>
        <v>0.53229966903497139</v>
      </c>
      <c r="L226" s="1">
        <f>'[1]Electricity and CHPs'!H$101</f>
        <v>0.41188910708057624</v>
      </c>
      <c r="M226" s="1">
        <f>'[1]Electricity and CHPs'!I$101</f>
        <v>0.31872786691897342</v>
      </c>
      <c r="N226" s="1">
        <f>'[1]Electricity and CHPs'!J$101</f>
        <v>0.24666658591098925</v>
      </c>
      <c r="O226" s="1">
        <f>'[1]Electricity and CHPs'!K$101</f>
        <v>0.19092487177836001</v>
      </c>
      <c r="P226" s="1">
        <f>'[1]Electricity and CHPs'!L$101</f>
        <v>0.14778721316502694</v>
      </c>
      <c r="Q226" s="1">
        <f>'[1]Electricity and CHPs'!M$101</f>
        <v>0.11453400102077894</v>
      </c>
      <c r="S226" s="3"/>
    </row>
    <row r="227" spans="1:19" x14ac:dyDescent="0.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O227" si="223">+G228</f>
        <v>0</v>
      </c>
      <c r="H227" s="1">
        <f t="shared" si="223"/>
        <v>0</v>
      </c>
      <c r="I227" s="1">
        <f t="shared" si="223"/>
        <v>1.244240645279912E-4</v>
      </c>
      <c r="J227" s="1">
        <f t="shared" si="223"/>
        <v>1.8065828681974901E-4</v>
      </c>
      <c r="K227" s="1">
        <f t="shared" si="223"/>
        <v>1.9065013702174974E-4</v>
      </c>
      <c r="L227" s="1">
        <f t="shared" si="223"/>
        <v>1.953893192596005E-4</v>
      </c>
      <c r="M227" s="1">
        <f t="shared" si="223"/>
        <v>2.0691519266394139E-4</v>
      </c>
      <c r="N227" s="1">
        <f t="shared" si="223"/>
        <v>2.1125114118433007E-4</v>
      </c>
      <c r="O227" s="1">
        <f t="shared" si="223"/>
        <v>2.4267664036462785E-4</v>
      </c>
      <c r="P227" s="1">
        <f>+P228</f>
        <v>2.6149621937849839E-4</v>
      </c>
      <c r="Q227" s="1">
        <f>+Q228</f>
        <v>4.4118592746730302E-4</v>
      </c>
      <c r="S227" s="3"/>
    </row>
    <row r="228" spans="1:19" x14ac:dyDescent="0.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1.244240645279912E-4</v>
      </c>
      <c r="J228" s="1">
        <f>'[1]Electricity and CHPs'!F$102</f>
        <v>1.8065828681974901E-4</v>
      </c>
      <c r="K228" s="1">
        <f>'[1]Electricity and CHPs'!G$102</f>
        <v>1.9065013702174974E-4</v>
      </c>
      <c r="L228" s="1">
        <f>'[1]Electricity and CHPs'!H$102</f>
        <v>1.953893192596005E-4</v>
      </c>
      <c r="M228" s="1">
        <f>'[1]Electricity and CHPs'!I$102</f>
        <v>2.0691519266394139E-4</v>
      </c>
      <c r="N228" s="1">
        <f>'[1]Electricity and CHPs'!J$102</f>
        <v>2.1125114118433007E-4</v>
      </c>
      <c r="O228" s="1">
        <f>'[1]Electricity and CHPs'!K$102</f>
        <v>2.4267664036462785E-4</v>
      </c>
      <c r="P228" s="1">
        <f>'[1]Electricity and CHPs'!L$102</f>
        <v>2.6149621937849839E-4</v>
      </c>
      <c r="Q228" s="1">
        <f>'[1]Electricity and CHPs'!M$102</f>
        <v>4.4118592746730302E-4</v>
      </c>
      <c r="S228" s="3"/>
    </row>
    <row r="229" spans="1:19" x14ac:dyDescent="0.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O229" si="224">+G230</f>
        <v>0</v>
      </c>
      <c r="H229" s="1">
        <f t="shared" si="224"/>
        <v>0</v>
      </c>
      <c r="I229" s="1">
        <f t="shared" si="224"/>
        <v>0</v>
      </c>
      <c r="J229" s="1">
        <f t="shared" si="224"/>
        <v>0</v>
      </c>
      <c r="K229" s="1">
        <f t="shared" si="224"/>
        <v>7.4831702824800926E-4</v>
      </c>
      <c r="L229" s="1">
        <f t="shared" si="224"/>
        <v>7.4932575732333502E-4</v>
      </c>
      <c r="M229" s="1">
        <f t="shared" si="224"/>
        <v>7.5171131416585854E-4</v>
      </c>
      <c r="N229" s="1">
        <f t="shared" si="224"/>
        <v>7.5369934859225156E-4</v>
      </c>
      <c r="O229" s="1">
        <f t="shared" si="224"/>
        <v>7.6239150932650844E-4</v>
      </c>
      <c r="P229" s="1">
        <f>+P230</f>
        <v>7.7241484487761722E-4</v>
      </c>
      <c r="Q229" s="1">
        <f>+Q230</f>
        <v>1.2540586757928836E-3</v>
      </c>
      <c r="S229" s="3"/>
    </row>
    <row r="230" spans="1:19" x14ac:dyDescent="0.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'[1]Electricity and CHPs'!F$90</f>
        <v>0</v>
      </c>
      <c r="K230" s="1">
        <f>'[1]Electricity and CHPs'!G$90</f>
        <v>7.4831702824800926E-4</v>
      </c>
      <c r="L230" s="1">
        <f>'[1]Electricity and CHPs'!H$90</f>
        <v>7.4932575732333502E-4</v>
      </c>
      <c r="M230" s="1">
        <f>'[1]Electricity and CHPs'!I$90</f>
        <v>7.5171131416585854E-4</v>
      </c>
      <c r="N230" s="1">
        <f>'[1]Electricity and CHPs'!J$90</f>
        <v>7.5369934859225156E-4</v>
      </c>
      <c r="O230" s="1">
        <f>'[1]Electricity and CHPs'!K$90</f>
        <v>7.6239150932650844E-4</v>
      </c>
      <c r="P230" s="1">
        <f>'[1]Electricity and CHPs'!L$90</f>
        <v>7.7241484487761722E-4</v>
      </c>
      <c r="Q230" s="1">
        <f>'[1]Electricity and CHPs'!M$90</f>
        <v>1.2540586757928836E-3</v>
      </c>
      <c r="S230" s="3"/>
    </row>
    <row r="231" spans="1:19" x14ac:dyDescent="0.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O231" si="225">+G232</f>
        <v>3.3246110134158084</v>
      </c>
      <c r="H231" s="1">
        <f t="shared" si="225"/>
        <v>3.4253511833544135</v>
      </c>
      <c r="I231" s="1">
        <f t="shared" si="225"/>
        <v>3.6000788997044588</v>
      </c>
      <c r="J231" s="1">
        <f t="shared" si="225"/>
        <v>3.7837215531870987</v>
      </c>
      <c r="K231" s="1">
        <f t="shared" si="225"/>
        <v>3.9767314703356922</v>
      </c>
      <c r="L231" s="1">
        <f t="shared" si="225"/>
        <v>4.1795870814946277</v>
      </c>
      <c r="M231" s="1">
        <f t="shared" si="225"/>
        <v>4.3927926530247365</v>
      </c>
      <c r="N231" s="1">
        <f t="shared" si="225"/>
        <v>4.6168720470454963</v>
      </c>
      <c r="O231" s="1">
        <f t="shared" si="225"/>
        <v>4.8523871734503592</v>
      </c>
      <c r="P231" s="1">
        <f>+P232</f>
        <v>5.0999178211557528</v>
      </c>
      <c r="Q231" s="1">
        <f>+Q232</f>
        <v>5.3600997332659901</v>
      </c>
      <c r="S231" s="3"/>
    </row>
    <row r="232" spans="1:19" x14ac:dyDescent="0.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3.3246110134158084</v>
      </c>
      <c r="H232" s="1">
        <f>'[1]Electricity and CHPs'!D$123</f>
        <v>3.4253511833544135</v>
      </c>
      <c r="I232" s="1">
        <f>'[1]Electricity and CHPs'!E$123</f>
        <v>3.6000788997044588</v>
      </c>
      <c r="J232" s="1">
        <f>'[1]Electricity and CHPs'!F$123</f>
        <v>3.7837215531870987</v>
      </c>
      <c r="K232" s="1">
        <f>'[1]Electricity and CHPs'!G$123</f>
        <v>3.9767314703356922</v>
      </c>
      <c r="L232" s="1">
        <f>'[1]Electricity and CHPs'!H$123</f>
        <v>4.1795870814946277</v>
      </c>
      <c r="M232" s="1">
        <f>'[1]Electricity and CHPs'!I$123</f>
        <v>4.3927926530247365</v>
      </c>
      <c r="N232" s="1">
        <f>'[1]Electricity and CHPs'!J$123</f>
        <v>4.6168720470454963</v>
      </c>
      <c r="O232" s="1">
        <f>'[1]Electricity and CHPs'!K$123</f>
        <v>4.8523871734503592</v>
      </c>
      <c r="P232" s="1">
        <f>'[1]Electricity and CHPs'!L$123</f>
        <v>5.0999178211557528</v>
      </c>
      <c r="Q232" s="1">
        <f>'[1]Electricity and CHPs'!M$123</f>
        <v>5.3600997332659901</v>
      </c>
      <c r="S232" s="3"/>
    </row>
    <row r="233" spans="1:19" x14ac:dyDescent="0.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6.5261504244188648</v>
      </c>
      <c r="G233" s="1">
        <f t="shared" ref="G233:K233" si="226">SUM(G234,G240,G273,G282,G288)</f>
        <v>8.2416972986522143</v>
      </c>
      <c r="H233" s="1">
        <f t="shared" si="226"/>
        <v>8.5428708050604243</v>
      </c>
      <c r="I233" s="1">
        <f t="shared" si="226"/>
        <v>14.199892848136269</v>
      </c>
      <c r="J233" s="1">
        <f t="shared" si="226"/>
        <v>17.54848313525909</v>
      </c>
      <c r="K233" s="1">
        <f t="shared" si="226"/>
        <v>17.181776827381761</v>
      </c>
      <c r="L233" s="1">
        <f t="shared" ref="L233:O233" si="227">SUM(L234,L240,L273,L282,L288)</f>
        <v>19.200530328398976</v>
      </c>
      <c r="M233" s="1">
        <f t="shared" si="227"/>
        <v>19.382675689459855</v>
      </c>
      <c r="N233" s="1">
        <f t="shared" si="227"/>
        <v>19.677032976884878</v>
      </c>
      <c r="O233" s="1">
        <f t="shared" si="227"/>
        <v>19.764821792089965</v>
      </c>
      <c r="P233" s="1">
        <f>SUM(P234,P240,P273,P282,P288)</f>
        <v>20.235433806784716</v>
      </c>
      <c r="Q233" s="1">
        <f>SUM(Q234,Q240,Q273,Q282,Q288)</f>
        <v>20.658268524078036</v>
      </c>
      <c r="S233" s="3"/>
    </row>
    <row r="234" spans="1:19" x14ac:dyDescent="0.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0.92940645986895043</v>
      </c>
      <c r="G234" s="1">
        <f t="shared" ref="G234:O234" si="228">+G235</f>
        <v>2.070938405665474</v>
      </c>
      <c r="H234" s="1">
        <f t="shared" si="228"/>
        <v>3.1825931444956441E-2</v>
      </c>
      <c r="I234" s="1">
        <f t="shared" si="228"/>
        <v>1.2716385977451705</v>
      </c>
      <c r="J234" s="1">
        <f t="shared" si="228"/>
        <v>0.81108173455037502</v>
      </c>
      <c r="K234" s="1">
        <f t="shared" si="228"/>
        <v>4.6991661308867429E-2</v>
      </c>
      <c r="L234" s="1">
        <f t="shared" si="228"/>
        <v>5.3931849249623243E-2</v>
      </c>
      <c r="M234" s="1">
        <f t="shared" si="228"/>
        <v>6.3963276671859429E-2</v>
      </c>
      <c r="N234" s="1">
        <f t="shared" si="228"/>
        <v>6.0216959654553613E-2</v>
      </c>
      <c r="O234" s="1">
        <f t="shared" si="228"/>
        <v>6.2038837165488324E-2</v>
      </c>
      <c r="P234" s="1">
        <f>+P235</f>
        <v>6.1069706407903691E-2</v>
      </c>
      <c r="Q234" s="1">
        <f>+Q235</f>
        <v>6.293054288507581E-2</v>
      </c>
      <c r="S234" s="3"/>
    </row>
    <row r="235" spans="1:19" x14ac:dyDescent="0.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0.92940645986895043</v>
      </c>
      <c r="G235" s="1">
        <f>'[1]Electricity and CHPs'!C$104</f>
        <v>2.070938405665474</v>
      </c>
      <c r="H235" s="1">
        <f>'[1]Electricity and CHPs'!D$104</f>
        <v>3.1825931444956441E-2</v>
      </c>
      <c r="I235" s="1">
        <f>'[1]Electricity and CHPs'!E$104</f>
        <v>1.2716385977451705</v>
      </c>
      <c r="J235" s="1">
        <f>'[1]Electricity and CHPs'!F$104</f>
        <v>0.81108173455037502</v>
      </c>
      <c r="K235" s="1">
        <f>'[1]Electricity and CHPs'!G$104</f>
        <v>4.6991661308867429E-2</v>
      </c>
      <c r="L235" s="1">
        <f>'[1]Electricity and CHPs'!H$104</f>
        <v>5.3931849249623243E-2</v>
      </c>
      <c r="M235" s="1">
        <f>'[1]Electricity and CHPs'!I$104</f>
        <v>6.3963276671859429E-2</v>
      </c>
      <c r="N235" s="1">
        <f>'[1]Electricity and CHPs'!J$104</f>
        <v>6.0216959654553613E-2</v>
      </c>
      <c r="O235" s="1">
        <f>'[1]Electricity and CHPs'!K$104</f>
        <v>6.2038837165488324E-2</v>
      </c>
      <c r="P235" s="1">
        <f>'[1]Electricity and CHPs'!L$104</f>
        <v>6.1069706407903691E-2</v>
      </c>
      <c r="Q235" s="1">
        <f>'[1]Electricity and CHPs'!M$104</f>
        <v>6.293054288507581E-2</v>
      </c>
      <c r="S235" s="3"/>
    </row>
    <row r="236" spans="1:19" x14ac:dyDescent="0.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0.92940645986895043</v>
      </c>
      <c r="G236" s="1">
        <f t="shared" ref="G236:O236" si="229">G237</f>
        <v>2.070938405665474</v>
      </c>
      <c r="H236" s="1">
        <f t="shared" si="229"/>
        <v>3.1825931444956441E-2</v>
      </c>
      <c r="I236" s="1">
        <f t="shared" si="229"/>
        <v>1.2716385977451705</v>
      </c>
      <c r="J236" s="1">
        <f t="shared" si="229"/>
        <v>0.81108173455037502</v>
      </c>
      <c r="K236" s="1">
        <f t="shared" si="229"/>
        <v>4.6991661308867429E-2</v>
      </c>
      <c r="L236" s="1">
        <f t="shared" si="229"/>
        <v>5.3931849249623243E-2</v>
      </c>
      <c r="M236" s="1">
        <f t="shared" si="229"/>
        <v>6.3963276671859429E-2</v>
      </c>
      <c r="N236" s="1">
        <f t="shared" si="229"/>
        <v>6.0216959654553613E-2</v>
      </c>
      <c r="O236" s="1">
        <f t="shared" si="229"/>
        <v>6.2038837165488324E-2</v>
      </c>
      <c r="P236" s="1">
        <f>P237</f>
        <v>6.1069706407903691E-2</v>
      </c>
      <c r="Q236" s="1">
        <f>Q237</f>
        <v>6.293054288507581E-2</v>
      </c>
      <c r="S236" s="3"/>
    </row>
    <row r="237" spans="1:19" x14ac:dyDescent="0.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0.92940645986895043</v>
      </c>
      <c r="G237" s="1">
        <f t="shared" ref="G237:K237" si="230">G235-G239</f>
        <v>2.070938405665474</v>
      </c>
      <c r="H237" s="1">
        <f t="shared" si="230"/>
        <v>3.1825931444956441E-2</v>
      </c>
      <c r="I237" s="1">
        <f t="shared" si="230"/>
        <v>1.2716385977451705</v>
      </c>
      <c r="J237" s="1">
        <f t="shared" si="230"/>
        <v>0.81108173455037502</v>
      </c>
      <c r="K237" s="1">
        <f t="shared" si="230"/>
        <v>4.6991661308867429E-2</v>
      </c>
      <c r="L237" s="1">
        <f t="shared" ref="L237:O237" si="231">L235-L239</f>
        <v>5.3931849249623243E-2</v>
      </c>
      <c r="M237" s="1">
        <f t="shared" si="231"/>
        <v>6.3963276671859429E-2</v>
      </c>
      <c r="N237" s="1">
        <f t="shared" si="231"/>
        <v>6.0216959654553613E-2</v>
      </c>
      <c r="O237" s="1">
        <f t="shared" si="231"/>
        <v>6.2038837165488324E-2</v>
      </c>
      <c r="P237" s="1">
        <f>P235-P239</f>
        <v>6.1069706407903691E-2</v>
      </c>
      <c r="Q237" s="1">
        <f>Q235-Q239</f>
        <v>6.293054288507581E-2</v>
      </c>
      <c r="S237" s="3"/>
    </row>
    <row r="238" spans="1:19" x14ac:dyDescent="0.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O238" si="232">G239</f>
        <v>0</v>
      </c>
      <c r="H238" s="1">
        <f t="shared" si="232"/>
        <v>0</v>
      </c>
      <c r="I238" s="1">
        <f t="shared" si="232"/>
        <v>0</v>
      </c>
      <c r="J238" s="1">
        <f t="shared" si="232"/>
        <v>0</v>
      </c>
      <c r="K238" s="1">
        <f t="shared" si="232"/>
        <v>0</v>
      </c>
      <c r="L238" s="1">
        <f t="shared" si="232"/>
        <v>0</v>
      </c>
      <c r="M238" s="1">
        <f t="shared" si="232"/>
        <v>0</v>
      </c>
      <c r="N238" s="1">
        <f t="shared" si="232"/>
        <v>0</v>
      </c>
      <c r="O238" s="1">
        <f t="shared" si="232"/>
        <v>0</v>
      </c>
      <c r="P238" s="1">
        <f>P239</f>
        <v>0</v>
      </c>
      <c r="Q238" s="1">
        <f>Q239</f>
        <v>0</v>
      </c>
      <c r="S238" s="3"/>
    </row>
    <row r="239" spans="1:19" x14ac:dyDescent="0.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33">F235*IFERROR(F81/F77,0)</f>
        <v>0</v>
      </c>
      <c r="G239" s="1">
        <f t="shared" si="233"/>
        <v>0</v>
      </c>
      <c r="H239" s="1">
        <f t="shared" si="233"/>
        <v>0</v>
      </c>
      <c r="I239" s="1">
        <f t="shared" si="233"/>
        <v>0</v>
      </c>
      <c r="J239" s="1">
        <f t="shared" si="233"/>
        <v>0</v>
      </c>
      <c r="K239" s="1">
        <f t="shared" si="233"/>
        <v>0</v>
      </c>
      <c r="L239" s="1">
        <f t="shared" ref="L239:O239" si="234">L235*IFERROR(L81/L77,0)</f>
        <v>0</v>
      </c>
      <c r="M239" s="1">
        <f t="shared" si="234"/>
        <v>0</v>
      </c>
      <c r="N239" s="1">
        <f t="shared" si="234"/>
        <v>0</v>
      </c>
      <c r="O239" s="1">
        <f t="shared" si="234"/>
        <v>0</v>
      </c>
      <c r="P239" s="1">
        <f>P235*IFERROR(P81/P77,0)</f>
        <v>0</v>
      </c>
      <c r="Q239" s="1">
        <f>Q235*IFERROR(Q81/Q77,0)</f>
        <v>0</v>
      </c>
      <c r="S239" s="3"/>
    </row>
    <row r="240" spans="1:19" x14ac:dyDescent="0.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3.0014230964033155</v>
      </c>
      <c r="G240" s="1">
        <f t="shared" ref="G240:K240" si="235">SUM(G241:G250)</f>
        <v>2.4967661932780785</v>
      </c>
      <c r="H240" s="1">
        <f t="shared" si="235"/>
        <v>2.5204048408183652</v>
      </c>
      <c r="I240" s="1">
        <f t="shared" si="235"/>
        <v>6.4528606753249083</v>
      </c>
      <c r="J240" s="1">
        <f t="shared" si="235"/>
        <v>9.2325058767052575</v>
      </c>
      <c r="K240" s="1">
        <f t="shared" si="235"/>
        <v>8.5673437609029204</v>
      </c>
      <c r="L240" s="1">
        <f t="shared" ref="L240:O240" si="236">SUM(L241:L250)</f>
        <v>8.3573425344337178</v>
      </c>
      <c r="M240" s="1">
        <f t="shared" si="236"/>
        <v>6.7069368925472732</v>
      </c>
      <c r="N240" s="1">
        <f t="shared" si="236"/>
        <v>6.6121101368579618</v>
      </c>
      <c r="O240" s="1">
        <f t="shared" si="236"/>
        <v>6.7719203252792894</v>
      </c>
      <c r="P240" s="1">
        <f>SUM(P241:P250)</f>
        <v>7.261086503821903</v>
      </c>
      <c r="Q240" s="1">
        <f>SUM(Q241:Q250)</f>
        <v>7.5597353203867259</v>
      </c>
      <c r="S240" s="3"/>
    </row>
    <row r="241" spans="1:19" x14ac:dyDescent="0.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0.78134727045094454</v>
      </c>
      <c r="G241" s="1">
        <f>'[1]Electricity and CHPs_IN'!C$39*0.75-G88-G242</f>
        <v>0.10333603635958771</v>
      </c>
      <c r="H241" s="1">
        <f>'[1]Electricity and CHPs_IN'!D$39*0.75-H88-H242</f>
        <v>6.9666938199874767E-2</v>
      </c>
      <c r="I241" s="1">
        <f>'[1]Electricity and CHPs_IN'!E$39*0.75-I88-I242</f>
        <v>0.80500840253847661</v>
      </c>
      <c r="J241" s="1">
        <f>'[1]Electricity and CHPs'!F$103-J242</f>
        <v>0.9095224686544946</v>
      </c>
      <c r="K241" s="1">
        <f>'[1]Electricity and CHPs'!G$103-K242</f>
        <v>0.19279417155459841</v>
      </c>
      <c r="L241" s="1">
        <f>'[1]Electricity and CHPs'!H$103-L242</f>
        <v>0.13474520310264684</v>
      </c>
      <c r="M241" s="1">
        <f>'[1]Electricity and CHPs'!I$103-M242</f>
        <v>8.1055980660473079E-2</v>
      </c>
      <c r="N241" s="1">
        <f>'[1]Electricity and CHPs'!J$103-N242</f>
        <v>4.94375653705664E-2</v>
      </c>
      <c r="O241" s="1">
        <f>'[1]Electricity and CHPs'!K$103-O242</f>
        <v>7.4471834287385866E-2</v>
      </c>
      <c r="P241" s="1">
        <f>'[1]Electricity and CHPs'!L$103-P242</f>
        <v>0.12179887965406964</v>
      </c>
      <c r="Q241" s="1">
        <f>'[1]Electricity and CHPs'!M$103-Q242</f>
        <v>0.12484346010384159</v>
      </c>
      <c r="S241" s="3"/>
    </row>
    <row r="242" spans="1:19" x14ac:dyDescent="0.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SUMPRODUCT((ISNUMBER(SEARCH("ITOT-CHPNGACCS",[1]OUT_Electricity_CHP!$B$1:$B$10000)))*1,([1]OUT_Electricity_CHP!$C$1:$C$10000="Var_Fout")*1,([1]OUT_Electricity_CHP!$D$1:$D$10000="ITOT_LTH_CHP")*1,[1]OUT_Electricity_CHP!I$1:I$10000)</f>
        <v>0</v>
      </c>
      <c r="K242" s="1" cm="1">
        <f t="array" ref="K242">SUMPRODUCT((ISNUMBER(SEARCH("ITOT-CHPNGACCS",[1]OUT_Electricity_CHP!$B$1:$B$10000)))*1,([1]OUT_Electricity_CHP!$C$1:$C$10000="Var_Fout")*1,([1]OUT_Electricity_CHP!$D$1:$D$10000="ITOT_LTH_CHP")*1,[1]OUT_Electricity_CHP!J$1:J$10000)</f>
        <v>0</v>
      </c>
      <c r="L242" s="1" cm="1">
        <f t="array" ref="L242">SUMPRODUCT((ISNUMBER(SEARCH("ITOT-CHPNGACCS",[1]OUT_Electricity_CHP!$B$1:$B$10000)))*1,([1]OUT_Electricity_CHP!$C$1:$C$10000="Var_Fout")*1,([1]OUT_Electricity_CHP!$D$1:$D$10000="ITOT_LTH_CHP")*1,[1]OUT_Electricity_CHP!K$1:K$10000)</f>
        <v>0</v>
      </c>
      <c r="M242" s="1" cm="1">
        <f t="array" ref="M242">SUMPRODUCT((ISNUMBER(SEARCH("ITOT-CHPNGACCS",[1]OUT_Electricity_CHP!$B$1:$B$10000)))*1,([1]OUT_Electricity_CHP!$C$1:$C$10000="Var_Fout")*1,([1]OUT_Electricity_CHP!$D$1:$D$10000="ITOT_LTH_CHP")*1,[1]OUT_Electricity_CHP!L$1:L$10000)</f>
        <v>0</v>
      </c>
      <c r="N242" s="1" cm="1">
        <f t="array" ref="N242">SUMPRODUCT((ISNUMBER(SEARCH("ITOT-CHPNGACCS",[1]OUT_Electricity_CHP!$B$1:$B$10000)))*1,([1]OUT_Electricity_CHP!$C$1:$C$10000="Var_Fout")*1,([1]OUT_Electricity_CHP!$D$1:$D$10000="ITOT_LTH_CHP")*1,[1]OUT_Electricity_CHP!M$1:M$10000)</f>
        <v>0</v>
      </c>
      <c r="O242" s="1" cm="1">
        <f t="array" ref="O242">SUMPRODUCT((ISNUMBER(SEARCH("ITOT-CHPNGACCS",[1]OUT_Electricity_CHP!$B$1:$B$10000)))*1,([1]OUT_Electricity_CHP!$C$1:$C$10000="Var_Fout")*1,([1]OUT_Electricity_CHP!$D$1:$D$10000="ITOT_LTH_CHP")*1,[1]OUT_Electricity_CHP!N$1:N$10000)</f>
        <v>0</v>
      </c>
      <c r="P242" s="1" cm="1">
        <f t="array" ref="P242">SUMPRODUCT((ISNUMBER(SEARCH("ITOT-CHPNGACCS",[1]OUT_Electricity_CHP!$B$1:$B$10000)))*1,([1]OUT_Electricity_CHP!$C$1:$C$10000="Var_Fout")*1,([1]OUT_Electricity_CHP!$D$1:$D$10000="ITOT_LTH_CHP")*1,[1]OUT_Electricity_CHP!O$1:O$10000)</f>
        <v>0</v>
      </c>
      <c r="Q242" s="1" cm="1">
        <f t="array" ref="Q242">SUMPRODUCT((ISNUMBER(SEARCH("ITOT-CHPNGACCS",[1]OUT_Electricity_CHP!$B$1:$B$10000)))*1,([1]OUT_Electricity_CHP!$C$1:$C$10000="Var_Fout")*1,([1]OUT_Electricity_CHP!$D$1:$D$10000="ITOT_LTH_CHP")*1,[1]OUT_Electricity_CHP!P$1:P$10000)</f>
        <v>0</v>
      </c>
      <c r="S242" s="3"/>
    </row>
    <row r="243" spans="1:19" x14ac:dyDescent="0.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1.9074846283914813E-3</v>
      </c>
      <c r="J243" s="1">
        <f>'[1]Electricity and CHPs'!F$107</f>
        <v>2.4543926101007825E-3</v>
      </c>
      <c r="K243" s="1">
        <f>'[1]Electricity and CHPs'!G$107</f>
        <v>3.9704245591842364E-3</v>
      </c>
      <c r="L243" s="1">
        <f>'[1]Electricity and CHPs'!H$107</f>
        <v>6.6019712959163313E-3</v>
      </c>
      <c r="M243" s="1">
        <f>'[1]Electricity and CHPs'!I$107</f>
        <v>9.87411287579084E-3</v>
      </c>
      <c r="N243" s="1">
        <f>'[1]Electricity and CHPs'!J$107</f>
        <v>8.6915483847669166E-3</v>
      </c>
      <c r="O243" s="1">
        <f>'[1]Electricity and CHPs'!K$107</f>
        <v>1.2678662096345933E-2</v>
      </c>
      <c r="P243" s="1">
        <f>'[1]Electricity and CHPs'!L$107</f>
        <v>1.3530148980451231E-2</v>
      </c>
      <c r="Q243" s="1">
        <f>'[1]Electricity and CHPs'!M$107</f>
        <v>2.2299123954686213E-2</v>
      </c>
      <c r="S243" s="3"/>
    </row>
    <row r="244" spans="1:19" x14ac:dyDescent="0.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4.1675681171472245E-2</v>
      </c>
      <c r="G244" s="1">
        <f>'[1]Electricity and CHPs'!C$109</f>
        <v>9.9500801970386493E-3</v>
      </c>
      <c r="H244" s="1">
        <f>'[1]Electricity and CHPs'!D$109</f>
        <v>4.005191388401879E-2</v>
      </c>
      <c r="I244" s="1">
        <f>'[1]Electricity and CHPs'!E$109</f>
        <v>3.6307087645476542E-2</v>
      </c>
      <c r="J244" s="1">
        <f>'[1]Electricity and CHPs'!F$109</f>
        <v>8.1979648755163087E-2</v>
      </c>
      <c r="K244" s="1">
        <f>'[1]Electricity and CHPs'!G$109</f>
        <v>8.2422728171542753E-2</v>
      </c>
      <c r="L244" s="1">
        <f>'[1]Electricity and CHPs'!H$109</f>
        <v>9.2853948663855976E-2</v>
      </c>
      <c r="M244" s="1">
        <f>'[1]Electricity and CHPs'!I$109</f>
        <v>0.13032091729904319</v>
      </c>
      <c r="N244" s="1">
        <f>'[1]Electricity and CHPs'!J$109</f>
        <v>0.11187066406146309</v>
      </c>
      <c r="O244" s="1">
        <f>'[1]Electricity and CHPs'!K$109</f>
        <v>0.12699223018924882</v>
      </c>
      <c r="P244" s="1">
        <f>'[1]Electricity and CHPs'!L$109</f>
        <v>0.38268831192491704</v>
      </c>
      <c r="Q244" s="1">
        <f>'[1]Electricity and CHPs'!M$109</f>
        <v>0.38885150143069147</v>
      </c>
      <c r="S244" s="3"/>
    </row>
    <row r="245" spans="1:19" x14ac:dyDescent="0.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'[1]Electricity and CHPs'!F$111</f>
        <v>0</v>
      </c>
      <c r="K245" s="1">
        <f>'[1]Electricity and CHPs'!G$111</f>
        <v>0</v>
      </c>
      <c r="L245" s="1">
        <f>'[1]Electricity and CHPs'!H$111</f>
        <v>0</v>
      </c>
      <c r="M245" s="1">
        <f>'[1]Electricity and CHPs'!I$111</f>
        <v>0</v>
      </c>
      <c r="N245" s="1">
        <f>'[1]Electricity and CHPs'!J$111</f>
        <v>0</v>
      </c>
      <c r="O245" s="1">
        <f>'[1]Electricity and CHPs'!K$111</f>
        <v>0</v>
      </c>
      <c r="P245" s="1">
        <f>'[1]Electricity and CHPs'!L$111</f>
        <v>0</v>
      </c>
      <c r="Q245" s="1">
        <f>'[1]Electricity and CHPs'!M$111</f>
        <v>0</v>
      </c>
      <c r="S245" s="3"/>
    </row>
    <row r="246" spans="1:19" x14ac:dyDescent="0.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6.1471114148392375E-2</v>
      </c>
      <c r="G246" s="1">
        <f>'[1]Electricity and CHPs'!C$112</f>
        <v>5.4651202980031045E-2</v>
      </c>
      <c r="H246" s="1">
        <f>'[1]Electricity and CHPs'!D$112</f>
        <v>0.26699516085118508</v>
      </c>
      <c r="I246" s="1">
        <f>'[1]Electricity and CHPs'!E$112</f>
        <v>1.3019948597474154</v>
      </c>
      <c r="J246" s="1">
        <f>'[1]Electricity and CHPs'!F$112</f>
        <v>1.3943422392162672</v>
      </c>
      <c r="K246" s="1">
        <f>'[1]Electricity and CHPs'!G$112</f>
        <v>1.5408993159733844</v>
      </c>
      <c r="L246" s="1">
        <f>'[1]Electricity and CHPs'!H$112</f>
        <v>1.5043960548470245</v>
      </c>
      <c r="M246" s="1">
        <f>'[1]Electricity and CHPs'!I$112</f>
        <v>1.5072390215267959</v>
      </c>
      <c r="N246" s="1">
        <f>'[1]Electricity and CHPs'!J$112</f>
        <v>1.4633927574742638</v>
      </c>
      <c r="O246" s="1">
        <f>'[1]Electricity and CHPs'!K$112</f>
        <v>1.4837862680332903</v>
      </c>
      <c r="P246" s="1">
        <f>'[1]Electricity and CHPs'!L$112</f>
        <v>1.3124250618962643</v>
      </c>
      <c r="Q246" s="1">
        <f>'[1]Electricity and CHPs'!M$112</f>
        <v>1.2916979639458528</v>
      </c>
      <c r="S246" s="3"/>
    </row>
    <row r="247" spans="1:19" x14ac:dyDescent="0.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'[1]Electricity and CHPs'!F$114</f>
        <v>0</v>
      </c>
      <c r="K247" s="1">
        <f>'[1]Electricity and CHPs'!G$114</f>
        <v>0</v>
      </c>
      <c r="L247" s="1">
        <f>'[1]Electricity and CHPs'!H$114</f>
        <v>0</v>
      </c>
      <c r="M247" s="1">
        <f>'[1]Electricity and CHPs'!I$114</f>
        <v>0</v>
      </c>
      <c r="N247" s="1">
        <f>'[1]Electricity and CHPs'!J$114</f>
        <v>0</v>
      </c>
      <c r="O247" s="1">
        <f>'[1]Electricity and CHPs'!K$114</f>
        <v>0</v>
      </c>
      <c r="P247" s="1">
        <f>'[1]Electricity and CHPs'!L$114</f>
        <v>0</v>
      </c>
      <c r="Q247" s="1">
        <f>'[1]Electricity and CHPs'!M$114</f>
        <v>0</v>
      </c>
      <c r="S247" s="3"/>
    </row>
    <row r="248" spans="1:19" x14ac:dyDescent="0.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1.424318480075953</v>
      </c>
      <c r="G248" s="1">
        <f>'[1]Electricity and CHPs'!C$115</f>
        <v>1.5785750949686741</v>
      </c>
      <c r="H248" s="1">
        <f>'[1]Electricity and CHPs'!D$115</f>
        <v>1.4831586338876217</v>
      </c>
      <c r="I248" s="1">
        <f>'[1]Electricity and CHPs'!E$115</f>
        <v>1.3241277409395629</v>
      </c>
      <c r="J248" s="1">
        <f>'[1]Electricity and CHPs'!F$115</f>
        <v>1.1651000909257894</v>
      </c>
      <c r="K248" s="1">
        <f>'[1]Electricity and CHPs'!G$115</f>
        <v>1.0060731806383227</v>
      </c>
      <c r="L248" s="1">
        <f>'[1]Electricity and CHPs'!H$115</f>
        <v>1.0060786714680234</v>
      </c>
      <c r="M248" s="1">
        <f>'[1]Electricity and CHPs'!I$115</f>
        <v>1.0060923661242847</v>
      </c>
      <c r="N248" s="1">
        <f>'[1]Electricity and CHPs'!J$115</f>
        <v>1.0061013311255349</v>
      </c>
      <c r="O248" s="1">
        <f>'[1]Electricity and CHPs'!K$115</f>
        <v>1.0061269062928679</v>
      </c>
      <c r="P248" s="1">
        <f>'[1]Electricity and CHPs'!L$115</f>
        <v>1.0061573660427634</v>
      </c>
      <c r="Q248" s="1">
        <f>'[1]Electricity and CHPs'!M$115</f>
        <v>1.0392010830458855</v>
      </c>
      <c r="S248" s="3"/>
    </row>
    <row r="249" spans="1:19" x14ac:dyDescent="0.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0.69261055055655318</v>
      </c>
      <c r="G249" s="1">
        <f>'[1]Electricity and CHPs'!C$116</f>
        <v>0.75025377877274713</v>
      </c>
      <c r="H249" s="1">
        <f>'[1]Electricity and CHPs'!D$116</f>
        <v>0.66053219399566498</v>
      </c>
      <c r="I249" s="1">
        <f>'[1]Electricity and CHPs'!E$116</f>
        <v>2.9822668590784769</v>
      </c>
      <c r="J249" s="1">
        <f>'[1]Electricity and CHPs'!F$116</f>
        <v>5.6753059277481519</v>
      </c>
      <c r="K249" s="1">
        <f>'[1]Electricity and CHPs'!G$116</f>
        <v>5.7375248076924343</v>
      </c>
      <c r="L249" s="1">
        <f>'[1]Electricity and CHPs'!H$116</f>
        <v>5.6099662796343202</v>
      </c>
      <c r="M249" s="1">
        <f>'[1]Electricity and CHPs'!I$116</f>
        <v>3.9660333672706778</v>
      </c>
      <c r="N249" s="1">
        <f>'[1]Electricity and CHPs'!J$116</f>
        <v>3.9662224887713311</v>
      </c>
      <c r="O249" s="1">
        <f>'[1]Electricity and CHPs'!K$116</f>
        <v>4.0546762004734598</v>
      </c>
      <c r="P249" s="1">
        <f>'[1]Electricity and CHPs'!L$116</f>
        <v>4.4143737222347017</v>
      </c>
      <c r="Q249" s="1">
        <f>'[1]Electricity and CHPs'!M$116</f>
        <v>4.6710481971405953</v>
      </c>
      <c r="S249" s="3"/>
    </row>
    <row r="250" spans="1:19" x14ac:dyDescent="0.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1.2482407471081532E-3</v>
      </c>
      <c r="J250" s="1">
        <f>'[1]Electricity and CHPs'!F$118</f>
        <v>3.8011087952907331E-3</v>
      </c>
      <c r="K250" s="1">
        <f>'[1]Electricity and CHPs'!G$118</f>
        <v>3.6591323134534818E-3</v>
      </c>
      <c r="L250" s="1">
        <f>'[1]Electricity and CHPs'!H$118</f>
        <v>2.7004054219316883E-3</v>
      </c>
      <c r="M250" s="1">
        <f>'[1]Electricity and CHPs'!I$118</f>
        <v>6.3211267902075E-3</v>
      </c>
      <c r="N250" s="1">
        <f>'[1]Electricity and CHPs'!J$118</f>
        <v>6.3937816700351188E-3</v>
      </c>
      <c r="O250" s="1">
        <f>'[1]Electricity and CHPs'!K$118</f>
        <v>1.3188223906690862E-2</v>
      </c>
      <c r="P250" s="1">
        <f>'[1]Electricity and CHPs'!L$118</f>
        <v>1.0113013088735882E-2</v>
      </c>
      <c r="Q250" s="1">
        <f>'[1]Electricity and CHPs'!M$118</f>
        <v>2.1793990765172619E-2</v>
      </c>
      <c r="S250" s="3"/>
    </row>
    <row r="251" spans="1:19" x14ac:dyDescent="0.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1.5351746408569955</v>
      </c>
      <c r="G251" s="1">
        <f t="shared" ref="G251:K251" si="237">SUM(G252:G261)</f>
        <v>0.87797217902999913</v>
      </c>
      <c r="H251" s="1">
        <f t="shared" si="237"/>
        <v>0.95015463815495271</v>
      </c>
      <c r="I251" s="1">
        <f t="shared" si="237"/>
        <v>4.9148313138394197</v>
      </c>
      <c r="J251" s="1">
        <f t="shared" si="237"/>
        <v>7.8206452993786124</v>
      </c>
      <c r="K251" s="1">
        <f t="shared" si="237"/>
        <v>7.3897915647944261</v>
      </c>
      <c r="L251" s="1">
        <f t="shared" ref="L251:O251" si="238">SUM(L252:L261)</f>
        <v>7.2301438905309787</v>
      </c>
      <c r="M251" s="1">
        <f t="shared" si="238"/>
        <v>5.6141678603176191</v>
      </c>
      <c r="N251" s="1">
        <f t="shared" si="238"/>
        <v>5.526071054851271</v>
      </c>
      <c r="O251" s="1">
        <f t="shared" si="238"/>
        <v>5.6841965985734966</v>
      </c>
      <c r="P251" s="1">
        <f>SUM(P252:P261)</f>
        <v>6.1617698369308336</v>
      </c>
      <c r="Q251" s="1">
        <f>SUM(Q252:Q261)</f>
        <v>6.415980145629737</v>
      </c>
      <c r="S251" s="3"/>
    </row>
    <row r="252" spans="1:19" x14ac:dyDescent="0.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9">F241-F263</f>
        <v>0.7605738407464907</v>
      </c>
      <c r="G252" s="1">
        <f t="shared" si="239"/>
        <v>9.8809676092479704E-2</v>
      </c>
      <c r="H252" s="1">
        <f t="shared" si="239"/>
        <v>6.3817408069909889E-2</v>
      </c>
      <c r="I252" s="1">
        <f t="shared" si="239"/>
        <v>0.77143430069714081</v>
      </c>
      <c r="J252" s="1">
        <f t="shared" si="239"/>
        <v>0.88170259536222706</v>
      </c>
      <c r="K252" s="1">
        <f t="shared" si="239"/>
        <v>0.18842187005108402</v>
      </c>
      <c r="L252" s="1">
        <f t="shared" ref="L252:O252" si="240">L241-L263</f>
        <v>0.13252513107289401</v>
      </c>
      <c r="M252" s="1">
        <f t="shared" si="240"/>
        <v>7.9823590943653475E-2</v>
      </c>
      <c r="N252" s="1">
        <f t="shared" si="240"/>
        <v>4.8732620387118973E-2</v>
      </c>
      <c r="O252" s="1">
        <f t="shared" si="240"/>
        <v>7.3417917775538799E-2</v>
      </c>
      <c r="P252" s="1">
        <f t="shared" ref="P252:Q261" si="241">P241-P263</f>
        <v>0.11998483856379621</v>
      </c>
      <c r="Q252" s="1">
        <f t="shared" si="241"/>
        <v>0.12284164643304157</v>
      </c>
      <c r="S252" s="3"/>
    </row>
    <row r="253" spans="1:19" x14ac:dyDescent="0.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9"/>
        <v>0</v>
      </c>
      <c r="G253" s="1">
        <f t="shared" si="239"/>
        <v>0</v>
      </c>
      <c r="H253" s="1">
        <f t="shared" si="239"/>
        <v>0</v>
      </c>
      <c r="I253" s="1">
        <f t="shared" si="239"/>
        <v>0</v>
      </c>
      <c r="J253" s="1">
        <f t="shared" si="239"/>
        <v>0</v>
      </c>
      <c r="K253" s="1">
        <f t="shared" si="239"/>
        <v>0</v>
      </c>
      <c r="L253" s="1">
        <f t="shared" ref="L253:O253" si="242">L242-L264</f>
        <v>0</v>
      </c>
      <c r="M253" s="1">
        <f t="shared" si="242"/>
        <v>0</v>
      </c>
      <c r="N253" s="1">
        <f t="shared" si="242"/>
        <v>0</v>
      </c>
      <c r="O253" s="1">
        <f t="shared" si="242"/>
        <v>0</v>
      </c>
      <c r="P253" s="1">
        <f t="shared" si="241"/>
        <v>0</v>
      </c>
      <c r="Q253" s="1">
        <f t="shared" si="241"/>
        <v>0</v>
      </c>
      <c r="S253" s="3"/>
    </row>
    <row r="254" spans="1:19" x14ac:dyDescent="0.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9"/>
        <v>0</v>
      </c>
      <c r="G254" s="1">
        <f t="shared" si="239"/>
        <v>0</v>
      </c>
      <c r="H254" s="1">
        <f t="shared" si="239"/>
        <v>0</v>
      </c>
      <c r="I254" s="1">
        <f t="shared" si="239"/>
        <v>1.8279300759514686E-3</v>
      </c>
      <c r="J254" s="1">
        <f t="shared" si="239"/>
        <v>2.3793192680166744E-3</v>
      </c>
      <c r="K254" s="1">
        <f t="shared" si="239"/>
        <v>3.8803808969213685E-3</v>
      </c>
      <c r="L254" s="1">
        <f t="shared" ref="L254:O254" si="243">L243-L265</f>
        <v>6.493196723777169E-3</v>
      </c>
      <c r="M254" s="1">
        <f t="shared" si="243"/>
        <v>9.7239850866791006E-3</v>
      </c>
      <c r="N254" s="1">
        <f t="shared" si="243"/>
        <v>8.5676130051359472E-3</v>
      </c>
      <c r="O254" s="1">
        <f t="shared" si="243"/>
        <v>1.2499235183348145E-2</v>
      </c>
      <c r="P254" s="1">
        <f t="shared" si="241"/>
        <v>1.3328634432224106E-2</v>
      </c>
      <c r="Q254" s="1">
        <f t="shared" si="241"/>
        <v>2.1941566649383831E-2</v>
      </c>
      <c r="S254" s="3"/>
    </row>
    <row r="255" spans="1:19" x14ac:dyDescent="0.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4.0567663180059596E-2</v>
      </c>
      <c r="G255" s="1">
        <f t="shared" ref="G255:K255" si="244">G244-G266</f>
        <v>9.5142433946506372E-3</v>
      </c>
      <c r="H255" s="1">
        <f t="shared" si="244"/>
        <v>3.6688986172811473E-2</v>
      </c>
      <c r="I255" s="1">
        <f t="shared" si="244"/>
        <v>3.4792845242133094E-2</v>
      </c>
      <c r="J255" s="1">
        <f t="shared" si="244"/>
        <v>7.9472109338036709E-2</v>
      </c>
      <c r="K255" s="1">
        <f t="shared" si="244"/>
        <v>8.0553496257516052E-2</v>
      </c>
      <c r="L255" s="1">
        <f t="shared" ref="L255:O255" si="245">L244-L266</f>
        <v>9.1324080070881303E-2</v>
      </c>
      <c r="M255" s="1">
        <f t="shared" si="245"/>
        <v>0.12833949461983848</v>
      </c>
      <c r="N255" s="1">
        <f t="shared" si="245"/>
        <v>0.11027546691059342</v>
      </c>
      <c r="O255" s="1">
        <f t="shared" si="245"/>
        <v>0.12519505130204364</v>
      </c>
      <c r="P255" s="1">
        <f t="shared" si="241"/>
        <v>0.37698865093812584</v>
      </c>
      <c r="Q255" s="1">
        <f t="shared" si="241"/>
        <v>0.38261642711580457</v>
      </c>
      <c r="S255" s="3"/>
    </row>
    <row r="256" spans="1:19" x14ac:dyDescent="0.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46">F245-F267</f>
        <v>0</v>
      </c>
      <c r="G256" s="1">
        <f t="shared" si="246"/>
        <v>0</v>
      </c>
      <c r="H256" s="1">
        <f t="shared" si="246"/>
        <v>0</v>
      </c>
      <c r="I256" s="1">
        <f t="shared" si="246"/>
        <v>0</v>
      </c>
      <c r="J256" s="1">
        <f t="shared" si="246"/>
        <v>0</v>
      </c>
      <c r="K256" s="1">
        <f t="shared" si="246"/>
        <v>0</v>
      </c>
      <c r="L256" s="1">
        <f t="shared" ref="L256:O256" si="247">L245-L267</f>
        <v>0</v>
      </c>
      <c r="M256" s="1">
        <f t="shared" si="247"/>
        <v>0</v>
      </c>
      <c r="N256" s="1">
        <f t="shared" si="247"/>
        <v>0</v>
      </c>
      <c r="O256" s="1">
        <f t="shared" si="247"/>
        <v>0</v>
      </c>
      <c r="P256" s="1">
        <f t="shared" si="241"/>
        <v>0</v>
      </c>
      <c r="Q256" s="1">
        <f t="shared" si="241"/>
        <v>0</v>
      </c>
      <c r="S256" s="3"/>
    </row>
    <row r="257" spans="1:19" x14ac:dyDescent="0.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48">F246-F268</f>
        <v>5.9836801318606581E-2</v>
      </c>
      <c r="G257" s="1">
        <f t="shared" si="248"/>
        <v>5.2257352369604416E-2</v>
      </c>
      <c r="H257" s="1">
        <f t="shared" si="248"/>
        <v>0.24457712041035179</v>
      </c>
      <c r="I257" s="1">
        <f t="shared" si="248"/>
        <v>1.2476931805597051</v>
      </c>
      <c r="J257" s="1">
        <f t="shared" si="248"/>
        <v>1.3516930186000489</v>
      </c>
      <c r="K257" s="1">
        <f t="shared" si="248"/>
        <v>1.5059538799071974</v>
      </c>
      <c r="L257" s="1">
        <f t="shared" ref="L257:O257" si="249">L246-L268</f>
        <v>1.4796095130916782</v>
      </c>
      <c r="M257" s="1">
        <f t="shared" si="249"/>
        <v>1.4843226882003313</v>
      </c>
      <c r="N257" s="1">
        <f t="shared" si="249"/>
        <v>1.4425258038639437</v>
      </c>
      <c r="O257" s="1">
        <f t="shared" si="249"/>
        <v>1.4627879018335592</v>
      </c>
      <c r="P257" s="1">
        <f t="shared" si="241"/>
        <v>1.2928781416212474</v>
      </c>
      <c r="Q257" s="1">
        <f t="shared" si="241"/>
        <v>1.2709861169606715</v>
      </c>
      <c r="S257" s="3"/>
    </row>
    <row r="258" spans="1:19" x14ac:dyDescent="0.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50">F247-F269</f>
        <v>0</v>
      </c>
      <c r="G258" s="1">
        <f t="shared" si="250"/>
        <v>0</v>
      </c>
      <c r="H258" s="1">
        <f t="shared" si="250"/>
        <v>0</v>
      </c>
      <c r="I258" s="1">
        <f t="shared" si="250"/>
        <v>0</v>
      </c>
      <c r="J258" s="1">
        <f t="shared" si="250"/>
        <v>0</v>
      </c>
      <c r="K258" s="1">
        <f t="shared" si="250"/>
        <v>0</v>
      </c>
      <c r="L258" s="1">
        <f t="shared" ref="L258:O258" si="251">L247-L269</f>
        <v>0</v>
      </c>
      <c r="M258" s="1">
        <f t="shared" si="251"/>
        <v>0</v>
      </c>
      <c r="N258" s="1">
        <f t="shared" si="251"/>
        <v>0</v>
      </c>
      <c r="O258" s="1">
        <f t="shared" si="251"/>
        <v>0</v>
      </c>
      <c r="P258" s="1">
        <f t="shared" si="241"/>
        <v>0</v>
      </c>
      <c r="Q258" s="1">
        <f t="shared" si="241"/>
        <v>0</v>
      </c>
      <c r="S258" s="3"/>
    </row>
    <row r="259" spans="1:19" x14ac:dyDescent="0.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50"/>
        <v>0</v>
      </c>
      <c r="G259" s="1">
        <f t="shared" ref="G259:K259" si="252">G248-G270</f>
        <v>0</v>
      </c>
      <c r="H259" s="1">
        <f t="shared" si="252"/>
        <v>0</v>
      </c>
      <c r="I259" s="1">
        <f t="shared" si="252"/>
        <v>0</v>
      </c>
      <c r="J259" s="1">
        <f t="shared" si="252"/>
        <v>0</v>
      </c>
      <c r="K259" s="1">
        <f t="shared" si="252"/>
        <v>0</v>
      </c>
      <c r="L259" s="1">
        <f t="shared" ref="L259:O259" si="253">L248-L270</f>
        <v>0</v>
      </c>
      <c r="M259" s="1">
        <f t="shared" si="253"/>
        <v>0</v>
      </c>
      <c r="N259" s="1">
        <f t="shared" si="253"/>
        <v>0</v>
      </c>
      <c r="O259" s="1">
        <f t="shared" si="253"/>
        <v>0</v>
      </c>
      <c r="P259" s="1">
        <f t="shared" si="241"/>
        <v>0</v>
      </c>
      <c r="Q259" s="1">
        <f t="shared" si="241"/>
        <v>0</v>
      </c>
      <c r="S259" s="3"/>
    </row>
    <row r="260" spans="1:19" x14ac:dyDescent="0.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54">F249-F271</f>
        <v>0.67419633561183867</v>
      </c>
      <c r="G260" s="1">
        <f t="shared" si="254"/>
        <v>0.71739090717326437</v>
      </c>
      <c r="H260" s="1">
        <f t="shared" si="254"/>
        <v>0.60507112350187953</v>
      </c>
      <c r="I260" s="1">
        <f t="shared" si="254"/>
        <v>2.8578868762994083</v>
      </c>
      <c r="J260" s="1">
        <f t="shared" si="254"/>
        <v>5.501713413823369</v>
      </c>
      <c r="K260" s="1">
        <f t="shared" si="254"/>
        <v>5.6074057893588307</v>
      </c>
      <c r="L260" s="1">
        <f t="shared" ref="L260:O260" si="255">L249-L271</f>
        <v>5.5175360562312274</v>
      </c>
      <c r="M260" s="1">
        <f t="shared" si="255"/>
        <v>3.9057330822261798</v>
      </c>
      <c r="N260" s="1">
        <f t="shared" si="255"/>
        <v>3.909666939853456</v>
      </c>
      <c r="O260" s="1">
        <f t="shared" si="255"/>
        <v>3.9972949067432459</v>
      </c>
      <c r="P260" s="1">
        <f t="shared" si="241"/>
        <v>4.3486271788945592</v>
      </c>
      <c r="Q260" s="1">
        <f t="shared" si="241"/>
        <v>4.5961498554074822</v>
      </c>
      <c r="S260" s="3"/>
    </row>
    <row r="261" spans="1:19" x14ac:dyDescent="0.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56">F250-F272</f>
        <v>0</v>
      </c>
      <c r="G261" s="1">
        <f t="shared" si="256"/>
        <v>0</v>
      </c>
      <c r="H261" s="1">
        <f t="shared" si="256"/>
        <v>0</v>
      </c>
      <c r="I261" s="1">
        <f t="shared" si="256"/>
        <v>1.19618096508133E-3</v>
      </c>
      <c r="J261" s="1">
        <f t="shared" si="256"/>
        <v>3.6848429869137857E-3</v>
      </c>
      <c r="K261" s="1">
        <f t="shared" si="256"/>
        <v>3.5761483228760492E-3</v>
      </c>
      <c r="L261" s="1">
        <f t="shared" ref="L261:O261" si="257">L250-L272</f>
        <v>2.6559133405204007E-3</v>
      </c>
      <c r="M261" s="1">
        <f t="shared" si="257"/>
        <v>6.225019240937376E-3</v>
      </c>
      <c r="N261" s="1">
        <f t="shared" si="257"/>
        <v>6.3026108310230335E-3</v>
      </c>
      <c r="O261" s="1">
        <f t="shared" si="257"/>
        <v>1.3001585735760889E-2</v>
      </c>
      <c r="P261" s="1">
        <f t="shared" si="241"/>
        <v>9.9623924808818175E-3</v>
      </c>
      <c r="Q261" s="1">
        <f t="shared" si="241"/>
        <v>2.1444533063353689E-2</v>
      </c>
      <c r="S261" s="3"/>
    </row>
    <row r="262" spans="1:19" x14ac:dyDescent="0.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1.4662484555463198</v>
      </c>
      <c r="G262" s="1">
        <f t="shared" ref="G262:K262" si="258">SUM(G263:G272)</f>
        <v>1.6187940142480794</v>
      </c>
      <c r="H262" s="1">
        <f t="shared" si="258"/>
        <v>1.5702502026634126</v>
      </c>
      <c r="I262" s="1">
        <f t="shared" si="258"/>
        <v>1.5380293614854876</v>
      </c>
      <c r="J262" s="1">
        <f t="shared" si="258"/>
        <v>1.4118605773266453</v>
      </c>
      <c r="K262" s="1">
        <f t="shared" si="258"/>
        <v>1.1775521961084945</v>
      </c>
      <c r="L262" s="1">
        <f t="shared" ref="L262:O262" si="259">SUM(L263:L272)</f>
        <v>1.1271986439027404</v>
      </c>
      <c r="M262" s="1">
        <f t="shared" si="259"/>
        <v>1.0927690322296533</v>
      </c>
      <c r="N262" s="1">
        <f t="shared" si="259"/>
        <v>1.0860390820066901</v>
      </c>
      <c r="O262" s="1">
        <f t="shared" si="259"/>
        <v>1.0877237267057929</v>
      </c>
      <c r="P262" s="1">
        <f>SUM(P263:P272)</f>
        <v>1.0993166668910683</v>
      </c>
      <c r="Q262" s="1">
        <f>SUM(Q263:Q272)</f>
        <v>1.1437551747569883</v>
      </c>
      <c r="R262" s="1"/>
      <c r="S262" s="3"/>
    </row>
    <row r="263" spans="1:19" x14ac:dyDescent="0.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60">F241*IFERROR(F120/F88,0)</f>
        <v>2.0773429704453884E-2</v>
      </c>
      <c r="G263" s="1">
        <f t="shared" si="260"/>
        <v>4.5263602671080146E-3</v>
      </c>
      <c r="H263" s="1">
        <f t="shared" si="260"/>
        <v>5.8495301299648769E-3</v>
      </c>
      <c r="I263" s="1">
        <f t="shared" si="260"/>
        <v>3.357410184133576E-2</v>
      </c>
      <c r="J263" s="1">
        <f t="shared" si="260"/>
        <v>2.781987329226749E-2</v>
      </c>
      <c r="K263" s="1">
        <f t="shared" si="260"/>
        <v>4.3723015035143798E-3</v>
      </c>
      <c r="L263" s="1">
        <f t="shared" ref="L263:O263" si="261">L241*IFERROR(L120/L88,0)</f>
        <v>2.2200720297528317E-3</v>
      </c>
      <c r="M263" s="1">
        <f t="shared" si="261"/>
        <v>1.2323897168196088E-3</v>
      </c>
      <c r="N263" s="1">
        <f t="shared" si="261"/>
        <v>7.0494498344742418E-4</v>
      </c>
      <c r="O263" s="1">
        <f t="shared" si="261"/>
        <v>1.0539165118470641E-3</v>
      </c>
      <c r="P263" s="1">
        <f t="shared" ref="P263:Q272" si="262">P241*IFERROR(P120/P88,0)</f>
        <v>1.814041090273435E-3</v>
      </c>
      <c r="Q263" s="1">
        <f t="shared" si="262"/>
        <v>2.0018136708000161E-3</v>
      </c>
      <c r="S263" s="3"/>
    </row>
    <row r="264" spans="1:19" x14ac:dyDescent="0.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60"/>
        <v>0</v>
      </c>
      <c r="G264" s="1">
        <f t="shared" si="260"/>
        <v>0</v>
      </c>
      <c r="H264" s="1">
        <f t="shared" si="260"/>
        <v>0</v>
      </c>
      <c r="I264" s="1">
        <f t="shared" si="260"/>
        <v>0</v>
      </c>
      <c r="J264" s="1">
        <f t="shared" si="260"/>
        <v>0</v>
      </c>
      <c r="K264" s="1">
        <f t="shared" si="260"/>
        <v>0</v>
      </c>
      <c r="L264" s="1">
        <f t="shared" ref="L264:O264" si="263">L242*IFERROR(L121/L89,0)</f>
        <v>0</v>
      </c>
      <c r="M264" s="1">
        <f t="shared" si="263"/>
        <v>0</v>
      </c>
      <c r="N264" s="1">
        <f t="shared" si="263"/>
        <v>0</v>
      </c>
      <c r="O264" s="1">
        <f t="shared" si="263"/>
        <v>0</v>
      </c>
      <c r="P264" s="1">
        <f t="shared" si="262"/>
        <v>0</v>
      </c>
      <c r="Q264" s="1">
        <f t="shared" si="262"/>
        <v>0</v>
      </c>
      <c r="S264" s="3"/>
    </row>
    <row r="265" spans="1:19" x14ac:dyDescent="0.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60"/>
        <v>0</v>
      </c>
      <c r="G265" s="1">
        <f t="shared" si="260"/>
        <v>0</v>
      </c>
      <c r="H265" s="1">
        <f t="shared" si="260"/>
        <v>0</v>
      </c>
      <c r="I265" s="1">
        <f t="shared" si="260"/>
        <v>7.9554552440012699E-5</v>
      </c>
      <c r="J265" s="1">
        <f t="shared" si="260"/>
        <v>7.5073342084108196E-5</v>
      </c>
      <c r="K265" s="1">
        <f t="shared" si="260"/>
        <v>9.0043662262867814E-5</v>
      </c>
      <c r="L265" s="1">
        <f t="shared" ref="L265:O265" si="264">L243*IFERROR(L122/L90,0)</f>
        <v>1.0877457213916207E-4</v>
      </c>
      <c r="M265" s="1">
        <f t="shared" si="264"/>
        <v>1.5012778911173937E-4</v>
      </c>
      <c r="N265" s="1">
        <f t="shared" si="264"/>
        <v>1.2393537963096917E-4</v>
      </c>
      <c r="O265" s="1">
        <f t="shared" si="264"/>
        <v>1.7942691299778829E-4</v>
      </c>
      <c r="P265" s="1">
        <f t="shared" si="262"/>
        <v>2.0151454822712453E-4</v>
      </c>
      <c r="Q265" s="1">
        <f t="shared" si="262"/>
        <v>3.5755730530238151E-4</v>
      </c>
      <c r="S265" s="3"/>
    </row>
    <row r="266" spans="1:19" x14ac:dyDescent="0.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60"/>
        <v>1.1080179914126484E-3</v>
      </c>
      <c r="G266" s="1">
        <f t="shared" si="260"/>
        <v>4.3583680238801171E-4</v>
      </c>
      <c r="H266" s="1">
        <f t="shared" si="260"/>
        <v>3.3629277112073178E-3</v>
      </c>
      <c r="I266" s="1">
        <f t="shared" si="260"/>
        <v>1.5142424033434481E-3</v>
      </c>
      <c r="J266" s="1">
        <f t="shared" si="260"/>
        <v>2.507539417126373E-3</v>
      </c>
      <c r="K266" s="1">
        <f t="shared" si="260"/>
        <v>1.8692319140266973E-3</v>
      </c>
      <c r="L266" s="1">
        <f t="shared" ref="L266:O266" si="265">L244*IFERROR(L123/L91,0)</f>
        <v>1.5298685929746665E-3</v>
      </c>
      <c r="M266" s="1">
        <f t="shared" si="265"/>
        <v>1.9814226792047068E-3</v>
      </c>
      <c r="N266" s="1">
        <f t="shared" si="265"/>
        <v>1.5951971508696675E-3</v>
      </c>
      <c r="O266" s="1">
        <f t="shared" si="265"/>
        <v>1.7971788872051778E-3</v>
      </c>
      <c r="P266" s="1">
        <f t="shared" si="262"/>
        <v>5.699660986791197E-3</v>
      </c>
      <c r="Q266" s="1">
        <f t="shared" si="262"/>
        <v>6.2350743148868997E-3</v>
      </c>
      <c r="S266" s="3"/>
    </row>
    <row r="267" spans="1:19" x14ac:dyDescent="0.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60"/>
        <v>0</v>
      </c>
      <c r="G267" s="1">
        <f t="shared" si="260"/>
        <v>0</v>
      </c>
      <c r="H267" s="1">
        <f t="shared" si="260"/>
        <v>0</v>
      </c>
      <c r="I267" s="1">
        <f t="shared" si="260"/>
        <v>0</v>
      </c>
      <c r="J267" s="1">
        <f t="shared" si="260"/>
        <v>0</v>
      </c>
      <c r="K267" s="1">
        <f t="shared" si="260"/>
        <v>0</v>
      </c>
      <c r="L267" s="1">
        <f t="shared" ref="L267:O267" si="266">L245*IFERROR(L124/L92,0)</f>
        <v>0</v>
      </c>
      <c r="M267" s="1">
        <f t="shared" si="266"/>
        <v>0</v>
      </c>
      <c r="N267" s="1">
        <f t="shared" si="266"/>
        <v>0</v>
      </c>
      <c r="O267" s="1">
        <f t="shared" si="266"/>
        <v>0</v>
      </c>
      <c r="P267" s="1">
        <f t="shared" si="262"/>
        <v>0</v>
      </c>
      <c r="Q267" s="1">
        <f t="shared" si="262"/>
        <v>0</v>
      </c>
      <c r="S267" s="3"/>
    </row>
    <row r="268" spans="1:19" x14ac:dyDescent="0.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60"/>
        <v>1.6343128297857943E-3</v>
      </c>
      <c r="G268" s="1">
        <f t="shared" si="260"/>
        <v>2.3938506104266314E-3</v>
      </c>
      <c r="H268" s="1">
        <f t="shared" si="260"/>
        <v>2.2418040440833287E-2</v>
      </c>
      <c r="I268" s="1">
        <f t="shared" si="260"/>
        <v>5.4301679187710152E-2</v>
      </c>
      <c r="J268" s="1">
        <f t="shared" si="260"/>
        <v>4.2649220616218349E-2</v>
      </c>
      <c r="K268" s="1">
        <f t="shared" si="260"/>
        <v>3.4945436066187004E-2</v>
      </c>
      <c r="L268" s="1">
        <f t="shared" ref="L268:O268" si="267">L246*IFERROR(L125/L93,0)</f>
        <v>2.4786541755346392E-2</v>
      </c>
      <c r="M268" s="1">
        <f t="shared" si="267"/>
        <v>2.2916333326464637E-2</v>
      </c>
      <c r="N268" s="1">
        <f t="shared" si="267"/>
        <v>2.0866953610320076E-2</v>
      </c>
      <c r="O268" s="1">
        <f t="shared" si="267"/>
        <v>2.099836619973109E-2</v>
      </c>
      <c r="P268" s="1">
        <f t="shared" si="262"/>
        <v>1.9546920275016921E-2</v>
      </c>
      <c r="Q268" s="1">
        <f t="shared" si="262"/>
        <v>2.0711846985181307E-2</v>
      </c>
      <c r="S268" s="3"/>
    </row>
    <row r="269" spans="1:19" x14ac:dyDescent="0.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60"/>
        <v>0</v>
      </c>
      <c r="G269" s="1">
        <f t="shared" si="260"/>
        <v>0</v>
      </c>
      <c r="H269" s="1">
        <f t="shared" si="260"/>
        <v>0</v>
      </c>
      <c r="I269" s="1">
        <f t="shared" si="260"/>
        <v>0</v>
      </c>
      <c r="J269" s="1">
        <f t="shared" si="260"/>
        <v>0</v>
      </c>
      <c r="K269" s="1">
        <f t="shared" si="260"/>
        <v>0</v>
      </c>
      <c r="L269" s="1">
        <f t="shared" ref="L269:O269" si="268">L247*IFERROR(L126/L94,0)</f>
        <v>0</v>
      </c>
      <c r="M269" s="1">
        <f t="shared" si="268"/>
        <v>0</v>
      </c>
      <c r="N269" s="1">
        <f t="shared" si="268"/>
        <v>0</v>
      </c>
      <c r="O269" s="1">
        <f t="shared" si="268"/>
        <v>0</v>
      </c>
      <c r="P269" s="1">
        <f t="shared" si="262"/>
        <v>0</v>
      </c>
      <c r="Q269" s="1">
        <f t="shared" si="262"/>
        <v>0</v>
      </c>
      <c r="S269" s="3"/>
    </row>
    <row r="270" spans="1:19" x14ac:dyDescent="0.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60"/>
        <v>1.424318480075953</v>
      </c>
      <c r="G270" s="1">
        <f t="shared" si="260"/>
        <v>1.5785750949686741</v>
      </c>
      <c r="H270" s="1">
        <f t="shared" si="260"/>
        <v>1.4831586338876217</v>
      </c>
      <c r="I270" s="1">
        <f t="shared" si="260"/>
        <v>1.3241277409395629</v>
      </c>
      <c r="J270" s="1">
        <f t="shared" si="260"/>
        <v>1.1651000909257894</v>
      </c>
      <c r="K270" s="1">
        <f t="shared" si="260"/>
        <v>1.0060731806383227</v>
      </c>
      <c r="L270" s="1">
        <f t="shared" ref="L270:O270" si="269">L248*IFERROR(L127/L95,0)</f>
        <v>1.0060786714680234</v>
      </c>
      <c r="M270" s="1">
        <f t="shared" si="269"/>
        <v>1.0060923661242847</v>
      </c>
      <c r="N270" s="1">
        <f t="shared" si="269"/>
        <v>1.0061013311255349</v>
      </c>
      <c r="O270" s="1">
        <f t="shared" si="269"/>
        <v>1.0061269062928679</v>
      </c>
      <c r="P270" s="1">
        <f t="shared" si="262"/>
        <v>1.0061573660427634</v>
      </c>
      <c r="Q270" s="1">
        <f t="shared" si="262"/>
        <v>1.0392010830458855</v>
      </c>
      <c r="S270" s="3"/>
    </row>
    <row r="271" spans="1:19" x14ac:dyDescent="0.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60"/>
        <v>1.8414214944714492E-2</v>
      </c>
      <c r="G271" s="1">
        <f t="shared" si="260"/>
        <v>3.2862871599482722E-2</v>
      </c>
      <c r="H271" s="1">
        <f t="shared" si="260"/>
        <v>5.546107049378543E-2</v>
      </c>
      <c r="I271" s="1">
        <f t="shared" si="260"/>
        <v>0.12437998277906867</v>
      </c>
      <c r="J271" s="1">
        <f t="shared" si="260"/>
        <v>0.17359251392478278</v>
      </c>
      <c r="K271" s="1">
        <f t="shared" si="260"/>
        <v>0.13011901833360348</v>
      </c>
      <c r="L271" s="1">
        <f t="shared" ref="L271:O271" si="270">L249*IFERROR(L128/L96,0)</f>
        <v>9.2430223403092412E-2</v>
      </c>
      <c r="M271" s="1">
        <f t="shared" si="270"/>
        <v>6.0300285044497831E-2</v>
      </c>
      <c r="N271" s="1">
        <f t="shared" si="270"/>
        <v>5.6555548917874933E-2</v>
      </c>
      <c r="O271" s="1">
        <f t="shared" si="270"/>
        <v>5.7381293730213799E-2</v>
      </c>
      <c r="P271" s="1">
        <f t="shared" si="262"/>
        <v>6.5746543340142086E-2</v>
      </c>
      <c r="Q271" s="1">
        <f t="shared" si="262"/>
        <v>7.4898341733113202E-2</v>
      </c>
      <c r="S271" s="3"/>
    </row>
    <row r="272" spans="1:19" x14ac:dyDescent="0.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60"/>
        <v>0</v>
      </c>
      <c r="G272" s="1">
        <f t="shared" si="260"/>
        <v>0</v>
      </c>
      <c r="H272" s="1">
        <f t="shared" si="260"/>
        <v>0</v>
      </c>
      <c r="I272" s="1">
        <f t="shared" si="260"/>
        <v>5.2059782026823111E-5</v>
      </c>
      <c r="J272" s="1">
        <f t="shared" si="260"/>
        <v>1.1626580837694751E-4</v>
      </c>
      <c r="K272" s="1">
        <f t="shared" si="260"/>
        <v>8.2983990577432568E-5</v>
      </c>
      <c r="L272" s="1">
        <f t="shared" ref="L272:O272" si="271">L250*IFERROR(L129/L97,0)</f>
        <v>4.4492081411287522E-5</v>
      </c>
      <c r="M272" s="1">
        <f t="shared" si="271"/>
        <v>9.6107549270124372E-5</v>
      </c>
      <c r="N272" s="1">
        <f t="shared" si="271"/>
        <v>9.1170839012085281E-5</v>
      </c>
      <c r="O272" s="1">
        <f t="shared" si="271"/>
        <v>1.8663817092997225E-4</v>
      </c>
      <c r="P272" s="1">
        <f t="shared" si="262"/>
        <v>1.5062060785406398E-4</v>
      </c>
      <c r="Q272" s="1">
        <f t="shared" si="262"/>
        <v>3.4945770181893073E-4</v>
      </c>
      <c r="S272" s="3"/>
    </row>
    <row r="273" spans="1:19" x14ac:dyDescent="0.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1.9348727378798576</v>
      </c>
      <c r="G273" s="1">
        <f t="shared" ref="G273:K273" si="272">SUM(G274:G275)</f>
        <v>1.8587804687164697</v>
      </c>
      <c r="H273" s="1">
        <f t="shared" si="272"/>
        <v>2.5503198741922724</v>
      </c>
      <c r="I273" s="1">
        <f t="shared" si="272"/>
        <v>2.2433473932518968</v>
      </c>
      <c r="J273" s="1">
        <f t="shared" si="272"/>
        <v>1.9426896969541281</v>
      </c>
      <c r="K273" s="1">
        <f t="shared" si="272"/>
        <v>1.6589384644381573</v>
      </c>
      <c r="L273" s="1">
        <f t="shared" ref="L273:O273" si="273">SUM(L274:L275)</f>
        <v>1.3779709305886723</v>
      </c>
      <c r="M273" s="1">
        <f t="shared" si="273"/>
        <v>1.0997974320142716</v>
      </c>
      <c r="N273" s="1">
        <f t="shared" si="273"/>
        <v>1.0997813472972522</v>
      </c>
      <c r="O273" s="1">
        <f t="shared" si="273"/>
        <v>1.0997967160463289</v>
      </c>
      <c r="P273" s="1">
        <f>SUM(P274:P275)</f>
        <v>1.0997877645375256</v>
      </c>
      <c r="Q273" s="1">
        <f>SUM(Q274:Q275)</f>
        <v>1.0998350200247728</v>
      </c>
      <c r="S273" s="3"/>
    </row>
    <row r="274" spans="1:19" x14ac:dyDescent="0.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1.9348727378798576</v>
      </c>
      <c r="G274" s="1">
        <f>'[1]Electricity and CHPs'!C$106-G275</f>
        <v>1.8587804687164697</v>
      </c>
      <c r="H274" s="1">
        <f>'[1]Electricity and CHPs'!D$106-H275</f>
        <v>2.5503198741922724</v>
      </c>
      <c r="I274" s="1">
        <f>'[1]Electricity and CHPs'!E$106-I275</f>
        <v>2.2433473932518968</v>
      </c>
      <c r="J274" s="1">
        <f>'[1]Electricity and CHPs'!F$106-J275</f>
        <v>1.9426896969541281</v>
      </c>
      <c r="K274" s="1">
        <f>'[1]Electricity and CHPs'!G$106-K275</f>
        <v>1.6589384644381573</v>
      </c>
      <c r="L274" s="1">
        <f>'[1]Electricity and CHPs'!H$106-L275</f>
        <v>1.3779709305886723</v>
      </c>
      <c r="M274" s="1">
        <f>'[1]Electricity and CHPs'!I$106-M275</f>
        <v>1.0997974320142716</v>
      </c>
      <c r="N274" s="1">
        <f>'[1]Electricity and CHPs'!J$106-N275</f>
        <v>1.0997813472972522</v>
      </c>
      <c r="O274" s="1">
        <f>'[1]Electricity and CHPs'!K$106-O275</f>
        <v>1.0997967160463289</v>
      </c>
      <c r="P274" s="1">
        <f>'[1]Electricity and CHPs'!L$106-P275</f>
        <v>1.0997877645375256</v>
      </c>
      <c r="Q274" s="1">
        <f>'[1]Electricity and CHPs'!M$106-Q275</f>
        <v>1.0998350200247728</v>
      </c>
      <c r="S274" s="3"/>
    </row>
    <row r="275" spans="1:19" x14ac:dyDescent="0.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SUMPRODUCT((ISNUMBER(SEARCH("itot*CHPWST*ccs*",[1]OUT_Electricity_CHP!$B$1:$B$10000)))*1,([1]OUT_Electricity_CHP!$C$1:$C$10000="Var_Fout")*1,+([1]OUT_Electricity_CHP!$D$1:$D$10000="ITOT_LTH_CHP")*1,[1]OUT_Electricity_CHP!I$1:I$10000)</f>
        <v>0</v>
      </c>
      <c r="K275" s="10" cm="1">
        <f t="array" ref="K275">SUMPRODUCT((ISNUMBER(SEARCH("itot*CHPWST*ccs*",[1]OUT_Electricity_CHP!$B$1:$B$10000)))*1,([1]OUT_Electricity_CHP!$C$1:$C$10000="Var_Fout")*1,+([1]OUT_Electricity_CHP!$D$1:$D$10000="ITOT_LTH_CHP")*1,[1]OUT_Electricity_CHP!J$1:J$10000)</f>
        <v>0</v>
      </c>
      <c r="L275" s="10" cm="1">
        <f t="array" ref="L275">SUMPRODUCT((ISNUMBER(SEARCH("itot*CHPWST*ccs*",[1]OUT_Electricity_CHP!$B$1:$B$10000)))*1,([1]OUT_Electricity_CHP!$C$1:$C$10000="Var_Fout")*1,+([1]OUT_Electricity_CHP!$D$1:$D$10000="ITOT_LTH_CHP")*1,[1]OUT_Electricity_CHP!K$1:K$10000)</f>
        <v>0</v>
      </c>
      <c r="M275" s="10" cm="1">
        <f t="array" ref="M275">SUMPRODUCT((ISNUMBER(SEARCH("itot*CHPWST*ccs*",[1]OUT_Electricity_CHP!$B$1:$B$10000)))*1,([1]OUT_Electricity_CHP!$C$1:$C$10000="Var_Fout")*1,+([1]OUT_Electricity_CHP!$D$1:$D$10000="ITOT_LTH_CHP")*1,[1]OUT_Electricity_CHP!L$1:L$10000)</f>
        <v>0</v>
      </c>
      <c r="N275" s="10" cm="1">
        <f t="array" ref="N275">SUMPRODUCT((ISNUMBER(SEARCH("itot*CHPWST*ccs*",[1]OUT_Electricity_CHP!$B$1:$B$10000)))*1,([1]OUT_Electricity_CHP!$C$1:$C$10000="Var_Fout")*1,+([1]OUT_Electricity_CHP!$D$1:$D$10000="ITOT_LTH_CHP")*1,[1]OUT_Electricity_CHP!M$1:M$10000)</f>
        <v>0</v>
      </c>
      <c r="O275" s="10" cm="1">
        <f t="array" ref="O275">SUMPRODUCT((ISNUMBER(SEARCH("itot*CHPWST*ccs*",[1]OUT_Electricity_CHP!$B$1:$B$10000)))*1,([1]OUT_Electricity_CHP!$C$1:$C$10000="Var_Fout")*1,+([1]OUT_Electricity_CHP!$D$1:$D$10000="ITOT_LTH_CHP")*1,[1]OUT_Electricity_CHP!N$1:N$10000)</f>
        <v>0</v>
      </c>
      <c r="P275" s="10" cm="1">
        <f t="array" ref="P275">SUMPRODUCT((ISNUMBER(SEARCH("itot*CHPWST*ccs*",[1]OUT_Electricity_CHP!$B$1:$B$10000)))*1,([1]OUT_Electricity_CHP!$C$1:$C$10000="Var_Fout")*1,+([1]OUT_Electricity_CHP!$D$1:$D$10000="ITOT_LTH_CHP")*1,[1]OUT_Electricity_CHP!O$1:O$10000)</f>
        <v>0</v>
      </c>
      <c r="Q275" s="10" cm="1">
        <f t="array" ref="Q275">SUMPRODUCT((ISNUMBER(SEARCH("itot*CHPWST*ccs*",[1]OUT_Electricity_CHP!$B$1:$B$10000)))*1,([1]OUT_Electricity_CHP!$C$1:$C$10000="Var_Fout")*1,+([1]OUT_Electricity_CHP!$D$1:$D$10000="ITOT_LTH_CHP")*1,[1]OUT_Electricity_CHP!P$1:P$10000)</f>
        <v>0</v>
      </c>
      <c r="S275" s="3"/>
    </row>
    <row r="276" spans="1:19" x14ac:dyDescent="0.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74">SUM(G277:G278)</f>
        <v>0</v>
      </c>
      <c r="H276" s="10">
        <f t="shared" si="274"/>
        <v>0</v>
      </c>
      <c r="I276" s="10">
        <f t="shared" si="274"/>
        <v>0</v>
      </c>
      <c r="J276" s="10">
        <f t="shared" si="274"/>
        <v>0</v>
      </c>
      <c r="K276" s="10">
        <f t="shared" si="274"/>
        <v>0</v>
      </c>
      <c r="L276" s="10">
        <f t="shared" ref="L276:O276" si="275">SUM(L277:L278)</f>
        <v>0</v>
      </c>
      <c r="M276" s="10">
        <f t="shared" si="275"/>
        <v>0</v>
      </c>
      <c r="N276" s="10">
        <f t="shared" si="275"/>
        <v>0</v>
      </c>
      <c r="O276" s="10">
        <f t="shared" si="275"/>
        <v>0</v>
      </c>
      <c r="P276" s="10">
        <f>SUM(P277:P278)</f>
        <v>0</v>
      </c>
      <c r="Q276" s="10">
        <f>SUM(Q277:Q278)</f>
        <v>0</v>
      </c>
      <c r="S276" s="3"/>
    </row>
    <row r="277" spans="1:19" x14ac:dyDescent="0.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S277" s="3"/>
    </row>
    <row r="278" spans="1:19" x14ac:dyDescent="0.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S278" s="3"/>
    </row>
    <row r="279" spans="1:19" x14ac:dyDescent="0.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1.9348727378798576</v>
      </c>
      <c r="G279" s="1">
        <f t="shared" ref="G279:K279" si="276">SUM(G280:G281)</f>
        <v>1.8587804687164697</v>
      </c>
      <c r="H279" s="1">
        <f t="shared" si="276"/>
        <v>2.5503198741922724</v>
      </c>
      <c r="I279" s="1">
        <f t="shared" si="276"/>
        <v>2.2433473932518968</v>
      </c>
      <c r="J279" s="1">
        <f t="shared" si="276"/>
        <v>1.9426896969541281</v>
      </c>
      <c r="K279" s="1">
        <f t="shared" si="276"/>
        <v>1.6589384644381573</v>
      </c>
      <c r="L279" s="1">
        <f t="shared" ref="L279:O279" si="277">SUM(L280:L281)</f>
        <v>1.3779709305886723</v>
      </c>
      <c r="M279" s="1">
        <f t="shared" si="277"/>
        <v>1.0997974320142716</v>
      </c>
      <c r="N279" s="1">
        <f t="shared" si="277"/>
        <v>1.0997813472972522</v>
      </c>
      <c r="O279" s="1">
        <f t="shared" si="277"/>
        <v>1.0997967160463289</v>
      </c>
      <c r="P279" s="1">
        <f>SUM(P280:P281)</f>
        <v>1.0997877645375256</v>
      </c>
      <c r="Q279" s="1">
        <f>SUM(Q280:Q281)</f>
        <v>1.0998350200247728</v>
      </c>
      <c r="S279" s="3"/>
    </row>
    <row r="280" spans="1:19" x14ac:dyDescent="0.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1.9348727378798576</v>
      </c>
      <c r="G280" s="1">
        <f t="shared" ref="G280:K280" si="278">G274</f>
        <v>1.8587804687164697</v>
      </c>
      <c r="H280" s="1">
        <f t="shared" si="278"/>
        <v>2.5503198741922724</v>
      </c>
      <c r="I280" s="1">
        <f t="shared" si="278"/>
        <v>2.2433473932518968</v>
      </c>
      <c r="J280" s="1">
        <f t="shared" si="278"/>
        <v>1.9426896969541281</v>
      </c>
      <c r="K280" s="1">
        <f t="shared" si="278"/>
        <v>1.6589384644381573</v>
      </c>
      <c r="L280" s="1">
        <f t="shared" ref="L280:O280" si="279">L274</f>
        <v>1.3779709305886723</v>
      </c>
      <c r="M280" s="1">
        <f t="shared" si="279"/>
        <v>1.0997974320142716</v>
      </c>
      <c r="N280" s="1">
        <f t="shared" si="279"/>
        <v>1.0997813472972522</v>
      </c>
      <c r="O280" s="1">
        <f t="shared" si="279"/>
        <v>1.0997967160463289</v>
      </c>
      <c r="P280" s="1">
        <f>P274</f>
        <v>1.0997877645375256</v>
      </c>
      <c r="Q280" s="1">
        <f>Q274</f>
        <v>1.0998350200247728</v>
      </c>
      <c r="S280" s="3"/>
    </row>
    <row r="281" spans="1:19" x14ac:dyDescent="0.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80">F275</f>
        <v>0</v>
      </c>
      <c r="G281" s="1">
        <f t="shared" si="280"/>
        <v>0</v>
      </c>
      <c r="H281" s="1">
        <f t="shared" si="280"/>
        <v>0</v>
      </c>
      <c r="I281" s="1">
        <f t="shared" si="280"/>
        <v>0</v>
      </c>
      <c r="J281" s="1">
        <f t="shared" si="280"/>
        <v>0</v>
      </c>
      <c r="K281" s="1">
        <f t="shared" si="280"/>
        <v>0</v>
      </c>
      <c r="L281" s="1">
        <f t="shared" ref="L281:O281" si="281">L275</f>
        <v>0</v>
      </c>
      <c r="M281" s="1">
        <f t="shared" si="281"/>
        <v>0</v>
      </c>
      <c r="N281" s="1">
        <f t="shared" si="281"/>
        <v>0</v>
      </c>
      <c r="O281" s="1">
        <f t="shared" si="281"/>
        <v>0</v>
      </c>
      <c r="P281" s="1">
        <f>P275</f>
        <v>0</v>
      </c>
      <c r="Q281" s="1">
        <f>Q275</f>
        <v>0</v>
      </c>
      <c r="S281" s="3"/>
    </row>
    <row r="282" spans="1:19" x14ac:dyDescent="0.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0.66044813026674132</v>
      </c>
      <c r="G282" s="1">
        <f t="shared" ref="G282:K282" si="282">SUM(G283:G287)</f>
        <v>1.8152122309921928</v>
      </c>
      <c r="H282" s="1">
        <f t="shared" si="282"/>
        <v>3.4403201586048295</v>
      </c>
      <c r="I282" s="1">
        <f t="shared" si="282"/>
        <v>4.2259702660718146</v>
      </c>
      <c r="J282" s="1">
        <f t="shared" si="282"/>
        <v>5.5469408276234251</v>
      </c>
      <c r="K282" s="1">
        <f t="shared" si="282"/>
        <v>6.8884238245258995</v>
      </c>
      <c r="L282" s="1">
        <f t="shared" ref="L282:O282" si="283">SUM(L283:L287)</f>
        <v>9.3916821459130961</v>
      </c>
      <c r="M282" s="1">
        <f t="shared" si="283"/>
        <v>11.46590728065001</v>
      </c>
      <c r="N282" s="1">
        <f t="shared" si="283"/>
        <v>11.86307376632965</v>
      </c>
      <c r="O282" s="1">
        <f t="shared" si="283"/>
        <v>11.725771920277506</v>
      </c>
      <c r="P282" s="1">
        <f>SUM(P283:P287)</f>
        <v>11.718127099054916</v>
      </c>
      <c r="Q282" s="1">
        <f>SUM(Q283:Q287)</f>
        <v>11.801391277917221</v>
      </c>
      <c r="S282" s="3"/>
    </row>
    <row r="283" spans="1:19" x14ac:dyDescent="0.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0.66044813026674132</v>
      </c>
      <c r="G283" s="1">
        <f>'[1]Electricity and CHPs'!C$105-G284</f>
        <v>1.8152122309921928</v>
      </c>
      <c r="H283" s="1">
        <f>'[1]Electricity and CHPs'!D$105-H284</f>
        <v>3.4403201586048295</v>
      </c>
      <c r="I283" s="1">
        <f>'[1]Electricity and CHPs'!E$105-I284</f>
        <v>4.1733094220825375</v>
      </c>
      <c r="J283" s="1">
        <f>'[1]Electricity and CHPs'!F$105-J284</f>
        <v>5.4824854848400051</v>
      </c>
      <c r="K283" s="1">
        <f>'[1]Electricity and CHPs'!G$105-K284</f>
        <v>6.8294087685458775</v>
      </c>
      <c r="L283" s="1">
        <f>'[1]Electricity and CHPs'!H$105-L284</f>
        <v>9.3185163448749631</v>
      </c>
      <c r="M283" s="1">
        <f>'[1]Electricity and CHPs'!I$105-M284</f>
        <v>11.323551793869488</v>
      </c>
      <c r="N283" s="1">
        <f>'[1]Electricity and CHPs'!J$105-N284</f>
        <v>11.730523577682733</v>
      </c>
      <c r="O283" s="1">
        <f>'[1]Electricity and CHPs'!K$105-O284</f>
        <v>11.584816653177928</v>
      </c>
      <c r="P283" s="1">
        <f>'[1]Electricity and CHPs'!L$105-P284</f>
        <v>11.584954435195908</v>
      </c>
      <c r="Q283" s="1">
        <f>'[1]Electricity and CHPs'!M$105-Q284</f>
        <v>11.565399500589573</v>
      </c>
      <c r="S283" s="3"/>
    </row>
    <row r="284" spans="1:19" x14ac:dyDescent="0.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SUMPRODUCT((ISNUMBER(SEARCH("itot*CHPWOD*ccs",[1]OUT_Electricity_CHP!$B$1:$B$10000)))*1,([1]OUT_Electricity_CHP!$C$1:$C$10000="Var_Fout")*1,([1]OUT_Electricity_CHP!$D$1:$D$10000="ITOT_LTH_CHP")*1,[1]OUT_Electricity_CHP!I$1:I$10000)</f>
        <v>0</v>
      </c>
      <c r="K284" s="1" cm="1">
        <f t="array" ref="K284">SUMPRODUCT((ISNUMBER(SEARCH("itot*CHPWOD*ccs",[1]OUT_Electricity_CHP!$B$1:$B$10000)))*1,([1]OUT_Electricity_CHP!$C$1:$C$10000="Var_Fout")*1,([1]OUT_Electricity_CHP!$D$1:$D$10000="ITOT_LTH_CHP")*1,[1]OUT_Electricity_CHP!J$1:J$10000)</f>
        <v>0</v>
      </c>
      <c r="L284" s="1" cm="1">
        <f t="array" ref="L284">SUMPRODUCT((ISNUMBER(SEARCH("itot*CHPWOD*ccs",[1]OUT_Electricity_CHP!$B$1:$B$10000)))*1,([1]OUT_Electricity_CHP!$C$1:$C$10000="Var_Fout")*1,([1]OUT_Electricity_CHP!$D$1:$D$10000="ITOT_LTH_CHP")*1,[1]OUT_Electricity_CHP!K$1:K$10000)</f>
        <v>0</v>
      </c>
      <c r="M284" s="1" cm="1">
        <f t="array" ref="M284">SUMPRODUCT((ISNUMBER(SEARCH("itot*CHPWOD*ccs",[1]OUT_Electricity_CHP!$B$1:$B$10000)))*1,([1]OUT_Electricity_CHP!$C$1:$C$10000="Var_Fout")*1,([1]OUT_Electricity_CHP!$D$1:$D$10000="ITOT_LTH_CHP")*1,[1]OUT_Electricity_CHP!L$1:L$10000)</f>
        <v>0</v>
      </c>
      <c r="N284" s="1" cm="1">
        <f t="array" ref="N284">SUMPRODUCT((ISNUMBER(SEARCH("itot*CHPWOD*ccs",[1]OUT_Electricity_CHP!$B$1:$B$10000)))*1,([1]OUT_Electricity_CHP!$C$1:$C$10000="Var_Fout")*1,([1]OUT_Electricity_CHP!$D$1:$D$10000="ITOT_LTH_CHP")*1,[1]OUT_Electricity_CHP!M$1:M$10000)</f>
        <v>0</v>
      </c>
      <c r="O284" s="1" cm="1">
        <f t="array" ref="O284">SUMPRODUCT((ISNUMBER(SEARCH("itot*CHPWOD*ccs",[1]OUT_Electricity_CHP!$B$1:$B$10000)))*1,([1]OUT_Electricity_CHP!$C$1:$C$10000="Var_Fout")*1,([1]OUT_Electricity_CHP!$D$1:$D$10000="ITOT_LTH_CHP")*1,[1]OUT_Electricity_CHP!N$1:N$10000)</f>
        <v>0</v>
      </c>
      <c r="P284" s="1" cm="1">
        <f t="array" ref="P284">SUMPRODUCT((ISNUMBER(SEARCH("itot*CHPWOD*ccs",[1]OUT_Electricity_CHP!$B$1:$B$10000)))*1,([1]OUT_Electricity_CHP!$C$1:$C$10000="Var_Fout")*1,([1]OUT_Electricity_CHP!$D$1:$D$10000="ITOT_LTH_CHP")*1,[1]OUT_Electricity_CHP!O$1:O$10000)</f>
        <v>0</v>
      </c>
      <c r="Q284" s="1" cm="1">
        <f t="array" ref="Q284">SUMPRODUCT((ISNUMBER(SEARCH("itot*CHPWOD*ccs",[1]OUT_Electricity_CHP!$B$1:$B$10000)))*1,([1]OUT_Electricity_CHP!$C$1:$C$10000="Var_Fout")*1,([1]OUT_Electricity_CHP!$D$1:$D$10000="ITOT_LTH_CHP")*1,[1]OUT_Electricity_CHP!P$1:P$10000)</f>
        <v>0</v>
      </c>
      <c r="S284" s="3"/>
    </row>
    <row r="285" spans="1:19" x14ac:dyDescent="0.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1.0042876699754595E-2</v>
      </c>
      <c r="J285" s="1">
        <f>'[1]Electricity and CHPs'!F$110</f>
        <v>1.905980195563578E-2</v>
      </c>
      <c r="K285" s="1">
        <f>'[1]Electricity and CHPs'!G$110</f>
        <v>1.8942271091476223E-2</v>
      </c>
      <c r="L285" s="1">
        <f>'[1]Electricity and CHPs'!H$110</f>
        <v>2.0023413207137811E-2</v>
      </c>
      <c r="M285" s="1">
        <f>'[1]Electricity and CHPs'!I$110</f>
        <v>3.9343017326410212E-2</v>
      </c>
      <c r="N285" s="1">
        <f>'[1]Electricity and CHPs'!J$110</f>
        <v>3.6632643264465185E-2</v>
      </c>
      <c r="O285" s="1">
        <f>'[1]Electricity and CHPs'!K$110</f>
        <v>4.6883463911102416E-2</v>
      </c>
      <c r="P285" s="1">
        <f>'[1]Electricity and CHPs'!L$110</f>
        <v>3.4310769303832735E-2</v>
      </c>
      <c r="Q285" s="1">
        <f>'[1]Electricity and CHPs'!M$110</f>
        <v>5.9353275093617541E-2</v>
      </c>
      <c r="S285" s="3"/>
    </row>
    <row r="286" spans="1:19" x14ac:dyDescent="0.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2.5634759749789737E-2</v>
      </c>
      <c r="J286" s="1">
        <f>'[1]Electricity and CHPs'!F$113</f>
        <v>3.2623778015843499E-2</v>
      </c>
      <c r="K286" s="1">
        <f>'[1]Electricity and CHPs'!G$113</f>
        <v>3.0020744950713701E-2</v>
      </c>
      <c r="L286" s="1">
        <f>'[1]Electricity and CHPs'!H$113</f>
        <v>3.6437764082016141E-2</v>
      </c>
      <c r="M286" s="1">
        <f>'[1]Electricity and CHPs'!I$113</f>
        <v>7.9955407096219344E-2</v>
      </c>
      <c r="N286" s="1">
        <f>'[1]Electricity and CHPs'!J$113</f>
        <v>7.4888394448176937E-2</v>
      </c>
      <c r="O286" s="1">
        <f>'[1]Electricity and CHPs'!K$113</f>
        <v>6.71829485020385E-2</v>
      </c>
      <c r="P286" s="1">
        <f>'[1]Electricity and CHPs'!L$113</f>
        <v>7.1316083961589713E-2</v>
      </c>
      <c r="Q286" s="1">
        <f>'[1]Electricity and CHPs'!M$113</f>
        <v>0.12195239692951965</v>
      </c>
      <c r="S286" s="3"/>
    </row>
    <row r="287" spans="1:19" x14ac:dyDescent="0.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1.6983207539732852E-2</v>
      </c>
      <c r="J287" s="1">
        <f>'[1]Electricity and CHPs'!F$117</f>
        <v>1.2771762811940869E-2</v>
      </c>
      <c r="K287" s="1">
        <f>'[1]Electricity and CHPs'!G$117</f>
        <v>1.0052039937831684E-2</v>
      </c>
      <c r="L287" s="1">
        <f>'[1]Electricity and CHPs'!H$117</f>
        <v>1.6704623748979176E-2</v>
      </c>
      <c r="M287" s="1">
        <f>'[1]Electricity and CHPs'!I$117</f>
        <v>2.3057062357892413E-2</v>
      </c>
      <c r="N287" s="1">
        <f>'[1]Electricity and CHPs'!J$117</f>
        <v>2.1029150934274553E-2</v>
      </c>
      <c r="O287" s="1">
        <f>'[1]Electricity and CHPs'!K$117</f>
        <v>2.6888854686437386E-2</v>
      </c>
      <c r="P287" s="1">
        <f>'[1]Electricity and CHPs'!L$117</f>
        <v>2.7545810593587624E-2</v>
      </c>
      <c r="Q287" s="1">
        <f>'[1]Electricity and CHPs'!M$117</f>
        <v>5.4686105304511401E-2</v>
      </c>
      <c r="S287" s="3"/>
    </row>
    <row r="288" spans="1:19" x14ac:dyDescent="0.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84">SUM(G289:G290)</f>
        <v>0</v>
      </c>
      <c r="H288" s="1">
        <f t="shared" si="284"/>
        <v>0</v>
      </c>
      <c r="I288" s="1">
        <f t="shared" si="284"/>
        <v>6.0759157424778894E-3</v>
      </c>
      <c r="J288" s="1">
        <f t="shared" si="284"/>
        <v>1.5264999425901288E-2</v>
      </c>
      <c r="K288" s="1">
        <f t="shared" si="284"/>
        <v>2.0079116205914287E-2</v>
      </c>
      <c r="L288" s="1">
        <f t="shared" ref="L288:O288" si="285">SUM(L289:L290)</f>
        <v>1.960286821386743E-2</v>
      </c>
      <c r="M288" s="1">
        <f t="shared" si="285"/>
        <v>4.607080757644267E-2</v>
      </c>
      <c r="N288" s="1">
        <f t="shared" si="285"/>
        <v>4.1850766745460011E-2</v>
      </c>
      <c r="O288" s="1">
        <f t="shared" si="285"/>
        <v>0.10529399332135027</v>
      </c>
      <c r="P288" s="1">
        <f>SUM(P289:P290)</f>
        <v>9.5362732962466362E-2</v>
      </c>
      <c r="Q288" s="1">
        <f>SUM(Q289:Q290)</f>
        <v>0.13437636286424176</v>
      </c>
      <c r="S288" s="3"/>
    </row>
    <row r="289" spans="1:19" x14ac:dyDescent="0.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3.6302158192602282E-3</v>
      </c>
      <c r="J289" s="1">
        <f>'[1]Electricity and CHPs'!F$108</f>
        <v>9.8563069595377847E-3</v>
      </c>
      <c r="K289" s="1">
        <f>'[1]Electricity and CHPs'!G$108</f>
        <v>1.4538938386191051E-2</v>
      </c>
      <c r="L289" s="1">
        <f>'[1]Electricity and CHPs'!H$108</f>
        <v>1.3080109034063526E-2</v>
      </c>
      <c r="M289" s="1">
        <f>'[1]Electricity and CHPs'!I$108</f>
        <v>3.1264183254807537E-2</v>
      </c>
      <c r="N289" s="1">
        <f>'[1]Electricity and CHPs'!J$108</f>
        <v>2.8094678213779315E-2</v>
      </c>
      <c r="O289" s="1">
        <f>'[1]Electricity and CHPs'!K$108</f>
        <v>7.4057869447839153E-2</v>
      </c>
      <c r="P289" s="1">
        <f>'[1]Electricity and CHPs'!L$108</f>
        <v>7.1281447243107934E-2</v>
      </c>
      <c r="Q289" s="1">
        <f>'[1]Electricity and CHPs'!M$108</f>
        <v>9.1511220124117207E-2</v>
      </c>
      <c r="S289" s="3"/>
    </row>
    <row r="290" spans="1:19" x14ac:dyDescent="0.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2.4456999232176611E-3</v>
      </c>
      <c r="J290" s="1">
        <f>'[1]Electricity and CHPs'!F$119</f>
        <v>5.4086924663635022E-3</v>
      </c>
      <c r="K290" s="1">
        <f>'[1]Electricity and CHPs'!G$119</f>
        <v>5.5401778197232375E-3</v>
      </c>
      <c r="L290" s="1">
        <f>'[1]Electricity and CHPs'!H$119</f>
        <v>6.522759179803903E-3</v>
      </c>
      <c r="M290" s="1">
        <f>'[1]Electricity and CHPs'!I$119</f>
        <v>1.4806624321635134E-2</v>
      </c>
      <c r="N290" s="1">
        <f>'[1]Electricity and CHPs'!J$119</f>
        <v>1.3756088531680692E-2</v>
      </c>
      <c r="O290" s="1">
        <f>'[1]Electricity and CHPs'!K$119</f>
        <v>3.1236123873511115E-2</v>
      </c>
      <c r="P290" s="1">
        <f>'[1]Electricity and CHPs'!L$119</f>
        <v>2.4081285719358435E-2</v>
      </c>
      <c r="Q290" s="1">
        <f>'[1]Electricity and CHPs'!M$119</f>
        <v>4.286514274012454E-2</v>
      </c>
      <c r="S290" s="3"/>
    </row>
    <row r="291" spans="1:19" x14ac:dyDescent="0.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437.74342520639044</v>
      </c>
      <c r="G291" s="3">
        <f t="shared" ref="G291" si="286">SUM(G292,G294,G302,G310,G358,G379,G387,G389,G397,G401,G395)</f>
        <v>420.73443739437005</v>
      </c>
      <c r="H291" s="3">
        <f t="shared" ref="H291" si="287">SUM(H292,H294,H302,H310,H358,H379,H387,H389,H397,H401,H395)</f>
        <v>426.42396691169614</v>
      </c>
      <c r="I291" s="3">
        <f t="shared" ref="I291" si="288">SUM(I292,I294,I302,I310,I358,I379,I387,I389,I397,I401,I395)</f>
        <v>457.90857539932364</v>
      </c>
      <c r="J291" s="3">
        <f t="shared" ref="J291" si="289">SUM(J292,J294,J302,J310,J358,J379,J387,J389,J397,J401,J395)</f>
        <v>416.55239627648859</v>
      </c>
      <c r="K291" s="3">
        <f t="shared" ref="K291" si="290">SUM(K292,K294,K302,K310,K358,K379,K387,K389,K397,K401,K395)</f>
        <v>347.24465498111556</v>
      </c>
      <c r="L291" s="3">
        <f t="shared" ref="L291:O291" si="291">SUM(L292,L294,L302,L310,L358,L379,L387,L389,L397,L401,L395)</f>
        <v>271.85370887513778</v>
      </c>
      <c r="M291" s="3">
        <f t="shared" si="291"/>
        <v>288.69314947680016</v>
      </c>
      <c r="N291" s="3">
        <f t="shared" si="291"/>
        <v>295.04833309067146</v>
      </c>
      <c r="O291" s="3">
        <f t="shared" si="291"/>
        <v>300.67077576934724</v>
      </c>
      <c r="P291" s="3">
        <f>SUM(P292,P294,P302,P310,P358,P379,P387,P389,P397,P401,P395)</f>
        <v>305.24253339252027</v>
      </c>
      <c r="Q291" s="3">
        <f>SUM(Q292,Q294,Q302,Q310,Q358,Q379,Q387,Q389,Q397,Q401,Q395)</f>
        <v>310.83525753395435</v>
      </c>
      <c r="S291" s="3"/>
    </row>
    <row r="292" spans="1:19" x14ac:dyDescent="0.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250.94822050099737</v>
      </c>
      <c r="G292" s="1">
        <f t="shared" ref="G292:O292" si="292">G293</f>
        <v>254.39227640808022</v>
      </c>
      <c r="H292" s="1">
        <f t="shared" si="292"/>
        <v>224.07675972322787</v>
      </c>
      <c r="I292" s="1">
        <f t="shared" si="292"/>
        <v>221.50615815365498</v>
      </c>
      <c r="J292" s="1">
        <f t="shared" si="292"/>
        <v>174.32481921688751</v>
      </c>
      <c r="K292" s="1">
        <f t="shared" si="292"/>
        <v>100.00284405132813</v>
      </c>
      <c r="L292" s="1">
        <f t="shared" si="292"/>
        <v>10.573387569910059</v>
      </c>
      <c r="M292" s="1">
        <f t="shared" si="292"/>
        <v>18.960487767411362</v>
      </c>
      <c r="N292" s="1">
        <f t="shared" si="292"/>
        <v>20.834040217021769</v>
      </c>
      <c r="O292" s="1">
        <f t="shared" si="292"/>
        <v>20.208293096839316</v>
      </c>
      <c r="P292" s="1">
        <f>P293</f>
        <v>20.686842005602589</v>
      </c>
      <c r="Q292" s="1">
        <f>Q293</f>
        <v>21.47587676284132</v>
      </c>
      <c r="S292" s="3"/>
    </row>
    <row r="293" spans="1:19" x14ac:dyDescent="0.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250.94822050099737</v>
      </c>
      <c r="G293" s="1">
        <f>'[1]Electricity and CHPs_IN'!C$14</f>
        <v>254.39227640808022</v>
      </c>
      <c r="H293" s="1">
        <f>'[1]Electricity and CHPs_IN'!D$14</f>
        <v>224.07675972322787</v>
      </c>
      <c r="I293" s="1">
        <f>'[1]Electricity and CHPs_IN'!E$14</f>
        <v>221.50615815365498</v>
      </c>
      <c r="J293" s="1">
        <f>'[1]Electricity and CHPs_IN'!F$14</f>
        <v>174.32481921688751</v>
      </c>
      <c r="K293" s="1">
        <f>'[1]Electricity and CHPs_IN'!G$14</f>
        <v>100.00284405132813</v>
      </c>
      <c r="L293" s="1">
        <f>'[1]Electricity and CHPs_IN'!H$14</f>
        <v>10.573387569910059</v>
      </c>
      <c r="M293" s="1">
        <f>'[1]Electricity and CHPs_IN'!I$14</f>
        <v>18.960487767411362</v>
      </c>
      <c r="N293" s="1">
        <f>'[1]Electricity and CHPs_IN'!J$14</f>
        <v>20.834040217021769</v>
      </c>
      <c r="O293" s="1">
        <f>'[1]Electricity and CHPs_IN'!K$14</f>
        <v>20.208293096839316</v>
      </c>
      <c r="P293" s="1">
        <f>'[1]Electricity and CHPs_IN'!L$14</f>
        <v>20.686842005602589</v>
      </c>
      <c r="Q293" s="1">
        <f>'[1]Electricity and CHPs_IN'!M$14</f>
        <v>21.47587676284132</v>
      </c>
      <c r="S293" s="3"/>
    </row>
    <row r="294" spans="1:19" x14ac:dyDescent="0.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93">E293</f>
        <v>PJ/yr.</v>
      </c>
      <c r="F294" s="1">
        <f>SUM(F295:F297)</f>
        <v>149.43049408962975</v>
      </c>
      <c r="G294" s="1">
        <f t="shared" ref="G294:K294" si="294">SUM(G295:G297)</f>
        <v>125.60983617766803</v>
      </c>
      <c r="H294" s="1">
        <f t="shared" si="294"/>
        <v>141.73643864283684</v>
      </c>
      <c r="I294" s="1">
        <f t="shared" si="294"/>
        <v>150.00887827178695</v>
      </c>
      <c r="J294" s="1">
        <f t="shared" si="294"/>
        <v>150.05520851668723</v>
      </c>
      <c r="K294" s="1">
        <f t="shared" si="294"/>
        <v>150.09290652529879</v>
      </c>
      <c r="L294" s="1">
        <f t="shared" ref="L294:O294" si="295">SUM(L295:L297)</f>
        <v>150.12988824250587</v>
      </c>
      <c r="M294" s="1">
        <f t="shared" si="295"/>
        <v>150.1700696613164</v>
      </c>
      <c r="N294" s="1">
        <f t="shared" si="295"/>
        <v>150.20644400184847</v>
      </c>
      <c r="O294" s="1">
        <f t="shared" si="295"/>
        <v>150.25193132889035</v>
      </c>
      <c r="P294" s="1">
        <f>SUM(P295:P297)</f>
        <v>150.3005417820176</v>
      </c>
      <c r="Q294" s="1">
        <f>SUM(Q295:Q297)</f>
        <v>150.37911560236148</v>
      </c>
      <c r="S294" s="3"/>
    </row>
    <row r="295" spans="1:19" x14ac:dyDescent="0.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93"/>
        <v>PJ/yr.</v>
      </c>
      <c r="F295" s="1">
        <f>'[1]Electricity and CHPs_IN'!B$15</f>
        <v>66.745680000022219</v>
      </c>
      <c r="G295" s="1">
        <f>'[1]Electricity and CHPs_IN'!C$15</f>
        <v>49.7987992616575</v>
      </c>
      <c r="H295" s="1">
        <f>'[1]Electricity and CHPs_IN'!D$15</f>
        <v>68.526862096155028</v>
      </c>
      <c r="I295" s="1">
        <f>'[1]Electricity and CHPs_IN'!E$15</f>
        <v>69.613958639460236</v>
      </c>
      <c r="J295" s="1">
        <f>'[1]Electricity and CHPs_IN'!F$15</f>
        <v>70.697304527520572</v>
      </c>
      <c r="K295" s="1">
        <f>'[1]Electricity and CHPs_IN'!G$15</f>
        <v>71.781630460397707</v>
      </c>
      <c r="L295" s="1">
        <f>'[1]Electricity and CHPs_IN'!H$15</f>
        <v>72.865010275959506</v>
      </c>
      <c r="M295" s="1">
        <f>'[1]Electricity and CHPs_IN'!I$15</f>
        <v>73.950114967489398</v>
      </c>
      <c r="N295" s="1">
        <f>'[1]Electricity and CHPs_IN'!J$15</f>
        <v>73.950034467134302</v>
      </c>
      <c r="O295" s="1">
        <f>'[1]Electricity and CHPs_IN'!K$15</f>
        <v>73.951165863516977</v>
      </c>
      <c r="P295" s="1">
        <f>'[1]Electricity and CHPs_IN'!L$15</f>
        <v>73.951013813964806</v>
      </c>
      <c r="Q295" s="1">
        <f>'[1]Electricity and CHPs_IN'!M$15</f>
        <v>73.948738328836285</v>
      </c>
      <c r="S295" s="3"/>
    </row>
    <row r="296" spans="1:19" x14ac:dyDescent="0.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93"/>
        <v>PJ/yr.</v>
      </c>
      <c r="F296" s="1">
        <f>'[1]Electricity and CHPs_IN'!B$16</f>
        <v>66.632400407028271</v>
      </c>
      <c r="G296" s="1">
        <f>'[1]Electricity and CHPs_IN'!C$16</f>
        <v>55.764001579115615</v>
      </c>
      <c r="H296" s="1">
        <f>'[1]Electricity and CHPs_IN'!D$16</f>
        <v>65.558562430748694</v>
      </c>
      <c r="I296" s="1">
        <f>'[1]Electricity and CHPs_IN'!E$16</f>
        <v>64.478519889435219</v>
      </c>
      <c r="J296" s="1">
        <f>'[1]Electricity and CHPs_IN'!F$16</f>
        <v>63.395197736717506</v>
      </c>
      <c r="K296" s="1">
        <f>'[1]Electricity and CHPs_IN'!G$16</f>
        <v>62.310875791922619</v>
      </c>
      <c r="L296" s="1">
        <f>'[1]Electricity and CHPs_IN'!H$16</f>
        <v>61.227496053006021</v>
      </c>
      <c r="M296" s="1">
        <f>'[1]Electricity and CHPs_IN'!I$16</f>
        <v>60.142394894567914</v>
      </c>
      <c r="N296" s="1">
        <f>'[1]Electricity and CHPs_IN'!J$16</f>
        <v>60.142479872037178</v>
      </c>
      <c r="O296" s="1">
        <f>'[1]Electricity and CHPs_IN'!K$16</f>
        <v>60.141353371012684</v>
      </c>
      <c r="P296" s="1">
        <f>'[1]Electricity and CHPs_IN'!L$16</f>
        <v>60.141520967362759</v>
      </c>
      <c r="Q296" s="1">
        <f>'[1]Electricity and CHPs_IN'!M$16</f>
        <v>60.143859019447433</v>
      </c>
      <c r="S296" s="3"/>
    </row>
    <row r="297" spans="1:19" x14ac:dyDescent="0.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93"/>
        <v>PJ/yr.</v>
      </c>
      <c r="F297" s="1">
        <f>'[1]Electricity and CHPs_IN'!B$13</f>
        <v>16.052413682579232</v>
      </c>
      <c r="G297" s="1">
        <f>'[1]Electricity and CHPs_IN'!C$13</f>
        <v>20.047035336894901</v>
      </c>
      <c r="H297" s="1">
        <f>'[1]Electricity and CHPs_IN'!D$13</f>
        <v>7.6510141159331289</v>
      </c>
      <c r="I297" s="1">
        <f>'[1]Electricity and CHPs_IN'!E$13</f>
        <v>15.916399742891477</v>
      </c>
      <c r="J297" s="1">
        <f>'[1]Electricity and CHPs_IN'!F$13</f>
        <v>15.962706252449165</v>
      </c>
      <c r="K297" s="1">
        <f>'[1]Electricity and CHPs_IN'!G$13</f>
        <v>16.000400272978442</v>
      </c>
      <c r="L297" s="1">
        <f>'[1]Electricity and CHPs_IN'!H$13</f>
        <v>16.037381913540347</v>
      </c>
      <c r="M297" s="1">
        <f>'[1]Electricity and CHPs_IN'!I$13</f>
        <v>16.077559799259088</v>
      </c>
      <c r="N297" s="1">
        <f>'[1]Electricity and CHPs_IN'!J$13</f>
        <v>16.113929662676977</v>
      </c>
      <c r="O297" s="1">
        <f>'[1]Electricity and CHPs_IN'!K$13</f>
        <v>16.159412094360672</v>
      </c>
      <c r="P297" s="1">
        <f>'[1]Electricity and CHPs_IN'!L$13</f>
        <v>16.208007000690024</v>
      </c>
      <c r="Q297" s="1">
        <f>'[1]Electricity and CHPs_IN'!M$13</f>
        <v>16.286518254077752</v>
      </c>
      <c r="S297" s="3"/>
    </row>
    <row r="298" spans="1:19" x14ac:dyDescent="0.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93"/>
        <v>PJ/yr.</v>
      </c>
      <c r="F298" s="1">
        <f>SUM(F299:F301)</f>
        <v>0.1610794665717068</v>
      </c>
      <c r="G298" s="1">
        <f t="shared" ref="G298:K298" si="296">SUM(G299:G301)</f>
        <v>5.3914737105236081E-2</v>
      </c>
      <c r="H298" s="1">
        <f t="shared" si="296"/>
        <v>3.8801244851137083E-2</v>
      </c>
      <c r="I298" s="1">
        <f t="shared" si="296"/>
        <v>8.9905482505003895E-2</v>
      </c>
      <c r="J298" s="1">
        <f t="shared" si="296"/>
        <v>0.12639968525633721</v>
      </c>
      <c r="K298" s="1">
        <f t="shared" si="296"/>
        <v>5.2124807732773233E-2</v>
      </c>
      <c r="L298" s="1">
        <f t="shared" ref="L298:O298" si="297">SUM(L299:L301)</f>
        <v>0.10092157874526811</v>
      </c>
      <c r="M298" s="1">
        <f t="shared" si="297"/>
        <v>0.17043546066145576</v>
      </c>
      <c r="N298" s="1">
        <f t="shared" si="297"/>
        <v>0.1081666746616992</v>
      </c>
      <c r="O298" s="1">
        <f t="shared" si="297"/>
        <v>0.15831664646549598</v>
      </c>
      <c r="P298" s="1">
        <f>SUM(P299:P301)</f>
        <v>0.12185406727396955</v>
      </c>
      <c r="Q298" s="1">
        <f>SUM(Q299:Q301)</f>
        <v>0.21946759645388697</v>
      </c>
      <c r="S298" s="3"/>
    </row>
    <row r="299" spans="1:19" x14ac:dyDescent="0.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93"/>
        <v>PJ/yr.</v>
      </c>
      <c r="F299" s="1">
        <f>'[1]Electricity and CHPs_IN'!B$18</f>
        <v>0.1344558784361253</v>
      </c>
      <c r="G299" s="1">
        <f>'[1]Electricity and CHPs_IN'!C$18</f>
        <v>6.4649137511205222E-4</v>
      </c>
      <c r="H299" s="1">
        <f>'[1]Electricity and CHPs_IN'!D$18</f>
        <v>3.2867690041453124E-2</v>
      </c>
      <c r="I299" s="1">
        <f>'[1]Electricity and CHPs_IN'!E$18</f>
        <v>1.4610848701044106E-2</v>
      </c>
      <c r="J299" s="1">
        <f>'[1]Electricity and CHPs_IN'!F$18</f>
        <v>1.7956217131760783E-2</v>
      </c>
      <c r="K299" s="1">
        <f>'[1]Electricity and CHPs_IN'!G$18</f>
        <v>2.2256563197873794E-2</v>
      </c>
      <c r="L299" s="1">
        <f>'[1]Electricity and CHPs_IN'!H$18</f>
        <v>6.6783622662444225E-2</v>
      </c>
      <c r="M299" s="1">
        <f>'[1]Electricity and CHPs_IN'!I$18</f>
        <v>0.12729354053777311</v>
      </c>
      <c r="N299" s="1">
        <f>'[1]Electricity and CHPs_IN'!J$18</f>
        <v>6.9400124942370994E-2</v>
      </c>
      <c r="O299" s="1">
        <f>'[1]Electricity and CHPs_IN'!K$18</f>
        <v>0.11660909377006851</v>
      </c>
      <c r="P299" s="1">
        <f>'[1]Electricity and CHPs_IN'!L$18</f>
        <v>8.2649274276174481E-2</v>
      </c>
      <c r="Q299" s="1">
        <f>'[1]Electricity and CHPs_IN'!M$18</f>
        <v>0.17597675444213287</v>
      </c>
      <c r="S299" s="3"/>
    </row>
    <row r="300" spans="1:19" x14ac:dyDescent="0.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93"/>
        <v>PJ/yr.</v>
      </c>
      <c r="F300" s="1">
        <f>IFERROR(F72/SUM(F72,F185),0)*'[1]Electricity and CHPs_IN'!B$28</f>
        <v>5.0219181196925616E-3</v>
      </c>
      <c r="G300" s="1">
        <f>IFERROR(G72/SUM(G72,G185),0)*'[1]Electricity and CHPs_IN'!C$28</f>
        <v>1.6594053157219891E-4</v>
      </c>
      <c r="H300" s="1">
        <f>IFERROR(H72/SUM(H72,H185),0)*'[1]Electricity and CHPs_IN'!D$28</f>
        <v>4.6035917796986309E-3</v>
      </c>
      <c r="I300" s="1">
        <f>IFERROR(I72/SUM(I72,I185),0)*'[1]Electricity and CHPs_IN'!E$28</f>
        <v>2.9525154177713593E-3</v>
      </c>
      <c r="J300" s="1">
        <f>IFERROR(J72/SUM(J72,J185),0)*'[1]Electricity and CHPs_IN'!F$28</f>
        <v>3.9448394026095936E-3</v>
      </c>
      <c r="K300" s="1">
        <f>IFERROR(K72/SUM(K72,K185),0)*'[1]Electricity and CHPs_IN'!G$28</f>
        <v>4.3211617563845613E-3</v>
      </c>
      <c r="L300" s="1">
        <f>IFERROR(L72/SUM(L72,L185),0)*'[1]Electricity and CHPs_IN'!H$28</f>
        <v>4.4075302165792075E-3</v>
      </c>
      <c r="M300" s="1">
        <f>IFERROR(M72/SUM(M72,M185),0)*'[1]Electricity and CHPs_IN'!I$28</f>
        <v>7.0089359355117731E-3</v>
      </c>
      <c r="N300" s="1">
        <f>IFERROR(N72/SUM(N72,N185),0)*'[1]Electricity and CHPs_IN'!J$28</f>
        <v>5.2893184281046597E-3</v>
      </c>
      <c r="O300" s="1">
        <f>IFERROR(O72/SUM(O72,O185),0)*'[1]Electricity and CHPs_IN'!K$28</f>
        <v>7.0097737695955535E-3</v>
      </c>
      <c r="P300" s="1">
        <f>IFERROR(P72/SUM(P72,P185),0)*'[1]Electricity and CHPs_IN'!L$28</f>
        <v>5.2522601512468127E-3</v>
      </c>
      <c r="Q300" s="1">
        <f>IFERROR(Q72/SUM(Q72,Q185),0)*'[1]Electricity and CHPs_IN'!M$28</f>
        <v>7.4113223768369155E-3</v>
      </c>
      <c r="S300" s="3"/>
    </row>
    <row r="301" spans="1:19" x14ac:dyDescent="0.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93"/>
        <v>PJ/yr.</v>
      </c>
      <c r="F301" s="1">
        <f>IFERROR(F73/SUM(F73,F235),0)*'[1]Electricity and CHPs_IN'!B$41</f>
        <v>2.1601670015888905E-2</v>
      </c>
      <c r="G301" s="1">
        <f>IFERROR(G73/SUM(G73,G235),0)*'[1]Electricity and CHPs_IN'!C$41</f>
        <v>5.310230519855183E-2</v>
      </c>
      <c r="H301" s="1">
        <f>IFERROR(H73/SUM(H73,H235),0)*'[1]Electricity and CHPs_IN'!D$41</f>
        <v>1.3299630299853282E-3</v>
      </c>
      <c r="I301" s="1">
        <f>IFERROR(I73/SUM(I73,I235),0)*'[1]Electricity and CHPs_IN'!E$41</f>
        <v>7.2342118386188425E-2</v>
      </c>
      <c r="J301" s="1">
        <f>IFERROR(J73/SUM(J73,J235),0)*'[1]Electricity and CHPs_IN'!F$41</f>
        <v>0.10449862872196684</v>
      </c>
      <c r="K301" s="1">
        <f>IFERROR(K73/SUM(K73,K235),0)*'[1]Electricity and CHPs_IN'!G$41</f>
        <v>2.5547082778514876E-2</v>
      </c>
      <c r="L301" s="1">
        <f>IFERROR(L73/SUM(L73,L235),0)*'[1]Electricity and CHPs_IN'!H$41</f>
        <v>2.9730425866244678E-2</v>
      </c>
      <c r="M301" s="1">
        <f>IFERROR(M73/SUM(M73,M235),0)*'[1]Electricity and CHPs_IN'!I$41</f>
        <v>3.6132984188170875E-2</v>
      </c>
      <c r="N301" s="1">
        <f>IFERROR(N73/SUM(N73,N235),0)*'[1]Electricity and CHPs_IN'!J$41</f>
        <v>3.3477231291223541E-2</v>
      </c>
      <c r="O301" s="1">
        <f>IFERROR(O73/SUM(O73,O235),0)*'[1]Electricity and CHPs_IN'!K$41</f>
        <v>3.4697778925831917E-2</v>
      </c>
      <c r="P301" s="1">
        <f>IFERROR(P73/SUM(P73,P235),0)*'[1]Electricity and CHPs_IN'!L$41</f>
        <v>3.3952532846548263E-2</v>
      </c>
      <c r="Q301" s="1">
        <f>IFERROR(Q73/SUM(Q73,Q235),0)*'[1]Electricity and CHPs_IN'!M$41</f>
        <v>3.6079519634917172E-2</v>
      </c>
      <c r="S301" s="3"/>
    </row>
    <row r="302" spans="1:19" x14ac:dyDescent="0.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93"/>
        <v>PJ/yr.</v>
      </c>
      <c r="F302" s="1">
        <f>F298</f>
        <v>0.1610794665717068</v>
      </c>
      <c r="G302" s="1">
        <f t="shared" ref="G302:K302" si="298">G298</f>
        <v>5.3914737105236081E-2</v>
      </c>
      <c r="H302" s="1">
        <f t="shared" si="298"/>
        <v>3.8801244851137083E-2</v>
      </c>
      <c r="I302" s="1">
        <f t="shared" si="298"/>
        <v>8.9905482505003895E-2</v>
      </c>
      <c r="J302" s="1">
        <f t="shared" si="298"/>
        <v>0.12639968525633721</v>
      </c>
      <c r="K302" s="1">
        <f t="shared" si="298"/>
        <v>5.2124807732773233E-2</v>
      </c>
      <c r="L302" s="1">
        <f t="shared" ref="L302:O302" si="299">L298</f>
        <v>0.10092157874526811</v>
      </c>
      <c r="M302" s="1">
        <f t="shared" si="299"/>
        <v>0.17043546066145576</v>
      </c>
      <c r="N302" s="1">
        <f t="shared" si="299"/>
        <v>0.1081666746616992</v>
      </c>
      <c r="O302" s="1">
        <f t="shared" si="299"/>
        <v>0.15831664646549598</v>
      </c>
      <c r="P302" s="1">
        <f t="shared" ref="P302:Q305" si="300">P298</f>
        <v>0.12185406727396955</v>
      </c>
      <c r="Q302" s="1">
        <f t="shared" si="300"/>
        <v>0.21946759645388697</v>
      </c>
      <c r="S302" s="3"/>
    </row>
    <row r="303" spans="1:19" x14ac:dyDescent="0.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93"/>
        <v>PJ/yr.</v>
      </c>
      <c r="F303" s="1">
        <f t="shared" ref="F303:K303" si="301">F299</f>
        <v>0.1344558784361253</v>
      </c>
      <c r="G303" s="1">
        <f t="shared" si="301"/>
        <v>6.4649137511205222E-4</v>
      </c>
      <c r="H303" s="1">
        <f t="shared" si="301"/>
        <v>3.2867690041453124E-2</v>
      </c>
      <c r="I303" s="1">
        <f t="shared" si="301"/>
        <v>1.4610848701044106E-2</v>
      </c>
      <c r="J303" s="1">
        <f t="shared" si="301"/>
        <v>1.7956217131760783E-2</v>
      </c>
      <c r="K303" s="1">
        <f t="shared" si="301"/>
        <v>2.2256563197873794E-2</v>
      </c>
      <c r="L303" s="1">
        <f t="shared" ref="L303:O303" si="302">L299</f>
        <v>6.6783622662444225E-2</v>
      </c>
      <c r="M303" s="1">
        <f t="shared" si="302"/>
        <v>0.12729354053777311</v>
      </c>
      <c r="N303" s="1">
        <f t="shared" si="302"/>
        <v>6.9400124942370994E-2</v>
      </c>
      <c r="O303" s="1">
        <f t="shared" si="302"/>
        <v>0.11660909377006851</v>
      </c>
      <c r="P303" s="1">
        <f t="shared" si="300"/>
        <v>8.2649274276174481E-2</v>
      </c>
      <c r="Q303" s="1">
        <f t="shared" si="300"/>
        <v>0.17597675444213287</v>
      </c>
      <c r="S303" s="3"/>
    </row>
    <row r="304" spans="1:19" x14ac:dyDescent="0.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93"/>
        <v>PJ/yr.</v>
      </c>
      <c r="F304" s="1">
        <f t="shared" ref="F304:K304" si="303">F300</f>
        <v>5.0219181196925616E-3</v>
      </c>
      <c r="G304" s="1">
        <f t="shared" si="303"/>
        <v>1.6594053157219891E-4</v>
      </c>
      <c r="H304" s="1">
        <f t="shared" si="303"/>
        <v>4.6035917796986309E-3</v>
      </c>
      <c r="I304" s="1">
        <f t="shared" si="303"/>
        <v>2.9525154177713593E-3</v>
      </c>
      <c r="J304" s="1">
        <f t="shared" si="303"/>
        <v>3.9448394026095936E-3</v>
      </c>
      <c r="K304" s="1">
        <f t="shared" si="303"/>
        <v>4.3211617563845613E-3</v>
      </c>
      <c r="L304" s="1">
        <f t="shared" ref="L304:O304" si="304">L300</f>
        <v>4.4075302165792075E-3</v>
      </c>
      <c r="M304" s="1">
        <f t="shared" si="304"/>
        <v>7.0089359355117731E-3</v>
      </c>
      <c r="N304" s="1">
        <f t="shared" si="304"/>
        <v>5.2893184281046597E-3</v>
      </c>
      <c r="O304" s="1">
        <f t="shared" si="304"/>
        <v>7.0097737695955535E-3</v>
      </c>
      <c r="P304" s="1">
        <f t="shared" si="300"/>
        <v>5.2522601512468127E-3</v>
      </c>
      <c r="Q304" s="1">
        <f t="shared" si="300"/>
        <v>7.4113223768369155E-3</v>
      </c>
      <c r="S304" s="3"/>
    </row>
    <row r="305" spans="1:19" x14ac:dyDescent="0.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93"/>
        <v>PJ/yr.</v>
      </c>
      <c r="F305" s="1">
        <f t="shared" ref="F305:K305" si="305">F301</f>
        <v>2.1601670015888905E-2</v>
      </c>
      <c r="G305" s="1">
        <f t="shared" si="305"/>
        <v>5.310230519855183E-2</v>
      </c>
      <c r="H305" s="1">
        <f t="shared" si="305"/>
        <v>1.3299630299853282E-3</v>
      </c>
      <c r="I305" s="1">
        <f t="shared" si="305"/>
        <v>7.2342118386188425E-2</v>
      </c>
      <c r="J305" s="1">
        <f t="shared" si="305"/>
        <v>0.10449862872196684</v>
      </c>
      <c r="K305" s="1">
        <f t="shared" si="305"/>
        <v>2.5547082778514876E-2</v>
      </c>
      <c r="L305" s="1">
        <f t="shared" ref="L305:O305" si="306">L301</f>
        <v>2.9730425866244678E-2</v>
      </c>
      <c r="M305" s="1">
        <f t="shared" si="306"/>
        <v>3.6132984188170875E-2</v>
      </c>
      <c r="N305" s="1">
        <f t="shared" si="306"/>
        <v>3.3477231291223541E-2</v>
      </c>
      <c r="O305" s="1">
        <f t="shared" si="306"/>
        <v>3.4697778925831917E-2</v>
      </c>
      <c r="P305" s="1">
        <f t="shared" si="300"/>
        <v>3.3952532846548263E-2</v>
      </c>
      <c r="Q305" s="1">
        <f t="shared" si="300"/>
        <v>3.6079519634917172E-2</v>
      </c>
      <c r="S305" s="3"/>
    </row>
    <row r="306" spans="1:19" x14ac:dyDescent="0.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93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S306" s="3"/>
    </row>
    <row r="307" spans="1:19" x14ac:dyDescent="0.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93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S307" s="3"/>
    </row>
    <row r="308" spans="1:19" x14ac:dyDescent="0.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93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S308" s="3"/>
    </row>
    <row r="309" spans="1:19" x14ac:dyDescent="0.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93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S309" s="3"/>
    </row>
    <row r="310" spans="1:19" x14ac:dyDescent="0.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93"/>
        <v>PJ/yr.</v>
      </c>
      <c r="F310" s="1">
        <f>SUM(F311:F325)</f>
        <v>4.1030339370396662</v>
      </c>
      <c r="G310" s="1">
        <f t="shared" ref="G310:K310" si="307">SUM(G311:G325)</f>
        <v>2.2007470111934748</v>
      </c>
      <c r="H310" s="1">
        <f t="shared" si="307"/>
        <v>2.2285450664664039</v>
      </c>
      <c r="I310" s="1">
        <f t="shared" si="307"/>
        <v>6.6406370400252301</v>
      </c>
      <c r="J310" s="1">
        <f t="shared" si="307"/>
        <v>7.8528615303350993</v>
      </c>
      <c r="K310" s="1">
        <f t="shared" si="307"/>
        <v>8.7648516697862444</v>
      </c>
      <c r="L310" s="1">
        <f t="shared" ref="L310:O310" si="308">SUM(L311:L325)</f>
        <v>18.447379148623252</v>
      </c>
      <c r="M310" s="1">
        <f t="shared" si="308"/>
        <v>21.952106940274895</v>
      </c>
      <c r="N310" s="1">
        <f t="shared" si="308"/>
        <v>23.2828809715303</v>
      </c>
      <c r="O310" s="1">
        <f t="shared" si="308"/>
        <v>25.30511479967064</v>
      </c>
      <c r="P310" s="1">
        <f>SUM(P311:P325)</f>
        <v>25.683028131239602</v>
      </c>
      <c r="Q310" s="1">
        <f>SUM(Q311:Q325)</f>
        <v>24.591838572103107</v>
      </c>
      <c r="S310" s="3"/>
    </row>
    <row r="311" spans="1:19" x14ac:dyDescent="0.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93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'[1]Electricity and CHPs_IN'!F$21</f>
        <v>0</v>
      </c>
      <c r="K311" s="1">
        <f>'[1]Electricity and CHPs_IN'!G$21</f>
        <v>0.37494531221165284</v>
      </c>
      <c r="L311" s="1">
        <f>'[1]Electricity and CHPs_IN'!H$21</f>
        <v>8.7773224751949943</v>
      </c>
      <c r="M311" s="1">
        <f>'[1]Electricity and CHPs_IN'!I$21</f>
        <v>14.678428475072298</v>
      </c>
      <c r="N311" s="1">
        <f>'[1]Electricity and CHPs_IN'!J$21</f>
        <v>15.699569479286813</v>
      </c>
      <c r="O311" s="1">
        <f>'[1]Electricity and CHPs_IN'!K$21</f>
        <v>18.357660197779857</v>
      </c>
      <c r="P311" s="1">
        <f>'[1]Electricity and CHPs_IN'!L$21</f>
        <v>19.37005167209557</v>
      </c>
      <c r="Q311" s="1">
        <f>'[1]Electricity and CHPs_IN'!M$21</f>
        <v>17.60905386973495</v>
      </c>
      <c r="S311" s="3"/>
    </row>
    <row r="312" spans="1:19" x14ac:dyDescent="0.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93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'[1]Electricity and CHPs_IN'!F$22</f>
        <v>5.0396958892943731E-2</v>
      </c>
      <c r="K312" s="1">
        <f>'[1]Electricity and CHPs_IN'!G$22</f>
        <v>0.17597341335379582</v>
      </c>
      <c r="L312" s="1">
        <f>'[1]Electricity and CHPs_IN'!H$22</f>
        <v>1.7641646389623762</v>
      </c>
      <c r="M312" s="1">
        <f>'[1]Electricity and CHPs_IN'!I$22</f>
        <v>0.6252841999134201</v>
      </c>
      <c r="N312" s="1">
        <f>'[1]Electricity and CHPs_IN'!J$22</f>
        <v>1.0937582629893612</v>
      </c>
      <c r="O312" s="1">
        <f>'[1]Electricity and CHPs_IN'!K$22</f>
        <v>0.73729443087011204</v>
      </c>
      <c r="P312" s="1">
        <f>'[1]Electricity and CHPs_IN'!L$22</f>
        <v>0.19530943414558807</v>
      </c>
      <c r="Q312" s="1">
        <f>'[1]Electricity and CHPs_IN'!M$22</f>
        <v>0.59296643159579632</v>
      </c>
      <c r="S312" s="3"/>
    </row>
    <row r="313" spans="1:19" x14ac:dyDescent="0.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93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'[1]Electricity and CHPs_IN'!F$23</f>
        <v>0</v>
      </c>
      <c r="K313" s="1">
        <f>'[1]Electricity and CHPs_IN'!G$23</f>
        <v>8.833313428302091E-4</v>
      </c>
      <c r="L313" s="1">
        <f>'[1]Electricity and CHPs_IN'!H$23</f>
        <v>1.3929868193572914E-3</v>
      </c>
      <c r="M313" s="1">
        <f>'[1]Electricity and CHPs_IN'!I$23</f>
        <v>3.1933916538272921E-3</v>
      </c>
      <c r="N313" s="1">
        <f>'[1]Electricity and CHPs_IN'!J$23</f>
        <v>1.6575044427335288E-3</v>
      </c>
      <c r="O313" s="1">
        <f>'[1]Electricity and CHPs_IN'!K$23</f>
        <v>2.7573596745897743E-3</v>
      </c>
      <c r="P313" s="1">
        <f>'[1]Electricity and CHPs_IN'!L$23</f>
        <v>2.0779571497178554E-3</v>
      </c>
      <c r="Q313" s="1">
        <f>'[1]Electricity and CHPs_IN'!M$23</f>
        <v>4.1557843935353632E-3</v>
      </c>
      <c r="S313" s="3"/>
    </row>
    <row r="314" spans="1:19" x14ac:dyDescent="0.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93"/>
        <v>PJ/yr.</v>
      </c>
      <c r="F314" s="1">
        <f>IFERROR(F86/SUM(F86+F189),0)*'[1]Electricity and CHPs_IN'!B$24</f>
        <v>1.2929213529296701</v>
      </c>
      <c r="G314" s="1">
        <f>IFERROR(G86/SUM(G86+G189),0)*'[1]Electricity and CHPs_IN'!C$24</f>
        <v>6.582083070942042E-4</v>
      </c>
      <c r="H314" s="1">
        <f>IFERROR(H86/SUM(H86+H189),0)*'[1]Electricity and CHPs_IN'!D$24</f>
        <v>3.0566488417180005E-2</v>
      </c>
      <c r="I314" s="1">
        <f>IFERROR(I86/SUM(I86+I189),0)*'[1]Electricity and CHPs_IN'!E$24</f>
        <v>0.88172866878082823</v>
      </c>
      <c r="J314" s="1">
        <f>IFERROR(J86/SUM(J86+J189),0)*'[1]Electricity and CHPs_IN'!F$24</f>
        <v>0.31128281416908216</v>
      </c>
      <c r="K314" s="1">
        <f>IFERROR(K86/SUM(K86+K189),0)*'[1]Electricity and CHPs_IN'!G$24</f>
        <v>0.81669690177181031</v>
      </c>
      <c r="L314" s="1">
        <f>IFERROR(L86/SUM(L86+L189),0)*'[1]Electricity and CHPs_IN'!H$24</f>
        <v>0.34228217969062374</v>
      </c>
      <c r="M314" s="1">
        <f>IFERROR(M86/SUM(M86+M189),0)*'[1]Electricity and CHPs_IN'!I$24</f>
        <v>0.1580289899973481</v>
      </c>
      <c r="N314" s="1">
        <f>IFERROR(N86/SUM(N86+N189),0)*'[1]Electricity and CHPs_IN'!J$24</f>
        <v>0.14282061523045833</v>
      </c>
      <c r="O314" s="1">
        <f>IFERROR(O86/SUM(O86+O189),0)*'[1]Electricity and CHPs_IN'!K$24</f>
        <v>5.2252135358668753E-2</v>
      </c>
      <c r="P314" s="1">
        <f>IFERROR(P86/SUM(P86+P189),0)*'[1]Electricity and CHPs_IN'!L$24</f>
        <v>1.6778324935552369E-2</v>
      </c>
      <c r="Q314" s="1">
        <f>IFERROR(Q86/SUM(Q86+Q189),0)*'[1]Electricity and CHPs_IN'!M$24</f>
        <v>2.4301208995863462E-2</v>
      </c>
      <c r="S314" s="3"/>
    </row>
    <row r="315" spans="1:19" x14ac:dyDescent="0.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93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IFERROR(J87/SUM(J87+J190),0)*'[1]Electricity and CHPs_IN'!F$29</f>
        <v>0</v>
      </c>
      <c r="K315" s="1">
        <f>IFERROR(K87/SUM(K87+K190),0)*'[1]Electricity and CHPs_IN'!G$29</f>
        <v>0.43472039890524838</v>
      </c>
      <c r="L315" s="1">
        <f>IFERROR(L87/SUM(L87+L190),0)*'[1]Electricity and CHPs_IN'!H$29</f>
        <v>0.78569032854896681</v>
      </c>
      <c r="M315" s="1">
        <f>IFERROR(M87/SUM(M87+M190),0)*'[1]Electricity and CHPs_IN'!I$29</f>
        <v>0.94794273751608793</v>
      </c>
      <c r="N315" s="1">
        <f>IFERROR(N87/SUM(N87+N190),0)*'[1]Electricity and CHPs_IN'!J$29</f>
        <v>0.89303453275129518</v>
      </c>
      <c r="O315" s="1">
        <f>IFERROR(O87/SUM(O87+O190),0)*'[1]Electricity and CHPs_IN'!K$29</f>
        <v>0.5222158577524022</v>
      </c>
      <c r="P315" s="1">
        <f>IFERROR(P87/SUM(P87+P190),0)*'[1]Electricity and CHPs_IN'!L$29</f>
        <v>0.13405120483040195</v>
      </c>
      <c r="Q315" s="1">
        <f>IFERROR(Q87/SUM(Q87+Q190),0)*'[1]Electricity and CHPs_IN'!M$29</f>
        <v>4.7154104179996846E-2</v>
      </c>
      <c r="S315" s="3"/>
    </row>
    <row r="316" spans="1:19" x14ac:dyDescent="0.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93"/>
        <v>PJ/yr.</v>
      </c>
      <c r="F316" s="1">
        <f>F88/SUM(F88,F241)*'[1]Electricity and CHPs_IN'!B$39</f>
        <v>0.8933070961455235</v>
      </c>
      <c r="G316" s="1">
        <f>G88/SUM(G88,G241)*'[1]Electricity and CHPs_IN'!C$39</f>
        <v>0.12168913033870758</v>
      </c>
      <c r="H316" s="1">
        <f>H88/SUM(H88,H241)*'[1]Electricity and CHPs_IN'!D$39</f>
        <v>7.8424255162300643E-2</v>
      </c>
      <c r="I316" s="1">
        <f>I88/SUM(I88,I241)*'[1]Electricity and CHPs_IN'!E$39</f>
        <v>0.98971682982966191</v>
      </c>
      <c r="J316" s="1">
        <f>J88/SUM(J88,J241)*'[1]Electricity and CHPs_IN'!F$39</f>
        <v>0.59129910069755676</v>
      </c>
      <c r="K316" s="1">
        <f>K88/SUM(K88,K241)*'[1]Electricity and CHPs_IN'!G$39</f>
        <v>0.22436946907587124</v>
      </c>
      <c r="L316" s="1">
        <f>L88/SUM(L88,L241)*'[1]Electricity and CHPs_IN'!H$39</f>
        <v>0.1612054166954546</v>
      </c>
      <c r="M316" s="1">
        <f>M88/SUM(M88,M241)*'[1]Electricity and CHPs_IN'!I$39</f>
        <v>0.1012224444331848</v>
      </c>
      <c r="N316" s="1">
        <f>N88/SUM(N88,N241)*'[1]Electricity and CHPs_IN'!J$39</f>
        <v>6.1975757349601479E-2</v>
      </c>
      <c r="O316" s="1">
        <f>O88/SUM(O88,O241)*'[1]Electricity and CHPs_IN'!K$39</f>
        <v>9.311497750604493E-2</v>
      </c>
      <c r="P316" s="1">
        <f>P88/SUM(P88,P241)*'[1]Electricity and CHPs_IN'!L$39</f>
        <v>0.15031470762202123</v>
      </c>
      <c r="Q316" s="1">
        <f>Q88/SUM(Q88,Q241)*'[1]Electricity and CHPs_IN'!M$39</f>
        <v>0.15757620801417346</v>
      </c>
      <c r="S316" s="3"/>
    </row>
    <row r="317" spans="1:19" x14ac:dyDescent="0.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93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IFERROR(J89/SUM(J89,J242),0)*'[1]Electricity and CHPs_IN'!F$40</f>
        <v>0</v>
      </c>
      <c r="K317" s="1">
        <f>IFERROR(K89/SUM(K89,K242),0)*'[1]Electricity and CHPs_IN'!G$40</f>
        <v>0</v>
      </c>
      <c r="L317" s="1">
        <f>IFERROR(L89/SUM(L89,L242),0)*'[1]Electricity and CHPs_IN'!H$40</f>
        <v>0</v>
      </c>
      <c r="M317" s="1">
        <f>IFERROR(M89/SUM(M89,M242),0)*'[1]Electricity and CHPs_IN'!I$40</f>
        <v>0</v>
      </c>
      <c r="N317" s="1">
        <f>IFERROR(N89/SUM(N89,N242),0)*'[1]Electricity and CHPs_IN'!J$40</f>
        <v>0</v>
      </c>
      <c r="O317" s="1">
        <f>IFERROR(O89/SUM(O89,O242),0)*'[1]Electricity and CHPs_IN'!K$40</f>
        <v>0</v>
      </c>
      <c r="P317" s="1">
        <f>IFERROR(P89/SUM(P89,P242),0)*'[1]Electricity and CHPs_IN'!L$40</f>
        <v>0</v>
      </c>
      <c r="Q317" s="1">
        <f>IFERROR(Q89/SUM(Q89,Q242),0)*'[1]Electricity and CHPs_IN'!M$40</f>
        <v>0</v>
      </c>
      <c r="S317" s="3"/>
    </row>
    <row r="318" spans="1:19" x14ac:dyDescent="0.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93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IFERROR(J90/SUM(J90,J243),0)*'[1]Electricity and CHPs_IN'!$B$47</f>
        <v>0</v>
      </c>
      <c r="K318" s="1">
        <f>IFERROR(K90/SUM(K90,K243),0)*'[1]Electricity and CHPs_IN'!$B$47</f>
        <v>0</v>
      </c>
      <c r="L318" s="1">
        <f>IFERROR(L90/SUM(L90,L243),0)*'[1]Electricity and CHPs_IN'!$B$47</f>
        <v>0</v>
      </c>
      <c r="M318" s="1">
        <f>IFERROR(M90/SUM(M90,M243),0)*'[1]Electricity and CHPs_IN'!$B$47</f>
        <v>0</v>
      </c>
      <c r="N318" s="1">
        <f>IFERROR(N90/SUM(N90,N243),0)*'[1]Electricity and CHPs_IN'!$B$47</f>
        <v>0</v>
      </c>
      <c r="O318" s="1">
        <f>IFERROR(O90/SUM(O90,O243),0)*'[1]Electricity and CHPs_IN'!$B$47</f>
        <v>0</v>
      </c>
      <c r="P318" s="1">
        <f>IFERROR(P90/SUM(P90,P243),0)*'[1]Electricity and CHPs_IN'!$B$47</f>
        <v>0</v>
      </c>
      <c r="Q318" s="1">
        <f>IFERROR(Q90/SUM(Q90,Q243),0)*'[1]Electricity and CHPs_IN'!$B$47</f>
        <v>0</v>
      </c>
      <c r="S318" s="3"/>
    </row>
    <row r="319" spans="1:19" x14ac:dyDescent="0.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93"/>
        <v>PJ/yr.</v>
      </c>
      <c r="F319" s="1">
        <f>F91/SUM(F91,F244)*'[1]Electricity and CHPs_IN'!B$48</f>
        <v>2.8673285210874554E-2</v>
      </c>
      <c r="G319" s="1">
        <f>G91/SUM(G91,G244)*'[1]Electricity and CHPs_IN'!C$48</f>
        <v>4.6183471055169893E-3</v>
      </c>
      <c r="H319" s="1">
        <f>H91/SUM(H91,H244)*'[1]Electricity and CHPs_IN'!D$48</f>
        <v>2.2139770167422895E-2</v>
      </c>
      <c r="I319" s="1">
        <f>IFERROR(I91/SUM(I91,I244)*'[1]Electricity and CHPs_IN'!E$48,0)</f>
        <v>1.8213701175478391E-2</v>
      </c>
      <c r="J319" s="1">
        <f>IFERROR(J91/SUM(J91,J244)*'[1]Electricity and CHPs_IN'!F$48,0)</f>
        <v>3.9617830802931284E-2</v>
      </c>
      <c r="K319" s="1">
        <f>IFERROR(K91/SUM(K91,K244)*'[1]Electricity and CHPs_IN'!G$48,0)</f>
        <v>3.955489263471456E-2</v>
      </c>
      <c r="L319" s="1">
        <f>IFERROR(L91/SUM(L91,L244)*'[1]Electricity and CHPs_IN'!H$48,0)</f>
        <v>4.5193002585874879E-2</v>
      </c>
      <c r="M319" s="1">
        <f>IFERROR(M91/SUM(M91,M244)*'[1]Electricity and CHPs_IN'!I$48,0)</f>
        <v>6.3333807825324426E-2</v>
      </c>
      <c r="N319" s="1">
        <f>IFERROR(N91/SUM(N91,N244)*'[1]Electricity and CHPs_IN'!J$48,0)</f>
        <v>5.152395711130528E-2</v>
      </c>
      <c r="O319" s="1">
        <f>IFERROR(O91/SUM(O91,O244)*'[1]Electricity and CHPs_IN'!K$48,0)</f>
        <v>5.8516207905182055E-2</v>
      </c>
      <c r="P319" s="1">
        <f>IFERROR(P91/SUM(P91,P244)*'[1]Electricity and CHPs_IN'!L$48,0)</f>
        <v>0.18480881173427866</v>
      </c>
      <c r="Q319" s="1">
        <f>IFERROR(Q91/SUM(Q91,Q244)*'[1]Electricity and CHPs_IN'!M$48,0)</f>
        <v>0.18413738944349753</v>
      </c>
      <c r="S319" s="3"/>
    </row>
    <row r="320" spans="1:19" x14ac:dyDescent="0.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93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1.7556555480905413E-3</v>
      </c>
      <c r="J320" s="1">
        <f>IFERROR(J92/SUM(J92,J245),0)*'[1]Electricity and CHPs_IN'!F$49</f>
        <v>6.0630854892038989E-3</v>
      </c>
      <c r="K320" s="1">
        <f>IFERROR(K92/SUM(K92,K245),0)*'[1]Electricity and CHPs_IN'!G$49</f>
        <v>6.0194814140725975E-3</v>
      </c>
      <c r="L320" s="1">
        <f>IFERROR(L92/SUM(L92,L245),0)*'[1]Electricity and CHPs_IN'!H$49</f>
        <v>6.2892489694656092E-3</v>
      </c>
      <c r="M320" s="1">
        <f>IFERROR(M92/SUM(M92,M245),0)*'[1]Electricity and CHPs_IN'!I$49</f>
        <v>1.4809932989638955E-2</v>
      </c>
      <c r="N320" s="1">
        <f>IFERROR(N92/SUM(N92,N245),0)*'[1]Electricity and CHPs_IN'!J$49</f>
        <v>1.2011360512034143E-2</v>
      </c>
      <c r="O320" s="1">
        <f>IFERROR(O92/SUM(O92,O245),0)*'[1]Electricity and CHPs_IN'!K$49</f>
        <v>1.9056058161383206E-2</v>
      </c>
      <c r="P320" s="1">
        <f>IFERROR(P92/SUM(P92,P245),0)*'[1]Electricity and CHPs_IN'!L$49</f>
        <v>1.8318925317037417E-2</v>
      </c>
      <c r="Q320" s="1">
        <f>IFERROR(Q92/SUM(Q92,Q245),0)*'[1]Electricity and CHPs_IN'!M$49</f>
        <v>3.3383403980227364E-2</v>
      </c>
      <c r="S320" s="3"/>
    </row>
    <row r="321" spans="1:19" x14ac:dyDescent="0.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93"/>
        <v>PJ/yr.</v>
      </c>
      <c r="F321" s="1">
        <f>IFERROR(F93/SUM(F93,F246),0)*'[1]Electricity and CHPs_IN'!B$51</f>
        <v>4.2375414763799864E-2</v>
      </c>
      <c r="G321" s="1">
        <f>IFERROR(G93/SUM(G93,G246),0)*'[1]Electricity and CHPs_IN'!C$51</f>
        <v>2.7688178313363145E-2</v>
      </c>
      <c r="H321" s="1">
        <f>IFERROR(H93/SUM(H93,H246),0)*'[1]Electricity and CHPs_IN'!D$51</f>
        <v>0.14059113567888304</v>
      </c>
      <c r="I321" s="1">
        <f>IFERROR(I93/SUM(I93,I246),0)*'[1]Electricity and CHPs_IN'!E$51</f>
        <v>0.68264196823228041</v>
      </c>
      <c r="J321" s="1">
        <f>IFERROR(J93/SUM(J93,J246),0)*'[1]Electricity and CHPs_IN'!F$51</f>
        <v>0.72577403825261</v>
      </c>
      <c r="K321" s="1">
        <f>IFERROR(K93/SUM(K93,K246),0)*'[1]Electricity and CHPs_IN'!G$51</f>
        <v>0.81602929993676621</v>
      </c>
      <c r="L321" s="1">
        <f>IFERROR(L93/SUM(L93,L246),0)*'[1]Electricity and CHPs_IN'!H$51</f>
        <v>0.80305881516916422</v>
      </c>
      <c r="M321" s="1">
        <f>IFERROR(M93/SUM(M93,M246),0)*'[1]Electricity and CHPs_IN'!I$51</f>
        <v>0.77601152612931767</v>
      </c>
      <c r="N321" s="1">
        <f>IFERROR(N93/SUM(N93,N246),0)*'[1]Electricity and CHPs_IN'!J$51</f>
        <v>0.75567328187104854</v>
      </c>
      <c r="O321" s="1">
        <f>IFERROR(O93/SUM(O93,O246),0)*'[1]Electricity and CHPs_IN'!K$51</f>
        <v>0.71562544903010805</v>
      </c>
      <c r="P321" s="1">
        <f>IFERROR(P93/SUM(P93,P246),0)*'[1]Electricity and CHPs_IN'!L$51</f>
        <v>0.62017894929808259</v>
      </c>
      <c r="Q321" s="1">
        <f>IFERROR(Q93/SUM(Q93,Q246),0)*'[1]Electricity and CHPs_IN'!M$51</f>
        <v>0.53009817064891562</v>
      </c>
      <c r="S321" s="3"/>
    </row>
    <row r="322" spans="1:19" x14ac:dyDescent="0.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93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7.4549296319988377E-3</v>
      </c>
      <c r="J322" s="1">
        <f>IFERROR(J94/SUM(J94,J247),0)*'[1]Electricity and CHPs_IN'!F$52</f>
        <v>2.8612257470302778E-2</v>
      </c>
      <c r="K322" s="1">
        <f>IFERROR(K94/SUM(K94,K247),0)*'[1]Electricity and CHPs_IN'!G$52</f>
        <v>2.8558673947127092E-2</v>
      </c>
      <c r="L322" s="1">
        <f>IFERROR(L94/SUM(L94,L247),0)*'[1]Electricity and CHPs_IN'!H$52</f>
        <v>3.1754403007772256E-2</v>
      </c>
      <c r="M322" s="1">
        <f>IFERROR(M94/SUM(M94,M247),0)*'[1]Electricity and CHPs_IN'!I$52</f>
        <v>8.4669897211735401E-2</v>
      </c>
      <c r="N322" s="1">
        <f>IFERROR(N94/SUM(N94,N247),0)*'[1]Electricity and CHPs_IN'!J$52</f>
        <v>7.4155211820621611E-2</v>
      </c>
      <c r="O322" s="1">
        <f>IFERROR(O94/SUM(O94,O247),0)*'[1]Electricity and CHPs_IN'!K$52</f>
        <v>0.14469617569516616</v>
      </c>
      <c r="P322" s="1">
        <f>IFERROR(P94/SUM(P94,P247),0)*'[1]Electricity and CHPs_IN'!L$52</f>
        <v>0.14059785911982678</v>
      </c>
      <c r="Q322" s="1">
        <f>IFERROR(Q94/SUM(Q94,Q247),0)*'[1]Electricity and CHPs_IN'!M$52</f>
        <v>0.25290619286310295</v>
      </c>
      <c r="S322" s="3"/>
    </row>
    <row r="323" spans="1:19" x14ac:dyDescent="0.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93"/>
        <v>PJ/yr.</v>
      </c>
      <c r="F323" s="1">
        <f>IFERROR(F95/SUM(F95,F248),0)*'[1]Electricity and CHPs_IN'!B$54</f>
        <v>1.064708803581969</v>
      </c>
      <c r="G323" s="1">
        <f>IFERROR(G95/SUM(G95,G248),0)*'[1]Electricity and CHPs_IN'!C$54</f>
        <v>1.2552815161216702</v>
      </c>
      <c r="H323" s="1">
        <f>IFERROR(H95/SUM(H95,H248),0)*'[1]Electricity and CHPs_IN'!D$54</f>
        <v>1.3010614051114591</v>
      </c>
      <c r="I323" s="1">
        <f>IFERROR(I95/SUM(I95,I248),0)*'[1]Electricity and CHPs_IN'!E$54</f>
        <v>1.381759189455287</v>
      </c>
      <c r="J323" s="1">
        <f>IFERROR(J95/SUM(J95,J248),0)*'[1]Electricity and CHPs_IN'!F$54</f>
        <v>1.4579107855956479</v>
      </c>
      <c r="K323" s="1">
        <f>IFERROR(K95/SUM(K95,K248),0)*'[1]Electricity and CHPs_IN'!G$54</f>
        <v>1.5473423290934729</v>
      </c>
      <c r="L323" s="1">
        <f>IFERROR(L95/SUM(L95,L248),0)*'[1]Electricity and CHPs_IN'!H$54</f>
        <v>1.5310321188397844</v>
      </c>
      <c r="M323" s="1">
        <f>IFERROR(M95/SUM(M95,M248),0)*'[1]Electricity and CHPs_IN'!I$54</f>
        <v>1.5115775458603393</v>
      </c>
      <c r="N323" s="1">
        <f>IFERROR(N95/SUM(N95,N248),0)*'[1]Electricity and CHPs_IN'!J$54</f>
        <v>1.5084405547928794</v>
      </c>
      <c r="O323" s="1">
        <f>IFERROR(O95/SUM(O95,O248),0)*'[1]Electricity and CHPs_IN'!K$54</f>
        <v>1.5142229071774123</v>
      </c>
      <c r="P323" s="1">
        <f>IFERROR(P95/SUM(P95,P248),0)*'[1]Electricity and CHPs_IN'!L$54</f>
        <v>1.5142620870699102</v>
      </c>
      <c r="Q323" s="1">
        <f>IFERROR(Q95/SUM(Q95,Q248),0)*'[1]Electricity and CHPs_IN'!M$54</f>
        <v>1.5733748900706619</v>
      </c>
      <c r="S323" s="3"/>
    </row>
    <row r="324" spans="1:19" x14ac:dyDescent="0.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93"/>
        <v>PJ/yr.</v>
      </c>
      <c r="F324" s="1">
        <f>IFERROR(F96/SUM(F96,F249),0)*'[1]Electricity and CHPs_IN'!B$55</f>
        <v>0.78104798440782897</v>
      </c>
      <c r="G324" s="1">
        <f>IFERROR(G96/SUM(G96,G249),0)*'[1]Electricity and CHPs_IN'!C$55</f>
        <v>0.7908116310071226</v>
      </c>
      <c r="H324" s="1">
        <f>IFERROR(H96/SUM(H96,H249),0)*'[1]Electricity and CHPs_IN'!D$55</f>
        <v>0.65576201192915828</v>
      </c>
      <c r="I324" s="1">
        <f>IFERROR(I96/SUM(I96,I249),0)*'[1]Electricity and CHPs_IN'!E$55</f>
        <v>2.672031735204476</v>
      </c>
      <c r="J324" s="1">
        <f>IFERROR(J96/SUM(J96,J249),0)*'[1]Electricity and CHPs_IN'!F$55</f>
        <v>4.6256309311876622</v>
      </c>
      <c r="K324" s="1">
        <f>IFERROR(K96/SUM(K96,K249),0)*'[1]Electricity and CHPs_IN'!G$55</f>
        <v>4.2840614663013685</v>
      </c>
      <c r="L324" s="1">
        <f>IFERROR(L96/SUM(L96,L249),0)*'[1]Electricity and CHPs_IN'!H$55</f>
        <v>4.1863889589604311</v>
      </c>
      <c r="M324" s="1">
        <f>IFERROR(M96/SUM(M96,M249),0)*'[1]Electricity and CHPs_IN'!I$55</f>
        <v>2.9603880291034277</v>
      </c>
      <c r="N324" s="1">
        <f>IFERROR(N96/SUM(N96,N249),0)*'[1]Electricity and CHPs_IN'!J$55</f>
        <v>2.9607316711817226</v>
      </c>
      <c r="O324" s="1">
        <f>IFERROR(O96/SUM(O96,O249),0)*'[1]Electricity and CHPs_IN'!K$55</f>
        <v>3.0309204120503521</v>
      </c>
      <c r="P324" s="1">
        <f>IFERROR(P96/SUM(P96,P249),0)*'[1]Electricity and CHPs_IN'!L$55</f>
        <v>3.2927360582340048</v>
      </c>
      <c r="Q324" s="1">
        <f>IFERROR(Q96/SUM(Q96,Q249),0)*'[1]Electricity and CHPs_IN'!M$55</f>
        <v>3.4888956801656681</v>
      </c>
      <c r="S324" s="3"/>
    </row>
    <row r="325" spans="1:19" x14ac:dyDescent="0.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93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5.3343621671288624E-3</v>
      </c>
      <c r="J325" s="1">
        <f>IFERROR(J97/SUM(J97,J250),0)*'[1]Electricity and CHPs_IN'!F$58</f>
        <v>1.6273727777158305E-2</v>
      </c>
      <c r="K325" s="1">
        <f>IFERROR(K97/SUM(K97,K250),0)*'[1]Electricity and CHPs_IN'!G$58</f>
        <v>1.5696699797514934E-2</v>
      </c>
      <c r="L325" s="1">
        <f>IFERROR(L97/SUM(L97,L250),0)*'[1]Electricity and CHPs_IN'!H$58</f>
        <v>1.1604575178988151E-2</v>
      </c>
      <c r="M325" s="1">
        <f>IFERROR(M97/SUM(M97,M250),0)*'[1]Electricity and CHPs_IN'!I$58</f>
        <v>2.7215962568949006E-2</v>
      </c>
      <c r="N325" s="1">
        <f>IFERROR(N97/SUM(N97,N250),0)*'[1]Electricity and CHPs_IN'!J$58</f>
        <v>2.7528782190428973E-2</v>
      </c>
      <c r="O325" s="1">
        <f>IFERROR(O97/SUM(O97,O250),0)*'[1]Electricity and CHPs_IN'!K$58</f>
        <v>5.6782630709363506E-2</v>
      </c>
      <c r="P325" s="1">
        <f>IFERROR(P97/SUM(P97,P250),0)*'[1]Electricity and CHPs_IN'!L$58</f>
        <v>4.3542139687612849E-2</v>
      </c>
      <c r="Q325" s="1">
        <f>IFERROR(Q97/SUM(Q97,Q250),0)*'[1]Electricity and CHPs_IN'!M$58</f>
        <v>9.3835238016715505E-2</v>
      </c>
      <c r="S325" s="3"/>
    </row>
    <row r="326" spans="1:19" x14ac:dyDescent="0.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93"/>
        <v>PJ/yr.</v>
      </c>
      <c r="F326" s="1">
        <f>F310-F342</f>
        <v>2.9575461559580614</v>
      </c>
      <c r="G326" s="1">
        <f t="shared" ref="G326:K326" si="309">G310-G342</f>
        <v>0.90405189337410841</v>
      </c>
      <c r="H326" s="1">
        <f t="shared" si="309"/>
        <v>0.84960821911029583</v>
      </c>
      <c r="I326" s="1">
        <f t="shared" si="309"/>
        <v>5.0395483380214809</v>
      </c>
      <c r="J326" s="1">
        <f t="shared" si="309"/>
        <v>6.1993462098760848</v>
      </c>
      <c r="K326" s="1">
        <f t="shared" si="309"/>
        <v>7.0529630495387003</v>
      </c>
      <c r="L326" s="1">
        <f t="shared" ref="L326:O326" si="310">L310-L342</f>
        <v>16.63626199686038</v>
      </c>
      <c r="M326" s="1">
        <f t="shared" si="310"/>
        <v>20.126603068265844</v>
      </c>
      <c r="N326" s="1">
        <f t="shared" si="310"/>
        <v>21.462318309625356</v>
      </c>
      <c r="O326" s="1">
        <f t="shared" si="310"/>
        <v>23.451487691632622</v>
      </c>
      <c r="P326" s="1">
        <f>P310-P342</f>
        <v>23.806755669495384</v>
      </c>
      <c r="Q326" s="1">
        <f>Q310-Q342</f>
        <v>22.645282911186481</v>
      </c>
      <c r="S326" s="3"/>
    </row>
    <row r="327" spans="1:19" x14ac:dyDescent="0.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93"/>
        <v>PJ/yr.</v>
      </c>
      <c r="F327" s="1">
        <f>IFERROR(F99/F83,0)*F311</f>
        <v>0</v>
      </c>
      <c r="G327" s="1">
        <f t="shared" ref="G327:K327" si="311">IFERROR(G99/G83,0)*G311</f>
        <v>0</v>
      </c>
      <c r="H327" s="1">
        <f t="shared" si="311"/>
        <v>0</v>
      </c>
      <c r="I327" s="1">
        <f t="shared" si="311"/>
        <v>0</v>
      </c>
      <c r="J327" s="1">
        <f t="shared" si="311"/>
        <v>0</v>
      </c>
      <c r="K327" s="1">
        <f t="shared" si="311"/>
        <v>0.36644207822330366</v>
      </c>
      <c r="L327" s="1">
        <f t="shared" ref="L327:O327" si="312">IFERROR(L99/L83,0)*L311</f>
        <v>8.6327066545601259</v>
      </c>
      <c r="M327" s="1">
        <f t="shared" si="312"/>
        <v>14.455255007003055</v>
      </c>
      <c r="N327" s="1">
        <f t="shared" si="312"/>
        <v>15.475704637566741</v>
      </c>
      <c r="O327" s="1">
        <f t="shared" si="312"/>
        <v>18.097864781345553</v>
      </c>
      <c r="P327" s="1">
        <f t="shared" ref="P327:Q341" si="313">IFERROR(P99/P83,0)*P311</f>
        <v>19.081559119834832</v>
      </c>
      <c r="Q327" s="1">
        <f t="shared" si="313"/>
        <v>17.326699914333766</v>
      </c>
      <c r="S327" s="3"/>
    </row>
    <row r="328" spans="1:19" x14ac:dyDescent="0.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93"/>
        <v>PJ/yr.</v>
      </c>
      <c r="F328" s="1">
        <f t="shared" ref="F328:K328" si="314">IFERROR(F100/F84,0)*F312</f>
        <v>0</v>
      </c>
      <c r="G328" s="1">
        <f t="shared" si="314"/>
        <v>0</v>
      </c>
      <c r="H328" s="1">
        <f t="shared" si="314"/>
        <v>0</v>
      </c>
      <c r="I328" s="1">
        <f t="shared" si="314"/>
        <v>0</v>
      </c>
      <c r="J328" s="1">
        <f t="shared" si="314"/>
        <v>4.8855449959369593E-2</v>
      </c>
      <c r="K328" s="1">
        <f t="shared" si="314"/>
        <v>0.17198258306270758</v>
      </c>
      <c r="L328" s="1">
        <f t="shared" ref="L328:O328" si="315">IFERROR(L100/L84,0)*L312</f>
        <v>1.7350981306143516</v>
      </c>
      <c r="M328" s="1">
        <f t="shared" si="315"/>
        <v>0.61577726641161057</v>
      </c>
      <c r="N328" s="1">
        <f t="shared" si="315"/>
        <v>1.0781620378350867</v>
      </c>
      <c r="O328" s="1">
        <f t="shared" si="315"/>
        <v>0.72686032806839673</v>
      </c>
      <c r="P328" s="1">
        <f t="shared" si="313"/>
        <v>0.19240054582194813</v>
      </c>
      <c r="Q328" s="1">
        <f t="shared" si="313"/>
        <v>0.58345845810558183</v>
      </c>
      <c r="S328" s="3"/>
    </row>
    <row r="329" spans="1:19" x14ac:dyDescent="0.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93"/>
        <v>PJ/yr.</v>
      </c>
      <c r="F329" s="1">
        <f t="shared" ref="F329:K329" si="316">IFERROR(F101/F85,0)*F313</f>
        <v>0</v>
      </c>
      <c r="G329" s="1">
        <f t="shared" si="316"/>
        <v>0</v>
      </c>
      <c r="H329" s="1">
        <f t="shared" si="316"/>
        <v>0</v>
      </c>
      <c r="I329" s="1">
        <f t="shared" si="316"/>
        <v>0</v>
      </c>
      <c r="J329" s="1">
        <f t="shared" si="316"/>
        <v>0</v>
      </c>
      <c r="K329" s="1">
        <f t="shared" si="316"/>
        <v>0</v>
      </c>
      <c r="L329" s="1">
        <f t="shared" ref="L329:O329" si="317">IFERROR(L101/L85,0)*L313</f>
        <v>0</v>
      </c>
      <c r="M329" s="1">
        <f t="shared" si="317"/>
        <v>0</v>
      </c>
      <c r="N329" s="1">
        <f t="shared" si="317"/>
        <v>0</v>
      </c>
      <c r="O329" s="1">
        <f t="shared" si="317"/>
        <v>0</v>
      </c>
      <c r="P329" s="1">
        <f t="shared" si="313"/>
        <v>0</v>
      </c>
      <c r="Q329" s="1">
        <f t="shared" si="313"/>
        <v>0</v>
      </c>
      <c r="S329" s="3"/>
    </row>
    <row r="330" spans="1:19" x14ac:dyDescent="0.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93"/>
        <v>PJ/yr.</v>
      </c>
      <c r="F330" s="1">
        <f t="shared" ref="F330:K330" si="318">IFERROR(F102/F86,0)*F314</f>
        <v>1.2585468668922761</v>
      </c>
      <c r="G330" s="1">
        <f t="shared" si="318"/>
        <v>6.2937724260142319E-4</v>
      </c>
      <c r="H330" s="1">
        <f t="shared" si="318"/>
        <v>2.799999705723908E-2</v>
      </c>
      <c r="I330" s="1">
        <f t="shared" si="318"/>
        <v>0.84495483135413385</v>
      </c>
      <c r="J330" s="1">
        <f t="shared" si="318"/>
        <v>0.30176150079124409</v>
      </c>
      <c r="K330" s="1">
        <f t="shared" si="318"/>
        <v>0.79817536109068454</v>
      </c>
      <c r="L330" s="1">
        <f t="shared" ref="L330:O330" si="319">IFERROR(L102/L86,0)*L314</f>
        <v>0.33664271293472658</v>
      </c>
      <c r="M330" s="1">
        <f t="shared" si="319"/>
        <v>0.15562628879448556</v>
      </c>
      <c r="N330" s="1">
        <f t="shared" si="319"/>
        <v>0.14078409349875654</v>
      </c>
      <c r="O330" s="1">
        <f t="shared" si="319"/>
        <v>5.1512669374505438E-2</v>
      </c>
      <c r="P330" s="1">
        <f t="shared" si="313"/>
        <v>1.6528432892657586E-2</v>
      </c>
      <c r="Q330" s="1">
        <f t="shared" si="313"/>
        <v>2.3911549078199975E-2</v>
      </c>
      <c r="S330" s="3"/>
    </row>
    <row r="331" spans="1:19" x14ac:dyDescent="0.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93"/>
        <v>PJ/yr.</v>
      </c>
      <c r="F331" s="1">
        <f t="shared" ref="F331:K331" si="320">IFERROR(F103/F87,0)*F315</f>
        <v>0</v>
      </c>
      <c r="G331" s="1">
        <f t="shared" si="320"/>
        <v>0</v>
      </c>
      <c r="H331" s="1">
        <f t="shared" si="320"/>
        <v>0</v>
      </c>
      <c r="I331" s="1">
        <f t="shared" si="320"/>
        <v>0</v>
      </c>
      <c r="J331" s="1">
        <f t="shared" si="320"/>
        <v>0</v>
      </c>
      <c r="K331" s="1">
        <f t="shared" si="320"/>
        <v>0.42486154975843426</v>
      </c>
      <c r="L331" s="1">
        <f t="shared" ref="L331:O331" si="321">IFERROR(L103/L87,0)*L315</f>
        <v>0.77274523601658107</v>
      </c>
      <c r="M331" s="1">
        <f t="shared" si="321"/>
        <v>0.93353004554284358</v>
      </c>
      <c r="N331" s="1">
        <f t="shared" si="321"/>
        <v>0.88030048710828002</v>
      </c>
      <c r="O331" s="1">
        <f t="shared" si="321"/>
        <v>0.51482552125135994</v>
      </c>
      <c r="P331" s="1">
        <f t="shared" si="313"/>
        <v>0.13205468076996996</v>
      </c>
      <c r="Q331" s="1">
        <f t="shared" si="313"/>
        <v>4.6398007462528978E-2</v>
      </c>
      <c r="S331" s="3"/>
    </row>
    <row r="332" spans="1:19" x14ac:dyDescent="0.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93"/>
        <v>PJ/yr.</v>
      </c>
      <c r="F332" s="1">
        <f t="shared" ref="F332:K332" si="322">IFERROR(F104/F88,0)*F316</f>
        <v>0.86955702640309152</v>
      </c>
      <c r="G332" s="1">
        <f t="shared" si="322"/>
        <v>0.11635886159695562</v>
      </c>
      <c r="H332" s="1">
        <f t="shared" si="322"/>
        <v>7.1839423743761913E-2</v>
      </c>
      <c r="I332" s="1">
        <f t="shared" si="322"/>
        <v>0.94843918162872054</v>
      </c>
      <c r="J332" s="1">
        <f t="shared" si="322"/>
        <v>0.57321283386395905</v>
      </c>
      <c r="K332" s="1">
        <f t="shared" si="322"/>
        <v>0.2192810840947654</v>
      </c>
      <c r="L332" s="1">
        <f t="shared" ref="L332:O332" si="323">IFERROR(L104/L88,0)*L316</f>
        <v>0.15854938421036793</v>
      </c>
      <c r="M332" s="1">
        <f t="shared" si="323"/>
        <v>9.9683440172002216E-2</v>
      </c>
      <c r="N332" s="1">
        <f t="shared" si="323"/>
        <v>6.1092026548712007E-2</v>
      </c>
      <c r="O332" s="1">
        <f t="shared" si="323"/>
        <v>9.1797225456119777E-2</v>
      </c>
      <c r="P332" s="1">
        <f t="shared" si="313"/>
        <v>0.14807595914688554</v>
      </c>
      <c r="Q332" s="1">
        <f t="shared" si="313"/>
        <v>0.15504953815791325</v>
      </c>
      <c r="S332" s="3"/>
    </row>
    <row r="333" spans="1:19" x14ac:dyDescent="0.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93"/>
        <v>PJ/yr.</v>
      </c>
      <c r="F333" s="1">
        <f t="shared" ref="F333:K333" si="324">IFERROR(F105/F89,0)*F317</f>
        <v>0</v>
      </c>
      <c r="G333" s="1">
        <f t="shared" si="324"/>
        <v>0</v>
      </c>
      <c r="H333" s="1">
        <f t="shared" si="324"/>
        <v>0</v>
      </c>
      <c r="I333" s="1">
        <f t="shared" si="324"/>
        <v>0</v>
      </c>
      <c r="J333" s="1">
        <f t="shared" si="324"/>
        <v>0</v>
      </c>
      <c r="K333" s="1">
        <f t="shared" si="324"/>
        <v>0</v>
      </c>
      <c r="L333" s="1">
        <f t="shared" ref="L333:O333" si="325">IFERROR(L105/L89,0)*L317</f>
        <v>0</v>
      </c>
      <c r="M333" s="1">
        <f t="shared" si="325"/>
        <v>0</v>
      </c>
      <c r="N333" s="1">
        <f t="shared" si="325"/>
        <v>0</v>
      </c>
      <c r="O333" s="1">
        <f t="shared" si="325"/>
        <v>0</v>
      </c>
      <c r="P333" s="1">
        <f t="shared" si="313"/>
        <v>0</v>
      </c>
      <c r="Q333" s="1">
        <f t="shared" si="313"/>
        <v>0</v>
      </c>
      <c r="S333" s="3"/>
    </row>
    <row r="334" spans="1:19" x14ac:dyDescent="0.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93"/>
        <v>PJ/yr.</v>
      </c>
      <c r="F334" s="1">
        <f t="shared" ref="F334:K334" si="326">IFERROR(F106/F90,0)*F318</f>
        <v>0</v>
      </c>
      <c r="G334" s="1">
        <f t="shared" si="326"/>
        <v>0</v>
      </c>
      <c r="H334" s="1">
        <f t="shared" si="326"/>
        <v>0</v>
      </c>
      <c r="I334" s="1">
        <f t="shared" si="326"/>
        <v>0</v>
      </c>
      <c r="J334" s="1">
        <f t="shared" si="326"/>
        <v>0</v>
      </c>
      <c r="K334" s="1">
        <f t="shared" si="326"/>
        <v>0</v>
      </c>
      <c r="L334" s="1">
        <f t="shared" ref="L334:O334" si="327">IFERROR(L106/L90,0)*L318</f>
        <v>0</v>
      </c>
      <c r="M334" s="1">
        <f t="shared" si="327"/>
        <v>0</v>
      </c>
      <c r="N334" s="1">
        <f t="shared" si="327"/>
        <v>0</v>
      </c>
      <c r="O334" s="1">
        <f t="shared" si="327"/>
        <v>0</v>
      </c>
      <c r="P334" s="1">
        <f t="shared" si="313"/>
        <v>0</v>
      </c>
      <c r="Q334" s="1">
        <f t="shared" si="313"/>
        <v>0</v>
      </c>
      <c r="S334" s="3"/>
    </row>
    <row r="335" spans="1:19" x14ac:dyDescent="0.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93"/>
        <v>PJ/yr.</v>
      </c>
      <c r="F335" s="1">
        <f t="shared" ref="F335:K335" si="328">IFERROR(F107/F91,0)*F319</f>
        <v>2.7910957757704989E-2</v>
      </c>
      <c r="G335" s="1">
        <f t="shared" si="328"/>
        <v>4.4160526923136137E-3</v>
      </c>
      <c r="H335" s="1">
        <f t="shared" si="328"/>
        <v>2.0280821632993537E-2</v>
      </c>
      <c r="I335" s="1">
        <f t="shared" si="328"/>
        <v>1.7454071019762173E-2</v>
      </c>
      <c r="J335" s="1">
        <f t="shared" si="328"/>
        <v>3.8406026728775175E-2</v>
      </c>
      <c r="K335" s="1">
        <f t="shared" si="328"/>
        <v>3.8657843127753014E-2</v>
      </c>
      <c r="L335" s="1">
        <f t="shared" ref="L335:O335" si="329">IFERROR(L107/L91,0)*L319</f>
        <v>4.4448399300034587E-2</v>
      </c>
      <c r="M335" s="1">
        <f t="shared" si="329"/>
        <v>6.2370869213577776E-2</v>
      </c>
      <c r="N335" s="1">
        <f t="shared" si="329"/>
        <v>5.0789261646010386E-2</v>
      </c>
      <c r="O335" s="1">
        <f t="shared" si="329"/>
        <v>5.7688093513854476E-2</v>
      </c>
      <c r="P335" s="1">
        <f t="shared" si="313"/>
        <v>0.1820563169717426</v>
      </c>
      <c r="Q335" s="1">
        <f t="shared" si="313"/>
        <v>0.18118482193866531</v>
      </c>
      <c r="S335" s="3"/>
    </row>
    <row r="336" spans="1:19" x14ac:dyDescent="0.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93"/>
        <v>PJ/yr.</v>
      </c>
      <c r="F336" s="1">
        <f t="shared" ref="F336:K336" si="330">IFERROR(F108/F92,0)*F320</f>
        <v>0</v>
      </c>
      <c r="G336" s="1">
        <f t="shared" si="330"/>
        <v>0</v>
      </c>
      <c r="H336" s="1">
        <f t="shared" si="330"/>
        <v>0</v>
      </c>
      <c r="I336" s="1">
        <f t="shared" si="330"/>
        <v>1.6824332587529085E-3</v>
      </c>
      <c r="J336" s="1">
        <f t="shared" si="330"/>
        <v>5.8776318298573993E-3</v>
      </c>
      <c r="K336" s="1">
        <f t="shared" si="330"/>
        <v>5.8829680152239546E-3</v>
      </c>
      <c r="L336" s="1">
        <f t="shared" ref="L336:O336" si="331">IFERROR(L108/L92,0)*L320</f>
        <v>6.1856268337326884E-3</v>
      </c>
      <c r="M336" s="1">
        <f t="shared" si="331"/>
        <v>1.4584760103264652E-2</v>
      </c>
      <c r="N336" s="1">
        <f t="shared" si="331"/>
        <v>1.1840086941544401E-2</v>
      </c>
      <c r="O336" s="1">
        <f t="shared" si="331"/>
        <v>1.8786379100310297E-2</v>
      </c>
      <c r="P336" s="1">
        <f t="shared" si="313"/>
        <v>1.8046087969525365E-2</v>
      </c>
      <c r="Q336" s="1">
        <f t="shared" si="313"/>
        <v>3.2848114791591665E-2</v>
      </c>
      <c r="S336" s="3"/>
    </row>
    <row r="337" spans="1:19" x14ac:dyDescent="0.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93"/>
        <v>PJ/yr.</v>
      </c>
      <c r="F337" s="1">
        <f t="shared" ref="F337:K337" si="332">IFERROR(F109/F93,0)*F321</f>
        <v>4.1248793179411616E-2</v>
      </c>
      <c r="G337" s="1">
        <f t="shared" si="332"/>
        <v>2.6475371294618029E-2</v>
      </c>
      <c r="H337" s="1">
        <f t="shared" si="332"/>
        <v>0.12878651062416685</v>
      </c>
      <c r="I337" s="1">
        <f t="shared" si="332"/>
        <v>0.65417134495638851</v>
      </c>
      <c r="J337" s="1">
        <f t="shared" si="332"/>
        <v>0.70357454073731007</v>
      </c>
      <c r="K337" s="1">
        <f t="shared" si="332"/>
        <v>0.79752289952924715</v>
      </c>
      <c r="L337" s="1">
        <f t="shared" ref="L337:O337" si="333">IFERROR(L109/L93,0)*L321</f>
        <v>0.78982755815406014</v>
      </c>
      <c r="M337" s="1">
        <f t="shared" si="333"/>
        <v>0.76421290723478841</v>
      </c>
      <c r="N337" s="1">
        <f t="shared" si="333"/>
        <v>0.74489791125586435</v>
      </c>
      <c r="O337" s="1">
        <f t="shared" si="333"/>
        <v>0.70549800307355603</v>
      </c>
      <c r="P337" s="1">
        <f t="shared" si="313"/>
        <v>0.6109421640292475</v>
      </c>
      <c r="Q337" s="1">
        <f t="shared" si="313"/>
        <v>0.52159826393383069</v>
      </c>
      <c r="S337" s="3"/>
    </row>
    <row r="338" spans="1:19" x14ac:dyDescent="0.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93"/>
        <v>PJ/yr.</v>
      </c>
      <c r="F338" s="1">
        <f t="shared" ref="F338:K338" si="334">IFERROR(F110/F94,0)*F322</f>
        <v>0</v>
      </c>
      <c r="G338" s="1">
        <f t="shared" si="334"/>
        <v>0</v>
      </c>
      <c r="H338" s="1">
        <f t="shared" si="334"/>
        <v>0</v>
      </c>
      <c r="I338" s="1">
        <f t="shared" si="334"/>
        <v>7.1440104342669142E-3</v>
      </c>
      <c r="J338" s="1">
        <f t="shared" si="334"/>
        <v>2.7737084613268136E-2</v>
      </c>
      <c r="K338" s="1">
        <f t="shared" si="334"/>
        <v>2.7911003262735892E-2</v>
      </c>
      <c r="L338" s="1">
        <f t="shared" ref="L338:O338" si="335">IFERROR(L110/L94,0)*L322</f>
        <v>3.1231215092241405E-2</v>
      </c>
      <c r="M338" s="1">
        <f t="shared" si="335"/>
        <v>8.3382560857308927E-2</v>
      </c>
      <c r="N338" s="1">
        <f t="shared" si="335"/>
        <v>7.3097810547367331E-2</v>
      </c>
      <c r="O338" s="1">
        <f t="shared" si="335"/>
        <v>0.14264845268383583</v>
      </c>
      <c r="P338" s="1">
        <f t="shared" si="313"/>
        <v>0.13850383087940102</v>
      </c>
      <c r="Q338" s="1">
        <f t="shared" si="313"/>
        <v>0.2488509458050493</v>
      </c>
      <c r="S338" s="3"/>
    </row>
    <row r="339" spans="1:19" x14ac:dyDescent="0.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93"/>
        <v>PJ/yr.</v>
      </c>
      <c r="F339" s="1">
        <f t="shared" ref="F339:K339" si="336">IFERROR(F111/F95,0)*F323</f>
        <v>0</v>
      </c>
      <c r="G339" s="1">
        <f t="shared" si="336"/>
        <v>0</v>
      </c>
      <c r="H339" s="1">
        <f t="shared" si="336"/>
        <v>0</v>
      </c>
      <c r="I339" s="1">
        <f t="shared" si="336"/>
        <v>0</v>
      </c>
      <c r="J339" s="1">
        <f t="shared" si="336"/>
        <v>0</v>
      </c>
      <c r="K339" s="1">
        <f t="shared" si="336"/>
        <v>0</v>
      </c>
      <c r="L339" s="1">
        <f t="shared" ref="L339:O339" si="337">IFERROR(L111/L95,0)*L323</f>
        <v>0</v>
      </c>
      <c r="M339" s="1">
        <f t="shared" si="337"/>
        <v>0</v>
      </c>
      <c r="N339" s="1">
        <f t="shared" si="337"/>
        <v>0</v>
      </c>
      <c r="O339" s="1">
        <f t="shared" si="337"/>
        <v>0</v>
      </c>
      <c r="P339" s="1">
        <f t="shared" si="313"/>
        <v>0</v>
      </c>
      <c r="Q339" s="1">
        <f t="shared" si="313"/>
        <v>0</v>
      </c>
      <c r="S339" s="3"/>
    </row>
    <row r="340" spans="1:19" x14ac:dyDescent="0.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93"/>
        <v>PJ/yr.</v>
      </c>
      <c r="F340" s="1">
        <f t="shared" ref="F340:K340" si="338">IFERROR(F112/F96,0)*F324</f>
        <v>0.7602825117255767</v>
      </c>
      <c r="G340" s="1">
        <f t="shared" si="338"/>
        <v>0.75617223054761962</v>
      </c>
      <c r="H340" s="1">
        <f t="shared" si="338"/>
        <v>0.60070146605213437</v>
      </c>
      <c r="I340" s="1">
        <f t="shared" si="338"/>
        <v>2.5605905809032965</v>
      </c>
      <c r="J340" s="1">
        <f t="shared" si="338"/>
        <v>4.4841451836252038</v>
      </c>
      <c r="K340" s="1">
        <f t="shared" si="338"/>
        <v>4.1869049587201586</v>
      </c>
      <c r="L340" s="1">
        <f t="shared" ref="L340:O340" si="339">IFERROR(L112/L96,0)*L324</f>
        <v>4.1174137018125085</v>
      </c>
      <c r="M340" s="1">
        <f t="shared" si="339"/>
        <v>2.9153777567566515</v>
      </c>
      <c r="N340" s="1">
        <f t="shared" si="339"/>
        <v>2.9185137155989813</v>
      </c>
      <c r="O340" s="1">
        <f t="shared" si="339"/>
        <v>2.9880271880694944</v>
      </c>
      <c r="P340" s="1">
        <f t="shared" si="313"/>
        <v>3.2436948968864923</v>
      </c>
      <c r="Q340" s="1">
        <f t="shared" si="313"/>
        <v>3.4329526691121335</v>
      </c>
      <c r="S340" s="3"/>
    </row>
    <row r="341" spans="1:19" x14ac:dyDescent="0.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93"/>
        <v>PJ/yr.</v>
      </c>
      <c r="F341" s="1">
        <f t="shared" ref="F341:K341" si="340">IFERROR(F113/F97,0)*F325</f>
        <v>0</v>
      </c>
      <c r="G341" s="1">
        <f t="shared" si="340"/>
        <v>0</v>
      </c>
      <c r="H341" s="1">
        <f t="shared" si="340"/>
        <v>0</v>
      </c>
      <c r="I341" s="1">
        <f t="shared" si="340"/>
        <v>5.1118844661595325E-3</v>
      </c>
      <c r="J341" s="1">
        <f t="shared" si="340"/>
        <v>1.5775957727097695E-2</v>
      </c>
      <c r="K341" s="1">
        <f t="shared" si="340"/>
        <v>1.5340720653687691E-2</v>
      </c>
      <c r="L341" s="1">
        <f t="shared" ref="L341:O341" si="341">IFERROR(L113/L97,0)*L325</f>
        <v>1.1413377331652468E-2</v>
      </c>
      <c r="M341" s="1">
        <f t="shared" si="341"/>
        <v>2.6802166176258191E-2</v>
      </c>
      <c r="N341" s="1">
        <f t="shared" si="341"/>
        <v>2.7136241078015825E-2</v>
      </c>
      <c r="O341" s="1">
        <f t="shared" si="341"/>
        <v>5.5979049695637238E-2</v>
      </c>
      <c r="P341" s="1">
        <f t="shared" si="313"/>
        <v>4.2893634292685626E-2</v>
      </c>
      <c r="Q341" s="1">
        <f t="shared" si="313"/>
        <v>9.2330628467217332E-2</v>
      </c>
      <c r="S341" s="3"/>
    </row>
    <row r="342" spans="1:19" x14ac:dyDescent="0.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93"/>
        <v>PJ/yr.</v>
      </c>
      <c r="F342" s="1">
        <f>SUM(F343:F357)</f>
        <v>1.1454877810816049</v>
      </c>
      <c r="G342" s="1">
        <f t="shared" ref="G342:K342" si="342">SUM(G343:G357)</f>
        <v>1.2966951178193664</v>
      </c>
      <c r="H342" s="1">
        <f t="shared" si="342"/>
        <v>1.3789368473561081</v>
      </c>
      <c r="I342" s="1">
        <f t="shared" si="342"/>
        <v>1.6010887020037492</v>
      </c>
      <c r="J342" s="1">
        <f t="shared" si="342"/>
        <v>1.6535153204590141</v>
      </c>
      <c r="K342" s="1">
        <f t="shared" si="342"/>
        <v>1.7118886202475438</v>
      </c>
      <c r="L342" s="1">
        <f t="shared" ref="L342:O342" si="343">SUM(L343:L357)</f>
        <v>1.8111171517628706</v>
      </c>
      <c r="M342" s="1">
        <f t="shared" si="343"/>
        <v>1.8255038720090524</v>
      </c>
      <c r="N342" s="1">
        <f t="shared" si="343"/>
        <v>1.8205626619049435</v>
      </c>
      <c r="O342" s="1">
        <f t="shared" si="343"/>
        <v>1.8536271080380193</v>
      </c>
      <c r="P342" s="1">
        <f>SUM(P343:P357)</f>
        <v>1.8762724617442175</v>
      </c>
      <c r="Q342" s="1">
        <f>SUM(Q343:Q357)</f>
        <v>1.946555660916627</v>
      </c>
      <c r="S342" s="3"/>
    </row>
    <row r="343" spans="1:19" x14ac:dyDescent="0.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93"/>
        <v>PJ/yr.</v>
      </c>
      <c r="F343" s="1">
        <f>F311-F327</f>
        <v>0</v>
      </c>
      <c r="G343" s="1">
        <f t="shared" ref="G343:K343" si="344">G311-G327</f>
        <v>0</v>
      </c>
      <c r="H343" s="1">
        <f t="shared" si="344"/>
        <v>0</v>
      </c>
      <c r="I343" s="1">
        <f t="shared" si="344"/>
        <v>0</v>
      </c>
      <c r="J343" s="1">
        <f t="shared" si="344"/>
        <v>0</v>
      </c>
      <c r="K343" s="1">
        <f t="shared" si="344"/>
        <v>8.5032339883491792E-3</v>
      </c>
      <c r="L343" s="1">
        <f t="shared" ref="L343:O343" si="345">L311-L327</f>
        <v>0.14461582063486844</v>
      </c>
      <c r="M343" s="1">
        <f t="shared" si="345"/>
        <v>0.22317346806924299</v>
      </c>
      <c r="N343" s="1">
        <f t="shared" si="345"/>
        <v>0.22386484172007215</v>
      </c>
      <c r="O343" s="1">
        <f t="shared" si="345"/>
        <v>0.25979541643430437</v>
      </c>
      <c r="P343" s="1">
        <f t="shared" ref="P343:Q357" si="346">P311-P327</f>
        <v>0.28849255226073822</v>
      </c>
      <c r="Q343" s="1">
        <f t="shared" si="346"/>
        <v>0.28235395540118446</v>
      </c>
      <c r="S343" s="3"/>
    </row>
    <row r="344" spans="1:19" x14ac:dyDescent="0.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93"/>
        <v>PJ/yr.</v>
      </c>
      <c r="F344" s="1">
        <f t="shared" ref="F344:K344" si="347">F312-F328</f>
        <v>0</v>
      </c>
      <c r="G344" s="1">
        <f t="shared" si="347"/>
        <v>0</v>
      </c>
      <c r="H344" s="1">
        <f t="shared" si="347"/>
        <v>0</v>
      </c>
      <c r="I344" s="1">
        <f t="shared" si="347"/>
        <v>0</v>
      </c>
      <c r="J344" s="1">
        <f t="shared" si="347"/>
        <v>1.5415089335741386E-3</v>
      </c>
      <c r="K344" s="1">
        <f t="shared" si="347"/>
        <v>3.9908302910882376E-3</v>
      </c>
      <c r="L344" s="1">
        <f t="shared" ref="L344:O344" si="348">L312-L328</f>
        <v>2.90665083480246E-2</v>
      </c>
      <c r="M344" s="1">
        <f t="shared" si="348"/>
        <v>9.5069335018095336E-3</v>
      </c>
      <c r="N344" s="1">
        <f t="shared" si="348"/>
        <v>1.5596225154274501E-2</v>
      </c>
      <c r="O344" s="1">
        <f t="shared" si="348"/>
        <v>1.0434102801715306E-2</v>
      </c>
      <c r="P344" s="1">
        <f t="shared" si="346"/>
        <v>2.9088883236399465E-3</v>
      </c>
      <c r="Q344" s="1">
        <f t="shared" si="346"/>
        <v>9.507973490214483E-3</v>
      </c>
      <c r="S344" s="3"/>
    </row>
    <row r="345" spans="1:19" x14ac:dyDescent="0.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93"/>
        <v>PJ/yr.</v>
      </c>
      <c r="F345" s="1">
        <f t="shared" ref="F345:K345" si="349">F313-F329</f>
        <v>0</v>
      </c>
      <c r="G345" s="1">
        <f t="shared" si="349"/>
        <v>0</v>
      </c>
      <c r="H345" s="1">
        <f t="shared" si="349"/>
        <v>0</v>
      </c>
      <c r="I345" s="1">
        <f t="shared" si="349"/>
        <v>0</v>
      </c>
      <c r="J345" s="1">
        <f t="shared" si="349"/>
        <v>0</v>
      </c>
      <c r="K345" s="1">
        <f t="shared" si="349"/>
        <v>8.833313428302091E-4</v>
      </c>
      <c r="L345" s="1">
        <f t="shared" ref="L345:O345" si="350">L313-L329</f>
        <v>1.3929868193572914E-3</v>
      </c>
      <c r="M345" s="1">
        <f t="shared" si="350"/>
        <v>3.1933916538272921E-3</v>
      </c>
      <c r="N345" s="1">
        <f t="shared" si="350"/>
        <v>1.6575044427335288E-3</v>
      </c>
      <c r="O345" s="1">
        <f t="shared" si="350"/>
        <v>2.7573596745897743E-3</v>
      </c>
      <c r="P345" s="1">
        <f t="shared" si="346"/>
        <v>2.0779571497178554E-3</v>
      </c>
      <c r="Q345" s="1">
        <f t="shared" si="346"/>
        <v>4.1557843935353632E-3</v>
      </c>
      <c r="S345" s="3"/>
    </row>
    <row r="346" spans="1:19" x14ac:dyDescent="0.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93"/>
        <v>PJ/yr.</v>
      </c>
      <c r="F346" s="1">
        <f t="shared" ref="F346:K346" si="351">F314-F330</f>
        <v>3.4374486037394014E-2</v>
      </c>
      <c r="G346" s="1">
        <f t="shared" si="351"/>
        <v>2.8831064492781011E-5</v>
      </c>
      <c r="H346" s="1">
        <f t="shared" si="351"/>
        <v>2.5664913599409249E-3</v>
      </c>
      <c r="I346" s="1">
        <f t="shared" si="351"/>
        <v>3.6773837426694378E-2</v>
      </c>
      <c r="J346" s="1">
        <f t="shared" si="351"/>
        <v>9.5213133778380699E-3</v>
      </c>
      <c r="K346" s="1">
        <f t="shared" si="351"/>
        <v>1.852154068112577E-2</v>
      </c>
      <c r="L346" s="1">
        <f t="shared" ref="L346:O346" si="352">L314-L330</f>
        <v>5.6394667558971601E-3</v>
      </c>
      <c r="M346" s="1">
        <f t="shared" si="352"/>
        <v>2.4027012028625394E-3</v>
      </c>
      <c r="N346" s="1">
        <f t="shared" si="352"/>
        <v>2.0365217317017958E-3</v>
      </c>
      <c r="O346" s="1">
        <f t="shared" si="352"/>
        <v>7.3946598416331499E-4</v>
      </c>
      <c r="P346" s="1">
        <f t="shared" si="346"/>
        <v>2.4989204289478303E-4</v>
      </c>
      <c r="Q346" s="1">
        <f t="shared" si="346"/>
        <v>3.896599176634874E-4</v>
      </c>
      <c r="S346" s="3"/>
    </row>
    <row r="347" spans="1:19" x14ac:dyDescent="0.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93"/>
        <v>PJ/yr.</v>
      </c>
      <c r="F347" s="1">
        <f t="shared" ref="F347:K347" si="353">F315-F331</f>
        <v>0</v>
      </c>
      <c r="G347" s="1">
        <f t="shared" si="353"/>
        <v>0</v>
      </c>
      <c r="H347" s="1">
        <f t="shared" si="353"/>
        <v>0</v>
      </c>
      <c r="I347" s="1">
        <f t="shared" si="353"/>
        <v>0</v>
      </c>
      <c r="J347" s="1">
        <f t="shared" si="353"/>
        <v>0</v>
      </c>
      <c r="K347" s="1">
        <f t="shared" si="353"/>
        <v>9.8588491468141193E-3</v>
      </c>
      <c r="L347" s="1">
        <f t="shared" ref="L347:O347" si="354">L315-L331</f>
        <v>1.2945092532385738E-2</v>
      </c>
      <c r="M347" s="1">
        <f t="shared" si="354"/>
        <v>1.4412691973244351E-2</v>
      </c>
      <c r="N347" s="1">
        <f t="shared" si="354"/>
        <v>1.2734045643015168E-2</v>
      </c>
      <c r="O347" s="1">
        <f t="shared" si="354"/>
        <v>7.3903365010422606E-3</v>
      </c>
      <c r="P347" s="1">
        <f t="shared" si="346"/>
        <v>1.9965240604319923E-3</v>
      </c>
      <c r="Q347" s="1">
        <f t="shared" si="346"/>
        <v>7.5609671746786761E-4</v>
      </c>
      <c r="S347" s="3"/>
    </row>
    <row r="348" spans="1:19" x14ac:dyDescent="0.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93"/>
        <v>PJ/yr.</v>
      </c>
      <c r="F348" s="1">
        <f t="shared" ref="F348:K348" si="355">F316-F332</f>
        <v>2.375006974243199E-2</v>
      </c>
      <c r="G348" s="1">
        <f t="shared" si="355"/>
        <v>5.3302687417519645E-3</v>
      </c>
      <c r="H348" s="1">
        <f t="shared" si="355"/>
        <v>6.5848314185387308E-3</v>
      </c>
      <c r="I348" s="1">
        <f t="shared" si="355"/>
        <v>4.1277648200941375E-2</v>
      </c>
      <c r="J348" s="1">
        <f t="shared" si="355"/>
        <v>1.8086266833597708E-2</v>
      </c>
      <c r="K348" s="1">
        <f t="shared" si="355"/>
        <v>5.0883849811058368E-3</v>
      </c>
      <c r="L348" s="1">
        <f t="shared" ref="L348:O348" si="356">L316-L332</f>
        <v>2.6560324850866679E-3</v>
      </c>
      <c r="M348" s="1">
        <f t="shared" si="356"/>
        <v>1.539004261182586E-3</v>
      </c>
      <c r="N348" s="1">
        <f t="shared" si="356"/>
        <v>8.8373080088947203E-4</v>
      </c>
      <c r="O348" s="1">
        <f t="shared" si="356"/>
        <v>1.3177520499251527E-3</v>
      </c>
      <c r="P348" s="1">
        <f t="shared" si="346"/>
        <v>2.2387484751356934E-3</v>
      </c>
      <c r="Q348" s="1">
        <f t="shared" si="346"/>
        <v>2.5266698562602108E-3</v>
      </c>
      <c r="S348" s="3"/>
    </row>
    <row r="349" spans="1:19" x14ac:dyDescent="0.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93"/>
        <v>PJ/yr.</v>
      </c>
      <c r="F349" s="1">
        <f t="shared" ref="F349:K349" si="357">F317-F333</f>
        <v>0</v>
      </c>
      <c r="G349" s="1">
        <f t="shared" si="357"/>
        <v>0</v>
      </c>
      <c r="H349" s="1">
        <f t="shared" si="357"/>
        <v>0</v>
      </c>
      <c r="I349" s="1">
        <f t="shared" si="357"/>
        <v>0</v>
      </c>
      <c r="J349" s="1">
        <f t="shared" si="357"/>
        <v>0</v>
      </c>
      <c r="K349" s="1">
        <f t="shared" si="357"/>
        <v>0</v>
      </c>
      <c r="L349" s="1">
        <f t="shared" ref="L349:O349" si="358">L317-L333</f>
        <v>0</v>
      </c>
      <c r="M349" s="1">
        <f t="shared" si="358"/>
        <v>0</v>
      </c>
      <c r="N349" s="1">
        <f t="shared" si="358"/>
        <v>0</v>
      </c>
      <c r="O349" s="1">
        <f t="shared" si="358"/>
        <v>0</v>
      </c>
      <c r="P349" s="1">
        <f t="shared" si="346"/>
        <v>0</v>
      </c>
      <c r="Q349" s="1">
        <f t="shared" si="346"/>
        <v>0</v>
      </c>
      <c r="S349" s="3"/>
    </row>
    <row r="350" spans="1:19" x14ac:dyDescent="0.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93"/>
        <v>PJ/yr.</v>
      </c>
      <c r="F350" s="1">
        <f t="shared" ref="F350:K350" si="359">F318-F334</f>
        <v>0</v>
      </c>
      <c r="G350" s="1">
        <f t="shared" si="359"/>
        <v>0</v>
      </c>
      <c r="H350" s="1">
        <f t="shared" si="359"/>
        <v>0</v>
      </c>
      <c r="I350" s="1">
        <f t="shared" si="359"/>
        <v>0</v>
      </c>
      <c r="J350" s="1">
        <f t="shared" si="359"/>
        <v>0</v>
      </c>
      <c r="K350" s="1">
        <f t="shared" si="359"/>
        <v>0</v>
      </c>
      <c r="L350" s="1">
        <f t="shared" ref="L350:O350" si="360">L318-L334</f>
        <v>0</v>
      </c>
      <c r="M350" s="1">
        <f t="shared" si="360"/>
        <v>0</v>
      </c>
      <c r="N350" s="1">
        <f t="shared" si="360"/>
        <v>0</v>
      </c>
      <c r="O350" s="1">
        <f t="shared" si="360"/>
        <v>0</v>
      </c>
      <c r="P350" s="1">
        <f t="shared" si="346"/>
        <v>0</v>
      </c>
      <c r="Q350" s="1">
        <f t="shared" si="346"/>
        <v>0</v>
      </c>
      <c r="S350" s="3"/>
    </row>
    <row r="351" spans="1:19" x14ac:dyDescent="0.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93"/>
        <v>PJ/yr.</v>
      </c>
      <c r="F351" s="1">
        <f t="shared" ref="F351:K351" si="361">F319-F335</f>
        <v>7.6232745316956452E-4</v>
      </c>
      <c r="G351" s="1">
        <f t="shared" si="361"/>
        <v>2.0229441320337559E-4</v>
      </c>
      <c r="H351" s="1">
        <f t="shared" si="361"/>
        <v>1.8589485344293576E-3</v>
      </c>
      <c r="I351" s="1">
        <f t="shared" si="361"/>
        <v>7.5963015571621842E-4</v>
      </c>
      <c r="J351" s="1">
        <f t="shared" si="361"/>
        <v>1.2118040741561087E-3</v>
      </c>
      <c r="K351" s="1">
        <f t="shared" si="361"/>
        <v>8.9704950696154612E-4</v>
      </c>
      <c r="L351" s="1">
        <f t="shared" ref="L351:O351" si="362">L319-L335</f>
        <v>7.4460328584029234E-4</v>
      </c>
      <c r="M351" s="1">
        <f t="shared" si="362"/>
        <v>9.6293861174664985E-4</v>
      </c>
      <c r="N351" s="1">
        <f t="shared" si="362"/>
        <v>7.3469546529489338E-4</v>
      </c>
      <c r="O351" s="1">
        <f t="shared" si="362"/>
        <v>8.281143913275793E-4</v>
      </c>
      <c r="P351" s="1">
        <f t="shared" si="346"/>
        <v>2.7524947625360563E-3</v>
      </c>
      <c r="Q351" s="1">
        <f t="shared" si="346"/>
        <v>2.9525675048322209E-3</v>
      </c>
      <c r="S351" s="3"/>
    </row>
    <row r="352" spans="1:19" x14ac:dyDescent="0.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93"/>
        <v>PJ/yr.</v>
      </c>
      <c r="F352" s="1">
        <f t="shared" ref="F352:K352" si="363">F320-F336</f>
        <v>0</v>
      </c>
      <c r="G352" s="1">
        <f t="shared" si="363"/>
        <v>0</v>
      </c>
      <c r="H352" s="1">
        <f t="shared" si="363"/>
        <v>0</v>
      </c>
      <c r="I352" s="1">
        <f t="shared" si="363"/>
        <v>7.3222289337632803E-5</v>
      </c>
      <c r="J352" s="1">
        <f t="shared" si="363"/>
        <v>1.8545365934649963E-4</v>
      </c>
      <c r="K352" s="1">
        <f t="shared" si="363"/>
        <v>1.3651339884864291E-4</v>
      </c>
      <c r="L352" s="1">
        <f t="shared" ref="L352:O352" si="364">L320-L336</f>
        <v>1.0362213573292083E-4</v>
      </c>
      <c r="M352" s="1">
        <f t="shared" si="364"/>
        <v>2.2517288637430299E-4</v>
      </c>
      <c r="N352" s="1">
        <f t="shared" si="364"/>
        <v>1.7127357048974182E-4</v>
      </c>
      <c r="O352" s="1">
        <f t="shared" si="364"/>
        <v>2.6967906107290898E-4</v>
      </c>
      <c r="P352" s="1">
        <f t="shared" si="346"/>
        <v>2.7283734751205185E-4</v>
      </c>
      <c r="Q352" s="1">
        <f t="shared" si="346"/>
        <v>5.3528918863569863E-4</v>
      </c>
      <c r="S352" s="3"/>
    </row>
    <row r="353" spans="1:19" x14ac:dyDescent="0.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93"/>
        <v>PJ/yr.</v>
      </c>
      <c r="F353" s="1">
        <f t="shared" ref="F353:K353" si="365">F321-F337</f>
        <v>1.1266215843882474E-3</v>
      </c>
      <c r="G353" s="1">
        <f t="shared" si="365"/>
        <v>1.2128070187451163E-3</v>
      </c>
      <c r="H353" s="1">
        <f t="shared" si="365"/>
        <v>1.1804625054716189E-2</v>
      </c>
      <c r="I353" s="1">
        <f t="shared" si="365"/>
        <v>2.8470623275891893E-2</v>
      </c>
      <c r="J353" s="1">
        <f t="shared" si="365"/>
        <v>2.2199497515299926E-2</v>
      </c>
      <c r="K353" s="1">
        <f t="shared" si="365"/>
        <v>1.8506400407519052E-2</v>
      </c>
      <c r="L353" s="1">
        <f t="shared" ref="L353:O353" si="366">L321-L337</f>
        <v>1.3231257015104081E-2</v>
      </c>
      <c r="M353" s="1">
        <f t="shared" si="366"/>
        <v>1.1798618894529267E-2</v>
      </c>
      <c r="N353" s="1">
        <f t="shared" si="366"/>
        <v>1.0775370615184188E-2</v>
      </c>
      <c r="O353" s="1">
        <f t="shared" si="366"/>
        <v>1.0127445956552017E-2</v>
      </c>
      <c r="P353" s="1">
        <f t="shared" si="346"/>
        <v>9.2367852688350904E-3</v>
      </c>
      <c r="Q353" s="1">
        <f t="shared" si="346"/>
        <v>8.4999067150849372E-3</v>
      </c>
      <c r="S353" s="3"/>
    </row>
    <row r="354" spans="1:19" x14ac:dyDescent="0.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93"/>
        <v>PJ/yr.</v>
      </c>
      <c r="F354" s="1">
        <f t="shared" ref="F354:K354" si="367">F322-F338</f>
        <v>0</v>
      </c>
      <c r="G354" s="1">
        <f t="shared" si="367"/>
        <v>0</v>
      </c>
      <c r="H354" s="1">
        <f t="shared" si="367"/>
        <v>0</v>
      </c>
      <c r="I354" s="1">
        <f t="shared" si="367"/>
        <v>3.109191977319235E-4</v>
      </c>
      <c r="J354" s="1">
        <f t="shared" si="367"/>
        <v>8.7517285703464162E-4</v>
      </c>
      <c r="K354" s="1">
        <f t="shared" si="367"/>
        <v>6.4767068439119946E-4</v>
      </c>
      <c r="L354" s="1">
        <f t="shared" ref="L354:O354" si="368">L322-L338</f>
        <v>5.2318791553085039E-4</v>
      </c>
      <c r="M354" s="1">
        <f t="shared" si="368"/>
        <v>1.2873363544264743E-3</v>
      </c>
      <c r="N354" s="1">
        <f t="shared" si="368"/>
        <v>1.0574012732542798E-3</v>
      </c>
      <c r="O354" s="1">
        <f t="shared" si="368"/>
        <v>2.0477230113303269E-3</v>
      </c>
      <c r="P354" s="1">
        <f t="shared" si="346"/>
        <v>2.0940282404257604E-3</v>
      </c>
      <c r="Q354" s="1">
        <f t="shared" si="346"/>
        <v>4.055247058053657E-3</v>
      </c>
      <c r="S354" s="3"/>
    </row>
    <row r="355" spans="1:19" x14ac:dyDescent="0.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93"/>
        <v>PJ/yr.</v>
      </c>
      <c r="F355" s="1">
        <f t="shared" ref="F355:K355" si="369">F323-F339</f>
        <v>1.064708803581969</v>
      </c>
      <c r="G355" s="1">
        <f t="shared" si="369"/>
        <v>1.2552815161216702</v>
      </c>
      <c r="H355" s="1">
        <f t="shared" si="369"/>
        <v>1.3010614051114591</v>
      </c>
      <c r="I355" s="1">
        <f t="shared" si="369"/>
        <v>1.381759189455287</v>
      </c>
      <c r="J355" s="1">
        <f t="shared" si="369"/>
        <v>1.4579107855956479</v>
      </c>
      <c r="K355" s="1">
        <f t="shared" si="369"/>
        <v>1.5473423290934729</v>
      </c>
      <c r="L355" s="1">
        <f t="shared" ref="L355:O355" si="370">L323-L339</f>
        <v>1.5310321188397844</v>
      </c>
      <c r="M355" s="1">
        <f t="shared" si="370"/>
        <v>1.5115775458603393</v>
      </c>
      <c r="N355" s="1">
        <f t="shared" si="370"/>
        <v>1.5084405547928794</v>
      </c>
      <c r="O355" s="1">
        <f t="shared" si="370"/>
        <v>1.5142229071774123</v>
      </c>
      <c r="P355" s="1">
        <f t="shared" si="346"/>
        <v>1.5142620870699102</v>
      </c>
      <c r="Q355" s="1">
        <f t="shared" si="346"/>
        <v>1.5733748900706619</v>
      </c>
      <c r="S355" s="3"/>
    </row>
    <row r="356" spans="1:19" x14ac:dyDescent="0.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93"/>
        <v>PJ/yr.</v>
      </c>
      <c r="F356" s="1">
        <f t="shared" ref="F356:K356" si="371">F324-F340</f>
        <v>2.0765472682252262E-2</v>
      </c>
      <c r="G356" s="1">
        <f t="shared" si="371"/>
        <v>3.4639400459502978E-2</v>
      </c>
      <c r="H356" s="1">
        <f t="shared" si="371"/>
        <v>5.5060545877023914E-2</v>
      </c>
      <c r="I356" s="1">
        <f t="shared" si="371"/>
        <v>0.11144115430117951</v>
      </c>
      <c r="J356" s="1">
        <f t="shared" si="371"/>
        <v>0.14148574756245846</v>
      </c>
      <c r="K356" s="1">
        <f t="shared" si="371"/>
        <v>9.7156507581209972E-2</v>
      </c>
      <c r="L356" s="1">
        <f t="shared" ref="L356:O356" si="372">L324-L340</f>
        <v>6.897525714792252E-2</v>
      </c>
      <c r="M356" s="1">
        <f t="shared" si="372"/>
        <v>4.5010272346776237E-2</v>
      </c>
      <c r="N356" s="1">
        <f t="shared" si="372"/>
        <v>4.2217955582741329E-2</v>
      </c>
      <c r="O356" s="1">
        <f t="shared" si="372"/>
        <v>4.2893223980857709E-2</v>
      </c>
      <c r="P356" s="1">
        <f t="shared" si="346"/>
        <v>4.9041161347512574E-2</v>
      </c>
      <c r="Q356" s="1">
        <f t="shared" si="346"/>
        <v>5.5943011053534608E-2</v>
      </c>
      <c r="S356" s="3"/>
    </row>
    <row r="357" spans="1:19" x14ac:dyDescent="0.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93"/>
        <v>PJ/yr.</v>
      </c>
      <c r="F357" s="1">
        <f t="shared" ref="F357:K357" si="373">F325-F341</f>
        <v>0</v>
      </c>
      <c r="G357" s="1">
        <f t="shared" si="373"/>
        <v>0</v>
      </c>
      <c r="H357" s="1">
        <f t="shared" si="373"/>
        <v>0</v>
      </c>
      <c r="I357" s="1">
        <f t="shared" si="373"/>
        <v>2.2247770096932989E-4</v>
      </c>
      <c r="J357" s="1">
        <f t="shared" si="373"/>
        <v>4.9777005006060998E-4</v>
      </c>
      <c r="K357" s="1">
        <f t="shared" si="373"/>
        <v>3.5597914382724284E-4</v>
      </c>
      <c r="L357" s="1">
        <f t="shared" ref="L357:O357" si="374">L325-L341</f>
        <v>1.9119784733568311E-4</v>
      </c>
      <c r="M357" s="1">
        <f t="shared" si="374"/>
        <v>4.1379639269081489E-4</v>
      </c>
      <c r="N357" s="1">
        <f t="shared" si="374"/>
        <v>3.9254111241314796E-4</v>
      </c>
      <c r="O357" s="1">
        <f t="shared" si="374"/>
        <v>8.0358101372626778E-4</v>
      </c>
      <c r="P357" s="1">
        <f t="shared" si="346"/>
        <v>6.4850539492722348E-4</v>
      </c>
      <c r="Q357" s="1">
        <f t="shared" si="346"/>
        <v>1.5046095494981732E-3</v>
      </c>
      <c r="S357" s="3"/>
    </row>
    <row r="358" spans="1:19" x14ac:dyDescent="0.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75">E357</f>
        <v>PJ/yr.</v>
      </c>
      <c r="F358" s="1">
        <f>SUM(F359:F364)</f>
        <v>22.470294430982314</v>
      </c>
      <c r="G358" s="1">
        <f t="shared" ref="G358:K358" si="376">SUM(G359:G364)</f>
        <v>24.516703233689107</v>
      </c>
      <c r="H358" s="1">
        <f t="shared" si="376"/>
        <v>27.058864884199725</v>
      </c>
      <c r="I358" s="1">
        <f t="shared" si="376"/>
        <v>25.092757000568447</v>
      </c>
      <c r="J358" s="1">
        <f t="shared" si="376"/>
        <v>25.497596628119155</v>
      </c>
      <c r="K358" s="1">
        <f t="shared" si="376"/>
        <v>26.154794854867315</v>
      </c>
      <c r="L358" s="1">
        <f t="shared" ref="L358:O358" si="377">SUM(L359:L364)</f>
        <v>26.859106353820003</v>
      </c>
      <c r="M358" s="1">
        <f t="shared" si="377"/>
        <v>27.629324899034522</v>
      </c>
      <c r="N358" s="1">
        <f t="shared" si="377"/>
        <v>27.629193335514358</v>
      </c>
      <c r="O358" s="1">
        <f t="shared" si="377"/>
        <v>27.62919492151779</v>
      </c>
      <c r="P358" s="1">
        <f>SUM(P359:P364)</f>
        <v>27.629171761102175</v>
      </c>
      <c r="Q358" s="1">
        <f>SUM(Q359:Q364)</f>
        <v>27.629174896249022</v>
      </c>
      <c r="S358" s="3"/>
    </row>
    <row r="359" spans="1:19" x14ac:dyDescent="0.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75"/>
        <v>PJ/yr.</v>
      </c>
      <c r="F359" s="1">
        <f>'[1]Electricity and CHPs_IN'!B$19</f>
        <v>18.203591385082948</v>
      </c>
      <c r="G359" s="1">
        <f>'[1]Electricity and CHPs_IN'!C$19</f>
        <v>20.429785398461942</v>
      </c>
      <c r="H359" s="1">
        <f>'[1]Electricity and CHPs_IN'!D$19</f>
        <v>22.933286058225594</v>
      </c>
      <c r="I359" s="1">
        <f>'[1]Electricity and CHPs_IN'!E$19</f>
        <v>20.696616438973969</v>
      </c>
      <c r="J359" s="1">
        <f>'[1]Electricity and CHPs_IN'!F$19</f>
        <v>20.958801385747147</v>
      </c>
      <c r="K359" s="1">
        <f>'[1]Electricity and CHPs_IN'!G$19</f>
        <v>21.451628232012443</v>
      </c>
      <c r="L359" s="1">
        <f>'[1]Electricity and CHPs_IN'!H$19</f>
        <v>21.956406881904268</v>
      </c>
      <c r="M359" s="1">
        <f>'[1]Electricity and CHPs_IN'!I$19</f>
        <v>22.473552496688228</v>
      </c>
      <c r="N359" s="1">
        <f>'[1]Electricity and CHPs_IN'!J$19</f>
        <v>22.473478397281809</v>
      </c>
      <c r="O359" s="1">
        <f>'[1]Electricity and CHPs_IN'!K$19</f>
        <v>22.473532844166499</v>
      </c>
      <c r="P359" s="1">
        <f>'[1]Electricity and CHPs_IN'!L$19</f>
        <v>22.47354893347844</v>
      </c>
      <c r="Q359" s="1">
        <f>'[1]Electricity and CHPs_IN'!M$19</f>
        <v>22.473927697909236</v>
      </c>
      <c r="S359" s="3"/>
    </row>
    <row r="360" spans="1:19" x14ac:dyDescent="0.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75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'[1]Electricity and CHPs_IN'!F$20</f>
        <v>0</v>
      </c>
      <c r="K360" s="1">
        <f>'[1]Electricity and CHPs_IN'!G$20</f>
        <v>0</v>
      </c>
      <c r="L360" s="1">
        <f>'[1]Electricity and CHPs_IN'!H$20</f>
        <v>0</v>
      </c>
      <c r="M360" s="1">
        <f>'[1]Electricity and CHPs_IN'!I$20</f>
        <v>0</v>
      </c>
      <c r="N360" s="1">
        <f>'[1]Electricity and CHPs_IN'!J$20</f>
        <v>0</v>
      </c>
      <c r="O360" s="1">
        <f>'[1]Electricity and CHPs_IN'!K$20</f>
        <v>0</v>
      </c>
      <c r="P360" s="1">
        <f>'[1]Electricity and CHPs_IN'!L$20</f>
        <v>0</v>
      </c>
      <c r="Q360" s="1">
        <f>'[1]Electricity and CHPs_IN'!M$20</f>
        <v>0</v>
      </c>
      <c r="S360" s="3"/>
    </row>
    <row r="361" spans="1:19" x14ac:dyDescent="0.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75"/>
        <v>PJ/yr.</v>
      </c>
      <c r="F361" s="1">
        <f>IFERROR(F133/SUM(F133,F198),0)*'[1]Electricity and CHPs_IN'!B$26</f>
        <v>3.8722588164874279</v>
      </c>
      <c r="G361" s="1">
        <f>IFERROR(G133/SUM(G133,G198),0)*'[1]Electricity and CHPs_IN'!C$26</f>
        <v>3.6777254575087701</v>
      </c>
      <c r="H361" s="1">
        <f>IFERROR(H133/SUM(H133,H198),0)*'[1]Electricity and CHPs_IN'!D$26</f>
        <v>3.4919114389958201</v>
      </c>
      <c r="I361" s="1">
        <f>IFERROR(I133/SUM(I133,I198),0)*'[1]Electricity and CHPs_IN'!E$26</f>
        <v>3.7018245863217243</v>
      </c>
      <c r="J361" s="1">
        <f>IFERROR(J133/SUM(J133,J198),0)*'[1]Electricity and CHPs_IN'!F$26</f>
        <v>3.7691220340850484</v>
      </c>
      <c r="K361" s="1">
        <f>IFERROR(K133/SUM(K133,K198),0)*'[1]Electricity and CHPs_IN'!G$26</f>
        <v>3.8317741089713295</v>
      </c>
      <c r="L361" s="1">
        <f>IFERROR(L133/SUM(L133,L198),0)*'[1]Electricity and CHPs_IN'!H$26</f>
        <v>3.8970423082402621</v>
      </c>
      <c r="M361" s="1">
        <f>IFERROR(M133/SUM(M133,M198),0)*'[1]Electricity and CHPs_IN'!I$26</f>
        <v>3.964699508162373</v>
      </c>
      <c r="N361" s="1">
        <f>IFERROR(N133/SUM(N133,N198),0)*'[1]Electricity and CHPs_IN'!J$26</f>
        <v>3.9646594636841854</v>
      </c>
      <c r="O361" s="1">
        <f>IFERROR(O133/SUM(O133,O198),0)*'[1]Electricity and CHPs_IN'!K$26</f>
        <v>3.9645899585556226</v>
      </c>
      <c r="P361" s="1">
        <f>IFERROR(P133/SUM(P133,P198),0)*'[1]Electricity and CHPs_IN'!L$26</f>
        <v>3.9645604032492279</v>
      </c>
      <c r="Q361" s="1">
        <f>IFERROR(Q133/SUM(Q133,Q198),0)*'[1]Electricity and CHPs_IN'!M$26</f>
        <v>3.9641335966044977</v>
      </c>
      <c r="S361" s="3"/>
    </row>
    <row r="362" spans="1:19" x14ac:dyDescent="0.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75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IFERROR(J134/SUM(J134,J199),0)*'[1]Electricity and CHPs_IN'!F$27</f>
        <v>0</v>
      </c>
      <c r="K362" s="1">
        <f>IFERROR(K134/SUM(K134,K199),0)*'[1]Electricity and CHPs_IN'!G$27</f>
        <v>0</v>
      </c>
      <c r="L362" s="1">
        <f>IFERROR(L134/SUM(L134,L199),0)*'[1]Electricity and CHPs_IN'!H$27</f>
        <v>0</v>
      </c>
      <c r="M362" s="1">
        <f>IFERROR(M134/SUM(M134,M199),0)*'[1]Electricity and CHPs_IN'!I$27</f>
        <v>0</v>
      </c>
      <c r="N362" s="1">
        <f>IFERROR(N134/SUM(N134,N199),0)*'[1]Electricity and CHPs_IN'!J$27</f>
        <v>0</v>
      </c>
      <c r="O362" s="1">
        <f>IFERROR(O134/SUM(O134,O199),0)*'[1]Electricity and CHPs_IN'!K$27</f>
        <v>0</v>
      </c>
      <c r="P362" s="1">
        <f>IFERROR(P134/SUM(P134,P199),0)*'[1]Electricity and CHPs_IN'!L$27</f>
        <v>0</v>
      </c>
      <c r="Q362" s="1">
        <f>IFERROR(Q134/SUM(Q134,Q199),0)*'[1]Electricity and CHPs_IN'!M$27</f>
        <v>0</v>
      </c>
      <c r="S362" s="3"/>
    </row>
    <row r="363" spans="1:19" x14ac:dyDescent="0.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75"/>
        <v>PJ/yr.</v>
      </c>
      <c r="F363" s="1">
        <f>IFERROR(F135/SUM(F135,F274),0)*'[1]Electricity and CHPs_IN'!B$44</f>
        <v>0.39444422941193957</v>
      </c>
      <c r="G363" s="1">
        <f>IFERROR(G135/SUM(G135,G274),0)*'[1]Electricity and CHPs_IN'!C$44</f>
        <v>0.40919237771839501</v>
      </c>
      <c r="H363" s="1">
        <f>IFERROR(H135/SUM(H135,H274),0)*'[1]Electricity and CHPs_IN'!D$44</f>
        <v>0.63366738697830838</v>
      </c>
      <c r="I363" s="1">
        <f>IFERROR(I135/SUM(I135,I274),0)*'[1]Electricity and CHPs_IN'!E$44</f>
        <v>0.69431597527275302</v>
      </c>
      <c r="J363" s="1">
        <f>IFERROR(J135/SUM(J135,J274),0)*'[1]Electricity and CHPs_IN'!F$44</f>
        <v>0.76967320828696129</v>
      </c>
      <c r="K363" s="1">
        <f>IFERROR(K135/SUM(K135,K274),0)*'[1]Electricity and CHPs_IN'!G$44</f>
        <v>0.87139251388354189</v>
      </c>
      <c r="L363" s="1">
        <f>IFERROR(L135/SUM(L135,L274),0)*'[1]Electricity and CHPs_IN'!H$44</f>
        <v>1.0056571636754719</v>
      </c>
      <c r="M363" s="1">
        <f>IFERROR(M135/SUM(M135,M274),0)*'[1]Electricity and CHPs_IN'!I$44</f>
        <v>1.1910728941839228</v>
      </c>
      <c r="N363" s="1">
        <f>IFERROR(N135/SUM(N135,N274),0)*'[1]Electricity and CHPs_IN'!J$44</f>
        <v>1.1910554745483646</v>
      </c>
      <c r="O363" s="1">
        <f>IFERROR(O135/SUM(O135,O274),0)*'[1]Electricity and CHPs_IN'!K$44</f>
        <v>1.1910721187956694</v>
      </c>
      <c r="P363" s="1">
        <f>IFERROR(P135/SUM(P135,P274),0)*'[1]Electricity and CHPs_IN'!L$44</f>
        <v>1.1910624243745072</v>
      </c>
      <c r="Q363" s="1">
        <f>IFERROR(Q135/SUM(Q135,Q274),0)*'[1]Electricity and CHPs_IN'!M$44</f>
        <v>1.1911136017352886</v>
      </c>
      <c r="S363" s="3"/>
    </row>
    <row r="364" spans="1:19" x14ac:dyDescent="0.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75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IFERROR(J136/SUM(J136,J275),0)*'[1]Electricity and CHPs_IN'!F$45</f>
        <v>0</v>
      </c>
      <c r="K364" s="1">
        <f>IFERROR(K136/SUM(K136,K275),0)*'[1]Electricity and CHPs_IN'!G$45</f>
        <v>0</v>
      </c>
      <c r="L364" s="1">
        <f>IFERROR(L136/SUM(L136,L275),0)*'[1]Electricity and CHPs_IN'!H$45</f>
        <v>0</v>
      </c>
      <c r="M364" s="1">
        <f>IFERROR(M136/SUM(M136,M275),0)*'[1]Electricity and CHPs_IN'!I$45</f>
        <v>0</v>
      </c>
      <c r="N364" s="1">
        <f>IFERROR(N136/SUM(N136,N275),0)*'[1]Electricity and CHPs_IN'!J$45</f>
        <v>0</v>
      </c>
      <c r="O364" s="1">
        <f>IFERROR(O136/SUM(O136,O275),0)*'[1]Electricity and CHPs_IN'!K$45</f>
        <v>0</v>
      </c>
      <c r="P364" s="1">
        <f>IFERROR(P136/SUM(P136,P275),0)*'[1]Electricity and CHPs_IN'!L$45</f>
        <v>0</v>
      </c>
      <c r="Q364" s="1">
        <f>IFERROR(Q136/SUM(Q136,Q275),0)*'[1]Electricity and CHPs_IN'!M$45</f>
        <v>0</v>
      </c>
      <c r="S364" s="3"/>
    </row>
    <row r="365" spans="1:19" x14ac:dyDescent="0.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75"/>
        <v>PJ/yr.</v>
      </c>
      <c r="F365" s="1">
        <f>SUM(F366:F369)</f>
        <v>11.03792510078519</v>
      </c>
      <c r="G365" s="1">
        <f t="shared" ref="G365:K365" si="378">SUM(G366:G369)</f>
        <v>12.053755427985358</v>
      </c>
      <c r="H365" s="1">
        <f t="shared" si="378"/>
        <v>13.212598748610707</v>
      </c>
      <c r="I365" s="1">
        <f t="shared" si="378"/>
        <v>12.199220512647846</v>
      </c>
      <c r="J365" s="1">
        <f t="shared" si="378"/>
        <v>12.363961709916097</v>
      </c>
      <c r="K365" s="1">
        <f t="shared" si="378"/>
        <v>12.641701170491885</v>
      </c>
      <c r="L365" s="1">
        <f t="shared" ref="L365:O365" si="379">SUM(L366:L369)</f>
        <v>12.926724595072265</v>
      </c>
      <c r="M365" s="1">
        <f t="shared" si="379"/>
        <v>13.2191260024253</v>
      </c>
      <c r="N365" s="1">
        <f t="shared" si="379"/>
        <v>13.219068930482997</v>
      </c>
      <c r="O365" s="1">
        <f t="shared" si="379"/>
        <v>13.21906140136106</v>
      </c>
      <c r="P365" s="1">
        <f>SUM(P366:P369)</f>
        <v>13.219054668363833</v>
      </c>
      <c r="Q365" s="1">
        <f>SUM(Q366:Q369)</f>
        <v>13.219030647256867</v>
      </c>
      <c r="S365" s="3"/>
    </row>
    <row r="366" spans="1:19" x14ac:dyDescent="0.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75"/>
        <v>PJ/yr.</v>
      </c>
      <c r="F366" s="1">
        <f>F359*IFERROR(F138/F131,0)</f>
        <v>9.1017956925414758</v>
      </c>
      <c r="G366" s="1">
        <f t="shared" ref="G366:K366" si="380">G359*IFERROR(G138/G131,0)</f>
        <v>10.214892699230973</v>
      </c>
      <c r="H366" s="1">
        <f t="shared" si="380"/>
        <v>11.466643029112797</v>
      </c>
      <c r="I366" s="1">
        <f t="shared" si="380"/>
        <v>10.348308219486984</v>
      </c>
      <c r="J366" s="1">
        <f t="shared" si="380"/>
        <v>10.479400692873574</v>
      </c>
      <c r="K366" s="1">
        <f t="shared" si="380"/>
        <v>10.725814116006219</v>
      </c>
      <c r="L366" s="1">
        <f t="shared" ref="L366:O366" si="381">L359*IFERROR(L138/L131,0)</f>
        <v>10.978203440952134</v>
      </c>
      <c r="M366" s="1">
        <f t="shared" si="381"/>
        <v>11.236776248344114</v>
      </c>
      <c r="N366" s="1">
        <f t="shared" si="381"/>
        <v>11.236739198640905</v>
      </c>
      <c r="O366" s="1">
        <f t="shared" si="381"/>
        <v>11.236766422083249</v>
      </c>
      <c r="P366" s="1">
        <f t="shared" ref="P366:Q371" si="382">P359*IFERROR(P138/P131,0)</f>
        <v>11.23677446673922</v>
      </c>
      <c r="Q366" s="1">
        <f t="shared" si="382"/>
        <v>11.236963848954618</v>
      </c>
      <c r="S366" s="3"/>
    </row>
    <row r="367" spans="1:19" x14ac:dyDescent="0.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75"/>
        <v>PJ/yr.</v>
      </c>
      <c r="F367" s="1">
        <f t="shared" ref="F367:K367" si="383">F360*IFERROR(F139/F132,0)</f>
        <v>0</v>
      </c>
      <c r="G367" s="1">
        <f t="shared" si="383"/>
        <v>0</v>
      </c>
      <c r="H367" s="1">
        <f t="shared" si="383"/>
        <v>0</v>
      </c>
      <c r="I367" s="1">
        <f t="shared" si="383"/>
        <v>0</v>
      </c>
      <c r="J367" s="1">
        <f t="shared" si="383"/>
        <v>0</v>
      </c>
      <c r="K367" s="1">
        <f t="shared" si="383"/>
        <v>0</v>
      </c>
      <c r="L367" s="1">
        <f t="shared" ref="L367:O367" si="384">L360*IFERROR(L139/L132,0)</f>
        <v>0</v>
      </c>
      <c r="M367" s="1">
        <f t="shared" si="384"/>
        <v>0</v>
      </c>
      <c r="N367" s="1">
        <f t="shared" si="384"/>
        <v>0</v>
      </c>
      <c r="O367" s="1">
        <f t="shared" si="384"/>
        <v>0</v>
      </c>
      <c r="P367" s="1">
        <f t="shared" si="382"/>
        <v>0</v>
      </c>
      <c r="Q367" s="1">
        <f t="shared" si="382"/>
        <v>0</v>
      </c>
      <c r="S367" s="3"/>
    </row>
    <row r="368" spans="1:19" x14ac:dyDescent="0.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75"/>
        <v>PJ/yr.</v>
      </c>
      <c r="F368" s="1">
        <f t="shared" ref="F368:K368" si="385">F361*IFERROR(F140/F133,0)</f>
        <v>1.9361294082437139</v>
      </c>
      <c r="G368" s="1">
        <f t="shared" si="385"/>
        <v>1.8388627287543848</v>
      </c>
      <c r="H368" s="1">
        <f t="shared" si="385"/>
        <v>1.7459557194979101</v>
      </c>
      <c r="I368" s="1">
        <f t="shared" si="385"/>
        <v>1.8509122931608621</v>
      </c>
      <c r="J368" s="1">
        <f t="shared" si="385"/>
        <v>1.884561017042524</v>
      </c>
      <c r="K368" s="1">
        <f t="shared" si="385"/>
        <v>1.9158870544856648</v>
      </c>
      <c r="L368" s="1">
        <f t="shared" ref="L368:O368" si="386">L361*IFERROR(L140/L133,0)</f>
        <v>1.948521154120131</v>
      </c>
      <c r="M368" s="1">
        <f t="shared" si="386"/>
        <v>1.9823497540811865</v>
      </c>
      <c r="N368" s="1">
        <f t="shared" si="386"/>
        <v>1.9823297318420927</v>
      </c>
      <c r="O368" s="1">
        <f t="shared" si="386"/>
        <v>1.9822949792778113</v>
      </c>
      <c r="P368" s="1">
        <f t="shared" si="382"/>
        <v>1.9822802016246139</v>
      </c>
      <c r="Q368" s="1">
        <f t="shared" si="382"/>
        <v>1.9820667983022489</v>
      </c>
      <c r="S368" s="3"/>
    </row>
    <row r="369" spans="1:19" x14ac:dyDescent="0.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75"/>
        <v>PJ/yr.</v>
      </c>
      <c r="F369" s="1">
        <f t="shared" ref="F369:K369" si="387">F362*IFERROR(F141/F134,0)</f>
        <v>0</v>
      </c>
      <c r="G369" s="1">
        <f t="shared" si="387"/>
        <v>0</v>
      </c>
      <c r="H369" s="1">
        <f t="shared" si="387"/>
        <v>0</v>
      </c>
      <c r="I369" s="1">
        <f t="shared" si="387"/>
        <v>0</v>
      </c>
      <c r="J369" s="1">
        <f t="shared" si="387"/>
        <v>0</v>
      </c>
      <c r="K369" s="1">
        <f t="shared" si="387"/>
        <v>0</v>
      </c>
      <c r="L369" s="1">
        <f t="shared" ref="L369:O369" si="388">L362*IFERROR(L141/L134,0)</f>
        <v>0</v>
      </c>
      <c r="M369" s="1">
        <f t="shared" si="388"/>
        <v>0</v>
      </c>
      <c r="N369" s="1">
        <f t="shared" si="388"/>
        <v>0</v>
      </c>
      <c r="O369" s="1">
        <f t="shared" si="388"/>
        <v>0</v>
      </c>
      <c r="P369" s="1">
        <f t="shared" si="382"/>
        <v>0</v>
      </c>
      <c r="Q369" s="1">
        <f t="shared" si="382"/>
        <v>0</v>
      </c>
      <c r="S369" s="3"/>
    </row>
    <row r="370" spans="1:19" x14ac:dyDescent="0.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75"/>
        <v>PJ/yr.</v>
      </c>
      <c r="F370" s="1">
        <f t="shared" ref="F370:K370" si="389">F363*IFERROR(F142/F135,0)</f>
        <v>0</v>
      </c>
      <c r="G370" s="1">
        <f t="shared" si="389"/>
        <v>0</v>
      </c>
      <c r="H370" s="1">
        <f t="shared" si="389"/>
        <v>0</v>
      </c>
      <c r="I370" s="1">
        <f t="shared" si="389"/>
        <v>0</v>
      </c>
      <c r="J370" s="1">
        <f t="shared" si="389"/>
        <v>0</v>
      </c>
      <c r="K370" s="1">
        <f t="shared" si="389"/>
        <v>0</v>
      </c>
      <c r="L370" s="1">
        <f t="shared" ref="L370:O370" si="390">L363*IFERROR(L142/L135,0)</f>
        <v>0</v>
      </c>
      <c r="M370" s="1">
        <f t="shared" si="390"/>
        <v>0</v>
      </c>
      <c r="N370" s="1">
        <f t="shared" si="390"/>
        <v>0</v>
      </c>
      <c r="O370" s="1">
        <f t="shared" si="390"/>
        <v>0</v>
      </c>
      <c r="P370" s="1">
        <f t="shared" si="382"/>
        <v>0</v>
      </c>
      <c r="Q370" s="1">
        <f t="shared" si="382"/>
        <v>0</v>
      </c>
      <c r="S370" s="3"/>
    </row>
    <row r="371" spans="1:19" x14ac:dyDescent="0.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75"/>
        <v>PJ/yr.</v>
      </c>
      <c r="F371" s="1">
        <f t="shared" ref="F371:K371" si="391">F364*IFERROR(F143/F136,0)</f>
        <v>0</v>
      </c>
      <c r="G371" s="1">
        <f t="shared" si="391"/>
        <v>0</v>
      </c>
      <c r="H371" s="1">
        <f t="shared" si="391"/>
        <v>0</v>
      </c>
      <c r="I371" s="1">
        <f t="shared" si="391"/>
        <v>0</v>
      </c>
      <c r="J371" s="1">
        <f t="shared" si="391"/>
        <v>0</v>
      </c>
      <c r="K371" s="1">
        <f t="shared" si="391"/>
        <v>0</v>
      </c>
      <c r="L371" s="1">
        <f t="shared" ref="L371:O371" si="392">L364*IFERROR(L143/L136,0)</f>
        <v>0</v>
      </c>
      <c r="M371" s="1">
        <f t="shared" si="392"/>
        <v>0</v>
      </c>
      <c r="N371" s="1">
        <f t="shared" si="392"/>
        <v>0</v>
      </c>
      <c r="O371" s="1">
        <f t="shared" si="392"/>
        <v>0</v>
      </c>
      <c r="P371" s="1">
        <f t="shared" si="382"/>
        <v>0</v>
      </c>
      <c r="Q371" s="1">
        <f t="shared" si="382"/>
        <v>0</v>
      </c>
      <c r="S371" s="3"/>
    </row>
    <row r="372" spans="1:19" x14ac:dyDescent="0.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75"/>
        <v>PJ/yr.</v>
      </c>
      <c r="F372" s="1">
        <f>SUM(F373:F378)</f>
        <v>11.432369330197128</v>
      </c>
      <c r="G372" s="1">
        <f t="shared" ref="G372:K372" si="393">SUM(G373:G378)</f>
        <v>12.462947805703751</v>
      </c>
      <c r="H372" s="1">
        <f t="shared" si="393"/>
        <v>13.846266135589016</v>
      </c>
      <c r="I372" s="1">
        <f t="shared" si="393"/>
        <v>12.893536487920599</v>
      </c>
      <c r="J372" s="1">
        <f t="shared" si="393"/>
        <v>13.133634918203059</v>
      </c>
      <c r="K372" s="1">
        <f t="shared" si="393"/>
        <v>13.513093684375429</v>
      </c>
      <c r="L372" s="1">
        <f t="shared" ref="L372:O372" si="394">SUM(L373:L378)</f>
        <v>13.932381758747738</v>
      </c>
      <c r="M372" s="1">
        <f t="shared" si="394"/>
        <v>14.410198896609224</v>
      </c>
      <c r="N372" s="1">
        <f t="shared" si="394"/>
        <v>14.410124405031361</v>
      </c>
      <c r="O372" s="1">
        <f t="shared" si="394"/>
        <v>14.41013352015673</v>
      </c>
      <c r="P372" s="1">
        <f>SUM(P373:P378)</f>
        <v>14.410117092738341</v>
      </c>
      <c r="Q372" s="1">
        <f>SUM(Q373:Q378)</f>
        <v>14.410144248992156</v>
      </c>
      <c r="S372" s="3"/>
    </row>
    <row r="373" spans="1:19" x14ac:dyDescent="0.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75"/>
        <v>PJ/yr.</v>
      </c>
      <c r="F373" s="1">
        <f t="shared" ref="F373:K373" si="395">F366*IFERROR(F145/F138,0)</f>
        <v>9.101795692541474</v>
      </c>
      <c r="G373" s="1">
        <f t="shared" si="395"/>
        <v>10.214892699230971</v>
      </c>
      <c r="H373" s="1">
        <f t="shared" si="395"/>
        <v>11.466643029112797</v>
      </c>
      <c r="I373" s="1">
        <f t="shared" si="395"/>
        <v>10.348308219486984</v>
      </c>
      <c r="J373" s="1">
        <f t="shared" si="395"/>
        <v>10.479400692873574</v>
      </c>
      <c r="K373" s="1">
        <f t="shared" si="395"/>
        <v>10.725814116006221</v>
      </c>
      <c r="L373" s="1">
        <f t="shared" ref="L373:O373" si="396">L366*IFERROR(L145/L138,0)</f>
        <v>10.978203440952134</v>
      </c>
      <c r="M373" s="1">
        <f t="shared" si="396"/>
        <v>11.236776248344114</v>
      </c>
      <c r="N373" s="1">
        <f t="shared" si="396"/>
        <v>11.236739198640905</v>
      </c>
      <c r="O373" s="1">
        <f t="shared" si="396"/>
        <v>11.236766422083249</v>
      </c>
      <c r="P373" s="1">
        <f t="shared" ref="P373:Q376" si="397">P366*IFERROR(P145/P138,0)</f>
        <v>11.23677446673922</v>
      </c>
      <c r="Q373" s="1">
        <f t="shared" si="397"/>
        <v>11.236963848954618</v>
      </c>
      <c r="S373" s="3"/>
    </row>
    <row r="374" spans="1:19" x14ac:dyDescent="0.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75"/>
        <v>PJ/yr.</v>
      </c>
      <c r="F374" s="1">
        <f t="shared" ref="F374:K374" si="398">F367*IFERROR(F146/F139,0)</f>
        <v>0</v>
      </c>
      <c r="G374" s="1">
        <f t="shared" si="398"/>
        <v>0</v>
      </c>
      <c r="H374" s="1">
        <f t="shared" si="398"/>
        <v>0</v>
      </c>
      <c r="I374" s="1">
        <f t="shared" si="398"/>
        <v>0</v>
      </c>
      <c r="J374" s="1">
        <f t="shared" si="398"/>
        <v>0</v>
      </c>
      <c r="K374" s="1">
        <f t="shared" si="398"/>
        <v>0</v>
      </c>
      <c r="L374" s="1">
        <f t="shared" ref="L374:O374" si="399">L367*IFERROR(L146/L139,0)</f>
        <v>0</v>
      </c>
      <c r="M374" s="1">
        <f t="shared" si="399"/>
        <v>0</v>
      </c>
      <c r="N374" s="1">
        <f t="shared" si="399"/>
        <v>0</v>
      </c>
      <c r="O374" s="1">
        <f t="shared" si="399"/>
        <v>0</v>
      </c>
      <c r="P374" s="1">
        <f t="shared" si="397"/>
        <v>0</v>
      </c>
      <c r="Q374" s="1">
        <f t="shared" si="397"/>
        <v>0</v>
      </c>
      <c r="S374" s="3"/>
    </row>
    <row r="375" spans="1:19" x14ac:dyDescent="0.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75"/>
        <v>PJ/yr.</v>
      </c>
      <c r="F375" s="1">
        <f t="shared" ref="F375:K375" si="400">F368*IFERROR(F147/F140,0)</f>
        <v>1.9361294082437139</v>
      </c>
      <c r="G375" s="1">
        <f t="shared" si="400"/>
        <v>1.8388627287543853</v>
      </c>
      <c r="H375" s="1">
        <f t="shared" si="400"/>
        <v>1.7459557194979101</v>
      </c>
      <c r="I375" s="1">
        <f t="shared" si="400"/>
        <v>1.8509122931608621</v>
      </c>
      <c r="J375" s="1">
        <f t="shared" si="400"/>
        <v>1.8845610170425244</v>
      </c>
      <c r="K375" s="1">
        <f t="shared" si="400"/>
        <v>1.9158870544856648</v>
      </c>
      <c r="L375" s="1">
        <f t="shared" ref="L375:O375" si="401">L368*IFERROR(L147/L140,0)</f>
        <v>1.948521154120131</v>
      </c>
      <c r="M375" s="1">
        <f t="shared" si="401"/>
        <v>1.9823497540811865</v>
      </c>
      <c r="N375" s="1">
        <f t="shared" si="401"/>
        <v>1.9823297318420927</v>
      </c>
      <c r="O375" s="1">
        <f t="shared" si="401"/>
        <v>1.9822949792778113</v>
      </c>
      <c r="P375" s="1">
        <f t="shared" si="397"/>
        <v>1.9822802016246139</v>
      </c>
      <c r="Q375" s="1">
        <f t="shared" si="397"/>
        <v>1.9820667983022489</v>
      </c>
      <c r="S375" s="3"/>
    </row>
    <row r="376" spans="1:19" x14ac:dyDescent="0.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75"/>
        <v>PJ/yr.</v>
      </c>
      <c r="F376" s="1">
        <f t="shared" ref="F376:K376" si="402">F369*IFERROR(F148/F141,0)</f>
        <v>0</v>
      </c>
      <c r="G376" s="1">
        <f t="shared" si="402"/>
        <v>0</v>
      </c>
      <c r="H376" s="1">
        <f t="shared" si="402"/>
        <v>0</v>
      </c>
      <c r="I376" s="1">
        <f t="shared" si="402"/>
        <v>0</v>
      </c>
      <c r="J376" s="1">
        <f t="shared" si="402"/>
        <v>0</v>
      </c>
      <c r="K376" s="1">
        <f t="shared" si="402"/>
        <v>0</v>
      </c>
      <c r="L376" s="1">
        <f t="shared" ref="L376:O376" si="403">L369*IFERROR(L148/L141,0)</f>
        <v>0</v>
      </c>
      <c r="M376" s="1">
        <f t="shared" si="403"/>
        <v>0</v>
      </c>
      <c r="N376" s="1">
        <f t="shared" si="403"/>
        <v>0</v>
      </c>
      <c r="O376" s="1">
        <f t="shared" si="403"/>
        <v>0</v>
      </c>
      <c r="P376" s="1">
        <f t="shared" si="397"/>
        <v>0</v>
      </c>
      <c r="Q376" s="1">
        <f t="shared" si="397"/>
        <v>0</v>
      </c>
      <c r="S376" s="3"/>
    </row>
    <row r="377" spans="1:19" x14ac:dyDescent="0.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75"/>
        <v>PJ/yr.</v>
      </c>
      <c r="F377" s="1">
        <f>F363</f>
        <v>0.39444422941193957</v>
      </c>
      <c r="G377" s="1">
        <f t="shared" ref="G377:K377" si="404">G363</f>
        <v>0.40919237771839501</v>
      </c>
      <c r="H377" s="1">
        <f t="shared" si="404"/>
        <v>0.63366738697830838</v>
      </c>
      <c r="I377" s="1">
        <f t="shared" si="404"/>
        <v>0.69431597527275302</v>
      </c>
      <c r="J377" s="1">
        <f t="shared" si="404"/>
        <v>0.76967320828696129</v>
      </c>
      <c r="K377" s="1">
        <f t="shared" si="404"/>
        <v>0.87139251388354189</v>
      </c>
      <c r="L377" s="1">
        <f t="shared" ref="L377:O377" si="405">L363</f>
        <v>1.0056571636754719</v>
      </c>
      <c r="M377" s="1">
        <f t="shared" si="405"/>
        <v>1.1910728941839228</v>
      </c>
      <c r="N377" s="1">
        <f t="shared" si="405"/>
        <v>1.1910554745483646</v>
      </c>
      <c r="O377" s="1">
        <f t="shared" si="405"/>
        <v>1.1910721187956694</v>
      </c>
      <c r="P377" s="1">
        <f>P363</f>
        <v>1.1910624243745072</v>
      </c>
      <c r="Q377" s="1">
        <f>Q363</f>
        <v>1.1911136017352886</v>
      </c>
      <c r="S377" s="3"/>
    </row>
    <row r="378" spans="1:19" x14ac:dyDescent="0.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75"/>
        <v>PJ/yr.</v>
      </c>
      <c r="F378" s="1">
        <f t="shared" ref="F378:K378" si="406">F364</f>
        <v>0</v>
      </c>
      <c r="G378" s="1">
        <f t="shared" si="406"/>
        <v>0</v>
      </c>
      <c r="H378" s="1">
        <f t="shared" si="406"/>
        <v>0</v>
      </c>
      <c r="I378" s="1">
        <f t="shared" si="406"/>
        <v>0</v>
      </c>
      <c r="J378" s="1">
        <f t="shared" si="406"/>
        <v>0</v>
      </c>
      <c r="K378" s="1">
        <f t="shared" si="406"/>
        <v>0</v>
      </c>
      <c r="L378" s="1">
        <f t="shared" ref="L378:O378" si="407">L364</f>
        <v>0</v>
      </c>
      <c r="M378" s="1">
        <f t="shared" si="407"/>
        <v>0</v>
      </c>
      <c r="N378" s="1">
        <f t="shared" si="407"/>
        <v>0</v>
      </c>
      <c r="O378" s="1">
        <f t="shared" si="407"/>
        <v>0</v>
      </c>
      <c r="P378" s="1">
        <f>P364</f>
        <v>0</v>
      </c>
      <c r="Q378" s="1">
        <f>Q364</f>
        <v>0</v>
      </c>
      <c r="S378" s="3"/>
    </row>
    <row r="379" spans="1:19" x14ac:dyDescent="0.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75"/>
        <v>PJ/yr.</v>
      </c>
      <c r="F379" s="1">
        <f>SUM(F380:F386)</f>
        <v>0.57757090276223755</v>
      </c>
      <c r="G379" s="1">
        <f t="shared" ref="G379:K379" si="408">SUM(G380:G386)</f>
        <v>0.54187265774575488</v>
      </c>
      <c r="H379" s="1">
        <f t="shared" si="408"/>
        <v>1.809452991375244</v>
      </c>
      <c r="I379" s="1">
        <f t="shared" si="408"/>
        <v>2.9725341835794956</v>
      </c>
      <c r="J379" s="1">
        <f t="shared" si="408"/>
        <v>3.6303868442268348</v>
      </c>
      <c r="K379" s="1">
        <f t="shared" si="408"/>
        <v>4.1311943354104805</v>
      </c>
      <c r="L379" s="1">
        <f t="shared" ref="L379:O379" si="409">SUM(L380:L386)</f>
        <v>4.6665496652202663</v>
      </c>
      <c r="M379" s="1">
        <f t="shared" si="409"/>
        <v>5.1727218516699294</v>
      </c>
      <c r="N379" s="1">
        <f t="shared" si="409"/>
        <v>5.1399778846133559</v>
      </c>
      <c r="O379" s="1">
        <f t="shared" si="409"/>
        <v>5.1372757650065184</v>
      </c>
      <c r="P379" s="1">
        <f>SUM(P380:P386)</f>
        <v>5.0797092284523329</v>
      </c>
      <c r="Q379" s="1">
        <f>SUM(Q380:Q386)</f>
        <v>5.0962142765137086</v>
      </c>
      <c r="S379" s="3"/>
    </row>
    <row r="380" spans="1:19" x14ac:dyDescent="0.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75"/>
        <v>PJ/yr.</v>
      </c>
      <c r="F380" s="1">
        <f>IFERROR(F152/SUM(F152,F207),0)*'[1]Electricity and CHPs_IN'!B$25</f>
        <v>0.39600149056950018</v>
      </c>
      <c r="G380" s="1">
        <f>IFERROR(G152/SUM(G152,G207),0)*'[1]Electricity and CHPs_IN'!C$25</f>
        <v>2.6940804603107285E-2</v>
      </c>
      <c r="H380" s="1">
        <f>IFERROR(H152/SUM(H152,H207),0)*'[1]Electricity and CHPs_IN'!D$25</f>
        <v>0.66616332219396035</v>
      </c>
      <c r="I380" s="1">
        <f>IFERROR(I152/SUM(I152,I207),0)*'[1]Electricity and CHPs_IN'!E$25</f>
        <v>1.0718910005232598</v>
      </c>
      <c r="J380" s="1">
        <f>IFERROR(J152/SUM(J152,J207),0)*'[1]Electricity and CHPs_IN'!F$25</f>
        <v>1.1906052587362295</v>
      </c>
      <c r="K380" s="1">
        <f>IFERROR(K152/SUM(K152,K207),0)*'[1]Electricity and CHPs_IN'!G$25</f>
        <v>1.1642063395077262</v>
      </c>
      <c r="L380" s="1">
        <f>IFERROR(L152/SUM(L152,L207),0)*'[1]Electricity and CHPs_IN'!H$25</f>
        <v>0.70185182856943851</v>
      </c>
      <c r="M380" s="1">
        <f>IFERROR(M152/SUM(M152,M207),0)*'[1]Electricity and CHPs_IN'!I$25</f>
        <v>0.42175537295235616</v>
      </c>
      <c r="N380" s="1">
        <f>IFERROR(N152/SUM(N152,N207),0)*'[1]Electricity and CHPs_IN'!J$25</f>
        <v>0.23230222994626173</v>
      </c>
      <c r="O380" s="1">
        <f>IFERROR(O152/SUM(O152,O207),0)*'[1]Electricity and CHPs_IN'!K$25</f>
        <v>0.27750831645742902</v>
      </c>
      <c r="P380" s="1">
        <f>IFERROR(P152/SUM(P152,P207),0)*'[1]Electricity and CHPs_IN'!L$25</f>
        <v>0.22508433470277983</v>
      </c>
      <c r="Q380" s="1">
        <f>IFERROR(Q152/SUM(Q152,Q207),0)*'[1]Electricity and CHPs_IN'!M$25</f>
        <v>0.18537670276080831</v>
      </c>
      <c r="S380" s="3"/>
    </row>
    <row r="381" spans="1:19" x14ac:dyDescent="0.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75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'[1]Electricity and CHPs_IN'!F$31</f>
        <v>0</v>
      </c>
      <c r="K381" s="1">
        <f>'[1]Electricity and CHPs_IN'!G$31</f>
        <v>1.174728049954451E-3</v>
      </c>
      <c r="L381" s="1">
        <f>'[1]Electricity and CHPs_IN'!H$31</f>
        <v>1.495637569113961E-3</v>
      </c>
      <c r="M381" s="1">
        <f>'[1]Electricity and CHPs_IN'!I$31</f>
        <v>3.2089497361363355E-3</v>
      </c>
      <c r="N381" s="1">
        <f>'[1]Electricity and CHPs_IN'!J$31</f>
        <v>1.6605586885635837E-3</v>
      </c>
      <c r="O381" s="1">
        <f>'[1]Electricity and CHPs_IN'!K$31</f>
        <v>3.0401574108664745E-3</v>
      </c>
      <c r="P381" s="1">
        <f>'[1]Electricity and CHPs_IN'!L$31</f>
        <v>2.6703866596806858E-3</v>
      </c>
      <c r="Q381" s="1">
        <f>'[1]Electricity and CHPs_IN'!M$31</f>
        <v>5.9733135103683232E-3</v>
      </c>
      <c r="S381" s="3"/>
    </row>
    <row r="382" spans="1:19" x14ac:dyDescent="0.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75"/>
        <v>PJ/yr.</v>
      </c>
      <c r="F382" s="1">
        <f>IFERROR(F154/SUM(F154,F283),0)*'[1]Electricity and CHPs_IN'!B$42</f>
        <v>0.18156941219273734</v>
      </c>
      <c r="G382" s="1">
        <f>IFERROR(G154/SUM(G154,G283),0)*'[1]Electricity and CHPs_IN'!C$42</f>
        <v>0.51493185314264756</v>
      </c>
      <c r="H382" s="1">
        <f>IFERROR(H154/SUM(H154,H283),0)*'[1]Electricity and CHPs_IN'!D$42</f>
        <v>1.1432896691812835</v>
      </c>
      <c r="I382" s="1">
        <f>IFERROR(I154/SUM(I154,I283),0)*'[1]Electricity and CHPs_IN'!E$42</f>
        <v>1.8716988548601359</v>
      </c>
      <c r="J382" s="1">
        <f>IFERROR(J154/SUM(J154,J283),0)*'[1]Electricity and CHPs_IN'!F$42</f>
        <v>2.4065520403064076</v>
      </c>
      <c r="K382" s="1">
        <f>IFERROR(K154/SUM(K154,K283),0)*'[1]Electricity and CHPs_IN'!G$42</f>
        <v>2.9355266830526525</v>
      </c>
      <c r="L382" s="1">
        <f>IFERROR(L154/SUM(L154,L283),0)*'[1]Electricity and CHPs_IN'!H$42</f>
        <v>3.9242929223895584</v>
      </c>
      <c r="M382" s="1">
        <f>IFERROR(M154/SUM(M154,M283),0)*'[1]Electricity and CHPs_IN'!I$42</f>
        <v>4.674742972009871</v>
      </c>
      <c r="N382" s="1">
        <f>IFERROR(N154/SUM(N154,N283),0)*'[1]Electricity and CHPs_IN'!J$42</f>
        <v>4.8420496136137388</v>
      </c>
      <c r="O382" s="1">
        <f>IFERROR(O154/SUM(O154,O283),0)*'[1]Electricity and CHPs_IN'!K$42</f>
        <v>4.7826335464507217</v>
      </c>
      <c r="P382" s="1">
        <f>IFERROR(P154/SUM(P154,P283),0)*'[1]Electricity and CHPs_IN'!L$42</f>
        <v>4.7825495261597695</v>
      </c>
      <c r="Q382" s="1">
        <f>IFERROR(Q154/SUM(Q154,Q283),0)*'[1]Electricity and CHPs_IN'!M$42</f>
        <v>4.7759794949207111</v>
      </c>
      <c r="S382" s="3"/>
    </row>
    <row r="383" spans="1:19" x14ac:dyDescent="0.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75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IFERROR(J155/SUM(J155,J284),0)*'[1]Electricity and CHPs_IN'!F$43</f>
        <v>0</v>
      </c>
      <c r="K383" s="1">
        <f>IFERROR(K155/SUM(K155,K284),0)*'[1]Electricity and CHPs_IN'!G$43</f>
        <v>0</v>
      </c>
      <c r="L383" s="1">
        <f>IFERROR(L155/SUM(L155,L284),0)*'[1]Electricity and CHPs_IN'!H$43</f>
        <v>0</v>
      </c>
      <c r="M383" s="1">
        <f>IFERROR(M155/SUM(M155,M284),0)*'[1]Electricity and CHPs_IN'!I$43</f>
        <v>0</v>
      </c>
      <c r="N383" s="1">
        <f>IFERROR(N155/SUM(N155,N284),0)*'[1]Electricity and CHPs_IN'!J$43</f>
        <v>0</v>
      </c>
      <c r="O383" s="1">
        <f>IFERROR(O155/SUM(O155,O284),0)*'[1]Electricity and CHPs_IN'!K$43</f>
        <v>0</v>
      </c>
      <c r="P383" s="1">
        <f>IFERROR(P155/SUM(P155,P284),0)*'[1]Electricity and CHPs_IN'!L$43</f>
        <v>0</v>
      </c>
      <c r="Q383" s="1">
        <f>IFERROR(Q155/SUM(Q155,Q284),0)*'[1]Electricity and CHPs_IN'!M$43</f>
        <v>0</v>
      </c>
      <c r="S383" s="3"/>
    </row>
    <row r="384" spans="1:19" x14ac:dyDescent="0.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75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5.1384773427828184E-3</v>
      </c>
      <c r="J384" s="1">
        <f>IFERROR(J156/SUM(J285,J156),0)*'[1]Electricity and CHPs_IN'!F$50</f>
        <v>9.2595880086307966E-3</v>
      </c>
      <c r="K384" s="1">
        <f>IFERROR(K156/SUM(K285,K156),0)*'[1]Electricity and CHPs_IN'!G$50</f>
        <v>9.3509504139780136E-3</v>
      </c>
      <c r="L384" s="1">
        <f>IFERROR(L156/SUM(L285,L156),0)*'[1]Electricity and CHPs_IN'!H$50</f>
        <v>1.0306695464518465E-2</v>
      </c>
      <c r="M384" s="1">
        <f>IFERROR(M156/SUM(M285,M156),0)*'[1]Electricity and CHPs_IN'!I$50</f>
        <v>2.08678776398027E-2</v>
      </c>
      <c r="N384" s="1">
        <f>IFERROR(N156/SUM(N285,N156),0)*'[1]Electricity and CHPs_IN'!J$50</f>
        <v>1.7904380338493051E-2</v>
      </c>
      <c r="O384" s="1">
        <f>IFERROR(O156/SUM(O285,O156),0)*'[1]Electricity and CHPs_IN'!K$50</f>
        <v>2.3968560785188976E-2</v>
      </c>
      <c r="P384" s="1">
        <f>IFERROR(P156/SUM(P285,P156),0)*'[1]Electricity and CHPs_IN'!L$50</f>
        <v>1.8043780637731432E-2</v>
      </c>
      <c r="Q384" s="1">
        <f>IFERROR(Q156/SUM(Q285,Q156),0)*'[1]Electricity and CHPs_IN'!M$50</f>
        <v>3.27493481942982E-2</v>
      </c>
      <c r="S384" s="3"/>
    </row>
    <row r="385" spans="1:19" x14ac:dyDescent="0.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75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1.1016281958348787E-2</v>
      </c>
      <c r="J385" s="1">
        <f>IFERROR(J157/SUM(J286,J157),0)*'[1]Electricity and CHPs_IN'!F$53</f>
        <v>1.3750772046961929E-2</v>
      </c>
      <c r="K385" s="1">
        <f>IFERROR(K157/SUM(K286,K157),0)*'[1]Electricity and CHPs_IN'!G$53</f>
        <v>1.2528025680340733E-2</v>
      </c>
      <c r="L385" s="1">
        <f>IFERROR(L157/SUM(L286,L157),0)*'[1]Electricity and CHPs_IN'!H$53</f>
        <v>1.4990380645707955E-2</v>
      </c>
      <c r="M385" s="1">
        <f>IFERROR(M157/SUM(M286,M157),0)*'[1]Electricity and CHPs_IN'!I$53</f>
        <v>3.224165322801114E-2</v>
      </c>
      <c r="N385" s="1">
        <f>IFERROR(N157/SUM(N286,N157),0)*'[1]Electricity and CHPs_IN'!J$53</f>
        <v>2.8810307170660066E-2</v>
      </c>
      <c r="O385" s="1">
        <f>IFERROR(O157/SUM(O286,O157),0)*'[1]Electricity and CHPs_IN'!K$53</f>
        <v>2.7443213436437595E-2</v>
      </c>
      <c r="P385" s="1">
        <f>IFERROR(P157/SUM(P286,P157),0)*'[1]Electricity and CHPs_IN'!L$53</f>
        <v>2.8522744907454264E-2</v>
      </c>
      <c r="Q385" s="1">
        <f>IFERROR(Q157/SUM(Q286,Q157),0)*'[1]Electricity and CHPs_IN'!M$53</f>
        <v>5.0238321244949612E-2</v>
      </c>
      <c r="S385" s="3"/>
    </row>
    <row r="386" spans="1:19" x14ac:dyDescent="0.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75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1.2789568894968689E-2</v>
      </c>
      <c r="J386" s="1">
        <f>IFERROR(J158/SUM(J287,J158),0)*'[1]Electricity and CHPs_IN'!F$56</f>
        <v>1.0219185128605233E-2</v>
      </c>
      <c r="K386" s="1">
        <f>IFERROR(K158/SUM(K287,K158),0)*'[1]Electricity and CHPs_IN'!G$56</f>
        <v>8.4076087058281585E-3</v>
      </c>
      <c r="L386" s="1">
        <f>IFERROR(L158/SUM(L287,L158),0)*'[1]Electricity and CHPs_IN'!H$56</f>
        <v>1.3612200581929084E-2</v>
      </c>
      <c r="M386" s="1">
        <f>IFERROR(M158/SUM(M287,M158),0)*'[1]Electricity and CHPs_IN'!I$56</f>
        <v>1.9905026103751375E-2</v>
      </c>
      <c r="N386" s="1">
        <f>IFERROR(N158/SUM(N287,N158),0)*'[1]Electricity and CHPs_IN'!J$56</f>
        <v>1.7250794855638747E-2</v>
      </c>
      <c r="O386" s="1">
        <f>IFERROR(O158/SUM(O287,O158),0)*'[1]Electricity and CHPs_IN'!K$56</f>
        <v>2.2681970465875525E-2</v>
      </c>
      <c r="P386" s="1">
        <f>IFERROR(P158/SUM(P287,P158),0)*'[1]Electricity and CHPs_IN'!L$56</f>
        <v>2.2838455384916412E-2</v>
      </c>
      <c r="Q386" s="1">
        <f>IFERROR(Q158/SUM(Q287,Q158),0)*'[1]Electricity and CHPs_IN'!M$56</f>
        <v>4.5897095882573062E-2</v>
      </c>
      <c r="S386" s="3"/>
    </row>
    <row r="387" spans="1:19" x14ac:dyDescent="0.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75"/>
        <v>PJ/yr.</v>
      </c>
      <c r="F387" s="1">
        <f>F388</f>
        <v>0.52400000000000047</v>
      </c>
      <c r="G387" s="1">
        <f t="shared" ref="G387:O387" si="410">G388</f>
        <v>0.54529302637759147</v>
      </c>
      <c r="H387" s="1">
        <f t="shared" si="410"/>
        <v>0.50316562471114035</v>
      </c>
      <c r="I387" s="1">
        <f t="shared" si="410"/>
        <v>0.56389216751934657</v>
      </c>
      <c r="J387" s="1">
        <f t="shared" si="410"/>
        <v>0.56613504054168295</v>
      </c>
      <c r="K387" s="1">
        <f t="shared" si="410"/>
        <v>0.56870496347360744</v>
      </c>
      <c r="L387" s="1">
        <f t="shared" si="410"/>
        <v>0.58036305042839709</v>
      </c>
      <c r="M387" s="1">
        <f t="shared" si="410"/>
        <v>0.58044372954834755</v>
      </c>
      <c r="N387" s="1">
        <f t="shared" si="410"/>
        <v>0.58220676548390526</v>
      </c>
      <c r="O387" s="1">
        <f t="shared" si="410"/>
        <v>0.5823498779490649</v>
      </c>
      <c r="P387" s="1">
        <f>P388</f>
        <v>0.58444918281009461</v>
      </c>
      <c r="Q387" s="1">
        <f>Q388</f>
        <v>0.59684864279550764</v>
      </c>
      <c r="S387" s="3"/>
    </row>
    <row r="388" spans="1:19" x14ac:dyDescent="0.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75"/>
        <v>PJ/yr.</v>
      </c>
      <c r="F388" s="1">
        <f>'[1]Electricity and CHPs_IN'!B$33</f>
        <v>0.52400000000000047</v>
      </c>
      <c r="G388" s="1">
        <f>'[1]Electricity and CHPs_IN'!C$33</f>
        <v>0.54529302637759147</v>
      </c>
      <c r="H388" s="1">
        <f>'[1]Electricity and CHPs_IN'!D$33</f>
        <v>0.50316562471114035</v>
      </c>
      <c r="I388" s="1">
        <f>'[1]Electricity and CHPs_IN'!E$33</f>
        <v>0.56389216751934657</v>
      </c>
      <c r="J388" s="1">
        <f>'[1]Electricity and CHPs_IN'!F$33</f>
        <v>0.56613504054168295</v>
      </c>
      <c r="K388" s="1">
        <f>'[1]Electricity and CHPs_IN'!G$33</f>
        <v>0.56870496347360744</v>
      </c>
      <c r="L388" s="1">
        <f>'[1]Electricity and CHPs_IN'!H$33</f>
        <v>0.58036305042839709</v>
      </c>
      <c r="M388" s="1">
        <f>'[1]Electricity and CHPs_IN'!I$33</f>
        <v>0.58044372954834755</v>
      </c>
      <c r="N388" s="1">
        <f>'[1]Electricity and CHPs_IN'!J$33</f>
        <v>0.58220676548390526</v>
      </c>
      <c r="O388" s="1">
        <f>'[1]Electricity and CHPs_IN'!K$33</f>
        <v>0.5823498779490649</v>
      </c>
      <c r="P388" s="1">
        <f>'[1]Electricity and CHPs_IN'!L$33</f>
        <v>0.58444918281009461</v>
      </c>
      <c r="Q388" s="1">
        <f>'[1]Electricity and CHPs_IN'!M$33</f>
        <v>0.59684864279550764</v>
      </c>
      <c r="S388" s="3"/>
    </row>
    <row r="389" spans="1:19" x14ac:dyDescent="0.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75"/>
        <v>PJ/yr.</v>
      </c>
      <c r="F389" s="1">
        <f>SUM(F390:F394)</f>
        <v>9.3550000000000111</v>
      </c>
      <c r="G389" s="1">
        <f t="shared" ref="G389:K389" si="411">SUM(G390:G394)</f>
        <v>12.821505832092461</v>
      </c>
      <c r="H389" s="1">
        <f t="shared" si="411"/>
        <v>28.800014597251664</v>
      </c>
      <c r="I389" s="1">
        <f t="shared" si="411"/>
        <v>50.654734140569829</v>
      </c>
      <c r="J389" s="1">
        <f t="shared" si="411"/>
        <v>53.976280628753251</v>
      </c>
      <c r="K389" s="1">
        <f t="shared" si="411"/>
        <v>56.681661088422231</v>
      </c>
      <c r="L389" s="1">
        <f t="shared" ref="L389:O389" si="412">SUM(L390:L394)</f>
        <v>59.324723406436561</v>
      </c>
      <c r="M389" s="1">
        <f t="shared" si="412"/>
        <v>62.201473136128172</v>
      </c>
      <c r="N389" s="1">
        <f t="shared" si="412"/>
        <v>64.815846190088948</v>
      </c>
      <c r="O389" s="1">
        <f t="shared" si="412"/>
        <v>68.065430972453726</v>
      </c>
      <c r="P389" s="1">
        <f>SUM(P390:P394)</f>
        <v>71.529281556135928</v>
      </c>
      <c r="Q389" s="1">
        <f>SUM(Q390:Q394)</f>
        <v>76.634088467535236</v>
      </c>
      <c r="S389" s="3"/>
    </row>
    <row r="390" spans="1:19" x14ac:dyDescent="0.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75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0.15618976333301607</v>
      </c>
      <c r="I390" s="1">
        <f>'[1]Electricity and CHPs_IN'!E34</f>
        <v>0.30237862956283768</v>
      </c>
      <c r="J390" s="1">
        <f>'[1]Electricity and CHPs_IN'!F34</f>
        <v>1.0553737620987678</v>
      </c>
      <c r="K390" s="1">
        <f>'[1]Electricity and CHPs_IN'!G34</f>
        <v>1.0612518126546735</v>
      </c>
      <c r="L390" s="1">
        <f>'[1]Electricity and CHPs_IN'!H34</f>
        <v>0.86710290071721363</v>
      </c>
      <c r="M390" s="1">
        <f>'[1]Electricity and CHPs_IN'!I34</f>
        <v>0.76190701927693305</v>
      </c>
      <c r="N390" s="1">
        <f>'[1]Electricity and CHPs_IN'!J34</f>
        <v>0.24222431206686859</v>
      </c>
      <c r="O390" s="1">
        <f>'[1]Electricity and CHPs_IN'!K34</f>
        <v>0.19785984260459472</v>
      </c>
      <c r="P390" s="1">
        <f>'[1]Electricity and CHPs_IN'!L34</f>
        <v>0.19971029213985989</v>
      </c>
      <c r="Q390" s="1">
        <f>'[1]Electricity and CHPs_IN'!M34</f>
        <v>1.6653254975685723</v>
      </c>
      <c r="S390" s="3"/>
    </row>
    <row r="391" spans="1:19" x14ac:dyDescent="0.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75"/>
        <v>PJ/yr.</v>
      </c>
      <c r="F391" s="1">
        <f>'[1]Electricity and CHPs_IN'!B35</f>
        <v>3.517953999707534</v>
      </c>
      <c r="G391" s="1">
        <f>'[1]Electricity and CHPs_IN'!C35</f>
        <v>4.8486226008987279</v>
      </c>
      <c r="H391" s="1">
        <f>'[1]Electricity and CHPs_IN'!D35</f>
        <v>11.927072092541732</v>
      </c>
      <c r="I391" s="1">
        <f>'[1]Electricity and CHPs_IN'!E35</f>
        <v>14.116607143568489</v>
      </c>
      <c r="J391" s="1">
        <f>'[1]Electricity and CHPs_IN'!F35</f>
        <v>14.836718811243156</v>
      </c>
      <c r="K391" s="1">
        <f>'[1]Electricity and CHPs_IN'!G35</f>
        <v>15.59354245769409</v>
      </c>
      <c r="L391" s="1">
        <f>'[1]Electricity and CHPs_IN'!H35</f>
        <v>16.388974994190907</v>
      </c>
      <c r="M391" s="1">
        <f>'[1]Electricity and CHPs_IN'!I35</f>
        <v>17.224984168750087</v>
      </c>
      <c r="N391" s="1">
        <f>'[1]Electricity and CHPs_IN'!J35</f>
        <v>18.103639305753067</v>
      </c>
      <c r="O391" s="1">
        <f>'[1]Electricity and CHPs_IN'!K35</f>
        <v>19.027121576951131</v>
      </c>
      <c r="P391" s="1">
        <f>'[1]Electricity and CHPs_IN'!L35</f>
        <v>19.997727115338037</v>
      </c>
      <c r="Q391" s="1">
        <f>'[1]Electricity and CHPs_IN'!M35</f>
        <v>21.017943069540127</v>
      </c>
      <c r="S391" s="3"/>
    </row>
    <row r="392" spans="1:19" x14ac:dyDescent="0.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75"/>
        <v>PJ/yr.</v>
      </c>
      <c r="F392" s="1">
        <f>'[1]Electricity and CHPs_IN'!B36</f>
        <v>2.1349390887346629</v>
      </c>
      <c r="G392" s="1">
        <f>'[1]Electricity and CHPs_IN'!C36</f>
        <v>3.39074895711946</v>
      </c>
      <c r="H392" s="1">
        <f>'[1]Electricity and CHPs_IN'!D36</f>
        <v>6.9699056392086884</v>
      </c>
      <c r="I392" s="1">
        <f>'[1]Electricity and CHPs_IN'!E36</f>
        <v>18.91638404044593</v>
      </c>
      <c r="J392" s="1">
        <f>'[1]Electricity and CHPs_IN'!F36</f>
        <v>19.881322410564309</v>
      </c>
      <c r="K392" s="1">
        <f>'[1]Electricity and CHPs_IN'!G36</f>
        <v>20.8954709595825</v>
      </c>
      <c r="L392" s="1">
        <f>'[1]Electricity and CHPs_IN'!H36</f>
        <v>21.961351828452528</v>
      </c>
      <c r="M392" s="1">
        <f>'[1]Electricity and CHPs_IN'!I36</f>
        <v>23.081606348898454</v>
      </c>
      <c r="N392" s="1">
        <f>'[1]Electricity and CHPs_IN'!J36</f>
        <v>24.259004878098594</v>
      </c>
      <c r="O392" s="1">
        <f>'[1]Electricity and CHPs_IN'!K36</f>
        <v>25.496470251187272</v>
      </c>
      <c r="P392" s="1">
        <f>'[1]Electricity and CHPs_IN'!L36</f>
        <v>26.797062210319741</v>
      </c>
      <c r="Q392" s="1">
        <f>'[1]Electricity and CHPs_IN'!M36</f>
        <v>28.164266347371555</v>
      </c>
      <c r="S392" s="3"/>
    </row>
    <row r="393" spans="1:19" x14ac:dyDescent="0.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75"/>
        <v>PJ/yr.</v>
      </c>
      <c r="F393" s="1">
        <f>'[1]Electricity and CHPs_IN'!B37</f>
        <v>0.86248322578584768</v>
      </c>
      <c r="G393" s="1">
        <f>'[1]Electricity and CHPs_IN'!C37</f>
        <v>1.2876789795301395</v>
      </c>
      <c r="H393" s="1">
        <f>'[1]Electricity and CHPs_IN'!D37</f>
        <v>5.8107627371106076</v>
      </c>
      <c r="I393" s="1">
        <f>'[1]Electricity and CHPs_IN'!E37</f>
        <v>12.910305214125218</v>
      </c>
      <c r="J393" s="1">
        <f>'[1]Electricity and CHPs_IN'!F37</f>
        <v>13.568880600762526</v>
      </c>
      <c r="K393" s="1">
        <f>'[1]Electricity and CHPs_IN'!G37</f>
        <v>14.261031481636639</v>
      </c>
      <c r="L393" s="1">
        <f>'[1]Electricity and CHPs_IN'!H37</f>
        <v>14.988489641312128</v>
      </c>
      <c r="M393" s="1">
        <f>'[1]Electricity and CHPs_IN'!I37</f>
        <v>15.753057987260592</v>
      </c>
      <c r="N393" s="1">
        <f>'[1]Electricity and CHPs_IN'!J37</f>
        <v>16.556626777684759</v>
      </c>
      <c r="O393" s="1">
        <f>'[1]Electricity and CHPs_IN'!K37</f>
        <v>17.40119142670499</v>
      </c>
      <c r="P393" s="1">
        <f>'[1]Electricity and CHPs_IN'!L37</f>
        <v>18.288840912057474</v>
      </c>
      <c r="Q393" s="1">
        <f>'[1]Electricity and CHPs_IN'!M37</f>
        <v>19.221869774791799</v>
      </c>
      <c r="S393" s="3"/>
    </row>
    <row r="394" spans="1:19" x14ac:dyDescent="0.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75"/>
        <v>PJ/yr.</v>
      </c>
      <c r="F394" s="1">
        <f>'[1]Electricity and CHPs_IN'!B38</f>
        <v>2.8396236857719668</v>
      </c>
      <c r="G394" s="1">
        <f>'[1]Electricity and CHPs_IN'!C38</f>
        <v>3.2944552945441319</v>
      </c>
      <c r="H394" s="1">
        <f>'[1]Electricity and CHPs_IN'!D38</f>
        <v>3.9360843650576216</v>
      </c>
      <c r="I394" s="1">
        <f>'[1]Electricity and CHPs_IN'!E38</f>
        <v>4.4090591128673529</v>
      </c>
      <c r="J394" s="1">
        <f>'[1]Electricity and CHPs_IN'!F38</f>
        <v>4.6339850440844899</v>
      </c>
      <c r="K394" s="1">
        <f>'[1]Electricity and CHPs_IN'!G38</f>
        <v>4.8703643768543285</v>
      </c>
      <c r="L394" s="1">
        <f>'[1]Electricity and CHPs_IN'!H38</f>
        <v>5.118804041763779</v>
      </c>
      <c r="M394" s="1">
        <f>'[1]Electricity and CHPs_IN'!I38</f>
        <v>5.3799176119421048</v>
      </c>
      <c r="N394" s="1">
        <f>'[1]Electricity and CHPs_IN'!J38</f>
        <v>5.6543509164856562</v>
      </c>
      <c r="O394" s="1">
        <f>'[1]Electricity and CHPs_IN'!K38</f>
        <v>5.9427878750057426</v>
      </c>
      <c r="P394" s="1">
        <f>'[1]Electricity and CHPs_IN'!L38</f>
        <v>6.2459410262808186</v>
      </c>
      <c r="Q394" s="1">
        <f>'[1]Electricity and CHPs_IN'!M38</f>
        <v>6.5646837782631895</v>
      </c>
      <c r="S394" s="3"/>
    </row>
    <row r="395" spans="1:19" x14ac:dyDescent="0.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75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'[1]Electricity and CHPs'!F252</f>
        <v>0</v>
      </c>
      <c r="K395" s="1">
        <f>'[1]Electricity and CHPs'!G252</f>
        <v>0</v>
      </c>
      <c r="L395" s="1">
        <f>'[1]Electricity and CHPs'!H252</f>
        <v>0</v>
      </c>
      <c r="M395" s="1">
        <f>'[1]Electricity and CHPs'!I252</f>
        <v>0</v>
      </c>
      <c r="N395" s="1">
        <f>'[1]Electricity and CHPs'!J252</f>
        <v>0</v>
      </c>
      <c r="O395" s="1">
        <f>'[1]Electricity and CHPs'!K252</f>
        <v>0</v>
      </c>
      <c r="P395" s="1">
        <f>'[1]Electricity and CHPs'!L252</f>
        <v>0</v>
      </c>
      <c r="Q395" s="1">
        <f>'[1]Electricity and CHPs'!M252</f>
        <v>0</v>
      </c>
      <c r="S395" s="3"/>
    </row>
    <row r="396" spans="1:19" x14ac:dyDescent="0.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75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'[1]Electricity and CHPs_IN'!F$32</f>
        <v>0</v>
      </c>
      <c r="K396" s="1">
        <f>'[1]Electricity and CHPs_IN'!G$32</f>
        <v>0</v>
      </c>
      <c r="L396" s="1">
        <f>'[1]Electricity and CHPs_IN'!H$32</f>
        <v>9.9592173227519981E-2</v>
      </c>
      <c r="M396" s="1">
        <f>'[1]Electricity and CHPs_IN'!I$32</f>
        <v>0.15668876529613807</v>
      </c>
      <c r="N396" s="1">
        <f>'[1]Electricity and CHPs_IN'!J$32</f>
        <v>0.16472827829600481</v>
      </c>
      <c r="O396" s="1">
        <f>'[1]Electricity and CHPs_IN'!K$32</f>
        <v>0.1851832440533317</v>
      </c>
      <c r="P396" s="1">
        <f>'[1]Electricity and CHPs_IN'!L$32</f>
        <v>0.21423913118608878</v>
      </c>
      <c r="Q396" s="1">
        <f>'[1]Electricity and CHPs_IN'!M$32</f>
        <v>0.38153195739022561</v>
      </c>
      <c r="S396" s="3"/>
    </row>
    <row r="397" spans="1:19" x14ac:dyDescent="0.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75"/>
        <v>PJ/yr.</v>
      </c>
      <c r="F397" s="1">
        <f t="shared" ref="F397" si="413">SUM(F398:F400)</f>
        <v>0</v>
      </c>
      <c r="G397" s="1">
        <f t="shared" ref="G397" si="414">SUM(G398:G400)</f>
        <v>0</v>
      </c>
      <c r="H397" s="1">
        <f t="shared" ref="H397" si="415">SUM(H398:H400)</f>
        <v>0</v>
      </c>
      <c r="I397" s="1">
        <f t="shared" ref="I397" si="416">SUM(I398:I400)</f>
        <v>9.5179537929626287E-3</v>
      </c>
      <c r="J397" s="1">
        <f t="shared" ref="J397" si="417">SUM(J398:J400)</f>
        <v>2.5846636188229521E-2</v>
      </c>
      <c r="K397" s="1">
        <f t="shared" ref="K397" si="418">SUM(K398:K400)</f>
        <v>4.2623862022236537E-2</v>
      </c>
      <c r="L397" s="1">
        <f t="shared" ref="L397:O397" si="419">SUM(L398:L400)</f>
        <v>4.4023166023012157E-2</v>
      </c>
      <c r="M397" s="1">
        <f t="shared" si="419"/>
        <v>0.1102532038264649</v>
      </c>
      <c r="N397" s="1">
        <f t="shared" si="419"/>
        <v>0.10125174994885551</v>
      </c>
      <c r="O397" s="1">
        <f t="shared" si="419"/>
        <v>0.27969643478487755</v>
      </c>
      <c r="P397" s="1">
        <f>SUM(P398:P400)</f>
        <v>0.26029947315369528</v>
      </c>
      <c r="Q397" s="1">
        <f>SUM(Q398:Q400)</f>
        <v>0.35302767572959443</v>
      </c>
      <c r="S397" s="3"/>
    </row>
    <row r="398" spans="1:19" x14ac:dyDescent="0.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75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IFERROR(J170/SUM(J170,J209),0)*'[1]Electricity and CHPs_IN'!F$30</f>
        <v>0</v>
      </c>
      <c r="K398" s="1">
        <f>IFERROR(K170/SUM(K170,K209),0)*'[1]Electricity and CHPs_IN'!G$30</f>
        <v>5.0890098336487527E-3</v>
      </c>
      <c r="L398" s="1">
        <f>IFERROR(L170/SUM(L170,L209),0)*'[1]Electricity and CHPs_IN'!H$30</f>
        <v>5.0794566914011052E-3</v>
      </c>
      <c r="M398" s="1">
        <f>IFERROR(M170/SUM(M170,M209),0)*'[1]Electricity and CHPs_IN'!I$30</f>
        <v>1.1670201773250942E-2</v>
      </c>
      <c r="N398" s="1">
        <f>IFERROR(N170/SUM(N170,N209),0)*'[1]Electricity and CHPs_IN'!J$30</f>
        <v>1.1777248257666051E-2</v>
      </c>
      <c r="O398" s="1">
        <f>IFERROR(O170/SUM(O170,O209),0)*'[1]Electricity and CHPs_IN'!K$30</f>
        <v>5.3719045491324412E-2</v>
      </c>
      <c r="P398" s="1">
        <f>IFERROR(P170/SUM(P170,P209),0)*'[1]Electricity and CHPs_IN'!L$30</f>
        <v>5.4556977438648346E-2</v>
      </c>
      <c r="Q398" s="1">
        <f>IFERROR(Q170/SUM(Q170,Q209),0)*'[1]Electricity and CHPs_IN'!M$30</f>
        <v>6.5404598272337189E-2</v>
      </c>
      <c r="S398" s="3"/>
    </row>
    <row r="399" spans="1:19" x14ac:dyDescent="0.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75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5.6146128121662559E-3</v>
      </c>
      <c r="J399" s="1">
        <f>IFERROR(J171/SUM(J171,J289),0)*'[1]Electricity and CHPs_IN'!F$46</f>
        <v>1.6728229286776117E-2</v>
      </c>
      <c r="K399" s="1">
        <f>IFERROR(K171/SUM(K171,K289),0)*'[1]Electricity and CHPs_IN'!G$46</f>
        <v>2.7535868155664819E-2</v>
      </c>
      <c r="L399" s="1">
        <f>IFERROR(L171/SUM(L171,L289),0)*'[1]Electricity and CHPs_IN'!H$46</f>
        <v>2.6683889397554061E-2</v>
      </c>
      <c r="M399" s="1">
        <f>IFERROR(M171/SUM(M171,M289),0)*'[1]Electricity and CHPs_IN'!I$46</f>
        <v>6.9475962788461174E-2</v>
      </c>
      <c r="N399" s="1">
        <f>IFERROR(N171/SUM(N171,N289),0)*'[1]Electricity and CHPs_IN'!J$46</f>
        <v>6.2432618252842839E-2</v>
      </c>
      <c r="O399" s="1">
        <f>IFERROR(O171/SUM(O171,O289),0)*'[1]Electricity and CHPs_IN'!K$46</f>
        <v>0.16457304321742025</v>
      </c>
      <c r="P399" s="1">
        <f>IFERROR(P171/SUM(P171,P289),0)*'[1]Electricity and CHPs_IN'!L$46</f>
        <v>0.15840321609579538</v>
      </c>
      <c r="Q399" s="1">
        <f>IFERROR(Q171/SUM(Q171,Q289),0)*'[1]Electricity and CHPs_IN'!M$46</f>
        <v>0.2033582669424826</v>
      </c>
      <c r="S399" s="3"/>
    </row>
    <row r="400" spans="1:19" x14ac:dyDescent="0.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75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3.903340980796372E-3</v>
      </c>
      <c r="J400" s="1">
        <f>IFERROR(J172/SUM(J172,J290),0)*'[1]Electricity and CHPs_IN'!F$57</f>
        <v>9.1184069014534058E-3</v>
      </c>
      <c r="K400" s="1">
        <f>IFERROR(K172/SUM(K172,K290),0)*'[1]Electricity and CHPs_IN'!G$57</f>
        <v>9.9989840329229654E-3</v>
      </c>
      <c r="L400" s="1">
        <f>IFERROR(L172/SUM(L172,L290),0)*'[1]Electricity and CHPs_IN'!H$57</f>
        <v>1.2259819934056988E-2</v>
      </c>
      <c r="M400" s="1">
        <f>IFERROR(M172/SUM(M172,M290),0)*'[1]Electricity and CHPs_IN'!I$57</f>
        <v>2.9107039264752794E-2</v>
      </c>
      <c r="N400" s="1">
        <f>IFERROR(N172/SUM(N172,N290),0)*'[1]Electricity and CHPs_IN'!J$57</f>
        <v>2.7041883438346626E-2</v>
      </c>
      <c r="O400" s="1">
        <f>IFERROR(O172/SUM(O172,O290),0)*'[1]Electricity and CHPs_IN'!K$57</f>
        <v>6.1404346076132897E-2</v>
      </c>
      <c r="P400" s="1">
        <f>IFERROR(P172/SUM(P172,P290),0)*'[1]Electricity and CHPs_IN'!L$57</f>
        <v>4.733927961925153E-2</v>
      </c>
      <c r="Q400" s="1">
        <f>IFERROR(Q172/SUM(Q172,Q290),0)*'[1]Electricity and CHPs_IN'!M$57</f>
        <v>8.4264810514774649E-2</v>
      </c>
      <c r="S400" s="3"/>
    </row>
    <row r="401" spans="1:19" x14ac:dyDescent="0.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75"/>
        <v>PJ/yr.</v>
      </c>
      <c r="F401" s="1">
        <f>SUM(F402:F408)</f>
        <v>0.17373187840733814</v>
      </c>
      <c r="G401" s="1">
        <f t="shared" ref="G401:K401" si="420">SUM(G402:G408)</f>
        <v>5.2288310418236811E-2</v>
      </c>
      <c r="H401" s="1">
        <f t="shared" si="420"/>
        <v>0.17192413677608998</v>
      </c>
      <c r="I401" s="1">
        <f t="shared" si="420"/>
        <v>0.36956100532138442</v>
      </c>
      <c r="J401" s="1">
        <f t="shared" si="420"/>
        <v>0.496861549493328</v>
      </c>
      <c r="K401" s="1">
        <f t="shared" si="420"/>
        <v>0.75294882277372366</v>
      </c>
      <c r="L401" s="1">
        <f t="shared" ref="L401:O401" si="421">SUM(L402:L408)</f>
        <v>1.1273666934250577</v>
      </c>
      <c r="M401" s="1">
        <f t="shared" si="421"/>
        <v>1.7458328269286201</v>
      </c>
      <c r="N401" s="1">
        <f t="shared" si="421"/>
        <v>2.3483252999598241</v>
      </c>
      <c r="O401" s="1">
        <f t="shared" si="421"/>
        <v>3.0531719257694863</v>
      </c>
      <c r="P401" s="1">
        <f>SUM(P402:P408)</f>
        <v>3.3673562047322716</v>
      </c>
      <c r="Q401" s="1">
        <f>SUM(Q402:Q408)</f>
        <v>3.8596050413714371</v>
      </c>
      <c r="S401" s="3"/>
    </row>
    <row r="402" spans="1:19" x14ac:dyDescent="0.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75"/>
        <v>PJ/yr.</v>
      </c>
      <c r="F402" s="1">
        <f>'[1]Electricity and CHPs_IN'!B63</f>
        <v>0.13524863398434775</v>
      </c>
      <c r="G402" s="1">
        <f>'[1]Electricity and CHPs_IN'!C63</f>
        <v>1.7705492983150495E-2</v>
      </c>
      <c r="H402" s="1">
        <f>'[1]Electricity and CHPs_IN'!D63</f>
        <v>0.13461304274831914</v>
      </c>
      <c r="I402" s="1">
        <f>'[1]Electricity and CHPs_IN'!E63</f>
        <v>6.5945294892330808E-2</v>
      </c>
      <c r="J402" s="1">
        <f>'[1]Electricity and CHPs_IN'!F63</f>
        <v>6.1326700388581401E-2</v>
      </c>
      <c r="K402" s="1">
        <f>'[1]Electricity and CHPs_IN'!G63</f>
        <v>5.4828467433819465E-2</v>
      </c>
      <c r="L402" s="1">
        <f>'[1]Electricity and CHPs_IN'!H63</f>
        <v>1.1832688264868203E-2</v>
      </c>
      <c r="M402" s="1">
        <f>'[1]Electricity and CHPs_IN'!I63</f>
        <v>4.5321612033509533E-2</v>
      </c>
      <c r="N402" s="1">
        <f>'[1]Electricity and CHPs_IN'!J63</f>
        <v>0.10855044375525914</v>
      </c>
      <c r="O402" s="1">
        <f>'[1]Electricity and CHPs_IN'!K63</f>
        <v>0.13455916196099238</v>
      </c>
      <c r="P402" s="1">
        <f>'[1]Electricity and CHPs_IN'!L63</f>
        <v>0.13469081971718289</v>
      </c>
      <c r="Q402" s="1">
        <f>'[1]Electricity and CHPs_IN'!M63</f>
        <v>0.13467204011284251</v>
      </c>
      <c r="S402" s="3"/>
    </row>
    <row r="403" spans="1:19" x14ac:dyDescent="0.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75"/>
        <v>PJ/yr.</v>
      </c>
      <c r="F403" s="1">
        <f>'[1]Electricity and CHPs_IN'!B64</f>
        <v>1.0668412108914957E-2</v>
      </c>
      <c r="G403" s="1">
        <f>'[1]Electricity and CHPs_IN'!C64</f>
        <v>8.6726753126057533E-3</v>
      </c>
      <c r="H403" s="1">
        <f>'[1]Electricity and CHPs_IN'!D64</f>
        <v>1.0300247020978414E-2</v>
      </c>
      <c r="I403" s="1">
        <f>'[1]Electricity and CHPs_IN'!E64</f>
        <v>9.6709824524404131E-3</v>
      </c>
      <c r="J403" s="1">
        <f>'[1]Electricity and CHPs_IN'!F64</f>
        <v>2.3182219099564447E-2</v>
      </c>
      <c r="K403" s="1">
        <f>'[1]Electricity and CHPs_IN'!G64</f>
        <v>0.18561436224811351</v>
      </c>
      <c r="L403" s="1">
        <f>'[1]Electricity and CHPs_IN'!H64</f>
        <v>0.21823797894898536</v>
      </c>
      <c r="M403" s="1">
        <f>'[1]Electricity and CHPs_IN'!I64</f>
        <v>0.34250324119085745</v>
      </c>
      <c r="N403" s="1">
        <f>'[1]Electricity and CHPs_IN'!J64</f>
        <v>0.34765823810425506</v>
      </c>
      <c r="O403" s="1">
        <f>'[1]Electricity and CHPs_IN'!K64</f>
        <v>0.43792924551937473</v>
      </c>
      <c r="P403" s="1">
        <f>'[1]Electricity and CHPs_IN'!L64</f>
        <v>0.44167221947991886</v>
      </c>
      <c r="Q403" s="1">
        <f>'[1]Electricity and CHPs_IN'!M64</f>
        <v>0.47708534963905075</v>
      </c>
      <c r="S403" s="3"/>
    </row>
    <row r="404" spans="1:19" x14ac:dyDescent="0.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75"/>
        <v>PJ/yr.</v>
      </c>
      <c r="F404" s="1">
        <f>'[1]Electricity and CHPs_IN'!B65</f>
        <v>9.4940911877490104E-3</v>
      </c>
      <c r="G404" s="1">
        <f>'[1]Electricity and CHPs_IN'!C65</f>
        <v>7.6966052311981635E-3</v>
      </c>
      <c r="H404" s="1">
        <f>'[1]Electricity and CHPs_IN'!D65</f>
        <v>8.8516177344526749E-3</v>
      </c>
      <c r="I404" s="1">
        <f>'[1]Electricity and CHPs_IN'!E65</f>
        <v>8.9708162559160934E-3</v>
      </c>
      <c r="J404" s="1">
        <f>'[1]Electricity and CHPs_IN'!F65</f>
        <v>2.2211925621539102E-2</v>
      </c>
      <c r="K404" s="1">
        <f>'[1]Electricity and CHPs_IN'!G65</f>
        <v>9.2022113784491877E-2</v>
      </c>
      <c r="L404" s="1">
        <f>'[1]Electricity and CHPs_IN'!H65</f>
        <v>0.44482573747821069</v>
      </c>
      <c r="M404" s="1">
        <f>'[1]Electricity and CHPs_IN'!I65</f>
        <v>0.8636841933380135</v>
      </c>
      <c r="N404" s="1">
        <f>'[1]Electricity and CHPs_IN'!J65</f>
        <v>1.3778112879940352</v>
      </c>
      <c r="O404" s="1">
        <f>'[1]Electricity and CHPs_IN'!K65</f>
        <v>1.9368434683291864</v>
      </c>
      <c r="P404" s="1">
        <f>'[1]Electricity and CHPs_IN'!L65</f>
        <v>2.2200510623125322</v>
      </c>
      <c r="Q404" s="1">
        <f>'[1]Electricity and CHPs_IN'!M65</f>
        <v>2.6427307950518291</v>
      </c>
      <c r="S404" s="3"/>
    </row>
    <row r="405" spans="1:19" x14ac:dyDescent="0.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75"/>
        <v>PJ/yr.</v>
      </c>
      <c r="F405" s="1">
        <f>'[1]Electricity and CHPs_IN'!B66</f>
        <v>3.0457207700796411E-3</v>
      </c>
      <c r="G405" s="1">
        <f>'[1]Electricity and CHPs_IN'!C66</f>
        <v>3.0288771814872381E-3</v>
      </c>
      <c r="H405" s="1">
        <f>'[1]Electricity and CHPs_IN'!D66</f>
        <v>3.0195394304104836E-3</v>
      </c>
      <c r="I405" s="1">
        <f>'[1]Electricity and CHPs_IN'!E66</f>
        <v>5.1616221149806796E-2</v>
      </c>
      <c r="J405" s="1">
        <f>'[1]Electricity and CHPs_IN'!F66</f>
        <v>7.221555081981812E-2</v>
      </c>
      <c r="K405" s="1">
        <f>'[1]Electricity and CHPs_IN'!G66</f>
        <v>7.6711555977101539E-2</v>
      </c>
      <c r="L405" s="1">
        <f>'[1]Electricity and CHPs_IN'!H66</f>
        <v>8.0813619783467058E-2</v>
      </c>
      <c r="M405" s="1">
        <f>'[1]Electricity and CHPs_IN'!I66</f>
        <v>9.7006902827468253E-2</v>
      </c>
      <c r="N405" s="1">
        <f>'[1]Electricity and CHPs_IN'!J66</f>
        <v>9.6119053676005178E-2</v>
      </c>
      <c r="O405" s="1">
        <f>'[1]Electricity and CHPs_IN'!K66</f>
        <v>0.11363834051322169</v>
      </c>
      <c r="P405" s="1">
        <f>'[1]Electricity and CHPs_IN'!L66</f>
        <v>0.14230569681795532</v>
      </c>
      <c r="Q405" s="1">
        <f>'[1]Electricity and CHPs_IN'!M66</f>
        <v>0.13563412989433951</v>
      </c>
      <c r="S405" s="3"/>
    </row>
    <row r="406" spans="1:19" x14ac:dyDescent="0.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75"/>
        <v>PJ/yr.</v>
      </c>
      <c r="F406" s="1">
        <f>'[1]Electricity and CHPs_IN'!B67</f>
        <v>6.1111331773405306E-3</v>
      </c>
      <c r="G406" s="1">
        <f>'[1]Electricity and CHPs_IN'!C67</f>
        <v>6.0748625323219334E-3</v>
      </c>
      <c r="H406" s="1">
        <f>'[1]Electricity and CHPs_IN'!D67</f>
        <v>6.0607636678622831E-3</v>
      </c>
      <c r="I406" s="1">
        <f>'[1]Electricity and CHPs_IN'!E67</f>
        <v>8.6784244509466896E-2</v>
      </c>
      <c r="J406" s="1">
        <f>'[1]Electricity and CHPs_IN'!F67</f>
        <v>0.1189017430461109</v>
      </c>
      <c r="K406" s="1">
        <f>'[1]Electricity and CHPs_IN'!G67</f>
        <v>0.12326039068709031</v>
      </c>
      <c r="L406" s="1">
        <f>'[1]Electricity and CHPs_IN'!H67</f>
        <v>0.13813964754784136</v>
      </c>
      <c r="M406" s="1">
        <f>'[1]Electricity and CHPs_IN'!I67</f>
        <v>0.14858543099581659</v>
      </c>
      <c r="N406" s="1">
        <f>'[1]Electricity and CHPs_IN'!J67</f>
        <v>0.15775044748426603</v>
      </c>
      <c r="O406" s="1">
        <f>'[1]Electricity and CHPs_IN'!K67</f>
        <v>0.16172678979868002</v>
      </c>
      <c r="P406" s="1">
        <f>'[1]Electricity and CHPs_IN'!L67</f>
        <v>0.16113450425923567</v>
      </c>
      <c r="Q406" s="1">
        <f>'[1]Electricity and CHPs_IN'!M67</f>
        <v>0.17583083671280553</v>
      </c>
      <c r="S406" s="3"/>
    </row>
    <row r="407" spans="1:19" x14ac:dyDescent="0.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75"/>
        <v>PJ/yr.</v>
      </c>
      <c r="F407" s="1">
        <f>'[1]Electricity and CHPs_IN'!B68</f>
        <v>6.1086493314507478E-3</v>
      </c>
      <c r="G407" s="1">
        <f>'[1]Electricity and CHPs_IN'!C68</f>
        <v>6.0717319271823226E-3</v>
      </c>
      <c r="H407" s="1">
        <f>'[1]Electricity and CHPs_IN'!D68</f>
        <v>6.0533814437117662E-3</v>
      </c>
      <c r="I407" s="1">
        <f>'[1]Electricity and CHPs_IN'!E68</f>
        <v>8.6498515260883202E-2</v>
      </c>
      <c r="J407" s="1">
        <f>'[1]Electricity and CHPs_IN'!F68</f>
        <v>0.11982034058642882</v>
      </c>
      <c r="K407" s="1">
        <f>'[1]Electricity and CHPs_IN'!G68</f>
        <v>0.13221367930588676</v>
      </c>
      <c r="L407" s="1">
        <f>'[1]Electricity and CHPs_IN'!H68</f>
        <v>0.14121729709515871</v>
      </c>
      <c r="M407" s="1">
        <f>'[1]Electricity and CHPs_IN'!I68</f>
        <v>0.1485423591582031</v>
      </c>
      <c r="N407" s="1">
        <f>'[1]Electricity and CHPs_IN'!J68</f>
        <v>0.15766446573065737</v>
      </c>
      <c r="O407" s="1">
        <f>'[1]Electricity and CHPs_IN'!K68</f>
        <v>0.16166850945983241</v>
      </c>
      <c r="P407" s="1">
        <f>'[1]Electricity and CHPs_IN'!L68</f>
        <v>0.16105322066649289</v>
      </c>
      <c r="Q407" s="1">
        <f>'[1]Electricity and CHPs_IN'!M68</f>
        <v>0.17580481108929491</v>
      </c>
      <c r="S407" s="3"/>
    </row>
    <row r="408" spans="1:19" x14ac:dyDescent="0.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75"/>
        <v>PJ/yr.</v>
      </c>
      <c r="F408" s="1">
        <f>'[1]Electricity and CHPs_IN'!B69</f>
        <v>3.0552378474554991E-3</v>
      </c>
      <c r="G408" s="1">
        <f>'[1]Electricity and CHPs_IN'!C69</f>
        <v>3.0380652502908952E-3</v>
      </c>
      <c r="H408" s="1">
        <f>'[1]Electricity and CHPs_IN'!D69</f>
        <v>3.0255447303552175E-3</v>
      </c>
      <c r="I408" s="1">
        <f>'[1]Electricity and CHPs_IN'!E69</f>
        <v>6.007493080054023E-2</v>
      </c>
      <c r="J408" s="1">
        <f>'[1]Electricity and CHPs_IN'!F69</f>
        <v>7.9203069931285244E-2</v>
      </c>
      <c r="K408" s="1">
        <f>'[1]Electricity and CHPs_IN'!G69</f>
        <v>8.8298253337220162E-2</v>
      </c>
      <c r="L408" s="1">
        <f>'[1]Electricity and CHPs_IN'!H69</f>
        <v>9.2299724306526332E-2</v>
      </c>
      <c r="M408" s="1">
        <f>'[1]Electricity and CHPs_IN'!I69</f>
        <v>0.10018908738475156</v>
      </c>
      <c r="N408" s="1">
        <f>'[1]Electricity and CHPs_IN'!J69</f>
        <v>0.10277136321534659</v>
      </c>
      <c r="O408" s="1">
        <f>'[1]Electricity and CHPs_IN'!K69</f>
        <v>0.10680641018819929</v>
      </c>
      <c r="P408" s="1">
        <f>'[1]Electricity and CHPs_IN'!L69</f>
        <v>0.10644868147895373</v>
      </c>
      <c r="Q408" s="1">
        <f>'[1]Electricity and CHPs_IN'!M69</f>
        <v>0.11784707887127507</v>
      </c>
      <c r="S408" s="3"/>
    </row>
    <row r="409" spans="1:19" x14ac:dyDescent="0.5">
      <c r="A409" s="5"/>
      <c r="B409" s="9" t="str">
        <f t="shared" ref="B409:C409" si="422">B408</f>
        <v>SPS1</v>
      </c>
      <c r="C409" s="2" t="str">
        <f t="shared" si="422"/>
        <v>CH</v>
      </c>
      <c r="D409" s="2" t="s">
        <v>190</v>
      </c>
      <c r="E409" s="2" t="str">
        <f>E397</f>
        <v>PJ/yr.</v>
      </c>
      <c r="F409" s="3">
        <f>F410+F463</f>
        <v>55.864387909501701</v>
      </c>
      <c r="G409" s="3">
        <f t="shared" ref="G409:K409" si="423">G410+G463</f>
        <v>56.000637499107405</v>
      </c>
      <c r="H409" s="3">
        <f t="shared" si="423"/>
        <v>57.545823034253644</v>
      </c>
      <c r="I409" s="3">
        <f t="shared" si="423"/>
        <v>63.526755541863423</v>
      </c>
      <c r="J409" s="3">
        <f t="shared" si="423"/>
        <v>66.773494335346072</v>
      </c>
      <c r="K409" s="3">
        <f t="shared" si="423"/>
        <v>66.96323209851758</v>
      </c>
      <c r="L409" s="3">
        <f t="shared" ref="L409:O409" si="424">L410+L463</f>
        <v>64.694964330338962</v>
      </c>
      <c r="M409" s="3">
        <f t="shared" si="424"/>
        <v>63.085897990522838</v>
      </c>
      <c r="N409" s="3">
        <f t="shared" si="424"/>
        <v>62.716836295790571</v>
      </c>
      <c r="O409" s="3">
        <f t="shared" si="424"/>
        <v>62.394860091123995</v>
      </c>
      <c r="P409" s="3">
        <f>P410+P463</f>
        <v>62.377542405547771</v>
      </c>
      <c r="Q409" s="3">
        <f>Q410+Q463</f>
        <v>62.72931698006748</v>
      </c>
      <c r="R409" s="11"/>
      <c r="S409" s="3"/>
    </row>
    <row r="410" spans="1:19" x14ac:dyDescent="0.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25">F411+F440</f>
        <v>47.874074286104928</v>
      </c>
      <c r="G410" s="1">
        <f t="shared" si="425"/>
        <v>47.313193605808102</v>
      </c>
      <c r="H410" s="1">
        <f t="shared" si="425"/>
        <v>46.330587482818075</v>
      </c>
      <c r="I410" s="1">
        <f t="shared" si="425"/>
        <v>46.509673811043726</v>
      </c>
      <c r="J410" s="1">
        <f t="shared" si="425"/>
        <v>45.866546927463673</v>
      </c>
      <c r="K410" s="1">
        <f t="shared" si="425"/>
        <v>46.326106274867662</v>
      </c>
      <c r="L410" s="1">
        <f t="shared" ref="L410:O410" si="426">L411+L440</f>
        <v>42.370461772597373</v>
      </c>
      <c r="M410" s="1">
        <f t="shared" si="426"/>
        <v>41.156102008579019</v>
      </c>
      <c r="N410" s="1">
        <f t="shared" si="426"/>
        <v>40.592073879850552</v>
      </c>
      <c r="O410" s="1">
        <f t="shared" si="426"/>
        <v>40.138806964201819</v>
      </c>
      <c r="P410" s="1">
        <f>P411+P440</f>
        <v>39.614701877660153</v>
      </c>
      <c r="Q410" s="1">
        <f>Q411+Q440</f>
        <v>39.498485605022232</v>
      </c>
      <c r="R410" s="11"/>
      <c r="S410" s="3"/>
    </row>
    <row r="411" spans="1:19" x14ac:dyDescent="0.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39.860300290285842</v>
      </c>
      <c r="G411" s="1">
        <f t="shared" ref="G411:K411" si="427">SUM(G412,G418,G427,G436,G438)</f>
        <v>34.133182480375645</v>
      </c>
      <c r="H411" s="1">
        <f t="shared" si="427"/>
        <v>34.045952045740258</v>
      </c>
      <c r="I411" s="1">
        <f t="shared" si="427"/>
        <v>38.385679421091083</v>
      </c>
      <c r="J411" s="1">
        <f t="shared" si="427"/>
        <v>37.168994411566104</v>
      </c>
      <c r="K411" s="1">
        <f t="shared" si="427"/>
        <v>38.446695604590637</v>
      </c>
      <c r="L411" s="1">
        <f t="shared" ref="L411:O411" si="428">SUM(L412,L418,L427,L436,L438)</f>
        <v>36.404224006765389</v>
      </c>
      <c r="M411" s="1">
        <f t="shared" si="428"/>
        <v>35.242749463698409</v>
      </c>
      <c r="N411" s="1">
        <f t="shared" si="428"/>
        <v>34.709994908891801</v>
      </c>
      <c r="O411" s="1">
        <f t="shared" si="428"/>
        <v>34.255640084019319</v>
      </c>
      <c r="P411" s="1">
        <f>SUM(P412,P418,P427,P436,P438)</f>
        <v>33.720692540239014</v>
      </c>
      <c r="Q411" s="1">
        <f>SUM(Q412,Q418,Q427,Q436,Q438)</f>
        <v>33.563398522426844</v>
      </c>
      <c r="S411" s="3"/>
    </row>
    <row r="412" spans="1:19" x14ac:dyDescent="0.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2.5827007472704583E-2</v>
      </c>
      <c r="G412" s="1">
        <f t="shared" ref="G412:O412" si="429">G413</f>
        <v>8.5340844808559396E-4</v>
      </c>
      <c r="H412" s="1">
        <f t="shared" si="429"/>
        <v>2.3675614867021515E-2</v>
      </c>
      <c r="I412" s="1">
        <f t="shared" si="429"/>
        <v>1.518436500568127E-2</v>
      </c>
      <c r="J412" s="1">
        <f t="shared" si="429"/>
        <v>2.0287745499135049E-2</v>
      </c>
      <c r="K412" s="1">
        <f t="shared" si="429"/>
        <v>2.2223117604263445E-2</v>
      </c>
      <c r="L412" s="1">
        <f t="shared" si="429"/>
        <v>2.2667298256693065E-2</v>
      </c>
      <c r="M412" s="1">
        <f t="shared" si="429"/>
        <v>3.6045956239774808E-2</v>
      </c>
      <c r="N412" s="1">
        <f t="shared" si="429"/>
        <v>2.7202209058823919E-2</v>
      </c>
      <c r="O412" s="1">
        <f t="shared" si="429"/>
        <v>3.6050265100777058E-2</v>
      </c>
      <c r="P412" s="1">
        <f>P413</f>
        <v>2.7011623634983616E-2</v>
      </c>
      <c r="Q412" s="1">
        <f>Q413</f>
        <v>3.8115372223732694E-2</v>
      </c>
      <c r="S412" s="3"/>
    </row>
    <row r="413" spans="1:19" x14ac:dyDescent="0.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2.5827007472704583E-2</v>
      </c>
      <c r="G413" s="1">
        <f>'[1]Electricity and CHPs_IN'!C$28-G300</f>
        <v>8.5340844808559396E-4</v>
      </c>
      <c r="H413" s="1">
        <f>'[1]Electricity and CHPs_IN'!D$28-H300</f>
        <v>2.3675614867021515E-2</v>
      </c>
      <c r="I413" s="1">
        <f>'[1]Electricity and CHPs_IN'!E$28-I300</f>
        <v>1.518436500568127E-2</v>
      </c>
      <c r="J413" s="1">
        <f>'[1]Electricity and CHPs_IN'!F$28-J300</f>
        <v>2.0287745499135049E-2</v>
      </c>
      <c r="K413" s="1">
        <f>'[1]Electricity and CHPs_IN'!G$28-K300</f>
        <v>2.2223117604263445E-2</v>
      </c>
      <c r="L413" s="1">
        <f>'[1]Electricity and CHPs_IN'!H$28-L300</f>
        <v>2.2667298256693065E-2</v>
      </c>
      <c r="M413" s="1">
        <f>'[1]Electricity and CHPs_IN'!I$28-M300</f>
        <v>3.6045956239774808E-2</v>
      </c>
      <c r="N413" s="1">
        <f>'[1]Electricity and CHPs_IN'!J$28-N300</f>
        <v>2.7202209058823919E-2</v>
      </c>
      <c r="O413" s="1">
        <f>'[1]Electricity and CHPs_IN'!K$28-O300</f>
        <v>3.6050265100777058E-2</v>
      </c>
      <c r="P413" s="1">
        <f>'[1]Electricity and CHPs_IN'!L$28-P300</f>
        <v>2.7011623634983616E-2</v>
      </c>
      <c r="Q413" s="1">
        <f>'[1]Electricity and CHPs_IN'!M$28-Q300</f>
        <v>3.8115372223732694E-2</v>
      </c>
      <c r="S413" s="3"/>
    </row>
    <row r="414" spans="1:19" x14ac:dyDescent="0.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2.5827007472704583E-2</v>
      </c>
      <c r="G414" s="1">
        <f t="shared" ref="G414:O414" si="430">G415</f>
        <v>8.5340844808559396E-4</v>
      </c>
      <c r="H414" s="1">
        <f t="shared" si="430"/>
        <v>2.3675614867021515E-2</v>
      </c>
      <c r="I414" s="1">
        <f t="shared" si="430"/>
        <v>1.518436500568127E-2</v>
      </c>
      <c r="J414" s="1">
        <f t="shared" si="430"/>
        <v>2.0287745499135049E-2</v>
      </c>
      <c r="K414" s="1">
        <f t="shared" si="430"/>
        <v>2.2223117604263445E-2</v>
      </c>
      <c r="L414" s="1">
        <f t="shared" si="430"/>
        <v>2.2667298256693065E-2</v>
      </c>
      <c r="M414" s="1">
        <f t="shared" si="430"/>
        <v>3.6045956239774808E-2</v>
      </c>
      <c r="N414" s="1">
        <f t="shared" si="430"/>
        <v>2.7202209058823919E-2</v>
      </c>
      <c r="O414" s="1">
        <f t="shared" si="430"/>
        <v>3.6050265100777058E-2</v>
      </c>
      <c r="P414" s="1">
        <f>P415</f>
        <v>2.7011623634983616E-2</v>
      </c>
      <c r="Q414" s="1">
        <f>Q415</f>
        <v>3.8115372223732694E-2</v>
      </c>
      <c r="S414" s="3"/>
    </row>
    <row r="415" spans="1:19" x14ac:dyDescent="0.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2.5827007472704583E-2</v>
      </c>
      <c r="G415" s="1">
        <f t="shared" ref="G415:K415" si="431">G413-G417</f>
        <v>8.5340844808559396E-4</v>
      </c>
      <c r="H415" s="1">
        <f t="shared" si="431"/>
        <v>2.3675614867021515E-2</v>
      </c>
      <c r="I415" s="1">
        <f t="shared" si="431"/>
        <v>1.518436500568127E-2</v>
      </c>
      <c r="J415" s="1">
        <f t="shared" si="431"/>
        <v>2.0287745499135049E-2</v>
      </c>
      <c r="K415" s="1">
        <f t="shared" si="431"/>
        <v>2.2223117604263445E-2</v>
      </c>
      <c r="L415" s="1">
        <f t="shared" ref="L415:O415" si="432">L413-L417</f>
        <v>2.2667298256693065E-2</v>
      </c>
      <c r="M415" s="1">
        <f t="shared" si="432"/>
        <v>3.6045956239774808E-2</v>
      </c>
      <c r="N415" s="1">
        <f t="shared" si="432"/>
        <v>2.7202209058823919E-2</v>
      </c>
      <c r="O415" s="1">
        <f t="shared" si="432"/>
        <v>3.6050265100777058E-2</v>
      </c>
      <c r="P415" s="1">
        <f>P413-P417</f>
        <v>2.7011623634983616E-2</v>
      </c>
      <c r="Q415" s="1">
        <f>Q413-Q417</f>
        <v>3.8115372223732694E-2</v>
      </c>
      <c r="S415" s="3"/>
    </row>
    <row r="416" spans="1:19" x14ac:dyDescent="0.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O416" si="433">G417</f>
        <v>0</v>
      </c>
      <c r="H416" s="1">
        <f t="shared" si="433"/>
        <v>0</v>
      </c>
      <c r="I416" s="1">
        <f t="shared" si="433"/>
        <v>0</v>
      </c>
      <c r="J416" s="1">
        <f t="shared" si="433"/>
        <v>0</v>
      </c>
      <c r="K416" s="1">
        <f t="shared" si="433"/>
        <v>0</v>
      </c>
      <c r="L416" s="1">
        <f t="shared" si="433"/>
        <v>0</v>
      </c>
      <c r="M416" s="1">
        <f t="shared" si="433"/>
        <v>0</v>
      </c>
      <c r="N416" s="1">
        <f t="shared" si="433"/>
        <v>0</v>
      </c>
      <c r="O416" s="1">
        <f t="shared" si="433"/>
        <v>0</v>
      </c>
      <c r="P416" s="1">
        <f>P417</f>
        <v>0</v>
      </c>
      <c r="Q416" s="1">
        <f>Q417</f>
        <v>0</v>
      </c>
      <c r="S416" s="3"/>
    </row>
    <row r="417" spans="1:19" x14ac:dyDescent="0.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34">IFERROR(G308/G300,0)*G413</f>
        <v>0</v>
      </c>
      <c r="H417" s="1">
        <f t="shared" si="434"/>
        <v>0</v>
      </c>
      <c r="I417" s="1">
        <f t="shared" si="434"/>
        <v>0</v>
      </c>
      <c r="J417" s="1">
        <f t="shared" si="434"/>
        <v>0</v>
      </c>
      <c r="K417" s="1">
        <f t="shared" si="434"/>
        <v>0</v>
      </c>
      <c r="L417" s="1">
        <f t="shared" ref="L417:O417" si="435">IFERROR(L308/L300,0)*L413</f>
        <v>0</v>
      </c>
      <c r="M417" s="1">
        <f t="shared" si="435"/>
        <v>0</v>
      </c>
      <c r="N417" s="1">
        <f t="shared" si="435"/>
        <v>0</v>
      </c>
      <c r="O417" s="1">
        <f t="shared" si="435"/>
        <v>0</v>
      </c>
      <c r="P417" s="1">
        <f>IFERROR(P308/P300,0)*P413</f>
        <v>0</v>
      </c>
      <c r="Q417" s="1">
        <f>IFERROR(Q308/Q300,0)*Q413</f>
        <v>0</v>
      </c>
      <c r="S417" s="3"/>
    </row>
    <row r="418" spans="1:19" x14ac:dyDescent="0.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2.4142213045689154</v>
      </c>
      <c r="G418" s="1">
        <f t="shared" ref="G418:K418" si="436">SUM(G419:G420)</f>
        <v>1.2647834407079801E-3</v>
      </c>
      <c r="H418" s="1">
        <f t="shared" si="436"/>
        <v>6.1224562511967465E-2</v>
      </c>
      <c r="I418" s="1">
        <f t="shared" si="436"/>
        <v>1.8857811406625138</v>
      </c>
      <c r="J418" s="1">
        <f t="shared" si="436"/>
        <v>0.6621711491604072</v>
      </c>
      <c r="K418" s="1">
        <f t="shared" si="436"/>
        <v>2.2821824678488034</v>
      </c>
      <c r="L418" s="1">
        <f t="shared" ref="L418:O418" si="437">SUM(L419:L420)</f>
        <v>1.7417236933803542</v>
      </c>
      <c r="M418" s="1">
        <f t="shared" si="437"/>
        <v>1.5868146546163229</v>
      </c>
      <c r="N418" s="1">
        <f t="shared" si="437"/>
        <v>1.4822267046586695</v>
      </c>
      <c r="O418" s="1">
        <f t="shared" si="437"/>
        <v>0.80131158504013733</v>
      </c>
      <c r="P418" s="1">
        <f>SUM(P419:P420)</f>
        <v>0.21273868691529843</v>
      </c>
      <c r="Q418" s="1">
        <f>SUM(Q419:Q420)</f>
        <v>0.11334713157541659</v>
      </c>
      <c r="S418" s="3"/>
    </row>
    <row r="419" spans="1:19" x14ac:dyDescent="0.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2.4142213045689154</v>
      </c>
      <c r="G419" s="1">
        <f>'[1]Electricity and CHPs_IN'!C$24-G314</f>
        <v>1.2647834407079801E-3</v>
      </c>
      <c r="H419" s="1">
        <f>'[1]Electricity and CHPs_IN'!D$24-H314</f>
        <v>6.1224562511967465E-2</v>
      </c>
      <c r="I419" s="1">
        <f>'[1]Electricity and CHPs_IN'!E$24-I314</f>
        <v>1.8857811406625138</v>
      </c>
      <c r="J419" s="1">
        <f>'[1]Electricity and CHPs_IN'!F$24-J314</f>
        <v>0.6621711491604072</v>
      </c>
      <c r="K419" s="1">
        <f>'[1]Electricity and CHPs_IN'!G$24-K314</f>
        <v>1.7279139592446113</v>
      </c>
      <c r="L419" s="1">
        <f>'[1]Electricity and CHPs_IN'!H$24-L314</f>
        <v>0.72032626626669694</v>
      </c>
      <c r="M419" s="1">
        <f>'[1]Electricity and CHPs_IN'!I$24-M314</f>
        <v>0.33079052740750642</v>
      </c>
      <c r="N419" s="1">
        <f>'[1]Electricity and CHPs_IN'!J$24-N314</f>
        <v>0.29895594876320253</v>
      </c>
      <c r="O419" s="1">
        <f>'[1]Electricity and CHPs_IN'!K$24-O314</f>
        <v>0.10937557351820394</v>
      </c>
      <c r="P419" s="1">
        <f>'[1]Electricity and CHPs_IN'!L$24-P314</f>
        <v>3.5120840515015767E-2</v>
      </c>
      <c r="Q419" s="1">
        <f>'[1]Electricity and CHPs_IN'!M$24-Q314</f>
        <v>5.0867943536920715E-2</v>
      </c>
      <c r="S419" s="3"/>
    </row>
    <row r="420" spans="1:19" x14ac:dyDescent="0.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'[1]Electricity and CHPs_IN'!F$29-J315</f>
        <v>0</v>
      </c>
      <c r="K420" s="1">
        <f>'[1]Electricity and CHPs_IN'!G$29-K315</f>
        <v>0.55426850860419197</v>
      </c>
      <c r="L420" s="1">
        <f>'[1]Electricity and CHPs_IN'!H$29-L315</f>
        <v>1.0213974271136572</v>
      </c>
      <c r="M420" s="1">
        <f>'[1]Electricity and CHPs_IN'!I$29-M315</f>
        <v>1.2560241272088164</v>
      </c>
      <c r="N420" s="1">
        <f>'[1]Electricity and CHPs_IN'!J$29-N315</f>
        <v>1.1832707558954669</v>
      </c>
      <c r="O420" s="1">
        <f>'[1]Electricity and CHPs_IN'!K$29-O315</f>
        <v>0.6919360115219334</v>
      </c>
      <c r="P420" s="1">
        <f>'[1]Electricity and CHPs_IN'!L$29-P315</f>
        <v>0.17761784640028266</v>
      </c>
      <c r="Q420" s="1">
        <f>'[1]Electricity and CHPs_IN'!M$29-Q315</f>
        <v>6.2479188038495871E-2</v>
      </c>
      <c r="S420" s="3"/>
    </row>
    <row r="421" spans="1:19" x14ac:dyDescent="0.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2.3500351757397802</v>
      </c>
      <c r="G421" s="1">
        <f t="shared" ref="G421:K421" si="438">SUM(G422:G423)</f>
        <v>1.2093829655765802E-3</v>
      </c>
      <c r="H421" s="1">
        <f t="shared" si="438"/>
        <v>5.608388987209658E-2</v>
      </c>
      <c r="I421" s="1">
        <f t="shared" si="438"/>
        <v>1.8071317652430476</v>
      </c>
      <c r="J421" s="1">
        <f t="shared" si="438"/>
        <v>0.64191709486014381</v>
      </c>
      <c r="K421" s="1">
        <f t="shared" si="438"/>
        <v>2.2304257692151848</v>
      </c>
      <c r="L421" s="1">
        <f t="shared" ref="L421:O421" si="439">SUM(L422:L423)</f>
        <v>1.7130269237277389</v>
      </c>
      <c r="M421" s="1">
        <f t="shared" si="439"/>
        <v>1.5626884390439111</v>
      </c>
      <c r="N421" s="1">
        <f t="shared" si="439"/>
        <v>1.4610911921804794</v>
      </c>
      <c r="O421" s="1">
        <f t="shared" si="439"/>
        <v>0.7899715191120017</v>
      </c>
      <c r="P421" s="1">
        <f>SUM(P422:P423)</f>
        <v>0.20957021179753677</v>
      </c>
      <c r="Q421" s="1">
        <f>SUM(Q422:Q423)</f>
        <v>0.11152965681666746</v>
      </c>
      <c r="S421" s="3"/>
    </row>
    <row r="422" spans="1:19" x14ac:dyDescent="0.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2.3500351757397802</v>
      </c>
      <c r="G422" s="1">
        <f t="shared" ref="G422:K422" si="440">G419-G425</f>
        <v>1.2093829655765802E-3</v>
      </c>
      <c r="H422" s="1">
        <f t="shared" si="440"/>
        <v>5.608388987209658E-2</v>
      </c>
      <c r="I422" s="1">
        <f t="shared" si="440"/>
        <v>1.8071317652430476</v>
      </c>
      <c r="J422" s="1">
        <f t="shared" si="440"/>
        <v>0.64191709486014381</v>
      </c>
      <c r="K422" s="1">
        <f t="shared" si="440"/>
        <v>1.6887272932731807</v>
      </c>
      <c r="L422" s="1">
        <f t="shared" ref="L422:O422" si="441">L419-L425</f>
        <v>0.7084581169061831</v>
      </c>
      <c r="M422" s="1">
        <f t="shared" si="441"/>
        <v>0.32576112869964347</v>
      </c>
      <c r="N422" s="1">
        <f t="shared" si="441"/>
        <v>0.29469304676200775</v>
      </c>
      <c r="O422" s="1">
        <f t="shared" si="441"/>
        <v>0.10782770345394928</v>
      </c>
      <c r="P422" s="1">
        <f>P419-P425</f>
        <v>3.4597759777326487E-2</v>
      </c>
      <c r="Q422" s="1">
        <f>Q419-Q425</f>
        <v>5.0052296928816506E-2</v>
      </c>
      <c r="S422" s="3"/>
    </row>
    <row r="423" spans="1:19" x14ac:dyDescent="0.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42">G420-G426</f>
        <v>0</v>
      </c>
      <c r="H423" s="1">
        <f t="shared" si="442"/>
        <v>0</v>
      </c>
      <c r="I423" s="1">
        <f t="shared" si="442"/>
        <v>0</v>
      </c>
      <c r="J423" s="1">
        <f t="shared" si="442"/>
        <v>0</v>
      </c>
      <c r="K423" s="1">
        <f t="shared" si="442"/>
        <v>0.54169847594200393</v>
      </c>
      <c r="L423" s="1">
        <f t="shared" ref="L423:O423" si="443">L420-L426</f>
        <v>1.0045688068215557</v>
      </c>
      <c r="M423" s="1">
        <f t="shared" si="443"/>
        <v>1.2369273103442677</v>
      </c>
      <c r="N423" s="1">
        <f t="shared" si="443"/>
        <v>1.1663981454184718</v>
      </c>
      <c r="O423" s="1">
        <f t="shared" si="443"/>
        <v>0.68214381565805238</v>
      </c>
      <c r="P423" s="1">
        <f>P420-P426</f>
        <v>0.17497245202021028</v>
      </c>
      <c r="Q423" s="1">
        <f>Q420-Q426</f>
        <v>6.1477359887850948E-2</v>
      </c>
      <c r="S423" s="3"/>
    </row>
    <row r="424" spans="1:19" x14ac:dyDescent="0.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6.418612882913502E-2</v>
      </c>
      <c r="G424" s="1">
        <f t="shared" ref="G424:K424" si="444">SUM(G425:G426)</f>
        <v>5.5400475131399832E-5</v>
      </c>
      <c r="H424" s="1">
        <f t="shared" si="444"/>
        <v>5.1406726398708844E-3</v>
      </c>
      <c r="I424" s="1">
        <f t="shared" si="444"/>
        <v>7.8649375419466233E-2</v>
      </c>
      <c r="J424" s="1">
        <f t="shared" si="444"/>
        <v>2.0254054300263408E-2</v>
      </c>
      <c r="K424" s="1">
        <f t="shared" si="444"/>
        <v>5.1756698633618564E-2</v>
      </c>
      <c r="L424" s="1">
        <f t="shared" ref="L424:O424" si="445">SUM(L425:L426)</f>
        <v>2.869676965261532E-2</v>
      </c>
      <c r="M424" s="1">
        <f t="shared" si="445"/>
        <v>2.4126215572411715E-2</v>
      </c>
      <c r="N424" s="1">
        <f t="shared" si="445"/>
        <v>2.1135512478189893E-2</v>
      </c>
      <c r="O424" s="1">
        <f t="shared" si="445"/>
        <v>1.1340065928135662E-2</v>
      </c>
      <c r="P424" s="1">
        <f>SUM(P425:P426)</f>
        <v>3.1684751177616698E-3</v>
      </c>
      <c r="Q424" s="1">
        <f>SUM(Q425:Q426)</f>
        <v>1.8174747587491314E-3</v>
      </c>
      <c r="S424" s="3"/>
    </row>
    <row r="425" spans="1:19" x14ac:dyDescent="0.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6.418612882913502E-2</v>
      </c>
      <c r="G425" s="1">
        <f t="shared" ref="G425:K425" si="446">IFERROR(G346/G314,0)*G419</f>
        <v>5.5400475131399832E-5</v>
      </c>
      <c r="H425" s="1">
        <f t="shared" si="446"/>
        <v>5.1406726398708844E-3</v>
      </c>
      <c r="I425" s="1">
        <f t="shared" si="446"/>
        <v>7.8649375419466233E-2</v>
      </c>
      <c r="J425" s="1">
        <f t="shared" si="446"/>
        <v>2.0254054300263408E-2</v>
      </c>
      <c r="K425" s="1">
        <f t="shared" si="446"/>
        <v>3.9186665971430557E-2</v>
      </c>
      <c r="L425" s="1">
        <f t="shared" ref="L425:O425" si="447">IFERROR(L346/L314,0)*L419</f>
        <v>1.1868149360513851E-2</v>
      </c>
      <c r="M425" s="1">
        <f t="shared" si="447"/>
        <v>5.0293987078629488E-3</v>
      </c>
      <c r="N425" s="1">
        <f t="shared" si="447"/>
        <v>4.2629020011947811E-3</v>
      </c>
      <c r="O425" s="1">
        <f t="shared" si="447"/>
        <v>1.547870064254658E-3</v>
      </c>
      <c r="P425" s="1">
        <f>IFERROR(P346/P314,0)*P419</f>
        <v>5.2308073768927879E-4</v>
      </c>
      <c r="Q425" s="1">
        <f>IFERROR(Q346/Q314,0)*Q419</f>
        <v>8.1564660810420605E-4</v>
      </c>
      <c r="S425" s="3"/>
    </row>
    <row r="426" spans="1:19" x14ac:dyDescent="0.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48">IFERROR(G347/G315,0)*G420</f>
        <v>0</v>
      </c>
      <c r="H426" s="1">
        <f t="shared" si="448"/>
        <v>0</v>
      </c>
      <c r="I426" s="1">
        <f t="shared" si="448"/>
        <v>0</v>
      </c>
      <c r="J426" s="1">
        <f t="shared" si="448"/>
        <v>0</v>
      </c>
      <c r="K426" s="1">
        <f t="shared" si="448"/>
        <v>1.2570032662188008E-2</v>
      </c>
      <c r="L426" s="1">
        <f t="shared" ref="L426:O426" si="449">IFERROR(L347/L315,0)*L420</f>
        <v>1.6828620292101467E-2</v>
      </c>
      <c r="M426" s="1">
        <f t="shared" si="449"/>
        <v>1.9096816864548765E-2</v>
      </c>
      <c r="N426" s="1">
        <f t="shared" si="449"/>
        <v>1.687261047699511E-2</v>
      </c>
      <c r="O426" s="1">
        <f t="shared" si="449"/>
        <v>9.7921958638810033E-3</v>
      </c>
      <c r="P426" s="1">
        <f>IFERROR(P347/P315,0)*P420</f>
        <v>2.6453943800723908E-3</v>
      </c>
      <c r="Q426" s="1">
        <f>IFERROR(Q347/Q315,0)*Q420</f>
        <v>1.0018281506449253E-3</v>
      </c>
      <c r="S426" s="3"/>
    </row>
    <row r="427" spans="1:19" x14ac:dyDescent="0.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36.160057480659475</v>
      </c>
      <c r="G427" s="1">
        <f t="shared" ref="G427:K427" si="450">SUM(G428:G429)</f>
        <v>33.938544132808723</v>
      </c>
      <c r="H427" s="1">
        <f t="shared" si="450"/>
        <v>31.980515072790205</v>
      </c>
      <c r="I427" s="1">
        <f t="shared" si="450"/>
        <v>33.68112404215978</v>
      </c>
      <c r="J427" s="1">
        <f t="shared" si="450"/>
        <v>33.372569437271089</v>
      </c>
      <c r="K427" s="1">
        <f t="shared" si="450"/>
        <v>33.090745528606838</v>
      </c>
      <c r="L427" s="1">
        <f t="shared" ref="L427:O427" si="451">SUM(L428:L429)</f>
        <v>32.797088402345814</v>
      </c>
      <c r="M427" s="1">
        <f t="shared" si="451"/>
        <v>32.488659400229707</v>
      </c>
      <c r="N427" s="1">
        <f t="shared" si="451"/>
        <v>32.48842299123271</v>
      </c>
      <c r="O427" s="1">
        <f t="shared" si="451"/>
        <v>32.487983498745599</v>
      </c>
      <c r="P427" s="1">
        <f>SUM(P428:P429)</f>
        <v>32.487785197237407</v>
      </c>
      <c r="Q427" s="1">
        <f>SUM(Q428:Q429)</f>
        <v>32.485028326950335</v>
      </c>
      <c r="S427" s="3"/>
    </row>
    <row r="428" spans="1:19" x14ac:dyDescent="0.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36.160057480659475</v>
      </c>
      <c r="G428" s="1">
        <f>'[1]Electricity and CHPs_IN'!C$26-G361</f>
        <v>33.938544132808723</v>
      </c>
      <c r="H428" s="1">
        <f>'[1]Electricity and CHPs_IN'!D$26-H361</f>
        <v>31.980515072790205</v>
      </c>
      <c r="I428" s="1">
        <f>'[1]Electricity and CHPs_IN'!E$26-I361</f>
        <v>33.68112404215978</v>
      </c>
      <c r="J428" s="1">
        <f>'[1]Electricity and CHPs_IN'!F$26-J361</f>
        <v>33.372569437271089</v>
      </c>
      <c r="K428" s="1">
        <f>'[1]Electricity and CHPs_IN'!G$26-K361</f>
        <v>33.090745528606838</v>
      </c>
      <c r="L428" s="1">
        <f>'[1]Electricity and CHPs_IN'!H$26-L361</f>
        <v>32.797088402345814</v>
      </c>
      <c r="M428" s="1">
        <f>'[1]Electricity and CHPs_IN'!I$26-M361</f>
        <v>32.488659400229707</v>
      </c>
      <c r="N428" s="1">
        <f>'[1]Electricity and CHPs_IN'!J$26-N361</f>
        <v>32.48842299123271</v>
      </c>
      <c r="O428" s="1">
        <f>'[1]Electricity and CHPs_IN'!K$26-O361</f>
        <v>32.487983498745599</v>
      </c>
      <c r="P428" s="1">
        <f>'[1]Electricity and CHPs_IN'!L$26-P361</f>
        <v>32.487785197237407</v>
      </c>
      <c r="Q428" s="1">
        <f>'[1]Electricity and CHPs_IN'!M$26-Q361</f>
        <v>32.485028326950335</v>
      </c>
      <c r="S428" s="3"/>
    </row>
    <row r="429" spans="1:19" x14ac:dyDescent="0.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'[1]Electricity and CHPs_IN'!F$27-J362</f>
        <v>0</v>
      </c>
      <c r="K429" s="1">
        <f>'[1]Electricity and CHPs_IN'!G$27-K362</f>
        <v>0</v>
      </c>
      <c r="L429" s="1">
        <f>'[1]Electricity and CHPs_IN'!H$27-L362</f>
        <v>0</v>
      </c>
      <c r="M429" s="1">
        <f>'[1]Electricity and CHPs_IN'!I$27-M362</f>
        <v>0</v>
      </c>
      <c r="N429" s="1">
        <f>'[1]Electricity and CHPs_IN'!J$27-N362</f>
        <v>0</v>
      </c>
      <c r="O429" s="1">
        <f>'[1]Electricity and CHPs_IN'!K$27-O362</f>
        <v>0</v>
      </c>
      <c r="P429" s="1">
        <f>'[1]Electricity and CHPs_IN'!L$27-P362</f>
        <v>0</v>
      </c>
      <c r="Q429" s="1">
        <f>'[1]Electricity and CHPs_IN'!M$27-Q362</f>
        <v>0</v>
      </c>
      <c r="S429" s="3"/>
    </row>
    <row r="430" spans="1:19" x14ac:dyDescent="0.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18.080028740329738</v>
      </c>
      <c r="G430" s="1">
        <f t="shared" ref="G430:K430" si="452">SUM(G431:G432)</f>
        <v>16.969272066404358</v>
      </c>
      <c r="H430" s="1">
        <f t="shared" si="452"/>
        <v>15.990257536395102</v>
      </c>
      <c r="I430" s="1">
        <f t="shared" si="452"/>
        <v>16.84056202107989</v>
      </c>
      <c r="J430" s="1">
        <f t="shared" si="452"/>
        <v>16.686284718635541</v>
      </c>
      <c r="K430" s="1">
        <f t="shared" si="452"/>
        <v>16.545372764303419</v>
      </c>
      <c r="L430" s="1">
        <f t="shared" ref="L430:O430" si="453">SUM(L431:L432)</f>
        <v>16.398544201172907</v>
      </c>
      <c r="M430" s="1">
        <f t="shared" si="453"/>
        <v>16.244329700114854</v>
      </c>
      <c r="N430" s="1">
        <f t="shared" si="453"/>
        <v>16.244211495616355</v>
      </c>
      <c r="O430" s="1">
        <f t="shared" si="453"/>
        <v>16.2439917493728</v>
      </c>
      <c r="P430" s="1">
        <f>SUM(P431:P432)</f>
        <v>16.243892598618704</v>
      </c>
      <c r="Q430" s="1">
        <f>SUM(Q431:Q432)</f>
        <v>16.242514163475168</v>
      </c>
      <c r="S430" s="3"/>
    </row>
    <row r="431" spans="1:19" x14ac:dyDescent="0.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18.080028740329738</v>
      </c>
      <c r="G431" s="1">
        <f t="shared" ref="G431:K431" si="454">IFERROR(G368/G361,0)*G428</f>
        <v>16.969272066404358</v>
      </c>
      <c r="H431" s="1">
        <f t="shared" si="454"/>
        <v>15.990257536395102</v>
      </c>
      <c r="I431" s="1">
        <f t="shared" si="454"/>
        <v>16.84056202107989</v>
      </c>
      <c r="J431" s="1">
        <f t="shared" si="454"/>
        <v>16.686284718635541</v>
      </c>
      <c r="K431" s="1">
        <f t="shared" si="454"/>
        <v>16.545372764303419</v>
      </c>
      <c r="L431" s="1">
        <f t="shared" ref="L431:O431" si="455">IFERROR(L368/L361,0)*L428</f>
        <v>16.398544201172907</v>
      </c>
      <c r="M431" s="1">
        <f t="shared" si="455"/>
        <v>16.244329700114854</v>
      </c>
      <c r="N431" s="1">
        <f t="shared" si="455"/>
        <v>16.244211495616355</v>
      </c>
      <c r="O431" s="1">
        <f t="shared" si="455"/>
        <v>16.2439917493728</v>
      </c>
      <c r="P431" s="1">
        <f>IFERROR(P368/P361,0)*P428</f>
        <v>16.243892598618704</v>
      </c>
      <c r="Q431" s="1">
        <f>IFERROR(Q368/Q361,0)*Q428</f>
        <v>16.242514163475168</v>
      </c>
      <c r="S431" s="3"/>
    </row>
    <row r="432" spans="1:19" x14ac:dyDescent="0.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56">IFERROR(G369/G362,0)*G429</f>
        <v>0</v>
      </c>
      <c r="H432" s="1">
        <f t="shared" si="456"/>
        <v>0</v>
      </c>
      <c r="I432" s="1">
        <f t="shared" si="456"/>
        <v>0</v>
      </c>
      <c r="J432" s="1">
        <f t="shared" si="456"/>
        <v>0</v>
      </c>
      <c r="K432" s="1">
        <f t="shared" si="456"/>
        <v>0</v>
      </c>
      <c r="L432" s="1">
        <f t="shared" ref="L432:O432" si="457">IFERROR(L369/L362,0)*L429</f>
        <v>0</v>
      </c>
      <c r="M432" s="1">
        <f t="shared" si="457"/>
        <v>0</v>
      </c>
      <c r="N432" s="1">
        <f t="shared" si="457"/>
        <v>0</v>
      </c>
      <c r="O432" s="1">
        <f t="shared" si="457"/>
        <v>0</v>
      </c>
      <c r="P432" s="1">
        <f>IFERROR(P369/P362,0)*P429</f>
        <v>0</v>
      </c>
      <c r="Q432" s="1">
        <f>IFERROR(Q369/Q362,0)*Q429</f>
        <v>0</v>
      </c>
      <c r="S432" s="3"/>
    </row>
    <row r="433" spans="1:19" x14ac:dyDescent="0.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18.080028740329738</v>
      </c>
      <c r="G433" s="1">
        <f t="shared" ref="G433:K433" si="458">SUM(G434:G435)</f>
        <v>16.969272066404365</v>
      </c>
      <c r="H433" s="1">
        <f t="shared" si="458"/>
        <v>15.990257536395102</v>
      </c>
      <c r="I433" s="1">
        <f t="shared" si="458"/>
        <v>16.84056202107989</v>
      </c>
      <c r="J433" s="1">
        <f t="shared" si="458"/>
        <v>16.686284718635548</v>
      </c>
      <c r="K433" s="1">
        <f t="shared" si="458"/>
        <v>16.545372764303419</v>
      </c>
      <c r="L433" s="1">
        <f t="shared" ref="L433:O433" si="459">SUM(L434:L435)</f>
        <v>16.398544201172907</v>
      </c>
      <c r="M433" s="1">
        <f t="shared" si="459"/>
        <v>16.244329700114854</v>
      </c>
      <c r="N433" s="1">
        <f t="shared" si="459"/>
        <v>16.244211495616355</v>
      </c>
      <c r="O433" s="1">
        <f t="shared" si="459"/>
        <v>16.2439917493728</v>
      </c>
      <c r="P433" s="1">
        <f>SUM(P434:P435)</f>
        <v>16.243892598618704</v>
      </c>
      <c r="Q433" s="1">
        <f>SUM(Q434:Q435)</f>
        <v>16.242514163475168</v>
      </c>
      <c r="S433" s="3"/>
    </row>
    <row r="434" spans="1:19" x14ac:dyDescent="0.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18.080028740329738</v>
      </c>
      <c r="G434" s="1">
        <f t="shared" ref="G434:K434" si="460">G428-G431</f>
        <v>16.969272066404365</v>
      </c>
      <c r="H434" s="1">
        <f t="shared" si="460"/>
        <v>15.990257536395102</v>
      </c>
      <c r="I434" s="1">
        <f t="shared" si="460"/>
        <v>16.84056202107989</v>
      </c>
      <c r="J434" s="1">
        <f t="shared" si="460"/>
        <v>16.686284718635548</v>
      </c>
      <c r="K434" s="1">
        <f t="shared" si="460"/>
        <v>16.545372764303419</v>
      </c>
      <c r="L434" s="1">
        <f t="shared" ref="L434:O434" si="461">L428-L431</f>
        <v>16.398544201172907</v>
      </c>
      <c r="M434" s="1">
        <f t="shared" si="461"/>
        <v>16.244329700114854</v>
      </c>
      <c r="N434" s="1">
        <f t="shared" si="461"/>
        <v>16.244211495616355</v>
      </c>
      <c r="O434" s="1">
        <f t="shared" si="461"/>
        <v>16.2439917493728</v>
      </c>
      <c r="P434" s="1">
        <f>P428-P431</f>
        <v>16.243892598618704</v>
      </c>
      <c r="Q434" s="1">
        <f>Q428-Q431</f>
        <v>16.242514163475168</v>
      </c>
      <c r="S434" s="3"/>
    </row>
    <row r="435" spans="1:19" x14ac:dyDescent="0.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62">G429-G432</f>
        <v>0</v>
      </c>
      <c r="H435" s="1">
        <f t="shared" si="462"/>
        <v>0</v>
      </c>
      <c r="I435" s="1">
        <f t="shared" si="462"/>
        <v>0</v>
      </c>
      <c r="J435" s="1">
        <f t="shared" si="462"/>
        <v>0</v>
      </c>
      <c r="K435" s="1">
        <f t="shared" si="462"/>
        <v>0</v>
      </c>
      <c r="L435" s="1">
        <f t="shared" ref="L435:O435" si="463">L429-L432</f>
        <v>0</v>
      </c>
      <c r="M435" s="1">
        <f t="shared" si="463"/>
        <v>0</v>
      </c>
      <c r="N435" s="1">
        <f t="shared" si="463"/>
        <v>0</v>
      </c>
      <c r="O435" s="1">
        <f t="shared" si="463"/>
        <v>0</v>
      </c>
      <c r="P435" s="1">
        <f>P429-P432</f>
        <v>0</v>
      </c>
      <c r="Q435" s="1">
        <f>Q429-Q432</f>
        <v>0</v>
      </c>
      <c r="S435" s="3"/>
    </row>
    <row r="436" spans="1:19" x14ac:dyDescent="0.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1.2601944975847503</v>
      </c>
      <c r="G436" s="1">
        <f t="shared" ref="G436:O436" si="464">G437</f>
        <v>0.19252015567813496</v>
      </c>
      <c r="H436" s="1">
        <f t="shared" si="464"/>
        <v>1.9805367955710595</v>
      </c>
      <c r="I436" s="1">
        <f t="shared" si="464"/>
        <v>2.8035898732631042</v>
      </c>
      <c r="J436" s="1">
        <f t="shared" si="464"/>
        <v>3.1139660796354756</v>
      </c>
      <c r="K436" s="1">
        <f t="shared" si="464"/>
        <v>3.0453649785898733</v>
      </c>
      <c r="L436" s="1">
        <f t="shared" si="464"/>
        <v>1.8364557616407904</v>
      </c>
      <c r="M436" s="1">
        <f t="shared" si="464"/>
        <v>1.1165027694225478</v>
      </c>
      <c r="N436" s="1">
        <f t="shared" si="464"/>
        <v>0.69728123828312094</v>
      </c>
      <c r="O436" s="1">
        <f t="shared" si="464"/>
        <v>0.86250641582232701</v>
      </c>
      <c r="P436" s="1">
        <f>P437</f>
        <v>0.92431132282636286</v>
      </c>
      <c r="Q436" s="1">
        <f>Q437</f>
        <v>0.84437331766702772</v>
      </c>
      <c r="S436" s="3"/>
    </row>
    <row r="437" spans="1:19" x14ac:dyDescent="0.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1.2601944975847503</v>
      </c>
      <c r="G437" s="1">
        <f>'[1]Electricity and CHPs_IN'!C$25-G380</f>
        <v>0.19252015567813496</v>
      </c>
      <c r="H437" s="1">
        <f>'[1]Electricity and CHPs_IN'!D$25-H380</f>
        <v>1.9805367955710595</v>
      </c>
      <c r="I437" s="1">
        <f>'[1]Electricity and CHPs_IN'!E$25-I380</f>
        <v>2.8035898732631042</v>
      </c>
      <c r="J437" s="1">
        <f>'[1]Electricity and CHPs_IN'!F$25-J380</f>
        <v>3.1139660796354756</v>
      </c>
      <c r="K437" s="1">
        <f>'[1]Electricity and CHPs_IN'!G$25-K380</f>
        <v>3.0453649785898733</v>
      </c>
      <c r="L437" s="1">
        <f>'[1]Electricity and CHPs_IN'!H$25-L380</f>
        <v>1.8364557616407904</v>
      </c>
      <c r="M437" s="1">
        <f>'[1]Electricity and CHPs_IN'!I$25-M380</f>
        <v>1.1165027694225478</v>
      </c>
      <c r="N437" s="1">
        <f>'[1]Electricity and CHPs_IN'!J$25-N380</f>
        <v>0.69728123828312094</v>
      </c>
      <c r="O437" s="1">
        <f>'[1]Electricity and CHPs_IN'!K$25-O380</f>
        <v>0.86250641582232701</v>
      </c>
      <c r="P437" s="1">
        <f>'[1]Electricity and CHPs_IN'!L$25-P380</f>
        <v>0.92431132282636286</v>
      </c>
      <c r="Q437" s="1">
        <f>'[1]Electricity and CHPs_IN'!M$25-Q380</f>
        <v>0.84437331766702772</v>
      </c>
      <c r="S437" s="3"/>
    </row>
    <row r="438" spans="1:19" x14ac:dyDescent="0.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O438" si="465">+G439</f>
        <v>0</v>
      </c>
      <c r="H438" s="1">
        <f t="shared" si="465"/>
        <v>0</v>
      </c>
      <c r="I438" s="1">
        <f t="shared" si="465"/>
        <v>0</v>
      </c>
      <c r="J438" s="1">
        <f t="shared" si="465"/>
        <v>0</v>
      </c>
      <c r="K438" s="1">
        <f t="shared" si="465"/>
        <v>6.1795119408591757E-3</v>
      </c>
      <c r="L438" s="1">
        <f t="shared" si="465"/>
        <v>6.2888511417346837E-3</v>
      </c>
      <c r="M438" s="1">
        <f t="shared" si="465"/>
        <v>1.4726683190054745E-2</v>
      </c>
      <c r="N438" s="1">
        <f t="shared" si="465"/>
        <v>1.4861765658483328E-2</v>
      </c>
      <c r="O438" s="1">
        <f t="shared" si="465"/>
        <v>6.778831931048071E-2</v>
      </c>
      <c r="P438" s="1">
        <f>+P439</f>
        <v>6.8845709624960894E-2</v>
      </c>
      <c r="Q438" s="1">
        <f>+Q439</f>
        <v>8.2534374010330119E-2</v>
      </c>
      <c r="S438" s="3"/>
    </row>
    <row r="439" spans="1:19" x14ac:dyDescent="0.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'[1]Electricity and CHPs_IN'!F$30-J398</f>
        <v>0</v>
      </c>
      <c r="K439" s="1">
        <f>'[1]Electricity and CHPs_IN'!G$30-K398</f>
        <v>6.1795119408591757E-3</v>
      </c>
      <c r="L439" s="1">
        <f>'[1]Electricity and CHPs_IN'!H$30-L398</f>
        <v>6.2888511417346837E-3</v>
      </c>
      <c r="M439" s="1">
        <f>'[1]Electricity and CHPs_IN'!I$30-M398</f>
        <v>1.4726683190054745E-2</v>
      </c>
      <c r="N439" s="1">
        <f>'[1]Electricity and CHPs_IN'!J$30-N398</f>
        <v>1.4861765658483328E-2</v>
      </c>
      <c r="O439" s="1">
        <f>'[1]Electricity and CHPs_IN'!K$30-O398</f>
        <v>6.778831931048071E-2</v>
      </c>
      <c r="P439" s="1">
        <f>'[1]Electricity and CHPs_IN'!L$30-P398</f>
        <v>6.8845709624960894E-2</v>
      </c>
      <c r="Q439" s="1">
        <f>'[1]Electricity and CHPs_IN'!M$30-Q398</f>
        <v>8.2534374010330119E-2</v>
      </c>
      <c r="S439" s="3"/>
    </row>
    <row r="440" spans="1:19" x14ac:dyDescent="0.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8.0137739958190846</v>
      </c>
      <c r="G440" s="1">
        <f t="shared" ref="G440:K440" si="466">SUM(G441,G447,G449,G455,G457,G459,G461)</f>
        <v>13.180011125432456</v>
      </c>
      <c r="H440" s="1">
        <f t="shared" si="466"/>
        <v>12.284635437077814</v>
      </c>
      <c r="I440" s="1">
        <f t="shared" si="466"/>
        <v>8.1239943899526406</v>
      </c>
      <c r="J440" s="1">
        <f t="shared" si="466"/>
        <v>8.6975525158975735</v>
      </c>
      <c r="K440" s="1">
        <f t="shared" si="466"/>
        <v>7.879410670277025</v>
      </c>
      <c r="L440" s="1">
        <f t="shared" ref="L440:O440" si="467">SUM(L441,L447,L449,L455,L457,L459,L461)</f>
        <v>5.9662377658319823</v>
      </c>
      <c r="M440" s="1">
        <f t="shared" si="467"/>
        <v>5.9133525448806106</v>
      </c>
      <c r="N440" s="1">
        <f t="shared" si="467"/>
        <v>5.8820789709587515</v>
      </c>
      <c r="O440" s="1">
        <f t="shared" si="467"/>
        <v>5.8831668801824986</v>
      </c>
      <c r="P440" s="1">
        <f>SUM(P441,P447,P449,P455,P457,P459,P461)</f>
        <v>5.8940093374211395</v>
      </c>
      <c r="Q440" s="1">
        <f>SUM(Q441,Q447,Q449,Q455,Q457,Q459,Q461)</f>
        <v>5.9350870825953903</v>
      </c>
      <c r="S440" s="3"/>
    </row>
    <row r="441" spans="1:19" x14ac:dyDescent="0.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4.3959962194870821</v>
      </c>
      <c r="G441" s="1">
        <f t="shared" ref="G441:O441" si="468">+G442</f>
        <v>6.2905671023713499</v>
      </c>
      <c r="H441" s="1">
        <f t="shared" si="468"/>
        <v>5.8284724587253356</v>
      </c>
      <c r="I441" s="1">
        <f t="shared" si="468"/>
        <v>4.6009076583835942</v>
      </c>
      <c r="J441" s="1">
        <f t="shared" si="468"/>
        <v>5.7472652681259131</v>
      </c>
      <c r="K441" s="1">
        <f t="shared" si="468"/>
        <v>5.7890664760806967</v>
      </c>
      <c r="L441" s="1">
        <f t="shared" si="468"/>
        <v>3.980237575301655</v>
      </c>
      <c r="M441" s="1">
        <f t="shared" si="468"/>
        <v>3.991097556669235</v>
      </c>
      <c r="N441" s="1">
        <f t="shared" si="468"/>
        <v>3.9869647834111372</v>
      </c>
      <c r="O441" s="1">
        <f t="shared" si="468"/>
        <v>3.9902483880708814</v>
      </c>
      <c r="P441" s="1">
        <f>+P442</f>
        <v>3.978883878889484</v>
      </c>
      <c r="Q441" s="1">
        <f>+Q442</f>
        <v>3.9810938290514537</v>
      </c>
      <c r="S441" s="3"/>
    </row>
    <row r="442" spans="1:19" x14ac:dyDescent="0.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4.3959962194870821</v>
      </c>
      <c r="G442" s="1">
        <f t="shared" ref="G442:K442" si="469">SUM(G444:G446)</f>
        <v>6.2905671023713499</v>
      </c>
      <c r="H442" s="1">
        <f t="shared" si="469"/>
        <v>5.8284724587253356</v>
      </c>
      <c r="I442" s="1">
        <f t="shared" si="469"/>
        <v>4.6009076583835942</v>
      </c>
      <c r="J442" s="1">
        <f t="shared" si="469"/>
        <v>5.7472652681259131</v>
      </c>
      <c r="K442" s="1">
        <f t="shared" si="469"/>
        <v>5.7890664760806967</v>
      </c>
      <c r="L442" s="1">
        <f t="shared" ref="L442:O442" si="470">SUM(L444:L446)</f>
        <v>3.980237575301655</v>
      </c>
      <c r="M442" s="1">
        <f t="shared" si="470"/>
        <v>3.991097556669235</v>
      </c>
      <c r="N442" s="1">
        <f t="shared" si="470"/>
        <v>3.9869647834111372</v>
      </c>
      <c r="O442" s="1">
        <f t="shared" si="470"/>
        <v>3.9902483880708814</v>
      </c>
      <c r="P442" s="1">
        <f>SUM(P444:P446)</f>
        <v>3.978883878889484</v>
      </c>
      <c r="Q442" s="1">
        <f>SUM(Q444:Q446)</f>
        <v>3.9810938290514537</v>
      </c>
      <c r="S442" s="3"/>
    </row>
    <row r="443" spans="1:19" x14ac:dyDescent="0.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2.0280902509623187</v>
      </c>
      <c r="G443" s="1">
        <f t="shared" ref="G443:O443" si="471">G444</f>
        <v>2.3154316078808925</v>
      </c>
      <c r="H443" s="1">
        <f t="shared" si="471"/>
        <v>1.8533345826627157</v>
      </c>
      <c r="I443" s="1">
        <f t="shared" si="471"/>
        <v>0.62576985108029382</v>
      </c>
      <c r="J443" s="1">
        <f t="shared" si="471"/>
        <v>1.7721183689560589</v>
      </c>
      <c r="K443" s="1">
        <f t="shared" si="471"/>
        <v>1.81390623459125</v>
      </c>
      <c r="L443" s="1">
        <f t="shared" si="471"/>
        <v>5.0625576779764836E-3</v>
      </c>
      <c r="M443" s="1">
        <f t="shared" si="471"/>
        <v>1.5898793393157206E-2</v>
      </c>
      <c r="N443" s="1">
        <f t="shared" si="471"/>
        <v>1.1748338815303067E-2</v>
      </c>
      <c r="O443" s="1">
        <f t="shared" si="471"/>
        <v>1.498810512719408E-2</v>
      </c>
      <c r="P443" s="1">
        <f>P444</f>
        <v>3.5763787255267735E-3</v>
      </c>
      <c r="Q443" s="1">
        <f>Q444</f>
        <v>5.5552017597773609E-3</v>
      </c>
      <c r="S443" s="3"/>
    </row>
    <row r="444" spans="1:19" x14ac:dyDescent="0.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2.0280902509623187</v>
      </c>
      <c r="G444" s="1">
        <f>'[1]Electricity and CHPs_IN'!C$90</f>
        <v>2.3154316078808925</v>
      </c>
      <c r="H444" s="1">
        <f>'[1]Electricity and CHPs_IN'!D$90</f>
        <v>1.8533345826627157</v>
      </c>
      <c r="I444" s="1">
        <f>'[1]Electricity and CHPs_IN'!E$90</f>
        <v>0.62576985108029382</v>
      </c>
      <c r="J444" s="1">
        <f>'[1]Electricity and CHPs_IN'!F$90</f>
        <v>1.7721183689560589</v>
      </c>
      <c r="K444" s="1">
        <f>'[1]Electricity and CHPs_IN'!G$90</f>
        <v>1.81390623459125</v>
      </c>
      <c r="L444" s="1">
        <f>'[1]Electricity and CHPs_IN'!H$90</f>
        <v>5.0625576779764836E-3</v>
      </c>
      <c r="M444" s="1">
        <f>'[1]Electricity and CHPs_IN'!I$90</f>
        <v>1.5898793393157206E-2</v>
      </c>
      <c r="N444" s="1">
        <f>'[1]Electricity and CHPs_IN'!J$90</f>
        <v>1.1748338815303067E-2</v>
      </c>
      <c r="O444" s="1">
        <f>'[1]Electricity and CHPs_IN'!K$90</f>
        <v>1.498810512719408E-2</v>
      </c>
      <c r="P444" s="1">
        <f>'[1]Electricity and CHPs_IN'!L$90</f>
        <v>3.5763787255267735E-3</v>
      </c>
      <c r="Q444" s="1">
        <f>'[1]Electricity and CHPs_IN'!M$90</f>
        <v>5.5552017597773609E-3</v>
      </c>
      <c r="S444" s="3"/>
    </row>
    <row r="445" spans="1:19" x14ac:dyDescent="0.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1.1839529842623817</v>
      </c>
      <c r="G445" s="1">
        <f t="shared" ref="G445:O445" si="472">G446</f>
        <v>1.9875677472452287</v>
      </c>
      <c r="H445" s="1">
        <f t="shared" si="472"/>
        <v>1.9875689380313097</v>
      </c>
      <c r="I445" s="1">
        <f t="shared" si="472"/>
        <v>1.9875689036516504</v>
      </c>
      <c r="J445" s="1">
        <f t="shared" si="472"/>
        <v>1.9875734495849273</v>
      </c>
      <c r="K445" s="1">
        <f t="shared" si="472"/>
        <v>1.9875801207447232</v>
      </c>
      <c r="L445" s="1">
        <f t="shared" si="472"/>
        <v>1.9875875088118393</v>
      </c>
      <c r="M445" s="1">
        <f t="shared" si="472"/>
        <v>1.9875993816380391</v>
      </c>
      <c r="N445" s="1">
        <f t="shared" si="472"/>
        <v>1.9876082222979172</v>
      </c>
      <c r="O445" s="1">
        <f t="shared" si="472"/>
        <v>1.9876301414718436</v>
      </c>
      <c r="P445" s="1">
        <f>P446</f>
        <v>1.9876537500819786</v>
      </c>
      <c r="Q445" s="1">
        <f>Q446</f>
        <v>1.9877693136458383</v>
      </c>
      <c r="S445" s="3"/>
    </row>
    <row r="446" spans="1:19" x14ac:dyDescent="0.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1.1839529842623817</v>
      </c>
      <c r="G446" s="1">
        <f>'[1]Electricity and CHPs_IN'!C$91</f>
        <v>1.9875677472452287</v>
      </c>
      <c r="H446" s="1">
        <f>'[1]Electricity and CHPs_IN'!D$91</f>
        <v>1.9875689380313097</v>
      </c>
      <c r="I446" s="1">
        <f>'[1]Electricity and CHPs_IN'!E$91</f>
        <v>1.9875689036516504</v>
      </c>
      <c r="J446" s="1">
        <f>'[1]Electricity and CHPs_IN'!F$91</f>
        <v>1.9875734495849273</v>
      </c>
      <c r="K446" s="1">
        <f>'[1]Electricity and CHPs_IN'!G$91</f>
        <v>1.9875801207447232</v>
      </c>
      <c r="L446" s="1">
        <f>'[1]Electricity and CHPs_IN'!H$91</f>
        <v>1.9875875088118393</v>
      </c>
      <c r="M446" s="1">
        <f>'[1]Electricity and CHPs_IN'!I$91</f>
        <v>1.9875993816380391</v>
      </c>
      <c r="N446" s="1">
        <f>'[1]Electricity and CHPs_IN'!J$91</f>
        <v>1.9876082222979172</v>
      </c>
      <c r="O446" s="1">
        <f>'[1]Electricity and CHPs_IN'!K$91</f>
        <v>1.9876301414718436</v>
      </c>
      <c r="P446" s="1">
        <f>'[1]Electricity and CHPs_IN'!L$91</f>
        <v>1.9876537500819786</v>
      </c>
      <c r="Q446" s="1">
        <f>'[1]Electricity and CHPs_IN'!M$91</f>
        <v>1.9877693136458383</v>
      </c>
      <c r="S446" s="3"/>
    </row>
    <row r="447" spans="1:19" x14ac:dyDescent="0.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1.450033235943281</v>
      </c>
      <c r="G447" s="1">
        <f t="shared" ref="G447:O447" si="473">G448</f>
        <v>3.8018383724488545</v>
      </c>
      <c r="H447" s="1">
        <f t="shared" si="473"/>
        <v>3.7994700626442102</v>
      </c>
      <c r="I447" s="1">
        <f t="shared" si="473"/>
        <v>1.1496320332190755</v>
      </c>
      <c r="J447" s="1">
        <f t="shared" si="473"/>
        <v>0.70270898058289188</v>
      </c>
      <c r="K447" s="1">
        <f t="shared" si="473"/>
        <v>0</v>
      </c>
      <c r="L447" s="1">
        <f t="shared" si="473"/>
        <v>0</v>
      </c>
      <c r="M447" s="1">
        <f t="shared" si="473"/>
        <v>0</v>
      </c>
      <c r="N447" s="1">
        <f t="shared" si="473"/>
        <v>0</v>
      </c>
      <c r="O447" s="1">
        <f t="shared" si="473"/>
        <v>0</v>
      </c>
      <c r="P447" s="1">
        <f>P448</f>
        <v>0</v>
      </c>
      <c r="Q447" s="1">
        <f>Q448</f>
        <v>0</v>
      </c>
      <c r="S447" s="3"/>
    </row>
    <row r="448" spans="1:19" x14ac:dyDescent="0.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1.450033235943281</v>
      </c>
      <c r="G448" s="1">
        <f>'[1]Electricity and CHPs_IN'!C$92</f>
        <v>3.8018383724488545</v>
      </c>
      <c r="H448" s="1">
        <f>'[1]Electricity and CHPs_IN'!D$92</f>
        <v>3.7994700626442102</v>
      </c>
      <c r="I448" s="1">
        <f>'[1]Electricity and CHPs_IN'!E$92</f>
        <v>1.1496320332190755</v>
      </c>
      <c r="J448" s="1">
        <f>'[1]Electricity and CHPs_IN'!F$92</f>
        <v>0.70270898058289188</v>
      </c>
      <c r="K448" s="1">
        <f>'[1]Electricity and CHPs_IN'!G$92</f>
        <v>0</v>
      </c>
      <c r="L448" s="1">
        <f>'[1]Electricity and CHPs_IN'!H$92</f>
        <v>0</v>
      </c>
      <c r="M448" s="1">
        <f>'[1]Electricity and CHPs_IN'!I$92</f>
        <v>0</v>
      </c>
      <c r="N448" s="1">
        <f>'[1]Electricity and CHPs_IN'!J$92</f>
        <v>0</v>
      </c>
      <c r="O448" s="1">
        <f>'[1]Electricity and CHPs_IN'!K$92</f>
        <v>0</v>
      </c>
      <c r="P448" s="1">
        <f>'[1]Electricity and CHPs_IN'!L$92</f>
        <v>0</v>
      </c>
      <c r="Q448" s="1">
        <f>'[1]Electricity and CHPs_IN'!M$92</f>
        <v>0</v>
      </c>
      <c r="S448" s="3"/>
    </row>
    <row r="449" spans="1:19" x14ac:dyDescent="0.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0.2154454693779741</v>
      </c>
      <c r="G449" s="1">
        <f t="shared" ref="G449:O449" si="474">G450</f>
        <v>0.21745551215564288</v>
      </c>
      <c r="H449" s="1">
        <f t="shared" si="474"/>
        <v>4.2462298719002653E-3</v>
      </c>
      <c r="I449" s="1">
        <f t="shared" si="474"/>
        <v>4.2242521345147365E-3</v>
      </c>
      <c r="J449" s="1">
        <f t="shared" si="474"/>
        <v>3.4757575159077804E-3</v>
      </c>
      <c r="K449" s="1">
        <f t="shared" si="474"/>
        <v>3.0772655479237758E-3</v>
      </c>
      <c r="L449" s="1">
        <f t="shared" si="474"/>
        <v>3.1191482306606949E-3</v>
      </c>
      <c r="M449" s="1">
        <f t="shared" si="474"/>
        <v>1.3670497292138165E-3</v>
      </c>
      <c r="N449" s="1">
        <f t="shared" si="474"/>
        <v>2.4667941183889137E-3</v>
      </c>
      <c r="O449" s="1">
        <f t="shared" si="474"/>
        <v>1.3239996670958063E-3</v>
      </c>
      <c r="P449" s="1">
        <f>P450</f>
        <v>2.596545458312117E-3</v>
      </c>
      <c r="Q449" s="1">
        <f>Q450</f>
        <v>1.315605994093239E-3</v>
      </c>
      <c r="S449" s="3"/>
    </row>
    <row r="450" spans="1:19" x14ac:dyDescent="0.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0.2154454693779741</v>
      </c>
      <c r="G450" s="1">
        <f>'[1]Electricity and CHPs_IN'!C$93</f>
        <v>0.21745551215564288</v>
      </c>
      <c r="H450" s="1">
        <f>'[1]Electricity and CHPs_IN'!D$93</f>
        <v>4.2462298719002653E-3</v>
      </c>
      <c r="I450" s="1">
        <f>'[1]Electricity and CHPs_IN'!E$93</f>
        <v>4.2242521345147365E-3</v>
      </c>
      <c r="J450" s="1">
        <f>'[1]Electricity and CHPs_IN'!F$93</f>
        <v>3.4757575159077804E-3</v>
      </c>
      <c r="K450" s="1">
        <f>'[1]Electricity and CHPs_IN'!G$93</f>
        <v>3.0772655479237758E-3</v>
      </c>
      <c r="L450" s="1">
        <f>'[1]Electricity and CHPs_IN'!H$93</f>
        <v>3.1191482306606949E-3</v>
      </c>
      <c r="M450" s="1">
        <f>'[1]Electricity and CHPs_IN'!I$93</f>
        <v>1.3670497292138165E-3</v>
      </c>
      <c r="N450" s="1">
        <f>'[1]Electricity and CHPs_IN'!J$93</f>
        <v>2.4667941183889137E-3</v>
      </c>
      <c r="O450" s="1">
        <f>'[1]Electricity and CHPs_IN'!K$93</f>
        <v>1.3239996670958063E-3</v>
      </c>
      <c r="P450" s="1">
        <f>'[1]Electricity and CHPs_IN'!L$93</f>
        <v>2.596545458312117E-3</v>
      </c>
      <c r="Q450" s="1">
        <f>'[1]Electricity and CHPs_IN'!M$93</f>
        <v>1.315605994093239E-3</v>
      </c>
      <c r="S450" s="3"/>
    </row>
    <row r="451" spans="1:19" x14ac:dyDescent="0.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0.2154454693779741</v>
      </c>
      <c r="G451" s="1">
        <f t="shared" ref="G451:O451" si="475">G452</f>
        <v>0.21745551215564288</v>
      </c>
      <c r="H451" s="1">
        <f t="shared" si="475"/>
        <v>4.2462298719002653E-3</v>
      </c>
      <c r="I451" s="1">
        <f t="shared" si="475"/>
        <v>4.2242521345147365E-3</v>
      </c>
      <c r="J451" s="1">
        <f t="shared" si="475"/>
        <v>3.4757575159077804E-3</v>
      </c>
      <c r="K451" s="1">
        <f t="shared" si="475"/>
        <v>3.0772655479237758E-3</v>
      </c>
      <c r="L451" s="1">
        <f t="shared" si="475"/>
        <v>3.1191482306606949E-3</v>
      </c>
      <c r="M451" s="1">
        <f t="shared" si="475"/>
        <v>1.3670497292138165E-3</v>
      </c>
      <c r="N451" s="1">
        <f t="shared" si="475"/>
        <v>2.4667941183889137E-3</v>
      </c>
      <c r="O451" s="1">
        <f t="shared" si="475"/>
        <v>1.3239996670958063E-3</v>
      </c>
      <c r="P451" s="1">
        <f>P452</f>
        <v>2.596545458312117E-3</v>
      </c>
      <c r="Q451" s="1">
        <f>Q452</f>
        <v>1.315605994093239E-3</v>
      </c>
      <c r="S451" s="3"/>
    </row>
    <row r="452" spans="1:19" x14ac:dyDescent="0.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0.2154454693779741</v>
      </c>
      <c r="G452" s="1">
        <f t="shared" ref="G452:K452" si="476">G450</f>
        <v>0.21745551215564288</v>
      </c>
      <c r="H452" s="1">
        <f t="shared" si="476"/>
        <v>4.2462298719002653E-3</v>
      </c>
      <c r="I452" s="1">
        <f t="shared" si="476"/>
        <v>4.2242521345147365E-3</v>
      </c>
      <c r="J452" s="1">
        <f t="shared" si="476"/>
        <v>3.4757575159077804E-3</v>
      </c>
      <c r="K452" s="1">
        <f t="shared" si="476"/>
        <v>3.0772655479237758E-3</v>
      </c>
      <c r="L452" s="1">
        <f t="shared" ref="L452:O452" si="477">L450</f>
        <v>3.1191482306606949E-3</v>
      </c>
      <c r="M452" s="1">
        <f t="shared" si="477"/>
        <v>1.3670497292138165E-3</v>
      </c>
      <c r="N452" s="1">
        <f t="shared" si="477"/>
        <v>2.4667941183889137E-3</v>
      </c>
      <c r="O452" s="1">
        <f t="shared" si="477"/>
        <v>1.3239996670958063E-3</v>
      </c>
      <c r="P452" s="1">
        <f>P450</f>
        <v>2.596545458312117E-3</v>
      </c>
      <c r="Q452" s="1">
        <f>Q450</f>
        <v>1.315605994093239E-3</v>
      </c>
      <c r="S452" s="3"/>
    </row>
    <row r="453" spans="1:19" x14ac:dyDescent="0.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O453" si="478">G454</f>
        <v>0</v>
      </c>
      <c r="H453" s="1">
        <f t="shared" si="478"/>
        <v>0</v>
      </c>
      <c r="I453" s="1">
        <f t="shared" si="478"/>
        <v>0</v>
      </c>
      <c r="J453" s="1">
        <f t="shared" si="478"/>
        <v>0</v>
      </c>
      <c r="K453" s="1">
        <f t="shared" si="478"/>
        <v>0</v>
      </c>
      <c r="L453" s="1">
        <f t="shared" si="478"/>
        <v>0</v>
      </c>
      <c r="M453" s="1">
        <f t="shared" si="478"/>
        <v>0</v>
      </c>
      <c r="N453" s="1">
        <f t="shared" si="478"/>
        <v>0</v>
      </c>
      <c r="O453" s="1">
        <f t="shared" si="478"/>
        <v>4</v>
      </c>
      <c r="P453" s="1">
        <f>P454</f>
        <v>0</v>
      </c>
      <c r="Q453" s="1">
        <f>Q454</f>
        <v>0</v>
      </c>
      <c r="S453" s="3"/>
    </row>
    <row r="454" spans="1:19" x14ac:dyDescent="0.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4</v>
      </c>
      <c r="P454" s="1">
        <v>0</v>
      </c>
      <c r="Q454" s="1">
        <v>0</v>
      </c>
      <c r="S454" s="3"/>
    </row>
    <row r="455" spans="1:19" x14ac:dyDescent="0.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1.9522990710107471</v>
      </c>
      <c r="G455" s="1">
        <f t="shared" ref="G455:O455" si="479">G456</f>
        <v>1.7619464673180054</v>
      </c>
      <c r="H455" s="1">
        <f t="shared" si="479"/>
        <v>1.5106629580515629</v>
      </c>
      <c r="I455" s="1">
        <f t="shared" si="479"/>
        <v>1.1689552981849136</v>
      </c>
      <c r="J455" s="1">
        <f t="shared" si="479"/>
        <v>0.98250067537018837</v>
      </c>
      <c r="K455" s="1">
        <f t="shared" si="479"/>
        <v>0.76042809862138783</v>
      </c>
      <c r="L455" s="1">
        <f t="shared" si="479"/>
        <v>0.58841301011510827</v>
      </c>
      <c r="M455" s="1">
        <f t="shared" si="479"/>
        <v>0.45532552416996169</v>
      </c>
      <c r="N455" s="1">
        <f t="shared" si="479"/>
        <v>0.35238083701569872</v>
      </c>
      <c r="O455" s="1">
        <f t="shared" si="479"/>
        <v>0.27274981682622879</v>
      </c>
      <c r="P455" s="1">
        <f>P456</f>
        <v>0.21112459023575278</v>
      </c>
      <c r="Q455" s="1">
        <f>Q456</f>
        <v>0.16362000145825575</v>
      </c>
      <c r="S455" s="3"/>
    </row>
    <row r="456" spans="1:19" x14ac:dyDescent="0.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1.9522990710107471</v>
      </c>
      <c r="G456" s="1">
        <f>'[1]Electricity and CHPs_IN'!C$94</f>
        <v>1.7619464673180054</v>
      </c>
      <c r="H456" s="1">
        <f>'[1]Electricity and CHPs_IN'!D$94</f>
        <v>1.5106629580515629</v>
      </c>
      <c r="I456" s="1">
        <f>'[1]Electricity and CHPs_IN'!E$94</f>
        <v>1.1689552981849136</v>
      </c>
      <c r="J456" s="1">
        <f>'[1]Electricity and CHPs_IN'!F$94</f>
        <v>0.98250067537018837</v>
      </c>
      <c r="K456" s="1">
        <f>'[1]Electricity and CHPs_IN'!G$94</f>
        <v>0.76042809862138783</v>
      </c>
      <c r="L456" s="1">
        <f>'[1]Electricity and CHPs_IN'!H$94</f>
        <v>0.58841301011510827</v>
      </c>
      <c r="M456" s="1">
        <f>'[1]Electricity and CHPs_IN'!I$94</f>
        <v>0.45532552416996169</v>
      </c>
      <c r="N456" s="1">
        <f>'[1]Electricity and CHPs_IN'!J$94</f>
        <v>0.35238083701569872</v>
      </c>
      <c r="O456" s="1">
        <f>'[1]Electricity and CHPs_IN'!K$94</f>
        <v>0.27274981682622879</v>
      </c>
      <c r="P456" s="1">
        <f>'[1]Electricity and CHPs_IN'!L$94</f>
        <v>0.21112459023575278</v>
      </c>
      <c r="Q456" s="1">
        <f>'[1]Electricity and CHPs_IN'!M$94</f>
        <v>0.16362000145825575</v>
      </c>
      <c r="S456" s="3"/>
    </row>
    <row r="457" spans="1:19" x14ac:dyDescent="0.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O457" si="480">G458</f>
        <v>0</v>
      </c>
      <c r="H457" s="1">
        <f t="shared" si="480"/>
        <v>0</v>
      </c>
      <c r="I457" s="1">
        <f t="shared" si="480"/>
        <v>2.4884812905598224E-4</v>
      </c>
      <c r="J457" s="1">
        <f t="shared" si="480"/>
        <v>3.6131657363949803E-4</v>
      </c>
      <c r="K457" s="1">
        <f t="shared" si="480"/>
        <v>3.8130027404349975E-4</v>
      </c>
      <c r="L457" s="1">
        <f t="shared" si="480"/>
        <v>3.9077863851920153E-4</v>
      </c>
      <c r="M457" s="1">
        <f t="shared" si="480"/>
        <v>4.1383038532788235E-4</v>
      </c>
      <c r="N457" s="1">
        <f t="shared" si="480"/>
        <v>4.2250228236866008E-4</v>
      </c>
      <c r="O457" s="1">
        <f t="shared" si="480"/>
        <v>4.8535328072925581E-4</v>
      </c>
      <c r="P457" s="1">
        <f>P458</f>
        <v>5.2299243875699635E-4</v>
      </c>
      <c r="Q457" s="1">
        <f>Q458</f>
        <v>8.8237185493460603E-4</v>
      </c>
      <c r="S457" s="3"/>
    </row>
    <row r="458" spans="1:19" x14ac:dyDescent="0.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2.4884812905598224E-4</v>
      </c>
      <c r="J458" s="1">
        <f>'[1]Electricity and CHPs_IN'!F$95</f>
        <v>3.6131657363949803E-4</v>
      </c>
      <c r="K458" s="1">
        <f>'[1]Electricity and CHPs_IN'!G$95</f>
        <v>3.8130027404349975E-4</v>
      </c>
      <c r="L458" s="1">
        <f>'[1]Electricity and CHPs_IN'!H$95</f>
        <v>3.9077863851920153E-4</v>
      </c>
      <c r="M458" s="1">
        <f>'[1]Electricity and CHPs_IN'!I$95</f>
        <v>4.1383038532788235E-4</v>
      </c>
      <c r="N458" s="1">
        <f>'[1]Electricity and CHPs_IN'!J$95</f>
        <v>4.2250228236866008E-4</v>
      </c>
      <c r="O458" s="1">
        <f>'[1]Electricity and CHPs_IN'!K$95</f>
        <v>4.8535328072925581E-4</v>
      </c>
      <c r="P458" s="1">
        <f>'[1]Electricity and CHPs_IN'!L$95</f>
        <v>5.2299243875699635E-4</v>
      </c>
      <c r="Q458" s="1">
        <f>'[1]Electricity and CHPs_IN'!M$95</f>
        <v>8.8237185493460603E-4</v>
      </c>
      <c r="S458" s="3"/>
    </row>
    <row r="459" spans="1:19" x14ac:dyDescent="0.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O459" si="481">G460</f>
        <v>0</v>
      </c>
      <c r="H459" s="1">
        <f t="shared" si="481"/>
        <v>0</v>
      </c>
      <c r="I459" s="1">
        <f t="shared" si="481"/>
        <v>0</v>
      </c>
      <c r="J459" s="1">
        <f t="shared" si="481"/>
        <v>0</v>
      </c>
      <c r="K459" s="1">
        <f t="shared" si="481"/>
        <v>8.8037297440942265E-4</v>
      </c>
      <c r="L459" s="1">
        <f t="shared" si="481"/>
        <v>8.8155971449804056E-4</v>
      </c>
      <c r="M459" s="1">
        <f t="shared" si="481"/>
        <v>8.8436625195983454E-4</v>
      </c>
      <c r="N459" s="1">
        <f t="shared" si="481"/>
        <v>8.8670511599088443E-4</v>
      </c>
      <c r="O459" s="1">
        <f t="shared" si="481"/>
        <v>8.9693118744295071E-4</v>
      </c>
      <c r="P459" s="1">
        <f>P460</f>
        <v>9.0872334691484424E-4</v>
      </c>
      <c r="Q459" s="1">
        <f>Q460</f>
        <v>1.4753631479916284E-3</v>
      </c>
      <c r="S459" s="3"/>
    </row>
    <row r="460" spans="1:19" x14ac:dyDescent="0.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'[1]Electricity and CHPs_IN'!F$96</f>
        <v>0</v>
      </c>
      <c r="K460" s="1">
        <f>'[1]Electricity and CHPs_IN'!G$96</f>
        <v>8.8037297440942265E-4</v>
      </c>
      <c r="L460" s="1">
        <f>'[1]Electricity and CHPs_IN'!H$96</f>
        <v>8.8155971449804056E-4</v>
      </c>
      <c r="M460" s="1">
        <f>'[1]Electricity and CHPs_IN'!I$96</f>
        <v>8.8436625195983454E-4</v>
      </c>
      <c r="N460" s="1">
        <f>'[1]Electricity and CHPs_IN'!J$96</f>
        <v>8.8670511599088443E-4</v>
      </c>
      <c r="O460" s="1">
        <f>'[1]Electricity and CHPs_IN'!K$96</f>
        <v>8.9693118744295071E-4</v>
      </c>
      <c r="P460" s="1">
        <f>'[1]Electricity and CHPs_IN'!L$96</f>
        <v>9.0872334691484424E-4</v>
      </c>
      <c r="Q460" s="1">
        <f>'[1]Electricity and CHPs_IN'!M$96</f>
        <v>1.4753631479916284E-3</v>
      </c>
      <c r="S460" s="3"/>
    </row>
    <row r="461" spans="1:19" x14ac:dyDescent="0.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82">G462</f>
        <v>1.1082036711386034</v>
      </c>
      <c r="H461" s="1">
        <f>H462</f>
        <v>1.1417837277848046</v>
      </c>
      <c r="I461" s="1">
        <f t="shared" ref="I461" si="483">I462</f>
        <v>1.2000262999014866</v>
      </c>
      <c r="J461" s="1">
        <f t="shared" ref="J461" si="484">J462</f>
        <v>1.2612405177290333</v>
      </c>
      <c r="K461" s="1">
        <f t="shared" ref="K461:O461" si="485">K462</f>
        <v>1.3255771567785646</v>
      </c>
      <c r="L461" s="1">
        <f t="shared" si="485"/>
        <v>1.3931956938315413</v>
      </c>
      <c r="M461" s="1">
        <f t="shared" si="485"/>
        <v>1.4642642176749125</v>
      </c>
      <c r="N461" s="1">
        <f t="shared" si="485"/>
        <v>1.5389573490151665</v>
      </c>
      <c r="O461" s="1">
        <f t="shared" si="485"/>
        <v>1.6174623911501205</v>
      </c>
      <c r="P461" s="1">
        <f>P462</f>
        <v>1.6999726070519185</v>
      </c>
      <c r="Q461" s="1">
        <f>Q462</f>
        <v>1.7866999110886617</v>
      </c>
      <c r="S461" s="3"/>
    </row>
    <row r="462" spans="1:19" x14ac:dyDescent="0.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1.1082036711386034</v>
      </c>
      <c r="H462" s="1">
        <f>'[1]Electricity and CHPs_IN'!D$97</f>
        <v>1.1417837277848046</v>
      </c>
      <c r="I462" s="1">
        <f>'[1]Electricity and CHPs_IN'!E$97</f>
        <v>1.2000262999014866</v>
      </c>
      <c r="J462" s="1">
        <f>'[1]Electricity and CHPs_IN'!F$97</f>
        <v>1.2612405177290333</v>
      </c>
      <c r="K462" s="1">
        <f>'[1]Electricity and CHPs_IN'!G$97</f>
        <v>1.3255771567785646</v>
      </c>
      <c r="L462" s="1">
        <f>'[1]Electricity and CHPs_IN'!H$97</f>
        <v>1.3931956938315413</v>
      </c>
      <c r="M462" s="1">
        <f>'[1]Electricity and CHPs_IN'!I$97</f>
        <v>1.4642642176749125</v>
      </c>
      <c r="N462" s="1">
        <f>'[1]Electricity and CHPs_IN'!J$97</f>
        <v>1.5389573490151665</v>
      </c>
      <c r="O462" s="1">
        <f>'[1]Electricity and CHPs_IN'!K$97</f>
        <v>1.6174623911501205</v>
      </c>
      <c r="P462" s="1">
        <f>'[1]Electricity and CHPs_IN'!L$97</f>
        <v>1.6999726070519185</v>
      </c>
      <c r="Q462" s="1">
        <f>'[1]Electricity and CHPs_IN'!M$97</f>
        <v>1.7866999110886617</v>
      </c>
      <c r="S462" s="3"/>
    </row>
    <row r="463" spans="1:19" x14ac:dyDescent="0.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7.9903136233967729</v>
      </c>
      <c r="G463" s="1">
        <f t="shared" ref="G463:K463" si="486">SUM(G464,G470,G503,G512,G518)</f>
        <v>8.6874438932993012</v>
      </c>
      <c r="H463" s="1">
        <f t="shared" si="486"/>
        <v>11.215235551435569</v>
      </c>
      <c r="I463" s="1">
        <f t="shared" si="486"/>
        <v>17.017081730819697</v>
      </c>
      <c r="J463" s="1">
        <f t="shared" si="486"/>
        <v>20.906947407882406</v>
      </c>
      <c r="K463" s="1">
        <f t="shared" si="486"/>
        <v>20.637125823649924</v>
      </c>
      <c r="L463" s="1">
        <f t="shared" ref="L463:O463" si="487">SUM(L464,L470,L503,L512,L518)</f>
        <v>22.324502557741582</v>
      </c>
      <c r="M463" s="1">
        <f t="shared" si="487"/>
        <v>21.929795981943816</v>
      </c>
      <c r="N463" s="1">
        <f t="shared" si="487"/>
        <v>22.124762415940019</v>
      </c>
      <c r="O463" s="1">
        <f t="shared" si="487"/>
        <v>22.256053126922176</v>
      </c>
      <c r="P463" s="1">
        <f>SUM(P464,P470,P503,P512,P518)</f>
        <v>22.762840527887622</v>
      </c>
      <c r="Q463" s="1">
        <f>SUM(Q464,Q470,Q503,Q512,Q518)</f>
        <v>23.230831375045248</v>
      </c>
      <c r="S463" s="3"/>
    </row>
    <row r="464" spans="1:19" x14ac:dyDescent="0.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0.28474928657308124</v>
      </c>
      <c r="G464" s="1">
        <f t="shared" ref="G464:O464" si="488">+G465</f>
        <v>0.64175773294909821</v>
      </c>
      <c r="H464" s="1">
        <f t="shared" si="488"/>
        <v>1.388553703708186E-2</v>
      </c>
      <c r="I464" s="1">
        <f t="shared" si="488"/>
        <v>0.55698143473114747</v>
      </c>
      <c r="J464" s="1">
        <f t="shared" si="488"/>
        <v>0.51810362832807777</v>
      </c>
      <c r="K464" s="1">
        <f t="shared" si="488"/>
        <v>5.6630728397063804E-2</v>
      </c>
      <c r="L464" s="1">
        <f t="shared" si="488"/>
        <v>6.590402853261583E-2</v>
      </c>
      <c r="M464" s="1">
        <f t="shared" si="488"/>
        <v>8.0096707380483981E-2</v>
      </c>
      <c r="N464" s="1">
        <f t="shared" si="488"/>
        <v>7.4209646916452154E-2</v>
      </c>
      <c r="O464" s="1">
        <f t="shared" si="488"/>
        <v>7.6915259224144605E-2</v>
      </c>
      <c r="P464" s="1">
        <f>+P465</f>
        <v>7.5263257362688074E-2</v>
      </c>
      <c r="Q464" s="1">
        <f>+Q465</f>
        <v>7.997819143796206E-2</v>
      </c>
      <c r="S464" s="3"/>
    </row>
    <row r="465" spans="1:19" x14ac:dyDescent="0.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0.28474928657308124</v>
      </c>
      <c r="G465" s="1">
        <f>'[1]Electricity and CHPs_IN'!C$41-G301</f>
        <v>0.64175773294909821</v>
      </c>
      <c r="H465" s="1">
        <f>'[1]Electricity and CHPs_IN'!D$41-H301</f>
        <v>1.388553703708186E-2</v>
      </c>
      <c r="I465" s="1">
        <f>'[1]Electricity and CHPs_IN'!E$41-I301</f>
        <v>0.55698143473114747</v>
      </c>
      <c r="J465" s="1">
        <f>'[1]Electricity and CHPs_IN'!F$41-J301</f>
        <v>0.51810362832807777</v>
      </c>
      <c r="K465" s="1">
        <f>'[1]Electricity and CHPs_IN'!G$41-K301</f>
        <v>5.6630728397063804E-2</v>
      </c>
      <c r="L465" s="1">
        <f>'[1]Electricity and CHPs_IN'!H$41-L301</f>
        <v>6.590402853261583E-2</v>
      </c>
      <c r="M465" s="1">
        <f>'[1]Electricity and CHPs_IN'!I$41-M301</f>
        <v>8.0096707380483981E-2</v>
      </c>
      <c r="N465" s="1">
        <f>'[1]Electricity and CHPs_IN'!J$41-N301</f>
        <v>7.4209646916452154E-2</v>
      </c>
      <c r="O465" s="1">
        <f>'[1]Electricity and CHPs_IN'!K$41-O301</f>
        <v>7.6915259224144605E-2</v>
      </c>
      <c r="P465" s="1">
        <f>'[1]Electricity and CHPs_IN'!L$41-P301</f>
        <v>7.5263257362688074E-2</v>
      </c>
      <c r="Q465" s="1">
        <f>'[1]Electricity and CHPs_IN'!M$41-Q301</f>
        <v>7.997819143796206E-2</v>
      </c>
      <c r="S465" s="3"/>
    </row>
    <row r="466" spans="1:19" x14ac:dyDescent="0.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0.28474928657308124</v>
      </c>
      <c r="G466" s="1">
        <f t="shared" ref="G466:O466" si="489">G467</f>
        <v>0.64175773294909821</v>
      </c>
      <c r="H466" s="1">
        <f t="shared" si="489"/>
        <v>1.388553703708186E-2</v>
      </c>
      <c r="I466" s="1">
        <f t="shared" si="489"/>
        <v>0.55698143473114747</v>
      </c>
      <c r="J466" s="1">
        <f t="shared" si="489"/>
        <v>0.51810362832807777</v>
      </c>
      <c r="K466" s="1">
        <f t="shared" si="489"/>
        <v>5.6630728397063804E-2</v>
      </c>
      <c r="L466" s="1">
        <f t="shared" si="489"/>
        <v>6.590402853261583E-2</v>
      </c>
      <c r="M466" s="1">
        <f t="shared" si="489"/>
        <v>8.0096707380483981E-2</v>
      </c>
      <c r="N466" s="1">
        <f t="shared" si="489"/>
        <v>7.4209646916452154E-2</v>
      </c>
      <c r="O466" s="1">
        <f t="shared" si="489"/>
        <v>7.6915259224144605E-2</v>
      </c>
      <c r="P466" s="1">
        <f>P467</f>
        <v>7.5263257362688074E-2</v>
      </c>
      <c r="Q466" s="1">
        <f>Q467</f>
        <v>7.997819143796206E-2</v>
      </c>
      <c r="S466" s="3"/>
    </row>
    <row r="467" spans="1:19" x14ac:dyDescent="0.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0.28474928657308124</v>
      </c>
      <c r="G467" s="1">
        <f t="shared" ref="G467:K467" si="490">G465-G469</f>
        <v>0.64175773294909821</v>
      </c>
      <c r="H467" s="1">
        <f t="shared" si="490"/>
        <v>1.388553703708186E-2</v>
      </c>
      <c r="I467" s="1">
        <f t="shared" si="490"/>
        <v>0.55698143473114747</v>
      </c>
      <c r="J467" s="1">
        <f t="shared" si="490"/>
        <v>0.51810362832807777</v>
      </c>
      <c r="K467" s="1">
        <f t="shared" si="490"/>
        <v>5.6630728397063804E-2</v>
      </c>
      <c r="L467" s="1">
        <f t="shared" ref="L467:O467" si="491">L465-L469</f>
        <v>6.590402853261583E-2</v>
      </c>
      <c r="M467" s="1">
        <f t="shared" si="491"/>
        <v>8.0096707380483981E-2</v>
      </c>
      <c r="N467" s="1">
        <f t="shared" si="491"/>
        <v>7.4209646916452154E-2</v>
      </c>
      <c r="O467" s="1">
        <f t="shared" si="491"/>
        <v>7.6915259224144605E-2</v>
      </c>
      <c r="P467" s="1">
        <f>P465-P469</f>
        <v>7.5263257362688074E-2</v>
      </c>
      <c r="Q467" s="1">
        <f>Q465-Q469</f>
        <v>7.997819143796206E-2</v>
      </c>
      <c r="S467" s="3"/>
    </row>
    <row r="468" spans="1:19" x14ac:dyDescent="0.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O468" si="492">G469</f>
        <v>0</v>
      </c>
      <c r="H468" s="1">
        <f t="shared" si="492"/>
        <v>0</v>
      </c>
      <c r="I468" s="1">
        <f t="shared" si="492"/>
        <v>0</v>
      </c>
      <c r="J468" s="1">
        <f t="shared" si="492"/>
        <v>0</v>
      </c>
      <c r="K468" s="1">
        <f t="shared" si="492"/>
        <v>0</v>
      </c>
      <c r="L468" s="1">
        <f t="shared" si="492"/>
        <v>0</v>
      </c>
      <c r="M468" s="1">
        <f t="shared" si="492"/>
        <v>0</v>
      </c>
      <c r="N468" s="1">
        <f t="shared" si="492"/>
        <v>0</v>
      </c>
      <c r="O468" s="1">
        <f t="shared" si="492"/>
        <v>0</v>
      </c>
      <c r="P468" s="1">
        <f>P469</f>
        <v>0</v>
      </c>
      <c r="Q468" s="1">
        <f>Q469</f>
        <v>0</v>
      </c>
      <c r="S468" s="3"/>
    </row>
    <row r="469" spans="1:19" x14ac:dyDescent="0.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93">IFERROR(G309/G301,0)*G465</f>
        <v>0</v>
      </c>
      <c r="H469" s="1">
        <f t="shared" si="493"/>
        <v>0</v>
      </c>
      <c r="I469" s="1">
        <f t="shared" si="493"/>
        <v>0</v>
      </c>
      <c r="J469" s="1">
        <f t="shared" si="493"/>
        <v>0</v>
      </c>
      <c r="K469" s="1">
        <f t="shared" si="493"/>
        <v>0</v>
      </c>
      <c r="L469" s="1">
        <f t="shared" ref="L469:O469" si="494">IFERROR(L309/L301,0)*L465</f>
        <v>0</v>
      </c>
      <c r="M469" s="1">
        <f t="shared" si="494"/>
        <v>0</v>
      </c>
      <c r="N469" s="1">
        <f t="shared" si="494"/>
        <v>0</v>
      </c>
      <c r="O469" s="1">
        <f t="shared" si="494"/>
        <v>0</v>
      </c>
      <c r="P469" s="1">
        <f>IFERROR(P309/P301,0)*P465</f>
        <v>0</v>
      </c>
      <c r="Q469" s="1">
        <f>IFERROR(Q309/Q301,0)*Q465</f>
        <v>0</v>
      </c>
      <c r="S469" s="3"/>
    </row>
    <row r="470" spans="1:19" x14ac:dyDescent="0.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3.693643747497835</v>
      </c>
      <c r="G470" s="1">
        <f t="shared" ref="G470:K470" si="495">SUM(G471:G480)</f>
        <v>2.947710645099245</v>
      </c>
      <c r="H470" s="1">
        <f t="shared" si="495"/>
        <v>3.0063464152063757</v>
      </c>
      <c r="I470" s="1">
        <f t="shared" si="495"/>
        <v>7.751803421917205</v>
      </c>
      <c r="J470" s="1">
        <f t="shared" si="495"/>
        <v>10.66127312857803</v>
      </c>
      <c r="K470" s="1">
        <f t="shared" si="495"/>
        <v>9.8626806223919754</v>
      </c>
      <c r="L470" s="1">
        <f t="shared" ref="L470:O470" si="496">SUM(L471:L480)</f>
        <v>9.5947229998903971</v>
      </c>
      <c r="M470" s="1">
        <f t="shared" si="496"/>
        <v>7.6991499932389669</v>
      </c>
      <c r="N470" s="1">
        <f t="shared" si="496"/>
        <v>7.5727713469789437</v>
      </c>
      <c r="O470" s="1">
        <f t="shared" si="496"/>
        <v>7.7357048021372679</v>
      </c>
      <c r="P470" s="1">
        <f>SUM(P471:P480)</f>
        <v>8.2673847504180458</v>
      </c>
      <c r="Q470" s="1">
        <f>SUM(Q471:Q480)</f>
        <v>8.5695595649126943</v>
      </c>
      <c r="S470" s="3"/>
    </row>
    <row r="471" spans="1:19" x14ac:dyDescent="0.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1.0417963606012592</v>
      </c>
      <c r="G471" s="1">
        <f>'[1]Electricity and CHPs_IN'!C$39-G316</f>
        <v>0.1377813818127836</v>
      </c>
      <c r="H471" s="1">
        <f>'[1]Electricity and CHPs_IN'!D$39-H316</f>
        <v>9.2889250933166356E-2</v>
      </c>
      <c r="I471" s="1">
        <f>'[1]Electricity and CHPs_IN'!E$39-I316</f>
        <v>1.0733445367179688</v>
      </c>
      <c r="J471" s="1">
        <f>'[1]Electricity and CHPs_IN'!F$39-J316</f>
        <v>0.96233419695257072</v>
      </c>
      <c r="K471" s="1">
        <f>'[1]Electricity and CHPs_IN'!G$39-K316</f>
        <v>0.25412267738190475</v>
      </c>
      <c r="L471" s="1">
        <f>'[1]Electricity and CHPs_IN'!H$39-L316</f>
        <v>0.18037848407336673</v>
      </c>
      <c r="M471" s="1">
        <f>'[1]Electricity and CHPs_IN'!I$39-M316</f>
        <v>0.11187743858404657</v>
      </c>
      <c r="N471" s="1">
        <f>'[1]Electricity and CHPs_IN'!J$39-N316</f>
        <v>6.8499521281138648E-2</v>
      </c>
      <c r="O471" s="1">
        <f>'[1]Electricity and CHPs_IN'!K$39-O316</f>
        <v>0.10291655408562884</v>
      </c>
      <c r="P471" s="1">
        <f>'[1]Electricity and CHPs_IN'!L$39-P316</f>
        <v>0.1661373084243398</v>
      </c>
      <c r="Q471" s="1">
        <f>'[1]Electricity and CHPs_IN'!M$39-Q316</f>
        <v>0.17416317727882377</v>
      </c>
      <c r="S471" s="3"/>
    </row>
    <row r="472" spans="1:19" x14ac:dyDescent="0.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'[1]Electricity and CHPs_IN'!F$40-J317</f>
        <v>0</v>
      </c>
      <c r="K472" s="6">
        <f>'[1]Electricity and CHPs_IN'!G$40-K317</f>
        <v>7.4560509411073189E-4</v>
      </c>
      <c r="L472" s="6">
        <f>'[1]Electricity and CHPs_IN'!H$40-L317</f>
        <v>1.0594129940906226E-3</v>
      </c>
      <c r="M472" s="6">
        <f>'[1]Electricity and CHPs_IN'!I$40-M317</f>
        <v>2.3670269537531922E-3</v>
      </c>
      <c r="N472" s="6">
        <f>'[1]Electricity and CHPs_IN'!J$40-N317</f>
        <v>1.2488336468060818E-3</v>
      </c>
      <c r="O472" s="6">
        <f>'[1]Electricity and CHPs_IN'!K$40-O317</f>
        <v>2.0433467840435347E-3</v>
      </c>
      <c r="P472" s="6">
        <f>'[1]Electricity and CHPs_IN'!L$40-P317</f>
        <v>2.0794482460901203E-3</v>
      </c>
      <c r="Q472" s="6">
        <f>'[1]Electricity and CHPs_IN'!M$40-Q317</f>
        <v>4.0041387333704173E-3</v>
      </c>
      <c r="S472" s="3"/>
    </row>
    <row r="473" spans="1:19" x14ac:dyDescent="0.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'[1]Electricity and CHPs_IN'!$B$47-J318</f>
        <v>0</v>
      </c>
      <c r="K473" s="6">
        <f>'[1]Electricity and CHPs_IN'!$B$47-K318</f>
        <v>0</v>
      </c>
      <c r="L473" s="6">
        <f>'[1]Electricity and CHPs_IN'!$B$47-L318</f>
        <v>0</v>
      </c>
      <c r="M473" s="6">
        <f>'[1]Electricity and CHPs_IN'!$B$47-M318</f>
        <v>0</v>
      </c>
      <c r="N473" s="6">
        <f>'[1]Electricity and CHPs_IN'!$B$47-N318</f>
        <v>0</v>
      </c>
      <c r="O473" s="6">
        <f>'[1]Electricity and CHPs_IN'!$B$47-O318</f>
        <v>0</v>
      </c>
      <c r="P473" s="6">
        <f>'[1]Electricity and CHPs_IN'!$B$47-P318</f>
        <v>0</v>
      </c>
      <c r="Q473" s="6">
        <f>'[1]Electricity and CHPs_IN'!$B$47-Q318</f>
        <v>0</v>
      </c>
      <c r="S473" s="3"/>
    </row>
    <row r="474" spans="1:19" x14ac:dyDescent="0.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6.902827921136484E-2</v>
      </c>
      <c r="G474" s="1">
        <f>'[1]Electricity and CHPs_IN'!C$48-G319</f>
        <v>1.1005838816533622E-2</v>
      </c>
      <c r="H474" s="1">
        <f>'[1]Electricity and CHPs_IN'!D$48-H319</f>
        <v>5.1952317826730487E-2</v>
      </c>
      <c r="I474" s="1">
        <f>'[1]Electricity and CHPs_IN'!E$48-I319</f>
        <v>4.3615520742432745E-2</v>
      </c>
      <c r="J474" s="1">
        <f>'[1]Electricity and CHPs_IN'!F$48-J319</f>
        <v>9.6447254946941605E-2</v>
      </c>
      <c r="K474" s="1">
        <f>'[1]Electricity and CHPs_IN'!G$48-K319</f>
        <v>9.5318507372477379E-2</v>
      </c>
      <c r="L474" s="1">
        <f>'[1]Electricity and CHPs_IN'!H$48-L319</f>
        <v>0.10644095075670718</v>
      </c>
      <c r="M474" s="1">
        <f>'[1]Electricity and CHPs_IN'!I$48-M319</f>
        <v>0.1532626030509493</v>
      </c>
      <c r="N474" s="1">
        <f>'[1]Electricity and CHPs_IN'!J$48-N319</f>
        <v>0.1239044187246047</v>
      </c>
      <c r="O474" s="1">
        <f>'[1]Electricity and CHPs_IN'!K$48-O319</f>
        <v>0.14696987420019134</v>
      </c>
      <c r="P474" s="1">
        <f>'[1]Electricity and CHPs_IN'!L$48-P319</f>
        <v>0.41955660978438714</v>
      </c>
      <c r="Q474" s="1">
        <f>'[1]Electricity and CHPs_IN'!M$48-Q319</f>
        <v>0.4335189506584709</v>
      </c>
      <c r="S474" s="3"/>
    </row>
    <row r="475" spans="1:19" x14ac:dyDescent="0.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'[1]Electricity and CHPs_IN'!F$49-J320</f>
        <v>0</v>
      </c>
      <c r="K475" s="6">
        <f>'[1]Electricity and CHPs_IN'!G$49-K320</f>
        <v>0</v>
      </c>
      <c r="L475" s="6">
        <f>'[1]Electricity and CHPs_IN'!H$49-L320</f>
        <v>0</v>
      </c>
      <c r="M475" s="6">
        <f>'[1]Electricity and CHPs_IN'!I$49-M320</f>
        <v>0</v>
      </c>
      <c r="N475" s="6">
        <f>'[1]Electricity and CHPs_IN'!J$49-N320</f>
        <v>0</v>
      </c>
      <c r="O475" s="6">
        <f>'[1]Electricity and CHPs_IN'!K$49-O320</f>
        <v>0</v>
      </c>
      <c r="P475" s="6">
        <f>'[1]Electricity and CHPs_IN'!L$49-P320</f>
        <v>0</v>
      </c>
      <c r="Q475" s="6">
        <f>'[1]Electricity and CHPs_IN'!M$49-Q320</f>
        <v>0</v>
      </c>
      <c r="S475" s="3"/>
    </row>
    <row r="476" spans="1:19" x14ac:dyDescent="0.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9.2056935521358352E-2</v>
      </c>
      <c r="G476" s="1">
        <f>'[1]Electricity and CHPs_IN'!C$51-G321</f>
        <v>5.9564591415276438E-2</v>
      </c>
      <c r="H476" s="1">
        <f>'[1]Electricity and CHPs_IN'!D$51-H321</f>
        <v>0.29798856803662144</v>
      </c>
      <c r="I476" s="1">
        <f>'[1]Electricity and CHPs_IN'!E$51-I321</f>
        <v>1.4184342355035886</v>
      </c>
      <c r="J476" s="1">
        <f>'[1]Electricity and CHPs_IN'!F$51-J321</f>
        <v>1.510749821889942</v>
      </c>
      <c r="K476" s="1">
        <f>'[1]Electricity and CHPs_IN'!G$51-K321</f>
        <v>1.6743833729838384</v>
      </c>
      <c r="L476" s="1">
        <f>'[1]Electricity and CHPs_IN'!H$51-L321</f>
        <v>1.6313125457486763</v>
      </c>
      <c r="M476" s="1">
        <f>'[1]Electricity and CHPs_IN'!I$51-M321</f>
        <v>1.6083029125118313</v>
      </c>
      <c r="N476" s="1">
        <f>'[1]Electricity and CHPs_IN'!J$51-N321</f>
        <v>1.5580255321931076</v>
      </c>
      <c r="O476" s="1">
        <f>'[1]Electricity and CHPs_IN'!K$51-O321</f>
        <v>1.5436464786214752</v>
      </c>
      <c r="P476" s="1">
        <f>'[1]Electricity and CHPs_IN'!L$51-P321</f>
        <v>1.3505677436618573</v>
      </c>
      <c r="Q476" s="1">
        <f>'[1]Electricity and CHPs_IN'!M$51-Q321</f>
        <v>1.266222905926742</v>
      </c>
      <c r="S476" s="3"/>
    </row>
    <row r="477" spans="1:19" x14ac:dyDescent="0.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'[1]Electricity and CHPs_IN'!F$52-J322</f>
        <v>0</v>
      </c>
      <c r="K477" s="1">
        <f>'[1]Electricity and CHPs_IN'!G$52-K322</f>
        <v>0</v>
      </c>
      <c r="L477" s="1">
        <f>'[1]Electricity and CHPs_IN'!H$52-L322</f>
        <v>0</v>
      </c>
      <c r="M477" s="1">
        <f>'[1]Electricity and CHPs_IN'!I$52-M322</f>
        <v>0</v>
      </c>
      <c r="N477" s="1">
        <f>'[1]Electricity and CHPs_IN'!J$52-N322</f>
        <v>0</v>
      </c>
      <c r="O477" s="1">
        <f>'[1]Electricity and CHPs_IN'!K$52-O322</f>
        <v>0</v>
      </c>
      <c r="P477" s="1">
        <f>'[1]Electricity and CHPs_IN'!L$52-P322</f>
        <v>0</v>
      </c>
      <c r="Q477" s="1">
        <f>'[1]Electricity and CHPs_IN'!M$52-Q322</f>
        <v>0</v>
      </c>
      <c r="S477" s="3"/>
    </row>
    <row r="478" spans="1:19" x14ac:dyDescent="0.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1.5807062752067229</v>
      </c>
      <c r="G478" s="1">
        <f>'[1]Electricity and CHPs_IN'!C$54-G323</f>
        <v>1.7914480789026268</v>
      </c>
      <c r="H478" s="1">
        <f>'[1]Electricity and CHPs_IN'!D$54-H323</f>
        <v>1.7445484603466606</v>
      </c>
      <c r="I478" s="1">
        <f>'[1]Electricity and CHPs_IN'!E$54-I323</f>
        <v>1.6540956182330599</v>
      </c>
      <c r="J478" s="1">
        <f>'[1]Electricity and CHPs_IN'!F$54-J323</f>
        <v>1.5356500758056375</v>
      </c>
      <c r="K478" s="1">
        <f>'[1]Electricity and CHPs_IN'!G$54-K323</f>
        <v>1.407386447052593</v>
      </c>
      <c r="L478" s="1">
        <f>'[1]Electricity and CHPs_IN'!H$54-L323</f>
        <v>1.3925514823340426</v>
      </c>
      <c r="M478" s="1">
        <f>'[1]Electricity and CHPs_IN'!I$54-M323</f>
        <v>1.3748565599954901</v>
      </c>
      <c r="N478" s="1">
        <f>'[1]Electricity and CHPs_IN'!J$54-N323</f>
        <v>1.372003307273157</v>
      </c>
      <c r="O478" s="1">
        <f>'[1]Electricity and CHPs_IN'!K$54-O323</f>
        <v>1.37726265048704</v>
      </c>
      <c r="P478" s="1">
        <f>'[1]Electricity and CHPs_IN'!L$54-P323</f>
        <v>1.3772982865894468</v>
      </c>
      <c r="Q478" s="1">
        <f>'[1]Electricity and CHPs_IN'!M$54-Q323</f>
        <v>1.4310643836103241</v>
      </c>
      <c r="S478" s="3"/>
    </row>
    <row r="479" spans="1:19" x14ac:dyDescent="0.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0.91005589695712963</v>
      </c>
      <c r="G479" s="1">
        <f>'[1]Electricity and CHPs_IN'!C$55-G324</f>
        <v>0.94791075415202453</v>
      </c>
      <c r="H479" s="1">
        <f>'[1]Electricity and CHPs_IN'!D$55-H324</f>
        <v>0.81896781806319696</v>
      </c>
      <c r="I479" s="1">
        <f>'[1]Electricity and CHPs_IN'!E$55-I324</f>
        <v>3.5607132020700161</v>
      </c>
      <c r="J479" s="1">
        <f>'[1]Electricity and CHPs_IN'!F$55-J324</f>
        <v>6.5512496780131775</v>
      </c>
      <c r="K479" s="1">
        <f>'[1]Electricity and CHPs_IN'!G$55-K324</f>
        <v>6.4260921994520466</v>
      </c>
      <c r="L479" s="1">
        <f>'[1]Electricity and CHPs_IN'!H$55-L324</f>
        <v>6.2795834384406417</v>
      </c>
      <c r="M479" s="1">
        <f>'[1]Electricity and CHPs_IN'!I$55-M324</f>
        <v>4.4405820436551373</v>
      </c>
      <c r="N479" s="1">
        <f>'[1]Electricity and CHPs_IN'!J$55-N324</f>
        <v>4.4410975067725857</v>
      </c>
      <c r="O479" s="1">
        <f>'[1]Electricity and CHPs_IN'!K$55-O324</f>
        <v>4.5463806180755251</v>
      </c>
      <c r="P479" s="1">
        <f>'[1]Electricity and CHPs_IN'!L$55-P324</f>
        <v>4.9391040873510041</v>
      </c>
      <c r="Q479" s="1">
        <f>'[1]Electricity and CHPs_IN'!M$55-Q324</f>
        <v>5.2333435202484972</v>
      </c>
      <c r="S479" s="3"/>
    </row>
    <row r="480" spans="1:19" x14ac:dyDescent="0.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1.600308650138659E-3</v>
      </c>
      <c r="J480" s="1">
        <f>'[1]Electricity and CHPs_IN'!F$58-J325</f>
        <v>4.8421009697610443E-3</v>
      </c>
      <c r="K480" s="1">
        <f>'[1]Electricity and CHPs_IN'!G$58-K325</f>
        <v>4.6318130550044058E-3</v>
      </c>
      <c r="L480" s="1">
        <f>'[1]Electricity and CHPs_IN'!H$58-L325</f>
        <v>3.39668554287147E-3</v>
      </c>
      <c r="M480" s="1">
        <f>'[1]Electricity and CHPs_IN'!I$58-M325</f>
        <v>7.9014084877593836E-3</v>
      </c>
      <c r="N480" s="1">
        <f>'[1]Electricity and CHPs_IN'!J$58-N325</f>
        <v>7.9922270875439003E-3</v>
      </c>
      <c r="O480" s="1">
        <f>'[1]Electricity and CHPs_IN'!K$58-O325</f>
        <v>1.6485279883363589E-2</v>
      </c>
      <c r="P480" s="1">
        <f>'[1]Electricity and CHPs_IN'!L$58-P325</f>
        <v>1.2641266360919862E-2</v>
      </c>
      <c r="Q480" s="1">
        <f>'[1]Electricity and CHPs_IN'!M$58-Q325</f>
        <v>2.7242488456465763E-2</v>
      </c>
      <c r="S480" s="3"/>
    </row>
    <row r="481" spans="1:19" x14ac:dyDescent="0.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2.0567614802444343</v>
      </c>
      <c r="G481" s="1">
        <f t="shared" ref="G481:K481" si="497">SUM(G482:G491)</f>
        <v>1.1056155593793189</v>
      </c>
      <c r="H481" s="1">
        <f t="shared" si="497"/>
        <v>1.1558520737058162</v>
      </c>
      <c r="I481" s="1">
        <f t="shared" si="497"/>
        <v>5.8433936100011614</v>
      </c>
      <c r="J481" s="1">
        <f t="shared" si="497"/>
        <v>8.8464945146762517</v>
      </c>
      <c r="K481" s="1">
        <f t="shared" si="497"/>
        <v>8.2635568674781315</v>
      </c>
      <c r="L481" s="1">
        <f t="shared" ref="L481:O481" si="498">SUM(L482:L491)</f>
        <v>8.0670493820222511</v>
      </c>
      <c r="M481" s="1">
        <f t="shared" si="498"/>
        <v>6.2281737264665393</v>
      </c>
      <c r="N481" s="1">
        <f t="shared" si="498"/>
        <v>6.1123672470830348</v>
      </c>
      <c r="O481" s="1">
        <f t="shared" si="498"/>
        <v>6.2684871542953671</v>
      </c>
      <c r="P481" s="1">
        <f>SUM(P482:P491)</f>
        <v>6.7874982643981374</v>
      </c>
      <c r="Q481" s="1">
        <f>SUM(Q482:Q491)</f>
        <v>7.0240965440703071</v>
      </c>
      <c r="S481" s="3"/>
    </row>
    <row r="482" spans="1:19" x14ac:dyDescent="0.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99">F471-F493</f>
        <v>1.0140984543286542</v>
      </c>
      <c r="G482" s="1">
        <f t="shared" ref="G482:K482" si="500">G471-G493</f>
        <v>0.13174623478997291</v>
      </c>
      <c r="H482" s="1">
        <f t="shared" si="500"/>
        <v>8.5089877426546515E-2</v>
      </c>
      <c r="I482" s="1">
        <f t="shared" si="500"/>
        <v>1.0285790675961879</v>
      </c>
      <c r="J482" s="1">
        <f t="shared" si="500"/>
        <v>0.93289895335310069</v>
      </c>
      <c r="K482" s="1">
        <f t="shared" si="500"/>
        <v>0.24835953135194633</v>
      </c>
      <c r="L482" s="1">
        <f t="shared" ref="L482:O482" si="501">L471-L493</f>
        <v>0.17740655469822272</v>
      </c>
      <c r="M482" s="1">
        <f t="shared" si="501"/>
        <v>0.11017643387431844</v>
      </c>
      <c r="N482" s="1">
        <f t="shared" si="501"/>
        <v>6.7522766185418706E-2</v>
      </c>
      <c r="O482" s="1">
        <f t="shared" si="501"/>
        <v>0.10146009129360631</v>
      </c>
      <c r="P482" s="1">
        <f t="shared" ref="P482:Q488" si="502">P471-P493</f>
        <v>0.16366290221497928</v>
      </c>
      <c r="Q482" s="1">
        <f t="shared" si="502"/>
        <v>0.17137054217453615</v>
      </c>
      <c r="S482" s="3"/>
    </row>
    <row r="483" spans="1:19" x14ac:dyDescent="0.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99"/>
        <v>0</v>
      </c>
      <c r="G483" s="1">
        <f t="shared" ref="G483:K483" si="503">G472-G494</f>
        <v>0</v>
      </c>
      <c r="H483" s="1">
        <f t="shared" si="503"/>
        <v>0</v>
      </c>
      <c r="I483" s="1">
        <f t="shared" si="503"/>
        <v>0</v>
      </c>
      <c r="J483" s="1">
        <f t="shared" si="503"/>
        <v>0</v>
      </c>
      <c r="K483" s="1">
        <f t="shared" si="503"/>
        <v>7.4560509411073189E-4</v>
      </c>
      <c r="L483" s="1">
        <f t="shared" ref="L483:O483" si="504">L472-L494</f>
        <v>1.0594129940906226E-3</v>
      </c>
      <c r="M483" s="1">
        <f t="shared" si="504"/>
        <v>2.3670269537531922E-3</v>
      </c>
      <c r="N483" s="1">
        <f t="shared" si="504"/>
        <v>1.2488336468060818E-3</v>
      </c>
      <c r="O483" s="1">
        <f t="shared" si="504"/>
        <v>2.0433467840435347E-3</v>
      </c>
      <c r="P483" s="1">
        <f t="shared" si="502"/>
        <v>2.0794482460901203E-3</v>
      </c>
      <c r="Q483" s="1">
        <f t="shared" si="502"/>
        <v>4.0041387333704173E-3</v>
      </c>
      <c r="S483" s="3"/>
    </row>
    <row r="484" spans="1:19" x14ac:dyDescent="0.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99"/>
        <v>0</v>
      </c>
      <c r="G484" s="1">
        <f t="shared" ref="G484:K484" si="505">G473-G495</f>
        <v>0</v>
      </c>
      <c r="H484" s="1">
        <f t="shared" si="505"/>
        <v>0</v>
      </c>
      <c r="I484" s="1">
        <f t="shared" si="505"/>
        <v>0</v>
      </c>
      <c r="J484" s="1">
        <f t="shared" si="505"/>
        <v>0</v>
      </c>
      <c r="K484" s="1">
        <f t="shared" si="505"/>
        <v>0</v>
      </c>
      <c r="L484" s="1">
        <f t="shared" ref="L484:O484" si="506">L473-L495</f>
        <v>0</v>
      </c>
      <c r="M484" s="1">
        <f t="shared" si="506"/>
        <v>0</v>
      </c>
      <c r="N484" s="1">
        <f t="shared" si="506"/>
        <v>0</v>
      </c>
      <c r="O484" s="1">
        <f t="shared" si="506"/>
        <v>0</v>
      </c>
      <c r="P484" s="1">
        <f t="shared" si="502"/>
        <v>0</v>
      </c>
      <c r="Q484" s="1">
        <f t="shared" si="502"/>
        <v>0</v>
      </c>
      <c r="S484" s="3"/>
    </row>
    <row r="485" spans="1:19" x14ac:dyDescent="0.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99"/>
        <v>6.7193046453734404E-2</v>
      </c>
      <c r="G485" s="1">
        <f t="shared" ref="G485:K485" si="507">G474-G496</f>
        <v>1.052375731543944E-2</v>
      </c>
      <c r="H485" s="1">
        <f t="shared" si="507"/>
        <v>4.7590181980066884E-2</v>
      </c>
      <c r="I485" s="1">
        <f t="shared" si="507"/>
        <v>4.1796469002535738E-2</v>
      </c>
      <c r="J485" s="1">
        <f t="shared" si="507"/>
        <v>9.349718993537541E-2</v>
      </c>
      <c r="K485" s="1">
        <f t="shared" si="507"/>
        <v>9.315681726671915E-2</v>
      </c>
      <c r="L485" s="1">
        <f t="shared" ref="L485:O485" si="508">L474-L496</f>
        <v>0.10468722170250663</v>
      </c>
      <c r="M485" s="1">
        <f t="shared" si="508"/>
        <v>0.1509323708529802</v>
      </c>
      <c r="N485" s="1">
        <f t="shared" si="508"/>
        <v>0.12213762867836828</v>
      </c>
      <c r="O485" s="1">
        <f t="shared" si="508"/>
        <v>0.14488997407894638</v>
      </c>
      <c r="P485" s="1">
        <f t="shared" si="502"/>
        <v>0.41330784188105069</v>
      </c>
      <c r="Q485" s="1">
        <f t="shared" si="502"/>
        <v>0.42656765211822562</v>
      </c>
      <c r="S485" s="3"/>
    </row>
    <row r="486" spans="1:19" x14ac:dyDescent="0.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99"/>
        <v>0</v>
      </c>
      <c r="G486" s="1">
        <f t="shared" ref="G486:K486" si="509">G475-G497</f>
        <v>0</v>
      </c>
      <c r="H486" s="1">
        <f t="shared" si="509"/>
        <v>0</v>
      </c>
      <c r="I486" s="1">
        <f t="shared" si="509"/>
        <v>0</v>
      </c>
      <c r="J486" s="1">
        <f t="shared" si="509"/>
        <v>0</v>
      </c>
      <c r="K486" s="1">
        <f t="shared" si="509"/>
        <v>0</v>
      </c>
      <c r="L486" s="1">
        <f t="shared" ref="L486:O486" si="510">L475-L497</f>
        <v>0</v>
      </c>
      <c r="M486" s="1">
        <f t="shared" si="510"/>
        <v>0</v>
      </c>
      <c r="N486" s="1">
        <f t="shared" si="510"/>
        <v>0</v>
      </c>
      <c r="O486" s="1">
        <f t="shared" si="510"/>
        <v>0</v>
      </c>
      <c r="P486" s="1">
        <f t="shared" si="502"/>
        <v>0</v>
      </c>
      <c r="Q486" s="1">
        <f t="shared" si="502"/>
        <v>0</v>
      </c>
      <c r="S486" s="3"/>
    </row>
    <row r="487" spans="1:19" x14ac:dyDescent="0.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99"/>
        <v>8.9609447251825264E-2</v>
      </c>
      <c r="G487" s="1">
        <f t="shared" ref="G487:K487" si="511">G476-G498</f>
        <v>5.6955522890812807E-2</v>
      </c>
      <c r="H487" s="1">
        <f t="shared" si="511"/>
        <v>0.27296819033444136</v>
      </c>
      <c r="I487" s="1">
        <f t="shared" si="511"/>
        <v>1.3592762747570128</v>
      </c>
      <c r="J487" s="1">
        <f t="shared" si="511"/>
        <v>1.4645400029247553</v>
      </c>
      <c r="K487" s="1">
        <f t="shared" si="511"/>
        <v>1.6364107056561672</v>
      </c>
      <c r="L487" s="1">
        <f t="shared" ref="L487:O487" si="512">L476-L498</f>
        <v>1.6044349184104874</v>
      </c>
      <c r="M487" s="1">
        <f t="shared" si="512"/>
        <v>1.5838499855993433</v>
      </c>
      <c r="N487" s="1">
        <f t="shared" si="512"/>
        <v>1.5358091816351886</v>
      </c>
      <c r="O487" s="1">
        <f t="shared" si="512"/>
        <v>1.5218009778648314</v>
      </c>
      <c r="P487" s="1">
        <f t="shared" si="502"/>
        <v>1.3304527361251797</v>
      </c>
      <c r="Q487" s="1">
        <f t="shared" si="502"/>
        <v>1.245919541046788</v>
      </c>
      <c r="S487" s="3"/>
    </row>
    <row r="488" spans="1:19" x14ac:dyDescent="0.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99"/>
        <v>0</v>
      </c>
      <c r="G488" s="1">
        <f t="shared" ref="G488:K488" si="513">G477-G499</f>
        <v>0</v>
      </c>
      <c r="H488" s="1">
        <f t="shared" si="513"/>
        <v>0</v>
      </c>
      <c r="I488" s="1">
        <f t="shared" si="513"/>
        <v>0</v>
      </c>
      <c r="J488" s="1">
        <f t="shared" si="513"/>
        <v>0</v>
      </c>
      <c r="K488" s="1">
        <f t="shared" si="513"/>
        <v>0</v>
      </c>
      <c r="L488" s="1">
        <f t="shared" ref="L488:O488" si="514">L477-L499</f>
        <v>0</v>
      </c>
      <c r="M488" s="1">
        <f t="shared" si="514"/>
        <v>0</v>
      </c>
      <c r="N488" s="1">
        <f t="shared" si="514"/>
        <v>0</v>
      </c>
      <c r="O488" s="1">
        <f t="shared" si="514"/>
        <v>0</v>
      </c>
      <c r="P488" s="1">
        <f t="shared" si="502"/>
        <v>0</v>
      </c>
      <c r="Q488" s="1">
        <f t="shared" si="502"/>
        <v>0</v>
      </c>
      <c r="S488" s="3"/>
    </row>
    <row r="489" spans="1:19" x14ac:dyDescent="0.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S489" s="3"/>
    </row>
    <row r="490" spans="1:19" x14ac:dyDescent="0.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0.88586053221022021</v>
      </c>
      <c r="G490" s="1">
        <f t="shared" ref="G490:K490" si="515">G479-G501</f>
        <v>0.90639004438309378</v>
      </c>
      <c r="H490" s="1">
        <f t="shared" si="515"/>
        <v>0.75020382396476148</v>
      </c>
      <c r="I490" s="1">
        <f t="shared" si="515"/>
        <v>3.4122082333055768</v>
      </c>
      <c r="J490" s="1">
        <f t="shared" si="515"/>
        <v>6.3508643744835638</v>
      </c>
      <c r="K490" s="1">
        <f t="shared" si="515"/>
        <v>6.2803574380802321</v>
      </c>
      <c r="L490" s="1">
        <f t="shared" ref="L490:O490" si="516">L479-L501</f>
        <v>6.1761205527187579</v>
      </c>
      <c r="M490" s="1">
        <f t="shared" si="516"/>
        <v>4.3730666351349727</v>
      </c>
      <c r="N490" s="1">
        <f t="shared" si="516"/>
        <v>4.3777705733984735</v>
      </c>
      <c r="O490" s="1">
        <f t="shared" si="516"/>
        <v>4.4820407821042387</v>
      </c>
      <c r="P490" s="1">
        <f>P479-P501</f>
        <v>4.8655423453297351</v>
      </c>
      <c r="Q490" s="1">
        <f>Q479-Q501</f>
        <v>5.1494290036681951</v>
      </c>
      <c r="S490" s="3"/>
    </row>
    <row r="491" spans="1:19" x14ac:dyDescent="0.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517">G480-G502</f>
        <v>0</v>
      </c>
      <c r="H491" s="1">
        <f t="shared" si="517"/>
        <v>0</v>
      </c>
      <c r="I491" s="1">
        <f t="shared" si="517"/>
        <v>1.5335653398478601E-3</v>
      </c>
      <c r="J491" s="1">
        <f t="shared" si="517"/>
        <v>4.6939939794561252E-3</v>
      </c>
      <c r="K491" s="1">
        <f t="shared" si="517"/>
        <v>4.5267700289570228E-3</v>
      </c>
      <c r="L491" s="1">
        <f t="shared" ref="L491:O491" si="518">L480-L502</f>
        <v>3.3407214981859591E-3</v>
      </c>
      <c r="M491" s="1">
        <f t="shared" si="518"/>
        <v>7.7812740511717278E-3</v>
      </c>
      <c r="N491" s="1">
        <f t="shared" si="518"/>
        <v>7.8782635387787923E-3</v>
      </c>
      <c r="O491" s="1">
        <f t="shared" si="518"/>
        <v>1.6251982169701123E-2</v>
      </c>
      <c r="P491" s="1">
        <f>P480-P502</f>
        <v>1.2452990601102281E-2</v>
      </c>
      <c r="Q491" s="1">
        <f>Q480-Q502</f>
        <v>2.6805666329192099E-2</v>
      </c>
      <c r="S491" s="3"/>
    </row>
    <row r="492" spans="1:19" x14ac:dyDescent="0.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1.6368822672534011</v>
      </c>
      <c r="G492" s="1">
        <f t="shared" ref="G492:K492" si="519">SUM(G493:G502)</f>
        <v>1.8420950857199261</v>
      </c>
      <c r="H492" s="1">
        <f t="shared" si="519"/>
        <v>1.8504943415005595</v>
      </c>
      <c r="I492" s="1">
        <f t="shared" si="519"/>
        <v>1.908409811916044</v>
      </c>
      <c r="J492" s="1">
        <f t="shared" si="519"/>
        <v>1.814778613901779</v>
      </c>
      <c r="K492" s="1">
        <f t="shared" si="519"/>
        <v>1.5991237549138431</v>
      </c>
      <c r="L492" s="1">
        <f t="shared" ref="L492:O492" si="520">SUM(L493:L502)</f>
        <v>1.5276736178681456</v>
      </c>
      <c r="M492" s="1">
        <f t="shared" si="520"/>
        <v>1.4709762667724275</v>
      </c>
      <c r="N492" s="1">
        <f t="shared" si="520"/>
        <v>1.4604040998959094</v>
      </c>
      <c r="O492" s="1">
        <f t="shared" si="520"/>
        <v>1.4672176478419003</v>
      </c>
      <c r="P492" s="1">
        <f>SUM(P493:P502)</f>
        <v>1.4798864860199077</v>
      </c>
      <c r="Q492" s="1">
        <f>SUM(Q493:Q502)</f>
        <v>1.5454630208423865</v>
      </c>
      <c r="R492" s="8"/>
      <c r="S492" s="3"/>
    </row>
    <row r="493" spans="1:19" x14ac:dyDescent="0.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521">IFERROR(F348/F316,0)*F471</f>
        <v>2.7697906272605089E-2</v>
      </c>
      <c r="G493" s="1">
        <f t="shared" ref="G493:K493" si="522">IFERROR(G348/G316,0)*G471</f>
        <v>6.0351470228106894E-3</v>
      </c>
      <c r="H493" s="1">
        <f t="shared" si="522"/>
        <v>7.7993735066198416E-3</v>
      </c>
      <c r="I493" s="1">
        <f t="shared" si="522"/>
        <v>4.4765469121781011E-2</v>
      </c>
      <c r="J493" s="1">
        <f t="shared" si="522"/>
        <v>2.9435243599470067E-2</v>
      </c>
      <c r="K493" s="1">
        <f t="shared" si="522"/>
        <v>5.7631460299584301E-3</v>
      </c>
      <c r="L493" s="1">
        <f t="shared" ref="L493:O493" si="523">IFERROR(L348/L316,0)*L471</f>
        <v>2.9719293751439978E-3</v>
      </c>
      <c r="M493" s="1">
        <f t="shared" si="523"/>
        <v>1.7010047097281247E-3</v>
      </c>
      <c r="N493" s="1">
        <f t="shared" si="523"/>
        <v>9.7675509571994515E-4</v>
      </c>
      <c r="O493" s="1">
        <f t="shared" si="523"/>
        <v>1.4564627920225406E-3</v>
      </c>
      <c r="P493" s="1">
        <f t="shared" ref="P493:Q499" si="524">IFERROR(P348/P316,0)*P471</f>
        <v>2.4744062093605113E-3</v>
      </c>
      <c r="Q493" s="1">
        <f t="shared" si="524"/>
        <v>2.7926351042876088E-3</v>
      </c>
      <c r="S493" s="3"/>
    </row>
    <row r="494" spans="1:19" x14ac:dyDescent="0.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521"/>
        <v>0</v>
      </c>
      <c r="G494" s="1">
        <f t="shared" ref="G494:K494" si="525">IFERROR(G349/G317,0)*G472</f>
        <v>0</v>
      </c>
      <c r="H494" s="1">
        <f t="shared" si="525"/>
        <v>0</v>
      </c>
      <c r="I494" s="1">
        <f t="shared" si="525"/>
        <v>0</v>
      </c>
      <c r="J494" s="1">
        <f t="shared" si="525"/>
        <v>0</v>
      </c>
      <c r="K494" s="1">
        <f t="shared" si="525"/>
        <v>0</v>
      </c>
      <c r="L494" s="1">
        <f t="shared" ref="L494:O494" si="526">IFERROR(L349/L317,0)*L472</f>
        <v>0</v>
      </c>
      <c r="M494" s="1">
        <f t="shared" si="526"/>
        <v>0</v>
      </c>
      <c r="N494" s="1">
        <f t="shared" si="526"/>
        <v>0</v>
      </c>
      <c r="O494" s="1">
        <f t="shared" si="526"/>
        <v>0</v>
      </c>
      <c r="P494" s="1">
        <f t="shared" si="524"/>
        <v>0</v>
      </c>
      <c r="Q494" s="1">
        <f t="shared" si="524"/>
        <v>0</v>
      </c>
      <c r="S494" s="3"/>
    </row>
    <row r="495" spans="1:19" x14ac:dyDescent="0.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521"/>
        <v>0</v>
      </c>
      <c r="G495" s="1">
        <f t="shared" ref="G495:K495" si="527">IFERROR(G350/G318,0)*G473</f>
        <v>0</v>
      </c>
      <c r="H495" s="1">
        <f t="shared" si="527"/>
        <v>0</v>
      </c>
      <c r="I495" s="1">
        <f t="shared" si="527"/>
        <v>0</v>
      </c>
      <c r="J495" s="1">
        <f t="shared" si="527"/>
        <v>0</v>
      </c>
      <c r="K495" s="1">
        <f t="shared" si="527"/>
        <v>0</v>
      </c>
      <c r="L495" s="1">
        <f t="shared" ref="L495:O495" si="528">IFERROR(L350/L318,0)*L473</f>
        <v>0</v>
      </c>
      <c r="M495" s="1">
        <f t="shared" si="528"/>
        <v>0</v>
      </c>
      <c r="N495" s="1">
        <f t="shared" si="528"/>
        <v>0</v>
      </c>
      <c r="O495" s="1">
        <f t="shared" si="528"/>
        <v>0</v>
      </c>
      <c r="P495" s="1">
        <f t="shared" si="524"/>
        <v>0</v>
      </c>
      <c r="Q495" s="1">
        <f t="shared" si="524"/>
        <v>0</v>
      </c>
      <c r="S495" s="3"/>
    </row>
    <row r="496" spans="1:19" x14ac:dyDescent="0.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521"/>
        <v>1.8352327576304378E-3</v>
      </c>
      <c r="G496" s="1">
        <f t="shared" ref="G496:K496" si="529">IFERROR(G351/G319,0)*G474</f>
        <v>4.8208150109418246E-4</v>
      </c>
      <c r="H496" s="1">
        <f t="shared" si="529"/>
        <v>4.3621358466636017E-3</v>
      </c>
      <c r="I496" s="1">
        <f t="shared" si="529"/>
        <v>1.8190517398970075E-3</v>
      </c>
      <c r="J496" s="1">
        <f t="shared" si="529"/>
        <v>2.9500650115661877E-3</v>
      </c>
      <c r="K496" s="1">
        <f t="shared" si="529"/>
        <v>2.1616901057582242E-3</v>
      </c>
      <c r="L496" s="1">
        <f t="shared" ref="L496:O496" si="530">IFERROR(L351/L319,0)*L474</f>
        <v>1.75372905420054E-3</v>
      </c>
      <c r="M496" s="1">
        <f t="shared" si="530"/>
        <v>2.3302321979691101E-3</v>
      </c>
      <c r="N496" s="1">
        <f t="shared" si="530"/>
        <v>1.7667900462364271E-3</v>
      </c>
      <c r="O496" s="1">
        <f t="shared" si="530"/>
        <v>2.0799001212449411E-3</v>
      </c>
      <c r="P496" s="1">
        <f t="shared" si="524"/>
        <v>6.2487679033364522E-3</v>
      </c>
      <c r="Q496" s="1">
        <f t="shared" si="524"/>
        <v>6.9512985402452963E-3</v>
      </c>
      <c r="S496" s="3"/>
    </row>
    <row r="497" spans="1:19" x14ac:dyDescent="0.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521"/>
        <v>0</v>
      </c>
      <c r="G497" s="1">
        <f t="shared" ref="G497:K497" si="531">IFERROR(G352/G320,0)*G475</f>
        <v>0</v>
      </c>
      <c r="H497" s="1">
        <f t="shared" si="531"/>
        <v>0</v>
      </c>
      <c r="I497" s="1">
        <f t="shared" si="531"/>
        <v>0</v>
      </c>
      <c r="J497" s="1">
        <f t="shared" si="531"/>
        <v>0</v>
      </c>
      <c r="K497" s="1">
        <f t="shared" si="531"/>
        <v>0</v>
      </c>
      <c r="L497" s="1">
        <f t="shared" ref="L497:O497" si="532">IFERROR(L352/L320,0)*L475</f>
        <v>0</v>
      </c>
      <c r="M497" s="1">
        <f t="shared" si="532"/>
        <v>0</v>
      </c>
      <c r="N497" s="1">
        <f t="shared" si="532"/>
        <v>0</v>
      </c>
      <c r="O497" s="1">
        <f t="shared" si="532"/>
        <v>0</v>
      </c>
      <c r="P497" s="1">
        <f t="shared" si="524"/>
        <v>0</v>
      </c>
      <c r="Q497" s="1">
        <f t="shared" si="524"/>
        <v>0</v>
      </c>
      <c r="S497" s="3"/>
    </row>
    <row r="498" spans="1:19" x14ac:dyDescent="0.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521"/>
        <v>2.4474882695330897E-3</v>
      </c>
      <c r="G498" s="1">
        <f t="shared" ref="G498:K498" si="533">IFERROR(G353/G321,0)*G476</f>
        <v>2.609068524463634E-3</v>
      </c>
      <c r="H498" s="1">
        <f t="shared" si="533"/>
        <v>2.5020377702180092E-2</v>
      </c>
      <c r="I498" s="1">
        <f t="shared" si="533"/>
        <v>5.9157960746575658E-2</v>
      </c>
      <c r="J498" s="1">
        <f t="shared" si="533"/>
        <v>4.6209818965186673E-2</v>
      </c>
      <c r="K498" s="1">
        <f t="shared" si="533"/>
        <v>3.7972667327671183E-2</v>
      </c>
      <c r="L498" s="1">
        <f t="shared" ref="L498:O498" si="534">IFERROR(L353/L321,0)*L476</f>
        <v>2.6877627338189096E-2</v>
      </c>
      <c r="M498" s="1">
        <f t="shared" si="534"/>
        <v>2.4452926912488088E-2</v>
      </c>
      <c r="N498" s="1">
        <f t="shared" si="534"/>
        <v>2.2216350557918953E-2</v>
      </c>
      <c r="O498" s="1">
        <f t="shared" si="534"/>
        <v>2.1845500756643849E-2</v>
      </c>
      <c r="P498" s="1">
        <f t="shared" si="524"/>
        <v>2.011500753667754E-2</v>
      </c>
      <c r="Q498" s="1">
        <f t="shared" si="524"/>
        <v>2.0303364879954041E-2</v>
      </c>
      <c r="S498" s="3"/>
    </row>
    <row r="499" spans="1:19" x14ac:dyDescent="0.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521"/>
        <v>0</v>
      </c>
      <c r="G499" s="1">
        <f t="shared" ref="G499:K499" si="535">IFERROR(G354/G322,0)*G477</f>
        <v>0</v>
      </c>
      <c r="H499" s="1">
        <f t="shared" si="535"/>
        <v>0</v>
      </c>
      <c r="I499" s="1">
        <f t="shared" si="535"/>
        <v>0</v>
      </c>
      <c r="J499" s="1">
        <f t="shared" si="535"/>
        <v>0</v>
      </c>
      <c r="K499" s="1">
        <f t="shared" si="535"/>
        <v>0</v>
      </c>
      <c r="L499" s="1">
        <f t="shared" ref="L499:O499" si="536">IFERROR(L354/L322,0)*L477</f>
        <v>0</v>
      </c>
      <c r="M499" s="1">
        <f t="shared" si="536"/>
        <v>0</v>
      </c>
      <c r="N499" s="1">
        <f t="shared" si="536"/>
        <v>0</v>
      </c>
      <c r="O499" s="1">
        <f t="shared" si="536"/>
        <v>0</v>
      </c>
      <c r="P499" s="1">
        <f t="shared" si="524"/>
        <v>0</v>
      </c>
      <c r="Q499" s="1">
        <f t="shared" si="524"/>
        <v>0</v>
      </c>
      <c r="S499" s="3"/>
    </row>
    <row r="500" spans="1:19" x14ac:dyDescent="0.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1.5807062752067229</v>
      </c>
      <c r="G500" s="1">
        <f t="shared" ref="G500:K500" si="537">G478</f>
        <v>1.7914480789026268</v>
      </c>
      <c r="H500" s="1">
        <f t="shared" si="537"/>
        <v>1.7445484603466606</v>
      </c>
      <c r="I500" s="1">
        <f t="shared" si="537"/>
        <v>1.6540956182330599</v>
      </c>
      <c r="J500" s="1">
        <f t="shared" si="537"/>
        <v>1.5356500758056375</v>
      </c>
      <c r="K500" s="1">
        <f t="shared" si="537"/>
        <v>1.407386447052593</v>
      </c>
      <c r="L500" s="1">
        <f t="shared" ref="L500:O500" si="538">L478</f>
        <v>1.3925514823340426</v>
      </c>
      <c r="M500" s="1">
        <f t="shared" si="538"/>
        <v>1.3748565599954901</v>
      </c>
      <c r="N500" s="1">
        <f t="shared" si="538"/>
        <v>1.372003307273157</v>
      </c>
      <c r="O500" s="1">
        <f t="shared" si="538"/>
        <v>1.37726265048704</v>
      </c>
      <c r="P500" s="1">
        <f>P478</f>
        <v>1.3772982865894468</v>
      </c>
      <c r="Q500" s="1">
        <f>Q478</f>
        <v>1.4310643836103241</v>
      </c>
      <c r="S500" s="3"/>
    </row>
    <row r="501" spans="1:19" x14ac:dyDescent="0.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2.4195364746909434E-2</v>
      </c>
      <c r="G501" s="1">
        <f t="shared" ref="G501:K501" si="539">IFERROR(G356/G324,0)*G479</f>
        <v>4.15207097689307E-2</v>
      </c>
      <c r="H501" s="1">
        <f t="shared" si="539"/>
        <v>6.8763994098435491E-2</v>
      </c>
      <c r="I501" s="1">
        <f t="shared" si="539"/>
        <v>0.14850496876443944</v>
      </c>
      <c r="J501" s="1">
        <f t="shared" si="539"/>
        <v>0.20038530352961376</v>
      </c>
      <c r="K501" s="1">
        <f t="shared" si="539"/>
        <v>0.14573476137181482</v>
      </c>
      <c r="L501" s="1">
        <f t="shared" ref="L501:O501" si="540">IFERROR(L356/L324,0)*L479</f>
        <v>0.1034628857218837</v>
      </c>
      <c r="M501" s="1">
        <f t="shared" si="540"/>
        <v>6.7515408520164286E-2</v>
      </c>
      <c r="N501" s="1">
        <f t="shared" si="540"/>
        <v>6.3326933374112021E-2</v>
      </c>
      <c r="O501" s="1">
        <f t="shared" si="540"/>
        <v>6.4339835971286521E-2</v>
      </c>
      <c r="P501" s="1">
        <f>IFERROR(P356/P324,0)*P479</f>
        <v>7.3561742021268819E-2</v>
      </c>
      <c r="Q501" s="1">
        <f>IFERROR(Q356/Q324,0)*Q479</f>
        <v>8.3914516580301829E-2</v>
      </c>
      <c r="S501" s="3"/>
    </row>
    <row r="502" spans="1:19" x14ac:dyDescent="0.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41">IFERROR(G357/G325,0)*G480</f>
        <v>0</v>
      </c>
      <c r="H502" s="1">
        <f t="shared" si="541"/>
        <v>0</v>
      </c>
      <c r="I502" s="1">
        <f t="shared" si="541"/>
        <v>6.6743310290798977E-5</v>
      </c>
      <c r="J502" s="1">
        <f t="shared" si="541"/>
        <v>1.4810699030491943E-4</v>
      </c>
      <c r="K502" s="1">
        <f t="shared" si="541"/>
        <v>1.050430260473831E-4</v>
      </c>
      <c r="L502" s="1">
        <f t="shared" ref="L502:O502" si="542">IFERROR(L357/L325,0)*L480</f>
        <v>5.5964044685510705E-5</v>
      </c>
      <c r="M502" s="1">
        <f t="shared" si="542"/>
        <v>1.2013443658765585E-4</v>
      </c>
      <c r="N502" s="1">
        <f t="shared" si="542"/>
        <v>1.1396354876510755E-4</v>
      </c>
      <c r="O502" s="1">
        <f t="shared" si="542"/>
        <v>2.3329771366246469E-4</v>
      </c>
      <c r="P502" s="1">
        <f>IFERROR(P357/P325,0)*P480</f>
        <v>1.8827575981758104E-4</v>
      </c>
      <c r="Q502" s="1">
        <f>IFERROR(Q357/Q325,0)*Q480</f>
        <v>4.3682212727366276E-4</v>
      </c>
      <c r="S502" s="3"/>
    </row>
    <row r="503" spans="1:19" x14ac:dyDescent="0.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3.3175213965723782</v>
      </c>
      <c r="G503" s="1">
        <f t="shared" ref="G503:K503" si="543">SUM(G504:G505)</f>
        <v>3.3046637826654628</v>
      </c>
      <c r="H503" s="1">
        <f t="shared" si="543"/>
        <v>4.7995402454684077</v>
      </c>
      <c r="I503" s="1">
        <f t="shared" si="543"/>
        <v>4.6781834044742299</v>
      </c>
      <c r="J503" s="1">
        <f t="shared" si="543"/>
        <v>4.5421762191893009</v>
      </c>
      <c r="K503" s="1">
        <f t="shared" si="543"/>
        <v>4.4136370085830281</v>
      </c>
      <c r="L503" s="1">
        <f t="shared" ref="L503:O503" si="544">SUM(L504:L505)</f>
        <v>4.2525652396889964</v>
      </c>
      <c r="M503" s="1">
        <f t="shared" si="544"/>
        <v>4.0404138024041556</v>
      </c>
      <c r="N503" s="1">
        <f t="shared" si="544"/>
        <v>4.0403547106925677</v>
      </c>
      <c r="O503" s="1">
        <f t="shared" si="544"/>
        <v>4.0404111720954514</v>
      </c>
      <c r="P503" s="1">
        <f>SUM(P504:P505)</f>
        <v>4.040378286221495</v>
      </c>
      <c r="Q503" s="1">
        <f>SUM(Q504:Q505)</f>
        <v>4.0405518924851185</v>
      </c>
      <c r="S503" s="3"/>
    </row>
    <row r="504" spans="1:19" x14ac:dyDescent="0.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3.3175213965723782</v>
      </c>
      <c r="G504" s="6">
        <f>'[1]Electricity and CHPs_IN'!C$44-G363</f>
        <v>3.3046637826654628</v>
      </c>
      <c r="H504" s="6">
        <f>'[1]Electricity and CHPs_IN'!D$44-H363</f>
        <v>4.7995402454684077</v>
      </c>
      <c r="I504" s="6">
        <f>'[1]Electricity and CHPs_IN'!E$44-I363</f>
        <v>4.6781834044742299</v>
      </c>
      <c r="J504" s="6">
        <f>'[1]Electricity and CHPs_IN'!F$44-J363</f>
        <v>4.5421762191893009</v>
      </c>
      <c r="K504" s="6">
        <f>'[1]Electricity and CHPs_IN'!G$44-K363</f>
        <v>4.4136370085830281</v>
      </c>
      <c r="L504" s="6">
        <f>'[1]Electricity and CHPs_IN'!H$44-L363</f>
        <v>4.2525652396889964</v>
      </c>
      <c r="M504" s="6">
        <f>'[1]Electricity and CHPs_IN'!I$44-M363</f>
        <v>4.0404138024041556</v>
      </c>
      <c r="N504" s="6">
        <f>'[1]Electricity and CHPs_IN'!J$44-N363</f>
        <v>4.0403547106925677</v>
      </c>
      <c r="O504" s="6">
        <f>'[1]Electricity and CHPs_IN'!K$44-O363</f>
        <v>4.0404111720954514</v>
      </c>
      <c r="P504" s="6">
        <f>'[1]Electricity and CHPs_IN'!L$44-P363</f>
        <v>4.040378286221495</v>
      </c>
      <c r="Q504" s="6">
        <f>'[1]Electricity and CHPs_IN'!M$44-Q363</f>
        <v>4.0405518924851185</v>
      </c>
      <c r="S504" s="3"/>
    </row>
    <row r="505" spans="1:19" x14ac:dyDescent="0.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'[1]Electricity and CHPs_IN'!F$45</f>
        <v>0</v>
      </c>
      <c r="K505" s="1">
        <f>'[1]Electricity and CHPs_IN'!G$45</f>
        <v>0</v>
      </c>
      <c r="L505" s="1">
        <f>'[1]Electricity and CHPs_IN'!H$45</f>
        <v>0</v>
      </c>
      <c r="M505" s="1">
        <f>'[1]Electricity and CHPs_IN'!I$45</f>
        <v>0</v>
      </c>
      <c r="N505" s="1">
        <f>'[1]Electricity and CHPs_IN'!J$45</f>
        <v>0</v>
      </c>
      <c r="O505" s="1">
        <f>'[1]Electricity and CHPs_IN'!K$45</f>
        <v>0</v>
      </c>
      <c r="P505" s="1">
        <f>'[1]Electricity and CHPs_IN'!L$45</f>
        <v>0</v>
      </c>
      <c r="Q505" s="1">
        <f>'[1]Electricity and CHPs_IN'!M$45</f>
        <v>0</v>
      </c>
      <c r="S505" s="3"/>
    </row>
    <row r="506" spans="1:19" x14ac:dyDescent="0.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45">SUM(G507:G508)</f>
        <v>0</v>
      </c>
      <c r="H506" s="1">
        <f t="shared" si="545"/>
        <v>0</v>
      </c>
      <c r="I506" s="1">
        <f t="shared" si="545"/>
        <v>0</v>
      </c>
      <c r="J506" s="1">
        <f t="shared" si="545"/>
        <v>0</v>
      </c>
      <c r="K506" s="1">
        <f t="shared" si="545"/>
        <v>0</v>
      </c>
      <c r="L506" s="1">
        <f t="shared" ref="L506:O506" si="546">SUM(L507:L508)</f>
        <v>0</v>
      </c>
      <c r="M506" s="1">
        <f t="shared" si="546"/>
        <v>0</v>
      </c>
      <c r="N506" s="1">
        <f t="shared" si="546"/>
        <v>0</v>
      </c>
      <c r="O506" s="1">
        <f t="shared" si="546"/>
        <v>0</v>
      </c>
      <c r="P506" s="1">
        <f>SUM(P507:P508)</f>
        <v>0</v>
      </c>
      <c r="Q506" s="1">
        <f>SUM(Q507:Q508)</f>
        <v>0</v>
      </c>
      <c r="S506" s="3"/>
    </row>
    <row r="507" spans="1:19" x14ac:dyDescent="0.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S507" s="3"/>
    </row>
    <row r="508" spans="1:19" x14ac:dyDescent="0.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S508" s="3"/>
    </row>
    <row r="509" spans="1:19" x14ac:dyDescent="0.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3.3175213965723782</v>
      </c>
      <c r="G509" s="1">
        <f t="shared" ref="G509:K509" si="547">SUM(G510:G511)</f>
        <v>3.3046637826654628</v>
      </c>
      <c r="H509" s="1">
        <f t="shared" si="547"/>
        <v>4.7995402454684077</v>
      </c>
      <c r="I509" s="1">
        <f t="shared" si="547"/>
        <v>4.6781834044742299</v>
      </c>
      <c r="J509" s="1">
        <f t="shared" si="547"/>
        <v>4.5421762191893009</v>
      </c>
      <c r="K509" s="1">
        <f t="shared" si="547"/>
        <v>4.4136370085830281</v>
      </c>
      <c r="L509" s="1">
        <f t="shared" ref="L509:O509" si="548">SUM(L510:L511)</f>
        <v>4.2525652396889964</v>
      </c>
      <c r="M509" s="1">
        <f t="shared" si="548"/>
        <v>4.0404138024041556</v>
      </c>
      <c r="N509" s="1">
        <f t="shared" si="548"/>
        <v>4.0403547106925677</v>
      </c>
      <c r="O509" s="1">
        <f t="shared" si="548"/>
        <v>4.0404111720954514</v>
      </c>
      <c r="P509" s="1">
        <f>SUM(P510:P511)</f>
        <v>4.040378286221495</v>
      </c>
      <c r="Q509" s="1">
        <f>SUM(Q510:Q511)</f>
        <v>4.0405518924851185</v>
      </c>
      <c r="S509" s="3"/>
    </row>
    <row r="510" spans="1:19" x14ac:dyDescent="0.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3.3175213965723782</v>
      </c>
      <c r="G510" s="1">
        <f t="shared" ref="G510:K510" si="549">G504</f>
        <v>3.3046637826654628</v>
      </c>
      <c r="H510" s="1">
        <f t="shared" si="549"/>
        <v>4.7995402454684077</v>
      </c>
      <c r="I510" s="1">
        <f t="shared" si="549"/>
        <v>4.6781834044742299</v>
      </c>
      <c r="J510" s="1">
        <f t="shared" si="549"/>
        <v>4.5421762191893009</v>
      </c>
      <c r="K510" s="1">
        <f t="shared" si="549"/>
        <v>4.4136370085830281</v>
      </c>
      <c r="L510" s="1">
        <f t="shared" ref="L510:O510" si="550">L504</f>
        <v>4.2525652396889964</v>
      </c>
      <c r="M510" s="1">
        <f t="shared" si="550"/>
        <v>4.0404138024041556</v>
      </c>
      <c r="N510" s="1">
        <f t="shared" si="550"/>
        <v>4.0403547106925677</v>
      </c>
      <c r="O510" s="1">
        <f t="shared" si="550"/>
        <v>4.0404111720954514</v>
      </c>
      <c r="P510" s="1">
        <f>P504</f>
        <v>4.040378286221495</v>
      </c>
      <c r="Q510" s="1">
        <f>Q504</f>
        <v>4.0405518924851185</v>
      </c>
      <c r="S510" s="3"/>
    </row>
    <row r="511" spans="1:19" x14ac:dyDescent="0.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51">G505</f>
        <v>0</v>
      </c>
      <c r="H511" s="1">
        <f t="shared" si="551"/>
        <v>0</v>
      </c>
      <c r="I511" s="1">
        <f t="shared" si="551"/>
        <v>0</v>
      </c>
      <c r="J511" s="1">
        <f t="shared" si="551"/>
        <v>0</v>
      </c>
      <c r="K511" s="1">
        <f t="shared" si="551"/>
        <v>0</v>
      </c>
      <c r="L511" s="1">
        <f t="shared" ref="L511:O511" si="552">L505</f>
        <v>0</v>
      </c>
      <c r="M511" s="1">
        <f t="shared" si="552"/>
        <v>0</v>
      </c>
      <c r="N511" s="1">
        <f t="shared" si="552"/>
        <v>0</v>
      </c>
      <c r="O511" s="1">
        <f t="shared" si="552"/>
        <v>0</v>
      </c>
      <c r="P511" s="1">
        <f>P505</f>
        <v>0</v>
      </c>
      <c r="Q511" s="1">
        <f>Q505</f>
        <v>0</v>
      </c>
      <c r="S511" s="3"/>
    </row>
    <row r="512" spans="1:19" x14ac:dyDescent="0.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0.6943991927534775</v>
      </c>
      <c r="G512" s="1">
        <f t="shared" ref="G512:K512" si="553">SUM(G513:G517)</f>
        <v>1.793311732585495</v>
      </c>
      <c r="H512" s="1">
        <f t="shared" si="553"/>
        <v>3.3954633537237044</v>
      </c>
      <c r="I512" s="1">
        <f t="shared" si="553"/>
        <v>4.0229789107176268</v>
      </c>
      <c r="J512" s="1">
        <f t="shared" si="553"/>
        <v>5.1678219884480985</v>
      </c>
      <c r="K512" s="1">
        <f t="shared" si="553"/>
        <v>6.2813602867711369</v>
      </c>
      <c r="L512" s="1">
        <f t="shared" ref="L512:O512" si="554">SUM(L513:L517)</f>
        <v>8.389309845798218</v>
      </c>
      <c r="M512" s="1">
        <f t="shared" si="554"/>
        <v>10.058945692724162</v>
      </c>
      <c r="N512" s="1">
        <f t="shared" si="554"/>
        <v>10.390925859412656</v>
      </c>
      <c r="O512" s="1">
        <f t="shared" si="554"/>
        <v>10.286028567552702</v>
      </c>
      <c r="P512" s="1">
        <f>SUM(P513:P517)</f>
        <v>10.273855641704877</v>
      </c>
      <c r="Q512" s="1">
        <f>SUM(Q513:Q517)</f>
        <v>10.391434656360316</v>
      </c>
      <c r="S512" s="3"/>
    </row>
    <row r="513" spans="1:19" x14ac:dyDescent="0.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0.6943991927534775</v>
      </c>
      <c r="G513" s="6">
        <f>'[1]Electricity and CHPs_IN'!C$42-G382</f>
        <v>1.793311732585495</v>
      </c>
      <c r="H513" s="6">
        <f>'[1]Electricity and CHPs_IN'!D$42-H382</f>
        <v>3.3954633537237044</v>
      </c>
      <c r="I513" s="6">
        <f>'[1]Electricity and CHPs_IN'!E$42-I382</f>
        <v>3.9593629622041417</v>
      </c>
      <c r="J513" s="6">
        <f>'[1]Electricity and CHPs_IN'!F$42-J382</f>
        <v>5.0907831621866384</v>
      </c>
      <c r="K513" s="6">
        <f>'[1]Electricity and CHPs_IN'!G$42-K382</f>
        <v>6.209767983380619</v>
      </c>
      <c r="L513" s="6">
        <f>'[1]Electricity and CHPs_IN'!H$42-L382</f>
        <v>8.3013888742856174</v>
      </c>
      <c r="M513" s="6">
        <f>'[1]Electricity and CHPs_IN'!I$42-M382</f>
        <v>9.888879363867062</v>
      </c>
      <c r="N513" s="6">
        <f>'[1]Electricity and CHPs_IN'!J$42-N382</f>
        <v>10.242797259567542</v>
      </c>
      <c r="O513" s="6">
        <f>'[1]Electricity and CHPs_IN'!K$42-O382</f>
        <v>10.117109425184246</v>
      </c>
      <c r="P513" s="6">
        <f>'[1]Electricity and CHPs_IN'!L$42-P382</f>
        <v>10.116931689953383</v>
      </c>
      <c r="Q513" s="6">
        <f>'[1]Electricity and CHPs_IN'!M$42-Q382</f>
        <v>10.103033546947678</v>
      </c>
      <c r="S513" s="3"/>
    </row>
    <row r="514" spans="1:19" x14ac:dyDescent="0.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'[1]Electricity and CHPs_IN'!F$43-J383</f>
        <v>0</v>
      </c>
      <c r="K514" s="1">
        <f>'[1]Electricity and CHPs_IN'!G$43-K383</f>
        <v>1.2085134416319702E-3</v>
      </c>
      <c r="L514" s="1">
        <f>'[1]Electricity and CHPs_IN'!H$43-L383</f>
        <v>1.496581287713152E-3</v>
      </c>
      <c r="M514" s="1">
        <f>'[1]Electricity and CHPs_IN'!I$43-M383</f>
        <v>3.2046331678088902E-3</v>
      </c>
      <c r="N514" s="1">
        <f>'[1]Electricity and CHPs_IN'!J$43-N383</f>
        <v>1.6578447501864851E-3</v>
      </c>
      <c r="O514" s="1">
        <f>'[1]Electricity and CHPs_IN'!K$43-O383</f>
        <v>3.0373810344426905E-3</v>
      </c>
      <c r="P514" s="1">
        <f>'[1]Electricity and CHPs_IN'!L$43-P383</f>
        <v>2.6656705240534523E-3</v>
      </c>
      <c r="Q514" s="1">
        <f>'[1]Electricity and CHPs_IN'!M$43-Q383</f>
        <v>5.9654387651202788E-3</v>
      </c>
      <c r="S514" s="3"/>
    </row>
    <row r="515" spans="1:19" x14ac:dyDescent="0.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1.3871668089627323E-2</v>
      </c>
      <c r="J515" s="1">
        <f>'[1]Electricity and CHPs_IN'!F$50-J384</f>
        <v>2.448042125146898E-2</v>
      </c>
      <c r="K515" s="1">
        <f>'[1]Electricity and CHPs_IN'!G$50-K384</f>
        <v>2.4200403983124917E-2</v>
      </c>
      <c r="L515" s="1">
        <f>'[1]Electricity and CHPs_IN'!H$50-L384</f>
        <v>2.6144643135616576E-2</v>
      </c>
      <c r="M515" s="1">
        <f>'[1]Electricity and CHPs_IN'!I$50-M384</f>
        <v>5.1863278692707779E-2</v>
      </c>
      <c r="N515" s="1">
        <f>'[1]Electricity and CHPs_IN'!J$50-N384</f>
        <v>4.449805022549877E-2</v>
      </c>
      <c r="O515" s="1">
        <f>'[1]Electricity and CHPs_IN'!K$50-O384</f>
        <v>5.9569457389108814E-2</v>
      </c>
      <c r="P515" s="1">
        <f>'[1]Electricity and CHPs_IN'!L$50-P384</f>
        <v>4.4844504076438446E-2</v>
      </c>
      <c r="Q515" s="1">
        <f>'[1]Electricity and CHPs_IN'!M$50-Q384</f>
        <v>8.139249240975871E-2</v>
      </c>
      <c r="S515" s="3"/>
    </row>
    <row r="516" spans="1:19" x14ac:dyDescent="0.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2.9304395357183995E-2</v>
      </c>
      <c r="J516" s="1">
        <f>'[1]Electricity and CHPs_IN'!F$53-J385</f>
        <v>3.6578408400785439E-2</v>
      </c>
      <c r="K516" s="1">
        <f>'[1]Electricity and CHPs_IN'!G$53-K385</f>
        <v>3.332578259795075E-2</v>
      </c>
      <c r="L516" s="1">
        <f>'[1]Electricity and CHPs_IN'!H$53-L385</f>
        <v>3.9875889402375866E-2</v>
      </c>
      <c r="M516" s="1">
        <f>'[1]Electricity and CHPs_IN'!I$53-M385</f>
        <v>8.5765974104069109E-2</v>
      </c>
      <c r="N516" s="1">
        <f>'[1]Electricity and CHPs_IN'!J$53-N385</f>
        <v>7.6638255527864255E-2</v>
      </c>
      <c r="O516" s="1">
        <f>'[1]Electricity and CHPs_IN'!K$53-O385</f>
        <v>7.3001651505794657E-2</v>
      </c>
      <c r="P516" s="1">
        <f>'[1]Electricity and CHPs_IN'!L$53-P385</f>
        <v>7.5873311576479391E-2</v>
      </c>
      <c r="Q516" s="1">
        <f>'[1]Electricity and CHPs_IN'!M$53-Q385</f>
        <v>0.13363888409986607</v>
      </c>
      <c r="S516" s="3"/>
    </row>
    <row r="517" spans="1:19" x14ac:dyDescent="0.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2.0439885066674254E-2</v>
      </c>
      <c r="J517" s="1">
        <f>'[1]Electricity and CHPs_IN'!F$56-J386</f>
        <v>1.5979996609205384E-2</v>
      </c>
      <c r="K517" s="1">
        <f>'[1]Electricity and CHPs_IN'!G$56-K386</f>
        <v>1.2857603367811487E-2</v>
      </c>
      <c r="L517" s="1">
        <f>'[1]Electricity and CHPs_IN'!H$56-L386</f>
        <v>2.0403857686895753E-2</v>
      </c>
      <c r="M517" s="1">
        <f>'[1]Electricity and CHPs_IN'!I$56-M386</f>
        <v>2.9232442892516655E-2</v>
      </c>
      <c r="N517" s="1">
        <f>'[1]Electricity and CHPs_IN'!J$56-N386</f>
        <v>2.5334449341563051E-2</v>
      </c>
      <c r="O517" s="1">
        <f>'[1]Electricity and CHPs_IN'!K$56-O386</f>
        <v>3.3310652439109092E-2</v>
      </c>
      <c r="P517" s="1">
        <f>'[1]Electricity and CHPs_IN'!L$56-P386</f>
        <v>3.3540465574523171E-2</v>
      </c>
      <c r="Q517" s="1">
        <f>'[1]Electricity and CHPs_IN'!M$56-Q386</f>
        <v>6.7404294137892146E-2</v>
      </c>
      <c r="S517" s="3"/>
    </row>
    <row r="518" spans="1:19" x14ac:dyDescent="0.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55">SUM(G519:G520)</f>
        <v>0</v>
      </c>
      <c r="H518" s="1">
        <f t="shared" si="555"/>
        <v>0</v>
      </c>
      <c r="I518" s="1">
        <f t="shared" si="555"/>
        <v>7.1345589794891973E-3</v>
      </c>
      <c r="J518" s="1">
        <f t="shared" si="555"/>
        <v>1.7572443338899076E-2</v>
      </c>
      <c r="K518" s="1">
        <f t="shared" si="555"/>
        <v>2.281717750672077E-2</v>
      </c>
      <c r="L518" s="1">
        <f t="shared" ref="L518:O518" si="556">SUM(L519:L520)</f>
        <v>2.2000443831352218E-2</v>
      </c>
      <c r="M518" s="1">
        <f t="shared" si="556"/>
        <v>5.1189786196047374E-2</v>
      </c>
      <c r="N518" s="1">
        <f t="shared" si="556"/>
        <v>4.650085193939997E-2</v>
      </c>
      <c r="O518" s="1">
        <f t="shared" si="556"/>
        <v>0.11699332591261141</v>
      </c>
      <c r="P518" s="1">
        <f>SUM(P519:P520)</f>
        <v>0.1059585921805182</v>
      </c>
      <c r="Q518" s="1">
        <f>SUM(Q519:Q520)</f>
        <v>0.14930706984915748</v>
      </c>
      <c r="S518" s="3"/>
    </row>
    <row r="519" spans="1:19" x14ac:dyDescent="0.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4.1967812939424556E-3</v>
      </c>
      <c r="J519" s="1">
        <f>'[1]Electricity and CHPs_IN'!F$46-J399</f>
        <v>1.1270433266949157E-2</v>
      </c>
      <c r="K519" s="1">
        <f>'[1]Electricity and CHPs_IN'!G$46-K399</f>
        <v>1.6521520893398901E-2</v>
      </c>
      <c r="L519" s="1">
        <f>'[1]Electricity and CHPs_IN'!H$46-L399</f>
        <v>1.4676139168654727E-2</v>
      </c>
      <c r="M519" s="1">
        <f>'[1]Electricity and CHPs_IN'!I$46-M399</f>
        <v>3.473798139423058E-2</v>
      </c>
      <c r="N519" s="1">
        <f>'[1]Electricity and CHPs_IN'!J$46-N399</f>
        <v>3.1216309126421427E-2</v>
      </c>
      <c r="O519" s="1">
        <f>'[1]Electricity and CHPs_IN'!K$46-O399</f>
        <v>8.2286521608710167E-2</v>
      </c>
      <c r="P519" s="1">
        <f>'[1]Electricity and CHPs_IN'!L$46-P399</f>
        <v>7.920160804789772E-2</v>
      </c>
      <c r="Q519" s="1">
        <f>'[1]Electricity and CHPs_IN'!M$46-Q399</f>
        <v>0.1016791334712413</v>
      </c>
      <c r="S519" s="3"/>
    </row>
    <row r="520" spans="1:19" x14ac:dyDescent="0.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2.9377776855467417E-3</v>
      </c>
      <c r="J520" s="1">
        <f>'[1]Electricity and CHPs_IN'!F$57-J400</f>
        <v>6.3020100719499185E-3</v>
      </c>
      <c r="K520" s="1">
        <f>'[1]Electricity and CHPs_IN'!G$57-K400</f>
        <v>6.2956566133218692E-3</v>
      </c>
      <c r="L520" s="1">
        <f>'[1]Electricity and CHPs_IN'!H$57-L400</f>
        <v>7.3243046626974891E-3</v>
      </c>
      <c r="M520" s="1">
        <f>'[1]Electricity and CHPs_IN'!I$57-M400</f>
        <v>1.6451804801816797E-2</v>
      </c>
      <c r="N520" s="1">
        <f>'[1]Electricity and CHPs_IN'!J$57-N400</f>
        <v>1.5284542812978544E-2</v>
      </c>
      <c r="O520" s="1">
        <f>'[1]Electricity and CHPs_IN'!K$57-O400</f>
        <v>3.4706804303901238E-2</v>
      </c>
      <c r="P520" s="1">
        <f>'[1]Electricity and CHPs_IN'!L$57-P400</f>
        <v>2.6756984132620475E-2</v>
      </c>
      <c r="Q520" s="1">
        <f>'[1]Electricity and CHPs_IN'!M$57-Q400</f>
        <v>4.7627936377916166E-2</v>
      </c>
      <c r="S520" s="3"/>
    </row>
    <row r="521" spans="1:19" x14ac:dyDescent="0.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M521" s="12" t="s">
        <v>292</v>
      </c>
      <c r="N521" s="12" t="s">
        <v>292</v>
      </c>
      <c r="O521" s="12" t="s">
        <v>292</v>
      </c>
      <c r="P521" s="12" t="s">
        <v>292</v>
      </c>
      <c r="Q521" s="12" t="s">
        <v>292</v>
      </c>
      <c r="S521" s="3"/>
    </row>
    <row r="522" spans="1:19" x14ac:dyDescent="0.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57">IFERROR(F65/F293,"-")</f>
        <v>0.32978917177755557</v>
      </c>
      <c r="G522" s="13">
        <f t="shared" si="557"/>
        <v>0.32669883602073385</v>
      </c>
      <c r="H522" s="13">
        <f t="shared" si="557"/>
        <v>0.32598948768499009</v>
      </c>
      <c r="I522" s="13">
        <f t="shared" si="557"/>
        <v>0.32988579466100509</v>
      </c>
      <c r="J522" s="13">
        <f t="shared" si="557"/>
        <v>0.33024272501355512</v>
      </c>
      <c r="K522" s="13">
        <f t="shared" si="557"/>
        <v>0.33157933201783185</v>
      </c>
      <c r="L522" s="13">
        <f t="shared" ref="L522:O522" si="558">IFERROR(L65/L293,"-")</f>
        <v>0.25523430924834362</v>
      </c>
      <c r="M522" s="13">
        <f t="shared" si="558"/>
        <v>0.25900030403128527</v>
      </c>
      <c r="N522" s="13">
        <f t="shared" si="558"/>
        <v>0.26552374084899133</v>
      </c>
      <c r="O522" s="13">
        <f t="shared" si="558"/>
        <v>0.26347880731296514</v>
      </c>
      <c r="P522" s="13">
        <f>IFERROR(P65/P293,"-")</f>
        <v>0.26505662850685913</v>
      </c>
      <c r="Q522" s="13">
        <f>IFERROR(Q65/Q293,"-")</f>
        <v>0.27557573433487836</v>
      </c>
      <c r="S522" s="3"/>
    </row>
    <row r="523" spans="1:19" x14ac:dyDescent="0.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59">IFERROR(F67/F295,"-")</f>
        <v>1</v>
      </c>
      <c r="G523" s="13">
        <f t="shared" si="559"/>
        <v>1</v>
      </c>
      <c r="H523" s="13">
        <f t="shared" si="559"/>
        <v>1</v>
      </c>
      <c r="I523" s="13">
        <f t="shared" si="559"/>
        <v>1</v>
      </c>
      <c r="J523" s="13">
        <f t="shared" si="559"/>
        <v>1</v>
      </c>
      <c r="K523" s="13">
        <f t="shared" si="559"/>
        <v>1</v>
      </c>
      <c r="L523" s="13">
        <f t="shared" ref="L523:O523" si="560">IFERROR(L67/L295,"-")</f>
        <v>1</v>
      </c>
      <c r="M523" s="13">
        <f t="shared" si="560"/>
        <v>1</v>
      </c>
      <c r="N523" s="13">
        <f t="shared" si="560"/>
        <v>1</v>
      </c>
      <c r="O523" s="13">
        <f t="shared" si="560"/>
        <v>1</v>
      </c>
      <c r="P523" s="13">
        <f t="shared" ref="P523:Q525" si="561">IFERROR(P67/P295,"-")</f>
        <v>1</v>
      </c>
      <c r="Q523" s="13">
        <f t="shared" si="561"/>
        <v>1</v>
      </c>
      <c r="S523" s="3"/>
    </row>
    <row r="524" spans="1:19" x14ac:dyDescent="0.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59"/>
        <v>1</v>
      </c>
      <c r="G524" s="13">
        <f t="shared" si="559"/>
        <v>1</v>
      </c>
      <c r="H524" s="13">
        <f t="shared" si="559"/>
        <v>1</v>
      </c>
      <c r="I524" s="13">
        <f t="shared" si="559"/>
        <v>1</v>
      </c>
      <c r="J524" s="13">
        <f t="shared" si="559"/>
        <v>1</v>
      </c>
      <c r="K524" s="13">
        <f t="shared" si="559"/>
        <v>1</v>
      </c>
      <c r="L524" s="13">
        <f t="shared" ref="L524:O524" si="562">IFERROR(L68/L296,"-")</f>
        <v>1</v>
      </c>
      <c r="M524" s="13">
        <f t="shared" si="562"/>
        <v>1</v>
      </c>
      <c r="N524" s="13">
        <f t="shared" si="562"/>
        <v>1</v>
      </c>
      <c r="O524" s="13">
        <f t="shared" si="562"/>
        <v>1</v>
      </c>
      <c r="P524" s="13">
        <f t="shared" si="561"/>
        <v>1</v>
      </c>
      <c r="Q524" s="13">
        <f t="shared" si="561"/>
        <v>1</v>
      </c>
      <c r="S524" s="3"/>
    </row>
    <row r="525" spans="1:19" x14ac:dyDescent="0.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59"/>
        <v>0.79999972153928023</v>
      </c>
      <c r="G525" s="13">
        <f t="shared" si="559"/>
        <v>0.79999983923655893</v>
      </c>
      <c r="H525" s="13">
        <f t="shared" si="559"/>
        <v>0.79999992708790246</v>
      </c>
      <c r="I525" s="13">
        <f t="shared" si="559"/>
        <v>0.79999994305924627</v>
      </c>
      <c r="J525" s="13">
        <f t="shared" si="559"/>
        <v>0.79999985389312545</v>
      </c>
      <c r="K525" s="13">
        <f t="shared" si="559"/>
        <v>0.80000005434811883</v>
      </c>
      <c r="L525" s="13">
        <f t="shared" ref="L525:O525" si="563">IFERROR(L69/L297,"-")</f>
        <v>0.80000010854715264</v>
      </c>
      <c r="M525" s="13">
        <f t="shared" si="563"/>
        <v>0.80000005872408231</v>
      </c>
      <c r="N525" s="13">
        <f t="shared" si="563"/>
        <v>0.80000004582396655</v>
      </c>
      <c r="O525" s="13">
        <f t="shared" si="563"/>
        <v>0.80000007344256974</v>
      </c>
      <c r="P525" s="13">
        <f t="shared" si="561"/>
        <v>0.80000006460149853</v>
      </c>
      <c r="Q525" s="13">
        <f t="shared" si="561"/>
        <v>0.80000011261236115</v>
      </c>
      <c r="S525" s="3"/>
    </row>
    <row r="526" spans="1:19" x14ac:dyDescent="0.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0.2945437179214408</v>
      </c>
      <c r="G526" s="13">
        <f t="shared" ref="G526:K526" si="564">IFERROR(G71/G299,"-")</f>
        <v>0.16025624667589694</v>
      </c>
      <c r="H526" s="13">
        <f t="shared" si="564"/>
        <v>0.29539215870511476</v>
      </c>
      <c r="I526" s="13">
        <f t="shared" si="564"/>
        <v>0.30670045168656429</v>
      </c>
      <c r="J526" s="13">
        <f t="shared" si="564"/>
        <v>0.30256315303834985</v>
      </c>
      <c r="K526" s="13">
        <f t="shared" si="564"/>
        <v>0.31355970886444845</v>
      </c>
      <c r="L526" s="13">
        <f t="shared" ref="L526:O526" si="565">IFERROR(L71/L299,"-")</f>
        <v>0.32611253149219699</v>
      </c>
      <c r="M526" s="13">
        <f t="shared" si="565"/>
        <v>0.32541682060046567</v>
      </c>
      <c r="N526" s="13">
        <f t="shared" si="565"/>
        <v>0.32099685165011371</v>
      </c>
      <c r="O526" s="13">
        <f t="shared" si="565"/>
        <v>0.3269743426077768</v>
      </c>
      <c r="P526" s="13">
        <f>IFERROR(P71/P299,"-")</f>
        <v>0.32020972535188524</v>
      </c>
      <c r="Q526" s="13">
        <f>IFERROR(Q71/Q299,"-")</f>
        <v>0.32447976086349356</v>
      </c>
      <c r="S526" s="3"/>
    </row>
    <row r="527" spans="1:19" x14ac:dyDescent="0.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5.845070906102922E-2</v>
      </c>
      <c r="G527" s="13">
        <f t="shared" ref="G527:K527" si="566">IFERROR(G72/(G300+G413),"-")</f>
        <v>6.9234254423274688E-2</v>
      </c>
      <c r="H527" s="13">
        <f t="shared" si="566"/>
        <v>9.5456438392515816E-2</v>
      </c>
      <c r="I527" s="13">
        <f t="shared" si="566"/>
        <v>0.10403589762974839</v>
      </c>
      <c r="J527" s="13">
        <f t="shared" si="566"/>
        <v>0.10413666984161257</v>
      </c>
      <c r="K527" s="13">
        <f t="shared" si="566"/>
        <v>0.10777943218136062</v>
      </c>
      <c r="L527" s="13">
        <f t="shared" ref="L527:O527" si="567">IFERROR(L72/(L300+L413),"-")</f>
        <v>0.10409780536574383</v>
      </c>
      <c r="M527" s="13">
        <f t="shared" si="567"/>
        <v>0.10029188267330136</v>
      </c>
      <c r="N527" s="13">
        <f t="shared" si="567"/>
        <v>0.10362382344371243</v>
      </c>
      <c r="O527" s="13">
        <f t="shared" si="567"/>
        <v>0.10082346864283574</v>
      </c>
      <c r="P527" s="13">
        <f>IFERROR(P72/(P300+P413),"-")</f>
        <v>0.10044196667620023</v>
      </c>
      <c r="Q527" s="13">
        <f>IFERROR(Q72/(Q300+Q413),"-")</f>
        <v>9.5369939341288693E-2</v>
      </c>
      <c r="S527" s="3"/>
    </row>
    <row r="528" spans="1:19" x14ac:dyDescent="0.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0.23015007930977033</v>
      </c>
      <c r="G528" s="13">
        <f t="shared" ref="G528:K528" si="568">IFERROR(G73/(G301+G465),"-")</f>
        <v>0.24661081038601695</v>
      </c>
      <c r="H528" s="13">
        <f t="shared" si="568"/>
        <v>0.20034189629440083</v>
      </c>
      <c r="I528" s="13">
        <f t="shared" si="568"/>
        <v>0.2624461571088329</v>
      </c>
      <c r="J528" s="13">
        <f t="shared" si="568"/>
        <v>0.26275312400896994</v>
      </c>
      <c r="K528" s="13">
        <f t="shared" si="568"/>
        <v>0.25796179901845084</v>
      </c>
      <c r="L528" s="13">
        <f t="shared" ref="L528:O528" si="569">IFERROR(L73/(L301+L465),"-")</f>
        <v>0.25440175028664702</v>
      </c>
      <c r="M528" s="13">
        <f t="shared" si="569"/>
        <v>0.24825773321657849</v>
      </c>
      <c r="N528" s="13">
        <f t="shared" si="569"/>
        <v>0.25225814899950971</v>
      </c>
      <c r="O528" s="13">
        <f t="shared" si="569"/>
        <v>0.25074823604994922</v>
      </c>
      <c r="P528" s="13">
        <f>IFERROR(P73/(P301+P465),"-")</f>
        <v>0.25224906627155375</v>
      </c>
      <c r="Q528" s="13">
        <f>IFERROR(Q73/(Q301+Q465),"-")</f>
        <v>0.24461137272959749</v>
      </c>
      <c r="S528" s="3"/>
    </row>
    <row r="529" spans="1:19" x14ac:dyDescent="0.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70">IFERROR(G83/G311,"-")</f>
        <v>-</v>
      </c>
      <c r="H529" s="13" t="str">
        <f t="shared" si="570"/>
        <v>-</v>
      </c>
      <c r="I529" s="13" t="str">
        <f t="shared" si="570"/>
        <v>-</v>
      </c>
      <c r="J529" s="13" t="str">
        <f t="shared" si="570"/>
        <v>-</v>
      </c>
      <c r="K529" s="13">
        <f t="shared" si="570"/>
        <v>0.60181106260262696</v>
      </c>
      <c r="L529" s="13">
        <f t="shared" ref="L529:O529" si="571">IFERROR(L83/L311,"-")</f>
        <v>0.62492147021973077</v>
      </c>
      <c r="M529" s="13">
        <f t="shared" si="571"/>
        <v>0.62717251579463873</v>
      </c>
      <c r="N529" s="13">
        <f t="shared" si="571"/>
        <v>0.62335045455331883</v>
      </c>
      <c r="O529" s="13">
        <f t="shared" si="571"/>
        <v>0.62339668610188015</v>
      </c>
      <c r="P529" s="13">
        <f t="shared" ref="P529:Q531" si="572">IFERROR(P83/P311,"-")</f>
        <v>0.62335570967801068</v>
      </c>
      <c r="Q529" s="13">
        <f t="shared" si="572"/>
        <v>0.62323550762412294</v>
      </c>
      <c r="S529" s="3"/>
    </row>
    <row r="530" spans="1:19" x14ac:dyDescent="0.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73">IFERROR(G84/G312,"-")</f>
        <v>-</v>
      </c>
      <c r="H530" s="13" t="str">
        <f t="shared" si="573"/>
        <v>-</v>
      </c>
      <c r="I530" s="13" t="str">
        <f t="shared" si="573"/>
        <v>-</v>
      </c>
      <c r="J530" s="13">
        <f t="shared" si="573"/>
        <v>0.39826923481187315</v>
      </c>
      <c r="K530" s="13">
        <f t="shared" si="573"/>
        <v>0.38092802541128024</v>
      </c>
      <c r="L530" s="13">
        <f t="shared" ref="L530:O530" si="574">IFERROR(L84/L312,"-")</f>
        <v>0.4277369101313952</v>
      </c>
      <c r="M530" s="13">
        <f t="shared" si="574"/>
        <v>0.43221558222469603</v>
      </c>
      <c r="N530" s="13">
        <f t="shared" si="574"/>
        <v>0.44182488215024995</v>
      </c>
      <c r="O530" s="13">
        <f t="shared" si="574"/>
        <v>0.43996079520209441</v>
      </c>
      <c r="P530" s="13">
        <f t="shared" si="572"/>
        <v>0.43164942615146795</v>
      </c>
      <c r="Q530" s="13">
        <f t="shared" si="572"/>
        <v>0.43749972212813826</v>
      </c>
      <c r="S530" s="3"/>
    </row>
    <row r="531" spans="1:19" x14ac:dyDescent="0.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75">IFERROR(G85/G313,"-")</f>
        <v>-</v>
      </c>
      <c r="H531" s="13" t="str">
        <f t="shared" si="575"/>
        <v>-</v>
      </c>
      <c r="I531" s="13" t="str">
        <f t="shared" si="575"/>
        <v>-</v>
      </c>
      <c r="J531" s="13" t="str">
        <f t="shared" si="575"/>
        <v>-</v>
      </c>
      <c r="K531" s="13">
        <f t="shared" si="575"/>
        <v>0</v>
      </c>
      <c r="L531" s="13">
        <f t="shared" ref="L531:O531" si="576">IFERROR(L85/L313,"-")</f>
        <v>0</v>
      </c>
      <c r="M531" s="13">
        <f t="shared" si="576"/>
        <v>0</v>
      </c>
      <c r="N531" s="13">
        <f t="shared" si="576"/>
        <v>0</v>
      </c>
      <c r="O531" s="13">
        <f t="shared" si="576"/>
        <v>0</v>
      </c>
      <c r="P531" s="13">
        <f t="shared" si="572"/>
        <v>0</v>
      </c>
      <c r="Q531" s="13">
        <f t="shared" si="572"/>
        <v>0</v>
      </c>
      <c r="S531" s="3"/>
    </row>
    <row r="532" spans="1:19" x14ac:dyDescent="0.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0.26054647637361711</v>
      </c>
      <c r="G532" s="13">
        <f t="shared" ref="G532:K532" si="577">IFERROR(G86/SUM(G314,G419),"-")</f>
        <v>0.20818014824746151</v>
      </c>
      <c r="H532" s="13">
        <f t="shared" si="577"/>
        <v>0.23644183103376865</v>
      </c>
      <c r="I532" s="13">
        <f t="shared" si="577"/>
        <v>0.24645896107064927</v>
      </c>
      <c r="J532" s="13">
        <f t="shared" si="577"/>
        <v>0.24741579218590912</v>
      </c>
      <c r="K532" s="13">
        <f t="shared" si="577"/>
        <v>0.24881925815234116</v>
      </c>
      <c r="L532" s="13">
        <f t="shared" ref="L532:O532" si="578">IFERROR(L86/SUM(L314,L419),"-")</f>
        <v>0.24879237853537151</v>
      </c>
      <c r="M532" s="13">
        <f t="shared" si="578"/>
        <v>0.24681525317220071</v>
      </c>
      <c r="N532" s="13">
        <f t="shared" si="578"/>
        <v>0.24893860093409031</v>
      </c>
      <c r="O532" s="13">
        <f t="shared" si="578"/>
        <v>0.24152877075641302</v>
      </c>
      <c r="P532" s="13">
        <f>IFERROR(P86/SUM(P314,P419),"-")</f>
        <v>0.21883188838286696</v>
      </c>
      <c r="Q532" s="13">
        <f>IFERROR(Q86/SUM(Q314,Q419),"-")</f>
        <v>0.21173103980989694</v>
      </c>
      <c r="S532" s="3"/>
    </row>
    <row r="533" spans="1:19" x14ac:dyDescent="0.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79">IFERROR(G87/SUM(G315,G420),"-")</f>
        <v>-</v>
      </c>
      <c r="H533" s="13" t="str">
        <f t="shared" si="579"/>
        <v>-</v>
      </c>
      <c r="I533" s="13" t="str">
        <f t="shared" si="579"/>
        <v>-</v>
      </c>
      <c r="J533" s="13" t="str">
        <f t="shared" si="579"/>
        <v>-</v>
      </c>
      <c r="K533" s="13">
        <f t="shared" si="579"/>
        <v>0.39999999999999986</v>
      </c>
      <c r="L533" s="13">
        <f t="shared" ref="L533:O533" si="580">IFERROR(L87/SUM(L315,L420),"-")</f>
        <v>0.40000000000000008</v>
      </c>
      <c r="M533" s="13">
        <f t="shared" si="580"/>
        <v>0.40000000000000019</v>
      </c>
      <c r="N533" s="13">
        <f t="shared" si="580"/>
        <v>0.4</v>
      </c>
      <c r="O533" s="13">
        <f t="shared" si="580"/>
        <v>0.40000000000000047</v>
      </c>
      <c r="P533" s="13">
        <f>IFERROR(P87/SUM(P315,P420),"-")</f>
        <v>0.40000000000000013</v>
      </c>
      <c r="Q533" s="13">
        <f>IFERROR(Q87/SUM(Q315,Q420),"-")</f>
        <v>0.39999999999999974</v>
      </c>
      <c r="S533" s="3"/>
    </row>
    <row r="534" spans="1:19" x14ac:dyDescent="0.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0.34622454927318785</v>
      </c>
      <c r="G534" s="13">
        <f t="shared" ref="G534:K534" si="581">IFERROR(G88/SUM(G316,G471),"-'")</f>
        <v>0.35174265852893821</v>
      </c>
      <c r="H534" s="13">
        <f t="shared" si="581"/>
        <v>0.34333656879889068</v>
      </c>
      <c r="I534" s="13">
        <f t="shared" si="581"/>
        <v>0.35979909973032254</v>
      </c>
      <c r="J534" s="13">
        <f t="shared" si="581"/>
        <v>0.35970478187347049</v>
      </c>
      <c r="K534" s="13">
        <f t="shared" si="581"/>
        <v>0.35574550748411188</v>
      </c>
      <c r="L534" s="13">
        <f t="shared" ref="L534:O534" si="582">IFERROR(L88/SUM(L316,L471),"-'")</f>
        <v>0.35254196222558054</v>
      </c>
      <c r="M534" s="13">
        <f t="shared" si="582"/>
        <v>0.34414079640195566</v>
      </c>
      <c r="N534" s="13">
        <f t="shared" si="582"/>
        <v>0.34281763013554101</v>
      </c>
      <c r="O534" s="13">
        <f t="shared" si="582"/>
        <v>0.34371653424264664</v>
      </c>
      <c r="P534" s="13">
        <f>IFERROR(P88/SUM(P316,P471),"-'")</f>
        <v>0.34823284657961301</v>
      </c>
      <c r="Q534" s="13">
        <f>IFERROR(Q88/SUM(Q316,Q471),"-'")</f>
        <v>0.34048898553560636</v>
      </c>
      <c r="S534" s="3"/>
    </row>
    <row r="535" spans="1:19" x14ac:dyDescent="0.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83">IFERROR(F89/SUM(F317,F472),"-")</f>
        <v>-</v>
      </c>
      <c r="G535" s="13" t="str">
        <f t="shared" ref="G535:K535" si="584">IFERROR(G89/SUM(G317,G472),"-")</f>
        <v>-</v>
      </c>
      <c r="H535" s="13" t="str">
        <f t="shared" si="584"/>
        <v>-</v>
      </c>
      <c r="I535" s="13" t="str">
        <f t="shared" si="584"/>
        <v>-</v>
      </c>
      <c r="J535" s="13" t="str">
        <f t="shared" si="584"/>
        <v>-</v>
      </c>
      <c r="K535" s="13">
        <f t="shared" si="584"/>
        <v>0</v>
      </c>
      <c r="L535" s="13">
        <f t="shared" ref="L535:O535" si="585">IFERROR(L89/SUM(L317,L472),"-")</f>
        <v>0</v>
      </c>
      <c r="M535" s="13">
        <f t="shared" si="585"/>
        <v>0</v>
      </c>
      <c r="N535" s="13">
        <f t="shared" si="585"/>
        <v>0</v>
      </c>
      <c r="O535" s="13">
        <f t="shared" si="585"/>
        <v>0</v>
      </c>
      <c r="P535" s="13">
        <f t="shared" ref="P535:Q543" si="586">IFERROR(P89/SUM(P317,P472),"-")</f>
        <v>0</v>
      </c>
      <c r="Q535" s="13">
        <f t="shared" si="586"/>
        <v>0</v>
      </c>
      <c r="S535" s="3"/>
    </row>
    <row r="536" spans="1:19" x14ac:dyDescent="0.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83"/>
        <v>-</v>
      </c>
      <c r="G536" s="13" t="str">
        <f t="shared" ref="G536:K536" si="587">IFERROR(G90/SUM(G318,G473),"-")</f>
        <v>-</v>
      </c>
      <c r="H536" s="13" t="str">
        <f t="shared" si="587"/>
        <v>-</v>
      </c>
      <c r="I536" s="13" t="str">
        <f t="shared" si="587"/>
        <v>-</v>
      </c>
      <c r="J536" s="13" t="str">
        <f t="shared" si="587"/>
        <v>-</v>
      </c>
      <c r="K536" s="13" t="str">
        <f t="shared" si="587"/>
        <v>-</v>
      </c>
      <c r="L536" s="13" t="str">
        <f t="shared" ref="L536:O536" si="588">IFERROR(L90/SUM(L318,L473),"-")</f>
        <v>-</v>
      </c>
      <c r="M536" s="13" t="str">
        <f t="shared" si="588"/>
        <v>-</v>
      </c>
      <c r="N536" s="13" t="str">
        <f t="shared" si="588"/>
        <v>-</v>
      </c>
      <c r="O536" s="13" t="str">
        <f t="shared" si="588"/>
        <v>-</v>
      </c>
      <c r="P536" s="13" t="str">
        <f t="shared" si="586"/>
        <v>-</v>
      </c>
      <c r="Q536" s="13" t="str">
        <f t="shared" si="586"/>
        <v>-</v>
      </c>
      <c r="S536" s="3"/>
    </row>
    <row r="537" spans="1:19" x14ac:dyDescent="0.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83"/>
        <v>0.17718689456689277</v>
      </c>
      <c r="G537" s="13">
        <f t="shared" ref="G537:K537" si="589">IFERROR(G91/SUM(G319,G474),"-")</f>
        <v>0.26723454943509894</v>
      </c>
      <c r="H537" s="13">
        <f t="shared" si="589"/>
        <v>0.23036665692407376</v>
      </c>
      <c r="I537" s="13">
        <f t="shared" si="589"/>
        <v>0.24521937283040168</v>
      </c>
      <c r="J537" s="13">
        <f t="shared" si="589"/>
        <v>0.24749143571740245</v>
      </c>
      <c r="K537" s="13">
        <f t="shared" si="589"/>
        <v>0.25359673442782754</v>
      </c>
      <c r="L537" s="13">
        <f t="shared" ref="L537:O537" si="590">IFERROR(L91/SUM(L319,L474),"-")</f>
        <v>0.25999582283336514</v>
      </c>
      <c r="M537" s="13">
        <f t="shared" si="590"/>
        <v>0.24863500642660155</v>
      </c>
      <c r="N537" s="13">
        <f t="shared" si="590"/>
        <v>0.26517879262042765</v>
      </c>
      <c r="O537" s="13">
        <f t="shared" si="590"/>
        <v>0.24606088984643876</v>
      </c>
      <c r="P537" s="13">
        <f t="shared" si="586"/>
        <v>0.27891874150402907</v>
      </c>
      <c r="Q537" s="13">
        <f t="shared" si="586"/>
        <v>0.26740576837388752</v>
      </c>
      <c r="S537" s="3"/>
    </row>
    <row r="538" spans="1:19" x14ac:dyDescent="0.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83"/>
        <v>-</v>
      </c>
      <c r="G538" s="13" t="str">
        <f t="shared" ref="G538:K538" si="591">IFERROR(G92/SUM(G320,G475),"-")</f>
        <v>-</v>
      </c>
      <c r="H538" s="13" t="str">
        <f t="shared" si="591"/>
        <v>-</v>
      </c>
      <c r="I538" s="13">
        <f t="shared" si="591"/>
        <v>0.41999999999999976</v>
      </c>
      <c r="J538" s="13">
        <f t="shared" si="591"/>
        <v>0.43000000000000005</v>
      </c>
      <c r="K538" s="13">
        <f t="shared" si="591"/>
        <v>0.43999999999999995</v>
      </c>
      <c r="L538" s="13">
        <f t="shared" ref="L538:O538" si="592">IFERROR(L92/SUM(L320,L475),"-")</f>
        <v>0.4449999999999999</v>
      </c>
      <c r="M538" s="13">
        <f t="shared" si="592"/>
        <v>0.45000000000000012</v>
      </c>
      <c r="N538" s="13">
        <f t="shared" si="592"/>
        <v>0.44999999999999996</v>
      </c>
      <c r="O538" s="13">
        <f t="shared" si="592"/>
        <v>0.45000000000000018</v>
      </c>
      <c r="P538" s="13">
        <f t="shared" si="586"/>
        <v>0.45000000000000046</v>
      </c>
      <c r="Q538" s="13">
        <f t="shared" si="586"/>
        <v>0.45000000000000012</v>
      </c>
      <c r="S538" s="3"/>
    </row>
    <row r="539" spans="1:19" x14ac:dyDescent="0.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83"/>
        <v>0.21048673989296959</v>
      </c>
      <c r="G539" s="13">
        <f t="shared" ref="G539:K539" si="593">IFERROR(G93/SUM(G321,G476),"-")</f>
        <v>0.29115665426844278</v>
      </c>
      <c r="H539" s="13">
        <f t="shared" si="593"/>
        <v>0.28721902006742905</v>
      </c>
      <c r="I539" s="13">
        <f t="shared" si="593"/>
        <v>0.29822994297545791</v>
      </c>
      <c r="J539" s="13">
        <f t="shared" si="593"/>
        <v>0.2995054470558553</v>
      </c>
      <c r="K539" s="13">
        <f t="shared" si="593"/>
        <v>0.30154615459617673</v>
      </c>
      <c r="L539" s="13">
        <f t="shared" ref="L539:O539" si="594">IFERROR(L93/SUM(L321,L476),"-")</f>
        <v>0.30421843877723564</v>
      </c>
      <c r="M539" s="13">
        <f t="shared" si="594"/>
        <v>0.30501340320113018</v>
      </c>
      <c r="N539" s="13">
        <f t="shared" si="594"/>
        <v>0.30677048588219624</v>
      </c>
      <c r="O539" s="13">
        <f t="shared" si="594"/>
        <v>0.30446738095373566</v>
      </c>
      <c r="P539" s="13">
        <f t="shared" si="586"/>
        <v>0.30580484120576129</v>
      </c>
      <c r="Q539" s="13">
        <f t="shared" si="586"/>
        <v>0.3010392680030764</v>
      </c>
      <c r="S539" s="3"/>
    </row>
    <row r="540" spans="1:19" x14ac:dyDescent="0.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83"/>
        <v>-</v>
      </c>
      <c r="G540" s="13" t="str">
        <f t="shared" ref="G540:K540" si="595">IFERROR(G94/SUM(G322,G477),"-")</f>
        <v>-</v>
      </c>
      <c r="H540" s="13" t="str">
        <f t="shared" si="595"/>
        <v>-</v>
      </c>
      <c r="I540" s="13">
        <f t="shared" si="595"/>
        <v>0.41999999999999982</v>
      </c>
      <c r="J540" s="13">
        <f t="shared" si="595"/>
        <v>0.43000000000000022</v>
      </c>
      <c r="K540" s="13">
        <f t="shared" si="595"/>
        <v>0.43999999999999972</v>
      </c>
      <c r="L540" s="13">
        <f t="shared" ref="L540:O540" si="596">IFERROR(L94/SUM(L322,L477),"-")</f>
        <v>0.44500000000000017</v>
      </c>
      <c r="M540" s="13">
        <f t="shared" si="596"/>
        <v>0.45000000000000012</v>
      </c>
      <c r="N540" s="13">
        <f t="shared" si="596"/>
        <v>0.45000000000000007</v>
      </c>
      <c r="O540" s="13">
        <f t="shared" si="596"/>
        <v>0.45</v>
      </c>
      <c r="P540" s="13">
        <f t="shared" si="586"/>
        <v>0.45</v>
      </c>
      <c r="Q540" s="13">
        <f t="shared" si="586"/>
        <v>0.45000000000000007</v>
      </c>
      <c r="S540" s="3"/>
    </row>
    <row r="541" spans="1:19" x14ac:dyDescent="0.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83"/>
        <v>0.36265440093723267</v>
      </c>
      <c r="G541" s="13">
        <f t="shared" ref="G541:K541" si="597">IFERROR(G95/SUM(G323,G478),"-")</f>
        <v>0.36305150698497601</v>
      </c>
      <c r="H541" s="13">
        <f t="shared" si="597"/>
        <v>0.3631851560331199</v>
      </c>
      <c r="I541" s="13">
        <f t="shared" si="597"/>
        <v>0.3643515634422923</v>
      </c>
      <c r="J541" s="13">
        <f t="shared" si="597"/>
        <v>0.36949947646069375</v>
      </c>
      <c r="K541" s="13">
        <f t="shared" si="597"/>
        <v>0.37435616699730473</v>
      </c>
      <c r="L541" s="13">
        <f t="shared" ref="L541:O541" si="598">IFERROR(L95/SUM(L323,L478),"-")</f>
        <v>0.37834627871401993</v>
      </c>
      <c r="M541" s="13">
        <f t="shared" si="598"/>
        <v>0.38322095428215142</v>
      </c>
      <c r="N541" s="13">
        <f t="shared" si="598"/>
        <v>0.38402133212914685</v>
      </c>
      <c r="O541" s="13">
        <f t="shared" si="598"/>
        <v>0.38256459713634111</v>
      </c>
      <c r="P541" s="13">
        <f t="shared" si="586"/>
        <v>0.38256628025277295</v>
      </c>
      <c r="Q541" s="13">
        <f t="shared" si="586"/>
        <v>0.38028500581683106</v>
      </c>
      <c r="S541" s="3"/>
    </row>
    <row r="542" spans="1:19" x14ac:dyDescent="0.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83"/>
        <v>0.35150253739027237</v>
      </c>
      <c r="G542" s="13">
        <f t="shared" ref="G542:K542" si="599">IFERROR(G96/SUM(G324,G479),"-")</f>
        <v>0.35998428629800072</v>
      </c>
      <c r="H542" s="13">
        <f t="shared" si="599"/>
        <v>0.35864183100744068</v>
      </c>
      <c r="I542" s="13">
        <f t="shared" si="599"/>
        <v>0.35906391746980759</v>
      </c>
      <c r="J542" s="13">
        <f t="shared" si="599"/>
        <v>0.35852173742514426</v>
      </c>
      <c r="K542" s="13">
        <f t="shared" si="599"/>
        <v>0.35713927716017996</v>
      </c>
      <c r="L542" s="13">
        <f t="shared" ref="L542:O542" si="600">IFERROR(L96/SUM(L324,L479),"-")</f>
        <v>0.35734639627799258</v>
      </c>
      <c r="M542" s="13">
        <f t="shared" si="600"/>
        <v>0.35725347067396168</v>
      </c>
      <c r="N542" s="13">
        <f t="shared" si="600"/>
        <v>0.3572290392384242</v>
      </c>
      <c r="O542" s="13">
        <f t="shared" si="600"/>
        <v>0.35673882510873445</v>
      </c>
      <c r="P542" s="13">
        <f t="shared" si="586"/>
        <v>0.35750400430230816</v>
      </c>
      <c r="Q542" s="13">
        <f t="shared" si="586"/>
        <v>0.35702209717880712</v>
      </c>
      <c r="S542" s="3"/>
    </row>
    <row r="543" spans="1:19" x14ac:dyDescent="0.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83"/>
        <v>-</v>
      </c>
      <c r="G543" s="13" t="str">
        <f t="shared" ref="G543:K543" si="601">IFERROR(G97/SUM(G325,G480),"-")</f>
        <v>-</v>
      </c>
      <c r="H543" s="13" t="str">
        <f t="shared" si="601"/>
        <v>-</v>
      </c>
      <c r="I543" s="13">
        <f t="shared" si="601"/>
        <v>0.59999999999999964</v>
      </c>
      <c r="J543" s="13">
        <f t="shared" si="601"/>
        <v>0.60499999999999954</v>
      </c>
      <c r="K543" s="13">
        <f t="shared" si="601"/>
        <v>0.61000000000000043</v>
      </c>
      <c r="L543" s="13">
        <f t="shared" ref="L543:O543" si="602">IFERROR(L97/SUM(L325,L480),"-")</f>
        <v>0.61499999999999988</v>
      </c>
      <c r="M543" s="13">
        <f t="shared" si="602"/>
        <v>0.61999999999999966</v>
      </c>
      <c r="N543" s="13">
        <f t="shared" si="602"/>
        <v>0.61999999999999977</v>
      </c>
      <c r="O543" s="13">
        <f t="shared" si="602"/>
        <v>0.61999999999999977</v>
      </c>
      <c r="P543" s="13">
        <f t="shared" si="586"/>
        <v>0.61999999999999977</v>
      </c>
      <c r="Q543" s="13">
        <f t="shared" si="586"/>
        <v>0.62000000000000011</v>
      </c>
      <c r="S543" s="3"/>
    </row>
    <row r="544" spans="1:19" x14ac:dyDescent="0.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0.35745695376016601</v>
      </c>
      <c r="G544" s="13">
        <f t="shared" ref="G544:K544" si="603">IFERROR(G131/G359,"-")</f>
        <v>0.35745695376016579</v>
      </c>
      <c r="H544" s="13">
        <f t="shared" si="603"/>
        <v>0.3574569537601659</v>
      </c>
      <c r="I544" s="13">
        <f t="shared" si="603"/>
        <v>0.35745695376016584</v>
      </c>
      <c r="J544" s="13">
        <f t="shared" si="603"/>
        <v>0.3574569537601664</v>
      </c>
      <c r="K544" s="13">
        <f t="shared" si="603"/>
        <v>0.3574569537601664</v>
      </c>
      <c r="L544" s="13">
        <f t="shared" ref="L544:O544" si="604">IFERROR(L131/L359,"-")</f>
        <v>0.35745695376016579</v>
      </c>
      <c r="M544" s="13">
        <f t="shared" si="604"/>
        <v>0.35745695376016623</v>
      </c>
      <c r="N544" s="13">
        <f t="shared" si="604"/>
        <v>0.35745695376016606</v>
      </c>
      <c r="O544" s="13">
        <f t="shared" si="604"/>
        <v>0.35745695376016612</v>
      </c>
      <c r="P544" s="13">
        <f>IFERROR(P131/P359,"-")</f>
        <v>0.35745695376016612</v>
      </c>
      <c r="Q544" s="13">
        <f>IFERROR(Q131/Q359,"-")</f>
        <v>0.35745695376016606</v>
      </c>
      <c r="S544" s="3"/>
    </row>
    <row r="545" spans="2:19" x14ac:dyDescent="0.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605">IFERROR(G132/G360,"-")</f>
        <v>-</v>
      </c>
      <c r="H545" s="13" t="str">
        <f t="shared" si="605"/>
        <v>-</v>
      </c>
      <c r="I545" s="13" t="str">
        <f t="shared" si="605"/>
        <v>-</v>
      </c>
      <c r="J545" s="13" t="str">
        <f t="shared" si="605"/>
        <v>-</v>
      </c>
      <c r="K545" s="13" t="str">
        <f t="shared" si="605"/>
        <v>-</v>
      </c>
      <c r="L545" s="13" t="str">
        <f t="shared" ref="L545:O545" si="606">IFERROR(L132/L360,"-")</f>
        <v>-</v>
      </c>
      <c r="M545" s="13" t="str">
        <f t="shared" si="606"/>
        <v>-</v>
      </c>
      <c r="N545" s="13" t="str">
        <f t="shared" si="606"/>
        <v>-</v>
      </c>
      <c r="O545" s="13" t="str">
        <f t="shared" si="606"/>
        <v>-</v>
      </c>
      <c r="P545" s="13" t="str">
        <f>IFERROR(P132/P360,"-")</f>
        <v>-</v>
      </c>
      <c r="Q545" s="13" t="str">
        <f>IFERROR(Q132/Q360,"-")</f>
        <v>-</v>
      </c>
      <c r="S545" s="3"/>
    </row>
    <row r="546" spans="2:19" x14ac:dyDescent="0.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3.8323360030919996E-2</v>
      </c>
      <c r="G546" s="13">
        <f t="shared" ref="G546:K546" si="607">IFERROR(G133/SUM(G361,G428),"-")</f>
        <v>3.7598957555057107E-2</v>
      </c>
      <c r="H546" s="13">
        <f t="shared" si="607"/>
        <v>3.7397651138522919E-2</v>
      </c>
      <c r="I546" s="13">
        <f t="shared" si="607"/>
        <v>3.7572835922635925E-2</v>
      </c>
      <c r="J546" s="13">
        <f t="shared" si="607"/>
        <v>3.7532497467893937E-2</v>
      </c>
      <c r="K546" s="13">
        <f t="shared" si="607"/>
        <v>3.7743344818342899E-2</v>
      </c>
      <c r="L546" s="13">
        <f t="shared" ref="L546:O546" si="608">IFERROR(L133/SUM(L361,L428),"-")</f>
        <v>3.7951843800294892E-2</v>
      </c>
      <c r="M546" s="13">
        <f t="shared" si="608"/>
        <v>3.8160066759475003E-2</v>
      </c>
      <c r="N546" s="13">
        <f t="shared" si="608"/>
        <v>3.8160312502930359E-2</v>
      </c>
      <c r="O546" s="13">
        <f t="shared" si="608"/>
        <v>3.8160660945895153E-2</v>
      </c>
      <c r="P546" s="13">
        <f>IFERROR(P133/SUM(P361,P428),"-")</f>
        <v>3.8160778528264737E-2</v>
      </c>
      <c r="Q546" s="13">
        <f>IFERROR(Q133/SUM(Q361,Q428),"-")</f>
        <v>3.8162762957973363E-2</v>
      </c>
      <c r="S546" s="3"/>
    </row>
    <row r="547" spans="2:19" x14ac:dyDescent="0.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609">IFERROR(G134/SUM(G362,G429),"-")</f>
        <v>-</v>
      </c>
      <c r="H547" s="13" t="str">
        <f t="shared" si="609"/>
        <v>-</v>
      </c>
      <c r="I547" s="13" t="str">
        <f t="shared" si="609"/>
        <v>-</v>
      </c>
      <c r="J547" s="13" t="str">
        <f t="shared" si="609"/>
        <v>-</v>
      </c>
      <c r="K547" s="13" t="str">
        <f t="shared" si="609"/>
        <v>-</v>
      </c>
      <c r="L547" s="13" t="str">
        <f t="shared" ref="L547:O547" si="610">IFERROR(L134/SUM(L362,L429),"-")</f>
        <v>-</v>
      </c>
      <c r="M547" s="13" t="str">
        <f t="shared" si="610"/>
        <v>-</v>
      </c>
      <c r="N547" s="13" t="str">
        <f t="shared" si="610"/>
        <v>-</v>
      </c>
      <c r="O547" s="13" t="str">
        <f t="shared" si="610"/>
        <v>-</v>
      </c>
      <c r="P547" s="13" t="str">
        <f>IFERROR(P134/SUM(P362,P429),"-")</f>
        <v>-</v>
      </c>
      <c r="Q547" s="13" t="str">
        <f>IFERROR(Q134/SUM(Q362,Q429),"-")</f>
        <v>-</v>
      </c>
      <c r="S547" s="3"/>
    </row>
    <row r="548" spans="2:19" x14ac:dyDescent="0.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6.1975542059878964E-2</v>
      </c>
      <c r="G548" s="13">
        <f t="shared" ref="G548:K548" si="611">IFERROR(G135/SUM(G363,G504),"-")</f>
        <v>6.1973107810376855E-2</v>
      </c>
      <c r="H548" s="13">
        <f t="shared" si="611"/>
        <v>6.1972650567355334E-2</v>
      </c>
      <c r="I548" s="13">
        <f t="shared" si="611"/>
        <v>6.197265056735532E-2</v>
      </c>
      <c r="J548" s="13">
        <f t="shared" si="611"/>
        <v>6.1972650567355229E-2</v>
      </c>
      <c r="K548" s="13">
        <f t="shared" si="611"/>
        <v>6.1972650567355306E-2</v>
      </c>
      <c r="L548" s="13">
        <f t="shared" ref="L548:O548" si="612">IFERROR(L135/SUM(L363,L504),"-")</f>
        <v>6.1972650567355306E-2</v>
      </c>
      <c r="M548" s="13">
        <f t="shared" si="612"/>
        <v>6.1972650567355229E-2</v>
      </c>
      <c r="N548" s="13">
        <f t="shared" si="612"/>
        <v>6.1972650567355299E-2</v>
      </c>
      <c r="O548" s="13">
        <f t="shared" si="612"/>
        <v>6.1972650567355216E-2</v>
      </c>
      <c r="P548" s="13">
        <f>IFERROR(P135/SUM(P363,P504),"-")</f>
        <v>6.1972650567355299E-2</v>
      </c>
      <c r="Q548" s="13">
        <f>IFERROR(Q135/SUM(Q363,Q504),"-")</f>
        <v>6.1972650567355368E-2</v>
      </c>
      <c r="S548" s="3"/>
    </row>
    <row r="549" spans="2:19" x14ac:dyDescent="0.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613">IFERROR(G136/SUM(G364,G505),"-")</f>
        <v>-</v>
      </c>
      <c r="H549" s="13" t="str">
        <f t="shared" si="613"/>
        <v>-</v>
      </c>
      <c r="I549" s="13" t="str">
        <f t="shared" si="613"/>
        <v>-</v>
      </c>
      <c r="J549" s="13" t="str">
        <f t="shared" si="613"/>
        <v>-</v>
      </c>
      <c r="K549" s="13" t="str">
        <f t="shared" si="613"/>
        <v>-</v>
      </c>
      <c r="L549" s="13" t="str">
        <f t="shared" ref="L549:O549" si="614">IFERROR(L136/SUM(L364,L505),"-")</f>
        <v>-</v>
      </c>
      <c r="M549" s="13" t="str">
        <f t="shared" si="614"/>
        <v>-</v>
      </c>
      <c r="N549" s="13" t="str">
        <f t="shared" si="614"/>
        <v>-</v>
      </c>
      <c r="O549" s="13" t="str">
        <f t="shared" si="614"/>
        <v>-</v>
      </c>
      <c r="P549" s="13" t="str">
        <f>IFERROR(P136/SUM(P364,P505),"-")</f>
        <v>-</v>
      </c>
      <c r="Q549" s="13" t="str">
        <f>IFERROR(Q136/SUM(Q364,Q505),"-")</f>
        <v>-</v>
      </c>
      <c r="S549" s="3"/>
    </row>
    <row r="550" spans="2:19" x14ac:dyDescent="0.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0.24356595112196566</v>
      </c>
      <c r="G550" s="13">
        <f t="shared" ref="G550:K550" si="615">IFERROR(G152/SUM(G380,G437),"-")</f>
        <v>0.24997147543868267</v>
      </c>
      <c r="H550" s="13">
        <f t="shared" si="615"/>
        <v>0.25926393485160393</v>
      </c>
      <c r="I550" s="13">
        <f t="shared" si="615"/>
        <v>0.2749451298558851</v>
      </c>
      <c r="J550" s="13">
        <f t="shared" si="615"/>
        <v>0.29054820819656119</v>
      </c>
      <c r="K550" s="13">
        <f t="shared" si="615"/>
        <v>0.30612803651014758</v>
      </c>
      <c r="L550" s="13">
        <f t="shared" ref="L550:O550" si="616">IFERROR(L152/SUM(L380,L437),"-")</f>
        <v>0.30597793152892327</v>
      </c>
      <c r="M550" s="13">
        <f t="shared" si="616"/>
        <v>0.30534897011911843</v>
      </c>
      <c r="N550" s="13">
        <f t="shared" si="616"/>
        <v>0.30550314345569218</v>
      </c>
      <c r="O550" s="13">
        <f t="shared" si="616"/>
        <v>0.30506555723710271</v>
      </c>
      <c r="P550" s="13">
        <f>IFERROR(P152/SUM(P380,P437),"-")</f>
        <v>0.30521364037217114</v>
      </c>
      <c r="Q550" s="13">
        <f>IFERROR(Q152/SUM(Q380,Q437),"-")</f>
        <v>0.30358873331710529</v>
      </c>
      <c r="S550" s="3"/>
    </row>
    <row r="551" spans="2:19" x14ac:dyDescent="0.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617">IFERROR(G153/G381,"-")</f>
        <v>-</v>
      </c>
      <c r="H551" s="13" t="str">
        <f t="shared" si="617"/>
        <v>-</v>
      </c>
      <c r="I551" s="13" t="str">
        <f t="shared" si="617"/>
        <v>-</v>
      </c>
      <c r="J551" s="13" t="str">
        <f t="shared" si="617"/>
        <v>-</v>
      </c>
      <c r="K551" s="13">
        <f t="shared" si="617"/>
        <v>0</v>
      </c>
      <c r="L551" s="13">
        <f t="shared" ref="L551:O551" si="618">IFERROR(L153/L381,"-")</f>
        <v>0</v>
      </c>
      <c r="M551" s="13">
        <f t="shared" si="618"/>
        <v>0</v>
      </c>
      <c r="N551" s="13">
        <f t="shared" si="618"/>
        <v>0</v>
      </c>
      <c r="O551" s="13">
        <f t="shared" si="618"/>
        <v>0</v>
      </c>
      <c r="P551" s="13">
        <f>IFERROR(P153/P381,"-")</f>
        <v>0</v>
      </c>
      <c r="Q551" s="13">
        <f>IFERROR(Q153/Q381,"-")</f>
        <v>0</v>
      </c>
      <c r="S551" s="3"/>
    </row>
    <row r="552" spans="2:19" x14ac:dyDescent="0.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0.19714404091904114</v>
      </c>
      <c r="G552" s="13">
        <f t="shared" ref="G552:K552" si="619">IFERROR(G154/SUM(G382,G513),"-")</f>
        <v>0.22580821600165865</v>
      </c>
      <c r="H552" s="13">
        <f t="shared" si="619"/>
        <v>0.25522284213874386</v>
      </c>
      <c r="I552" s="13">
        <f t="shared" si="619"/>
        <v>0.33833240724265801</v>
      </c>
      <c r="J552" s="13">
        <f t="shared" si="619"/>
        <v>0.345685545732764</v>
      </c>
      <c r="K552" s="13">
        <f t="shared" si="619"/>
        <v>0.35301736021082503</v>
      </c>
      <c r="L552" s="13">
        <f t="shared" ref="L552:O552" si="620">IFERROR(L154/SUM(L382,L513),"-")</f>
        <v>0.36031665888566139</v>
      </c>
      <c r="M552" s="13">
        <f t="shared" si="620"/>
        <v>0.36755634234726969</v>
      </c>
      <c r="N552" s="13">
        <f t="shared" si="620"/>
        <v>0.36760985810202323</v>
      </c>
      <c r="O552" s="13">
        <f t="shared" si="620"/>
        <v>0.36755390961629059</v>
      </c>
      <c r="P552" s="13">
        <f t="shared" ref="P552:Q556" si="621">IFERROR(P154/SUM(P382,P513),"-")</f>
        <v>0.36756473835459752</v>
      </c>
      <c r="Q552" s="13">
        <f t="shared" si="621"/>
        <v>0.36744908741799992</v>
      </c>
      <c r="S552" s="3"/>
    </row>
    <row r="553" spans="2:19" x14ac:dyDescent="0.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622">IFERROR(G155/SUM(G383,G514),"-")</f>
        <v>-</v>
      </c>
      <c r="H553" s="13" t="str">
        <f t="shared" si="622"/>
        <v>-</v>
      </c>
      <c r="I553" s="13" t="str">
        <f t="shared" si="622"/>
        <v>-</v>
      </c>
      <c r="J553" s="13" t="str">
        <f t="shared" si="622"/>
        <v>-</v>
      </c>
      <c r="K553" s="13">
        <f t="shared" si="622"/>
        <v>0</v>
      </c>
      <c r="L553" s="13">
        <f t="shared" ref="L553:O553" si="623">IFERROR(L155/SUM(L383,L514),"-")</f>
        <v>0</v>
      </c>
      <c r="M553" s="13">
        <f t="shared" si="623"/>
        <v>0</v>
      </c>
      <c r="N553" s="13">
        <f t="shared" si="623"/>
        <v>0</v>
      </c>
      <c r="O553" s="13">
        <f t="shared" si="623"/>
        <v>0</v>
      </c>
      <c r="P553" s="13">
        <f t="shared" si="621"/>
        <v>0</v>
      </c>
      <c r="Q553" s="13">
        <f t="shared" si="621"/>
        <v>0</v>
      </c>
      <c r="S553" s="3"/>
    </row>
    <row r="554" spans="2:19" x14ac:dyDescent="0.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624">IFERROR(G156/SUM(G384,G515),"-")</f>
        <v>-</v>
      </c>
      <c r="H554" s="13" t="str">
        <f t="shared" si="624"/>
        <v>-</v>
      </c>
      <c r="I554" s="13">
        <f t="shared" si="624"/>
        <v>0.19569442273883603</v>
      </c>
      <c r="J554" s="13">
        <f t="shared" si="624"/>
        <v>0.2136711873526346</v>
      </c>
      <c r="K554" s="13">
        <f t="shared" si="624"/>
        <v>0.21814995589186634</v>
      </c>
      <c r="L554" s="13">
        <f t="shared" ref="L554:O554" si="625">IFERROR(L156/SUM(L384,L515),"-")</f>
        <v>0.21655157854937726</v>
      </c>
      <c r="M554" s="13">
        <f t="shared" si="625"/>
        <v>0.21765341455887827</v>
      </c>
      <c r="N554" s="13">
        <f t="shared" si="625"/>
        <v>0.23620281224647741</v>
      </c>
      <c r="O554" s="13">
        <f t="shared" si="625"/>
        <v>0.22581554561967665</v>
      </c>
      <c r="P554" s="13">
        <f t="shared" si="621"/>
        <v>0.21952248957063417</v>
      </c>
      <c r="Q554" s="13">
        <f t="shared" si="621"/>
        <v>0.20922719352232966</v>
      </c>
      <c r="S554" s="3"/>
    </row>
    <row r="555" spans="2:19" x14ac:dyDescent="0.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626">IFERROR(G157/SUM(G385,G516),"-")</f>
        <v>-</v>
      </c>
      <c r="H555" s="13" t="str">
        <f t="shared" si="626"/>
        <v>-</v>
      </c>
      <c r="I555" s="13">
        <f t="shared" si="626"/>
        <v>0.23900319727803707</v>
      </c>
      <c r="J555" s="13">
        <f t="shared" si="626"/>
        <v>0.24367819719497827</v>
      </c>
      <c r="K555" s="13">
        <f t="shared" si="626"/>
        <v>0.24612080798370722</v>
      </c>
      <c r="L555" s="13">
        <f t="shared" ref="L555:O555" si="627">IFERROR(L157/SUM(L385,L516),"-")</f>
        <v>0.24965976708819024</v>
      </c>
      <c r="M555" s="13">
        <f t="shared" si="627"/>
        <v>0.25470650605360934</v>
      </c>
      <c r="N555" s="13">
        <f t="shared" si="627"/>
        <v>0.26697840448071702</v>
      </c>
      <c r="O555" s="13">
        <f t="shared" si="627"/>
        <v>0.25143955479045832</v>
      </c>
      <c r="P555" s="13">
        <f t="shared" si="621"/>
        <v>0.25680629900802437</v>
      </c>
      <c r="Q555" s="13">
        <f t="shared" si="621"/>
        <v>0.24932436649036901</v>
      </c>
      <c r="S555" s="3"/>
    </row>
    <row r="556" spans="2:19" x14ac:dyDescent="0.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628">IFERROR(G158/SUM(G386,G517),"-")</f>
        <v>-</v>
      </c>
      <c r="H556" s="13" t="str">
        <f t="shared" si="628"/>
        <v>-</v>
      </c>
      <c r="I556" s="13">
        <f t="shared" si="628"/>
        <v>0.31979669289474566</v>
      </c>
      <c r="J556" s="13">
        <f t="shared" si="628"/>
        <v>0.31174730016263119</v>
      </c>
      <c r="K556" s="13">
        <f t="shared" si="628"/>
        <v>0.30909854016517418</v>
      </c>
      <c r="L556" s="13">
        <f t="shared" ref="L556:O556" si="629">IFERROR(L158/SUM(L386,L517),"-")</f>
        <v>0.32761876254553429</v>
      </c>
      <c r="M556" s="13">
        <f t="shared" si="629"/>
        <v>0.31951322062621001</v>
      </c>
      <c r="N556" s="13">
        <f t="shared" si="629"/>
        <v>0.33624840867252032</v>
      </c>
      <c r="O556" s="13">
        <f t="shared" si="629"/>
        <v>0.32699351045306829</v>
      </c>
      <c r="P556" s="13">
        <f t="shared" si="621"/>
        <v>0.33268746577457781</v>
      </c>
      <c r="Q556" s="13">
        <f t="shared" si="621"/>
        <v>0.32865435990231578</v>
      </c>
      <c r="S556" s="3"/>
    </row>
    <row r="557" spans="2:19" x14ac:dyDescent="0.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M557" s="13">
        <v>1</v>
      </c>
      <c r="N557" s="13">
        <v>1</v>
      </c>
      <c r="O557" s="13">
        <v>1</v>
      </c>
      <c r="P557" s="13">
        <v>1</v>
      </c>
      <c r="Q557" s="13">
        <v>1</v>
      </c>
      <c r="S557" s="3"/>
    </row>
    <row r="558" spans="2:19" x14ac:dyDescent="0.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M558" s="13">
        <v>1</v>
      </c>
      <c r="N558" s="13">
        <v>1</v>
      </c>
      <c r="O558" s="13">
        <v>1</v>
      </c>
      <c r="P558" s="13">
        <v>1</v>
      </c>
      <c r="Q558" s="13">
        <v>1</v>
      </c>
      <c r="S558" s="3"/>
    </row>
    <row r="559" spans="2:19" x14ac:dyDescent="0.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M559" s="13">
        <v>1</v>
      </c>
      <c r="N559" s="13">
        <v>1</v>
      </c>
      <c r="O559" s="13">
        <v>1</v>
      </c>
      <c r="P559" s="13">
        <v>1</v>
      </c>
      <c r="Q559" s="13">
        <v>1</v>
      </c>
      <c r="S559" s="3"/>
    </row>
    <row r="560" spans="2:19" x14ac:dyDescent="0.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M560" s="13">
        <v>1</v>
      </c>
      <c r="N560" s="13">
        <v>1</v>
      </c>
      <c r="O560" s="13">
        <v>1</v>
      </c>
      <c r="P560" s="13">
        <v>1</v>
      </c>
      <c r="Q560" s="13">
        <v>1</v>
      </c>
      <c r="S560" s="3"/>
    </row>
    <row r="561" spans="2:19" x14ac:dyDescent="0.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M561" s="13">
        <v>1</v>
      </c>
      <c r="N561" s="13">
        <v>1</v>
      </c>
      <c r="O561" s="13">
        <v>1</v>
      </c>
      <c r="P561" s="13">
        <v>1</v>
      </c>
      <c r="Q561" s="13">
        <v>1</v>
      </c>
      <c r="S561" s="3"/>
    </row>
    <row r="562" spans="2:19" x14ac:dyDescent="0.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M562" s="13">
        <v>1</v>
      </c>
      <c r="N562" s="13">
        <v>1</v>
      </c>
      <c r="O562" s="13">
        <v>1</v>
      </c>
      <c r="P562" s="13">
        <v>1</v>
      </c>
      <c r="Q562" s="13">
        <v>1</v>
      </c>
      <c r="S562" s="3"/>
    </row>
    <row r="563" spans="2:19" x14ac:dyDescent="0.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630">IFERROR(G168/G396,"-")</f>
        <v>-</v>
      </c>
      <c r="H563" s="13" t="str">
        <f t="shared" si="630"/>
        <v>-</v>
      </c>
      <c r="I563" s="13" t="str">
        <f t="shared" si="630"/>
        <v>-</v>
      </c>
      <c r="J563" s="13" t="str">
        <f t="shared" si="630"/>
        <v>-</v>
      </c>
      <c r="K563" s="13" t="str">
        <f t="shared" si="630"/>
        <v>-</v>
      </c>
      <c r="L563" s="13">
        <f t="shared" ref="L563:O563" si="631">IFERROR(L168/L396,"-")</f>
        <v>0.1499999999999998</v>
      </c>
      <c r="M563" s="13">
        <f t="shared" si="631"/>
        <v>0.15000000000000002</v>
      </c>
      <c r="N563" s="13">
        <f t="shared" si="631"/>
        <v>0.15000000000000002</v>
      </c>
      <c r="O563" s="13">
        <f t="shared" si="631"/>
        <v>0.14999999999999994</v>
      </c>
      <c r="P563" s="13">
        <f>IFERROR(P168/P396,"-")</f>
        <v>0.14999999999999988</v>
      </c>
      <c r="Q563" s="13">
        <f>IFERROR(Q168/Q396,"-")</f>
        <v>0.14999999999999994</v>
      </c>
      <c r="S563" s="3"/>
    </row>
    <row r="564" spans="2:19" x14ac:dyDescent="0.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632">IFERROR(G170/SUM(G398,G439),"-")</f>
        <v>-</v>
      </c>
      <c r="H564" s="13" t="str">
        <f t="shared" si="632"/>
        <v>-</v>
      </c>
      <c r="I564" s="13" t="str">
        <f t="shared" si="632"/>
        <v>-</v>
      </c>
      <c r="J564" s="13" t="str">
        <f t="shared" si="632"/>
        <v>-</v>
      </c>
      <c r="K564" s="13">
        <f t="shared" si="632"/>
        <v>0.41999999999999976</v>
      </c>
      <c r="L564" s="13">
        <f t="shared" ref="L564:O564" si="633">IFERROR(L170/SUM(L398,L439),"-")</f>
        <v>0.42</v>
      </c>
      <c r="M564" s="13">
        <f t="shared" si="633"/>
        <v>0.41999999999999971</v>
      </c>
      <c r="N564" s="13">
        <f t="shared" si="633"/>
        <v>0.42</v>
      </c>
      <c r="O564" s="13">
        <f t="shared" si="633"/>
        <v>0.41999999999999976</v>
      </c>
      <c r="P564" s="13">
        <f>IFERROR(P170/SUM(P398,P439),"-")</f>
        <v>0.42</v>
      </c>
      <c r="Q564" s="13">
        <f>IFERROR(Q170/SUM(Q398,Q439),"-")</f>
        <v>0.42000000000000004</v>
      </c>
      <c r="S564" s="3"/>
    </row>
    <row r="565" spans="2:19" x14ac:dyDescent="0.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634">IFERROR(G171/SUM(G399,G519),"-")</f>
        <v>-</v>
      </c>
      <c r="H565" s="13" t="str">
        <f t="shared" si="634"/>
        <v>-</v>
      </c>
      <c r="I565" s="13">
        <f t="shared" si="634"/>
        <v>0.49500000000000044</v>
      </c>
      <c r="J565" s="13">
        <f t="shared" si="634"/>
        <v>0.52249999999999985</v>
      </c>
      <c r="K565" s="13">
        <f t="shared" si="634"/>
        <v>0.5500000000000006</v>
      </c>
      <c r="L565" s="13">
        <f t="shared" ref="L565:O565" si="635">IFERROR(L171/SUM(L399,L519),"-")</f>
        <v>0.57500000000000018</v>
      </c>
      <c r="M565" s="13">
        <f t="shared" si="635"/>
        <v>0.60000000000000031</v>
      </c>
      <c r="N565" s="13">
        <f t="shared" si="635"/>
        <v>0.60000000000000064</v>
      </c>
      <c r="O565" s="13">
        <f t="shared" si="635"/>
        <v>0.59999999999999987</v>
      </c>
      <c r="P565" s="13">
        <f>IFERROR(P171/SUM(P399,P519),"-")</f>
        <v>0.59999999999999987</v>
      </c>
      <c r="Q565" s="13">
        <f>IFERROR(Q171/SUM(Q399,Q519),"-")</f>
        <v>0.6000000000000002</v>
      </c>
      <c r="S565" s="3"/>
    </row>
    <row r="566" spans="2:19" x14ac:dyDescent="0.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36">IFERROR(G172/SUM(G400,G520),"-")</f>
        <v>-</v>
      </c>
      <c r="H566" s="13" t="str">
        <f t="shared" si="636"/>
        <v>-</v>
      </c>
      <c r="I566" s="13">
        <f t="shared" si="636"/>
        <v>0.47500000000000003</v>
      </c>
      <c r="J566" s="13">
        <f t="shared" si="636"/>
        <v>0.50749999999999995</v>
      </c>
      <c r="K566" s="13">
        <f t="shared" si="636"/>
        <v>0.53999999999999915</v>
      </c>
      <c r="L566" s="13">
        <f t="shared" ref="L566:O566" si="637">IFERROR(L172/SUM(L400,L520),"-")</f>
        <v>0.55750000000000055</v>
      </c>
      <c r="M566" s="13">
        <f t="shared" si="637"/>
        <v>0.5750000000000004</v>
      </c>
      <c r="N566" s="13">
        <f t="shared" si="637"/>
        <v>0.57499999999999962</v>
      </c>
      <c r="O566" s="13">
        <f t="shared" si="637"/>
        <v>0.57499999999999973</v>
      </c>
      <c r="P566" s="13">
        <f>IFERROR(P172/SUM(P400,P520),"-")</f>
        <v>0.57499999999999996</v>
      </c>
      <c r="Q566" s="13">
        <f>IFERROR(Q172/SUM(Q400,Q520),"-")</f>
        <v>0.57499999999999962</v>
      </c>
      <c r="S566" s="3"/>
    </row>
    <row r="567" spans="2:19" x14ac:dyDescent="0.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38">IFERROR(F174/F402,"-")</f>
        <v>0.69982654402641586</v>
      </c>
      <c r="G567" s="13">
        <f t="shared" si="638"/>
        <v>0.69990961586079825</v>
      </c>
      <c r="H567" s="13">
        <f t="shared" si="638"/>
        <v>0.69999957304344884</v>
      </c>
      <c r="I567" s="13">
        <f t="shared" si="638"/>
        <v>0.69998536856192795</v>
      </c>
      <c r="J567" s="13">
        <f t="shared" si="638"/>
        <v>0.69998292124984485</v>
      </c>
      <c r="K567" s="13">
        <f t="shared" si="638"/>
        <v>0.69998493694311437</v>
      </c>
      <c r="L567" s="13">
        <f t="shared" ref="L567:O567" si="639">IFERROR(L174/L402,"-")</f>
        <v>0.6999506137704804</v>
      </c>
      <c r="M567" s="13">
        <f t="shared" si="639"/>
        <v>0.69995842125694929</v>
      </c>
      <c r="N567" s="13">
        <f t="shared" si="639"/>
        <v>0.69999103957841158</v>
      </c>
      <c r="O567" s="13">
        <f t="shared" si="639"/>
        <v>0.69998605324282692</v>
      </c>
      <c r="P567" s="13">
        <f t="shared" ref="P567:Q573" si="640">IFERROR(P174/P402,"-")</f>
        <v>0.69998528339289789</v>
      </c>
      <c r="Q567" s="13">
        <f t="shared" si="640"/>
        <v>0.69998105575860381</v>
      </c>
      <c r="S567" s="3"/>
    </row>
    <row r="568" spans="2:19" x14ac:dyDescent="0.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38"/>
        <v>0.86681237314866988</v>
      </c>
      <c r="G568" s="13">
        <f t="shared" si="638"/>
        <v>0.86632924184707205</v>
      </c>
      <c r="H568" s="13">
        <f t="shared" si="638"/>
        <v>0.86703402232249072</v>
      </c>
      <c r="I568" s="13">
        <f t="shared" si="638"/>
        <v>0.86694571812214749</v>
      </c>
      <c r="J568" s="13">
        <f t="shared" si="638"/>
        <v>0.86700761068318788</v>
      </c>
      <c r="K568" s="13">
        <f t="shared" si="638"/>
        <v>0.86703717987474804</v>
      </c>
      <c r="L568" s="13">
        <f t="shared" ref="L568:O568" si="641">IFERROR(L175/L403,"-")</f>
        <v>0.86703812947952863</v>
      </c>
      <c r="M568" s="13">
        <f t="shared" si="641"/>
        <v>0.86703072727404951</v>
      </c>
      <c r="N568" s="13">
        <f t="shared" si="641"/>
        <v>0.86703901212426826</v>
      </c>
      <c r="O568" s="13">
        <f t="shared" si="641"/>
        <v>0.86703019824813254</v>
      </c>
      <c r="P568" s="13">
        <f t="shared" si="640"/>
        <v>0.86703436148872726</v>
      </c>
      <c r="Q568" s="13">
        <f t="shared" si="640"/>
        <v>0.86702611113803763</v>
      </c>
      <c r="S568" s="3"/>
    </row>
    <row r="569" spans="2:19" x14ac:dyDescent="0.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38"/>
        <v>0.89436832314330938</v>
      </c>
      <c r="G569" s="13">
        <f t="shared" si="638"/>
        <v>0.894205426530849</v>
      </c>
      <c r="H569" s="13">
        <f t="shared" si="638"/>
        <v>0.89416376488892202</v>
      </c>
      <c r="I569" s="13">
        <f t="shared" si="638"/>
        <v>0.89416694106706673</v>
      </c>
      <c r="J569" s="13">
        <f t="shared" si="638"/>
        <v>0.8942560117312699</v>
      </c>
      <c r="K569" s="13">
        <f t="shared" si="638"/>
        <v>0.89426737785534438</v>
      </c>
      <c r="L569" s="13">
        <f t="shared" ref="L569:O569" si="642">IFERROR(L176/L404,"-")</f>
        <v>0.89426918975072078</v>
      </c>
      <c r="M569" s="13">
        <f t="shared" si="642"/>
        <v>0.89426762763729351</v>
      </c>
      <c r="N569" s="13">
        <f t="shared" si="642"/>
        <v>0.89426960298360958</v>
      </c>
      <c r="O569" s="13">
        <f t="shared" si="642"/>
        <v>0.89426871937152264</v>
      </c>
      <c r="P569" s="13">
        <f t="shared" si="640"/>
        <v>0.89426909092871831</v>
      </c>
      <c r="Q569" s="13">
        <f t="shared" si="640"/>
        <v>0.89426800334541312</v>
      </c>
      <c r="S569" s="3"/>
    </row>
    <row r="570" spans="2:19" x14ac:dyDescent="0.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38"/>
        <v>0.90385508346648291</v>
      </c>
      <c r="G570" s="13">
        <f t="shared" si="638"/>
        <v>0.90376393744750583</v>
      </c>
      <c r="H570" s="13">
        <f t="shared" si="638"/>
        <v>0.90401268834373405</v>
      </c>
      <c r="I570" s="13">
        <f t="shared" si="638"/>
        <v>0.90425885911378023</v>
      </c>
      <c r="J570" s="13">
        <f t="shared" si="638"/>
        <v>0.90426133918480178</v>
      </c>
      <c r="K570" s="13">
        <f t="shared" si="638"/>
        <v>0.90426532424638062</v>
      </c>
      <c r="L570" s="13">
        <f t="shared" ref="L570:O570" si="643">IFERROR(L177/L405,"-")</f>
        <v>0.90426553720410863</v>
      </c>
      <c r="M570" s="13">
        <f t="shared" si="643"/>
        <v>0.90425433426102331</v>
      </c>
      <c r="N570" s="13">
        <f t="shared" si="643"/>
        <v>0.90426501274933713</v>
      </c>
      <c r="O570" s="13">
        <f t="shared" si="643"/>
        <v>0.90424006056480333</v>
      </c>
      <c r="P570" s="13">
        <f t="shared" si="640"/>
        <v>0.90426026818838556</v>
      </c>
      <c r="Q570" s="13">
        <f t="shared" si="640"/>
        <v>0.90421902491736583</v>
      </c>
      <c r="S570" s="3"/>
    </row>
    <row r="571" spans="2:19" x14ac:dyDescent="0.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38"/>
        <v>0.90385641938664929</v>
      </c>
      <c r="G571" s="13">
        <f t="shared" si="638"/>
        <v>0.9037614444271489</v>
      </c>
      <c r="H571" s="13">
        <f t="shared" si="638"/>
        <v>0.90411715074103471</v>
      </c>
      <c r="I571" s="13">
        <f t="shared" si="638"/>
        <v>0.90425662251359495</v>
      </c>
      <c r="J571" s="13">
        <f t="shared" si="638"/>
        <v>0.90425946779972477</v>
      </c>
      <c r="K571" s="13">
        <f t="shared" si="638"/>
        <v>0.90426423970198266</v>
      </c>
      <c r="L571" s="13">
        <f t="shared" ref="L571:O571" si="644">IFERROR(L178/L406,"-")</f>
        <v>0.90426470313468044</v>
      </c>
      <c r="M571" s="13">
        <f t="shared" si="644"/>
        <v>0.90424959108948177</v>
      </c>
      <c r="N571" s="13">
        <f t="shared" si="644"/>
        <v>0.90426390121278311</v>
      </c>
      <c r="O571" s="13">
        <f t="shared" si="644"/>
        <v>0.90422805746371782</v>
      </c>
      <c r="P571" s="13">
        <f t="shared" si="640"/>
        <v>0.90425306495313407</v>
      </c>
      <c r="Q571" s="13">
        <f t="shared" si="640"/>
        <v>0.90418805855062778</v>
      </c>
      <c r="S571" s="3"/>
    </row>
    <row r="572" spans="2:19" x14ac:dyDescent="0.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38"/>
        <v>0.90385625135223868</v>
      </c>
      <c r="G572" s="13">
        <f t="shared" si="638"/>
        <v>0.90376182119290482</v>
      </c>
      <c r="H572" s="13">
        <f t="shared" si="638"/>
        <v>0.90415686333284229</v>
      </c>
      <c r="I572" s="13">
        <f t="shared" si="638"/>
        <v>0.90425877645931485</v>
      </c>
      <c r="J572" s="13">
        <f t="shared" si="638"/>
        <v>0.90425806010219067</v>
      </c>
      <c r="K572" s="13">
        <f t="shared" si="638"/>
        <v>0.90426465929219191</v>
      </c>
      <c r="L572" s="13">
        <f t="shared" ref="L572:O572" si="645">IFERROR(L179/L407,"-")</f>
        <v>0.90426501817127536</v>
      </c>
      <c r="M572" s="13">
        <f t="shared" si="645"/>
        <v>0.90424787869101197</v>
      </c>
      <c r="N572" s="13">
        <f t="shared" si="645"/>
        <v>0.90426418598663227</v>
      </c>
      <c r="O572" s="13">
        <f t="shared" si="645"/>
        <v>0.9042171106488055</v>
      </c>
      <c r="P572" s="13">
        <f t="shared" si="640"/>
        <v>0.90425240278386831</v>
      </c>
      <c r="Q572" s="13">
        <f t="shared" si="640"/>
        <v>0.9041880464683707</v>
      </c>
      <c r="S572" s="3"/>
    </row>
    <row r="573" spans="2:19" x14ac:dyDescent="0.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38"/>
        <v>0.90385637492065607</v>
      </c>
      <c r="G573" s="13">
        <f t="shared" si="638"/>
        <v>0.90376215200123977</v>
      </c>
      <c r="H573" s="13">
        <f t="shared" si="638"/>
        <v>0.90413239624932051</v>
      </c>
      <c r="I573" s="13">
        <f t="shared" si="638"/>
        <v>0.90426131931496301</v>
      </c>
      <c r="J573" s="13">
        <f t="shared" si="638"/>
        <v>0.90426211450710481</v>
      </c>
      <c r="K573" s="13">
        <f t="shared" si="638"/>
        <v>0.90426591988959371</v>
      </c>
      <c r="L573" s="13">
        <f t="shared" ref="L573:O573" si="646">IFERROR(L180/L408,"-")</f>
        <v>0.90426613164253111</v>
      </c>
      <c r="M573" s="13">
        <f t="shared" si="646"/>
        <v>0.90425486430103863</v>
      </c>
      <c r="N573" s="13">
        <f t="shared" si="646"/>
        <v>0.90426552253996295</v>
      </c>
      <c r="O573" s="13">
        <f t="shared" si="646"/>
        <v>0.90423796197686479</v>
      </c>
      <c r="P573" s="13">
        <f t="shared" si="640"/>
        <v>0.90425561557863288</v>
      </c>
      <c r="Q573" s="13">
        <f t="shared" si="640"/>
        <v>0.90420878809164273</v>
      </c>
      <c r="S573" s="3"/>
    </row>
    <row r="574" spans="2:19" x14ac:dyDescent="0.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M574" t="s">
        <v>292</v>
      </c>
      <c r="N574" t="s">
        <v>292</v>
      </c>
      <c r="O574" t="s">
        <v>292</v>
      </c>
      <c r="P574" t="s">
        <v>292</v>
      </c>
      <c r="Q574" t="s">
        <v>292</v>
      </c>
      <c r="S574" s="3"/>
    </row>
    <row r="575" spans="2:19" x14ac:dyDescent="0.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0.59933819673132049</v>
      </c>
      <c r="G575" s="4">
        <f t="shared" ref="G575:K575" si="647">IFERROR(G212/G442,"-")</f>
        <v>0.5551637209881205</v>
      </c>
      <c r="H575" s="4">
        <f t="shared" si="647"/>
        <v>0.53143502860767344</v>
      </c>
      <c r="I575" s="4">
        <f t="shared" si="647"/>
        <v>0.44525031089441575</v>
      </c>
      <c r="J575" s="4">
        <f t="shared" si="647"/>
        <v>0.5268701064046003</v>
      </c>
      <c r="K575" s="4">
        <f t="shared" si="647"/>
        <v>0.52923441256067594</v>
      </c>
      <c r="L575" s="4">
        <f t="shared" ref="L575:O575" si="648">IFERROR(L212/L442,"-")</f>
        <v>0.38143534153514153</v>
      </c>
      <c r="M575" s="4">
        <f t="shared" si="648"/>
        <v>0.3827196344545753</v>
      </c>
      <c r="N575" s="4">
        <f t="shared" si="648"/>
        <v>0.38222854669249046</v>
      </c>
      <c r="O575" s="4">
        <f t="shared" si="648"/>
        <v>0.38261194192524611</v>
      </c>
      <c r="P575" s="4">
        <f>IFERROR(P212/P442,"-")</f>
        <v>0.38125864080514593</v>
      </c>
      <c r="Q575" s="4">
        <f>IFERROR(Q212/Q442,"-")</f>
        <v>0.38149382076429483</v>
      </c>
      <c r="S575" s="3"/>
    </row>
    <row r="576" spans="2:19" x14ac:dyDescent="0.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49">IFERROR(G218/G448,"-")</f>
        <v>2</v>
      </c>
      <c r="H576" s="4">
        <f t="shared" si="649"/>
        <v>2</v>
      </c>
      <c r="I576" s="4">
        <f t="shared" si="649"/>
        <v>2</v>
      </c>
      <c r="J576" s="4">
        <f t="shared" si="649"/>
        <v>2</v>
      </c>
      <c r="K576" s="4" t="str">
        <f t="shared" si="649"/>
        <v>-</v>
      </c>
      <c r="L576" s="4" t="str">
        <f t="shared" ref="L576:O576" si="650">IFERROR(L218/L448,"-")</f>
        <v>-</v>
      </c>
      <c r="M576" s="4" t="str">
        <f t="shared" si="650"/>
        <v>-</v>
      </c>
      <c r="N576" s="4" t="str">
        <f t="shared" si="650"/>
        <v>-</v>
      </c>
      <c r="O576" s="4" t="str">
        <f t="shared" si="650"/>
        <v>-</v>
      </c>
      <c r="P576" s="4" t="str">
        <f>IFERROR(P218/P448,"-")</f>
        <v>-</v>
      </c>
      <c r="Q576" s="4" t="str">
        <f>IFERROR(Q218/Q448,"-")</f>
        <v>-</v>
      </c>
      <c r="S576" s="3"/>
    </row>
    <row r="577" spans="2:19" x14ac:dyDescent="0.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0.85445501111132416</v>
      </c>
      <c r="G577" s="4">
        <f t="shared" ref="G577:K577" si="651">IFERROR(G220/G450,"-")</f>
        <v>0.85445501111132427</v>
      </c>
      <c r="H577" s="4">
        <f t="shared" si="651"/>
        <v>0.85445501111132505</v>
      </c>
      <c r="I577" s="4">
        <f t="shared" si="651"/>
        <v>0.85445501111132471</v>
      </c>
      <c r="J577" s="4">
        <f t="shared" si="651"/>
        <v>0.85445501111132494</v>
      </c>
      <c r="K577" s="4">
        <f t="shared" si="651"/>
        <v>0.85445501111132571</v>
      </c>
      <c r="L577" s="4">
        <f t="shared" ref="L577:O577" si="652">IFERROR(L220/L450,"-")</f>
        <v>0.85445501111132482</v>
      </c>
      <c r="M577" s="4">
        <f t="shared" si="652"/>
        <v>0.85445501111132471</v>
      </c>
      <c r="N577" s="4">
        <f t="shared" si="652"/>
        <v>0.8544550111113256</v>
      </c>
      <c r="O577" s="4">
        <f t="shared" si="652"/>
        <v>0.85445501111132505</v>
      </c>
      <c r="P577" s="4">
        <f>IFERROR(P220/P450,"-")</f>
        <v>0.85445501111132494</v>
      </c>
      <c r="Q577" s="4">
        <f>IFERROR(Q220/Q450,"-")</f>
        <v>0.85445501111132494</v>
      </c>
      <c r="S577" s="3"/>
    </row>
    <row r="578" spans="2:19" x14ac:dyDescent="0.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0.69999999999999973</v>
      </c>
      <c r="G578" s="4">
        <f t="shared" ref="G578:K578" si="653">IFERROR(G226/G456,"-")</f>
        <v>0.70000000000000029</v>
      </c>
      <c r="H578" s="4">
        <f t="shared" si="653"/>
        <v>0.70000000000000018</v>
      </c>
      <c r="I578" s="4">
        <f t="shared" si="653"/>
        <v>0.69999999999999962</v>
      </c>
      <c r="J578" s="4">
        <f t="shared" si="653"/>
        <v>0.70000000000000018</v>
      </c>
      <c r="K578" s="4">
        <f t="shared" si="653"/>
        <v>0.69999999999999984</v>
      </c>
      <c r="L578" s="4">
        <f t="shared" ref="L578:O578" si="654">IFERROR(L226/L456,"-")</f>
        <v>0.70000000000000073</v>
      </c>
      <c r="M578" s="4">
        <f t="shared" si="654"/>
        <v>0.70000000000000051</v>
      </c>
      <c r="N578" s="4">
        <f t="shared" si="654"/>
        <v>0.7000000000000004</v>
      </c>
      <c r="O578" s="4">
        <f t="shared" si="654"/>
        <v>0.69999999999999951</v>
      </c>
      <c r="P578" s="4">
        <f>IFERROR(P226/P456,"-")</f>
        <v>0.7</v>
      </c>
      <c r="Q578" s="4">
        <f>IFERROR(Q226/Q456,"-")</f>
        <v>0.69999999999999951</v>
      </c>
      <c r="S578" s="3"/>
    </row>
    <row r="579" spans="2:19" x14ac:dyDescent="0.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55">IFERROR(G228/G458,"-")</f>
        <v>-</v>
      </c>
      <c r="H579" t="str">
        <f t="shared" si="655"/>
        <v>-</v>
      </c>
      <c r="I579">
        <f t="shared" si="655"/>
        <v>0.50000000000000033</v>
      </c>
      <c r="J579">
        <f t="shared" si="655"/>
        <v>0.5</v>
      </c>
      <c r="K579">
        <f t="shared" si="655"/>
        <v>0.49999999999999967</v>
      </c>
      <c r="L579">
        <f t="shared" ref="L579:O579" si="656">IFERROR(L228/L458,"-")</f>
        <v>0.49999999999999933</v>
      </c>
      <c r="M579">
        <f t="shared" si="656"/>
        <v>0.50000000000000056</v>
      </c>
      <c r="N579">
        <f t="shared" si="656"/>
        <v>0.50000000000000011</v>
      </c>
      <c r="O579">
        <f t="shared" si="656"/>
        <v>0.49999999999999989</v>
      </c>
      <c r="P579">
        <f>IFERROR(P228/P458,"-")</f>
        <v>0.50000000000000044</v>
      </c>
      <c r="Q579">
        <f>IFERROR(Q228/Q458,"-")</f>
        <v>0.5</v>
      </c>
      <c r="S579" s="3"/>
    </row>
    <row r="580" spans="2:19" x14ac:dyDescent="0.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57">IFERROR(G230/G460,"-")</f>
        <v>-</v>
      </c>
      <c r="H580" t="str">
        <f t="shared" si="657"/>
        <v>-</v>
      </c>
      <c r="I580" t="str">
        <f t="shared" si="657"/>
        <v>-</v>
      </c>
      <c r="J580" t="str">
        <f t="shared" si="657"/>
        <v>-</v>
      </c>
      <c r="K580">
        <f t="shared" si="657"/>
        <v>0.85</v>
      </c>
      <c r="L580">
        <f t="shared" ref="L580:O580" si="658">IFERROR(L230/L460,"-")</f>
        <v>0.85000000000000064</v>
      </c>
      <c r="M580">
        <f t="shared" si="658"/>
        <v>0.84999999999999909</v>
      </c>
      <c r="N580">
        <f t="shared" si="658"/>
        <v>0.84999999999999976</v>
      </c>
      <c r="O580">
        <f t="shared" si="658"/>
        <v>0.85000000000000042</v>
      </c>
      <c r="P580">
        <f>IFERROR(P230/P460,"-")</f>
        <v>0.84999999999999953</v>
      </c>
      <c r="Q580">
        <f>IFERROR(Q230/Q460,"-")</f>
        <v>0.84999999999999964</v>
      </c>
      <c r="S580" s="3"/>
    </row>
    <row r="581" spans="2:19" x14ac:dyDescent="0.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59">IFERROR(G232/G462,"-")</f>
        <v>2.9999999999999982</v>
      </c>
      <c r="H581" s="4">
        <f t="shared" si="659"/>
        <v>2.9999999999999996</v>
      </c>
      <c r="I581" s="4">
        <f t="shared" si="659"/>
        <v>2.9999999999999991</v>
      </c>
      <c r="J581" s="4">
        <f t="shared" si="659"/>
        <v>2.9999999999999991</v>
      </c>
      <c r="K581" s="4">
        <f t="shared" si="659"/>
        <v>2.9999999999999987</v>
      </c>
      <c r="L581" s="4">
        <f t="shared" ref="L581:O581" si="660">IFERROR(L232/L462,"-")</f>
        <v>3.0000000000000027</v>
      </c>
      <c r="M581" s="4">
        <f t="shared" si="660"/>
        <v>2.9999999999999991</v>
      </c>
      <c r="N581" s="4">
        <f t="shared" si="660"/>
        <v>2.9999999999999978</v>
      </c>
      <c r="O581" s="4">
        <f t="shared" si="660"/>
        <v>2.9999999999999987</v>
      </c>
      <c r="P581" s="4">
        <f>IFERROR(P232/P462,"-")</f>
        <v>2.9999999999999982</v>
      </c>
      <c r="Q581" s="4">
        <f>IFERROR(Q232/Q462,"-")</f>
        <v>3.0000000000000027</v>
      </c>
      <c r="S581" s="3"/>
    </row>
    <row r="582" spans="2:19" x14ac:dyDescent="0.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0.5865877815207079</v>
      </c>
      <c r="G582" s="3">
        <f>[1]Other_transformation!C$5</f>
        <v>0.63732246491143663</v>
      </c>
      <c r="H582" s="3">
        <f>[1]Other_transformation!D$5</f>
        <v>0.62963853768677547</v>
      </c>
      <c r="I582" s="3">
        <f>[1]Other_transformation!E$5</f>
        <v>9.8066988460196458E-4</v>
      </c>
      <c r="J582" s="3">
        <f>[1]Other_transformation!F$5</f>
        <v>7.9374080498451072E-4</v>
      </c>
      <c r="K582" s="3">
        <f>[1]Other_transformation!G$5</f>
        <v>2.0758580680027812E-3</v>
      </c>
      <c r="L582" s="3">
        <f>[1]Other_transformation!H$5</f>
        <v>2.7355943410638595E-3</v>
      </c>
      <c r="M582" s="3">
        <f>[1]Other_transformation!I$5</f>
        <v>3.8583980240493622E-2</v>
      </c>
      <c r="N582" s="3">
        <f>[1]Other_transformation!J$5</f>
        <v>0.2813211584854417</v>
      </c>
      <c r="O582" s="3">
        <f>[1]Other_transformation!K$5</f>
        <v>0.43941764928169968</v>
      </c>
      <c r="P582" s="3">
        <f>[1]Other_transformation!L$5</f>
        <v>1.3413850340144695</v>
      </c>
      <c r="Q582" s="3">
        <f>[1]Other_transformation!M$5</f>
        <v>1.5546972210446051</v>
      </c>
      <c r="S582" s="3"/>
    </row>
    <row r="583" spans="2:19" x14ac:dyDescent="0.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0.5865877815207079</v>
      </c>
      <c r="G583" s="1">
        <f t="shared" ref="G583:K583" si="661">G582</f>
        <v>0.63732246491143663</v>
      </c>
      <c r="H583" s="1">
        <f t="shared" si="661"/>
        <v>0.62963853768677547</v>
      </c>
      <c r="I583" s="1">
        <f t="shared" si="661"/>
        <v>9.8066988460196458E-4</v>
      </c>
      <c r="J583" s="1">
        <f t="shared" si="661"/>
        <v>7.9374080498451072E-4</v>
      </c>
      <c r="K583" s="1">
        <f t="shared" si="661"/>
        <v>2.0758580680027812E-3</v>
      </c>
      <c r="L583" s="1">
        <f t="shared" ref="L583:O583" si="662">L582</f>
        <v>2.7355943410638595E-3</v>
      </c>
      <c r="M583" s="1">
        <f t="shared" si="662"/>
        <v>3.8583980240493622E-2</v>
      </c>
      <c r="N583" s="1">
        <f t="shared" si="662"/>
        <v>0.2813211584854417</v>
      </c>
      <c r="O583" s="1">
        <f t="shared" si="662"/>
        <v>0.43941764928169968</v>
      </c>
      <c r="P583" s="1">
        <f>P582</f>
        <v>1.3413850340144695</v>
      </c>
      <c r="Q583" s="1">
        <f>Q582</f>
        <v>1.5546972210446051</v>
      </c>
      <c r="S583" s="3"/>
    </row>
    <row r="584" spans="2:19" x14ac:dyDescent="0.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0.5865877815207079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0.63732246491143663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0.62963853768677547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9.8066988460196458E-4</v>
      </c>
      <c r="J584" s="1" cm="1">
        <f t="array" ref="J584">SUMPRODUCT(("CT_CWODBDS"=[1]OUT_SyntheticFuels!$C$4:$C$1000)*1,("BDS"=[1]OUT_SyntheticFuels!$A$4:$A$1000)*1,("Var_Fout"=[1]OUT_SyntheticFuels!$B$4:$B$1000)*1,[1]OUT_SyntheticFuels!I$4:I$1000)</f>
        <v>7.9374080498451072E-4</v>
      </c>
      <c r="K584" s="1" cm="1">
        <f t="array" ref="K584">SUMPRODUCT(("CT_CWODBDS"=[1]OUT_SyntheticFuels!$C$4:$C$1000)*1,("BDS"=[1]OUT_SyntheticFuels!$A$4:$A$1000)*1,("Var_Fout"=[1]OUT_SyntheticFuels!$B$4:$B$1000)*1,[1]OUT_SyntheticFuels!J$4:J$1000)</f>
        <v>2.0758580680027812E-3</v>
      </c>
      <c r="L584" s="1" cm="1">
        <f t="array" ref="L584">SUMPRODUCT(("CT_CWODBDS"=[1]OUT_SyntheticFuels!$C$4:$C$1000)*1,("BDS"=[1]OUT_SyntheticFuels!$A$4:$A$1000)*1,("Var_Fout"=[1]OUT_SyntheticFuels!$B$4:$B$1000)*1,[1]OUT_SyntheticFuels!K$4:K$1000)</f>
        <v>2.7355943410638595E-3</v>
      </c>
      <c r="M584" s="1" cm="1">
        <f t="array" ref="M584">SUMPRODUCT(("CT_CWODBDS"=[1]OUT_SyntheticFuels!$C$4:$C$1000)*1,("BDS"=[1]OUT_SyntheticFuels!$A$4:$A$1000)*1,("Var_Fout"=[1]OUT_SyntheticFuels!$B$4:$B$1000)*1,[1]OUT_SyntheticFuels!L$4:L$1000)</f>
        <v>3.8583980240493622E-2</v>
      </c>
      <c r="N584" s="1" cm="1">
        <f t="array" ref="N584">SUMPRODUCT(("CT_CWODBDS"=[1]OUT_SyntheticFuels!$C$4:$C$1000)*1,("BDS"=[1]OUT_SyntheticFuels!$A$4:$A$1000)*1,("Var_Fout"=[1]OUT_SyntheticFuels!$B$4:$B$1000)*1,[1]OUT_SyntheticFuels!M$4:M$1000)</f>
        <v>0.2813211584854417</v>
      </c>
      <c r="O584" s="1" cm="1">
        <f t="array" ref="O584">SUMPRODUCT(("CT_CWODBDS"=[1]OUT_SyntheticFuels!$C$4:$C$1000)*1,("BDS"=[1]OUT_SyntheticFuels!$A$4:$A$1000)*1,("Var_Fout"=[1]OUT_SyntheticFuels!$B$4:$B$1000)*1,[1]OUT_SyntheticFuels!N$4:N$1000)</f>
        <v>0.43941764928169968</v>
      </c>
      <c r="P584" s="1" cm="1">
        <f t="array" ref="P584">SUMPRODUCT(("CT_CWODBDS"=[1]OUT_SyntheticFuels!$C$4:$C$1000)*1,("BDS"=[1]OUT_SyntheticFuels!$A$4:$A$1000)*1,("Var_Fout"=[1]OUT_SyntheticFuels!$B$4:$B$1000)*1,[1]OUT_SyntheticFuels!O$4:O$1000)</f>
        <v>1.3413850340144695</v>
      </c>
      <c r="Q584" s="1" cm="1">
        <f t="array" ref="Q584">SUMPRODUCT(("CT_CWODBDS"=[1]OUT_SyntheticFuels!$C$4:$C$1000)*1,("BDS"=[1]OUT_SyntheticFuels!$A$4:$A$1000)*1,("Var_Fout"=[1]OUT_SyntheticFuels!$B$4:$B$1000)*1,[1]OUT_SyntheticFuels!P$4:P$1000)</f>
        <v>1.5546972210446051</v>
      </c>
      <c r="S584" s="3"/>
    </row>
    <row r="585" spans="2:19" x14ac:dyDescent="0.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SUMPRODUCT(("CT_CWODBDSCCS"=[1]OUT_SyntheticFuels!$C$4:$C$1000)*1,("BDS"=[1]OUT_SyntheticFuels!$A$4:$A$1000)*1,("Var_Fout"=[1]OUT_SyntheticFuels!$B$4:$B$1000)*1,[1]OUT_SyntheticFuels!I$4:I$1000)</f>
        <v>0</v>
      </c>
      <c r="K585" s="1" cm="1">
        <f t="array" ref="K585">SUMPRODUCT(("CT_CWODBDSCCS"=[1]OUT_SyntheticFuels!$C$4:$C$1000)*1,("BDS"=[1]OUT_SyntheticFuels!$A$4:$A$1000)*1,("Var_Fout"=[1]OUT_SyntheticFuels!$B$4:$B$1000)*1,[1]OUT_SyntheticFuels!J$4:J$1000)</f>
        <v>0</v>
      </c>
      <c r="L585" s="1" cm="1">
        <f t="array" ref="L585">SUMPRODUCT(("CT_CWODBDSCCS"=[1]OUT_SyntheticFuels!$C$4:$C$1000)*1,("BDS"=[1]OUT_SyntheticFuels!$A$4:$A$1000)*1,("Var_Fout"=[1]OUT_SyntheticFuels!$B$4:$B$1000)*1,[1]OUT_SyntheticFuels!K$4:K$1000)</f>
        <v>0</v>
      </c>
      <c r="M585" s="1" cm="1">
        <f t="array" ref="M585">SUMPRODUCT(("CT_CWODBDSCCS"=[1]OUT_SyntheticFuels!$C$4:$C$1000)*1,("BDS"=[1]OUT_SyntheticFuels!$A$4:$A$1000)*1,("Var_Fout"=[1]OUT_SyntheticFuels!$B$4:$B$1000)*1,[1]OUT_SyntheticFuels!L$4:L$1000)</f>
        <v>0</v>
      </c>
      <c r="N585" s="1" cm="1">
        <f t="array" ref="N585">SUMPRODUCT(("CT_CWODBDSCCS"=[1]OUT_SyntheticFuels!$C$4:$C$1000)*1,("BDS"=[1]OUT_SyntheticFuels!$A$4:$A$1000)*1,("Var_Fout"=[1]OUT_SyntheticFuels!$B$4:$B$1000)*1,[1]OUT_SyntheticFuels!M$4:M$1000)</f>
        <v>0</v>
      </c>
      <c r="O585" s="1" cm="1">
        <f t="array" ref="O585">SUMPRODUCT(("CT_CWODBDSCCS"=[1]OUT_SyntheticFuels!$C$4:$C$1000)*1,("BDS"=[1]OUT_SyntheticFuels!$A$4:$A$1000)*1,("Var_Fout"=[1]OUT_SyntheticFuels!$B$4:$B$1000)*1,[1]OUT_SyntheticFuels!N$4:N$1000)</f>
        <v>0</v>
      </c>
      <c r="P585" s="1" cm="1">
        <f t="array" ref="P585">SUMPRODUCT(("CT_CWODBDSCCS"=[1]OUT_SyntheticFuels!$C$4:$C$1000)*1,("BDS"=[1]OUT_SyntheticFuels!$A$4:$A$1000)*1,("Var_Fout"=[1]OUT_SyntheticFuels!$B$4:$B$1000)*1,[1]OUT_SyntheticFuels!O$4:O$1000)</f>
        <v>0</v>
      </c>
      <c r="Q585" s="1" cm="1">
        <f t="array" ref="Q585">SUMPRODUCT(("CT_CWODBDSCCS"=[1]OUT_SyntheticFuels!$C$4:$C$1000)*1,("BDS"=[1]OUT_SyntheticFuels!$A$4:$A$1000)*1,("Var_Fout"=[1]OUT_SyntheticFuels!$B$4:$B$1000)*1,[1]OUT_SyntheticFuels!P$4:P$1000)</f>
        <v>0</v>
      </c>
      <c r="S585" s="3"/>
    </row>
    <row r="586" spans="2:19" x14ac:dyDescent="0.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0.22876923479307545</v>
      </c>
      <c r="G586" s="3">
        <f t="shared" ref="G586:O586" si="663">G587</f>
        <v>0.24855576131545984</v>
      </c>
      <c r="H586" s="3">
        <f t="shared" si="663"/>
        <v>0.24555902969784205</v>
      </c>
      <c r="I586" s="3">
        <f t="shared" si="663"/>
        <v>3.824612549947656E-4</v>
      </c>
      <c r="J586" s="3">
        <f t="shared" si="663"/>
        <v>3.095589139439588E-4</v>
      </c>
      <c r="K586" s="3">
        <f t="shared" si="663"/>
        <v>8.0958464652108408E-4</v>
      </c>
      <c r="L586" s="3">
        <f t="shared" si="663"/>
        <v>1.0668817930149033E-3</v>
      </c>
      <c r="M586" s="3">
        <f t="shared" si="663"/>
        <v>1.5047752293792507E-2</v>
      </c>
      <c r="N586" s="3">
        <f t="shared" si="663"/>
        <v>0.10971525180932221</v>
      </c>
      <c r="O586" s="3">
        <f t="shared" si="663"/>
        <v>0.17137288321986283</v>
      </c>
      <c r="P586" s="3">
        <f>P587</f>
        <v>0.52314016326564261</v>
      </c>
      <c r="Q586" s="3">
        <f>Q587</f>
        <v>0.60633191620739457</v>
      </c>
      <c r="S586" s="3"/>
    </row>
    <row r="587" spans="2:19" x14ac:dyDescent="0.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0.22876923479307545</v>
      </c>
      <c r="G587" s="1">
        <f t="shared" ref="G587:K587" si="664">SUM(G588:G589)</f>
        <v>0.24855576131545984</v>
      </c>
      <c r="H587" s="1">
        <f t="shared" si="664"/>
        <v>0.24555902969784205</v>
      </c>
      <c r="I587" s="1">
        <f t="shared" si="664"/>
        <v>3.824612549947656E-4</v>
      </c>
      <c r="J587" s="1">
        <f t="shared" si="664"/>
        <v>3.095589139439588E-4</v>
      </c>
      <c r="K587" s="1">
        <f t="shared" si="664"/>
        <v>8.0958464652108408E-4</v>
      </c>
      <c r="L587" s="1">
        <f t="shared" ref="L587:O587" si="665">SUM(L588:L589)</f>
        <v>1.0668817930149033E-3</v>
      </c>
      <c r="M587" s="1">
        <f t="shared" si="665"/>
        <v>1.5047752293792507E-2</v>
      </c>
      <c r="N587" s="1">
        <f t="shared" si="665"/>
        <v>0.10971525180932221</v>
      </c>
      <c r="O587" s="1">
        <f t="shared" si="665"/>
        <v>0.17137288321986283</v>
      </c>
      <c r="P587" s="1">
        <f>SUM(P588:P589)</f>
        <v>0.52314016326564261</v>
      </c>
      <c r="Q587" s="1">
        <f>SUM(Q588:Q589)</f>
        <v>0.60633191620739457</v>
      </c>
      <c r="S587" s="3"/>
    </row>
    <row r="588" spans="2:19" x14ac:dyDescent="0.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0.22876923479307545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0.24855576131545984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0.24555902969784205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3.824612549947656E-4</v>
      </c>
      <c r="J588" s="1" cm="1">
        <f t="array" ref="J588">SUMPRODUCT(("CT_CWODBDS"=[1]OUT_SyntheticFuels!$C$4:$C$1000)*1,("LTH"=[1]OUT_SyntheticFuels!$A$4:$A$1000)*1,("Var_Fout"=[1]OUT_SyntheticFuels!$B$4:$B$1000)*1,[1]OUT_SyntheticFuels!I$4:I$1000)</f>
        <v>3.095589139439588E-4</v>
      </c>
      <c r="K588" s="1" cm="1">
        <f t="array" ref="K588">SUMPRODUCT(("CT_CWODBDS"=[1]OUT_SyntheticFuels!$C$4:$C$1000)*1,("LTH"=[1]OUT_SyntheticFuels!$A$4:$A$1000)*1,("Var_Fout"=[1]OUT_SyntheticFuels!$B$4:$B$1000)*1,[1]OUT_SyntheticFuels!J$4:J$1000)</f>
        <v>8.0958464652108408E-4</v>
      </c>
      <c r="L588" s="1" cm="1">
        <f t="array" ref="L588">SUMPRODUCT(("CT_CWODBDS"=[1]OUT_SyntheticFuels!$C$4:$C$1000)*1,("LTH"=[1]OUT_SyntheticFuels!$A$4:$A$1000)*1,("Var_Fout"=[1]OUT_SyntheticFuels!$B$4:$B$1000)*1,[1]OUT_SyntheticFuels!K$4:K$1000)</f>
        <v>1.0668817930149033E-3</v>
      </c>
      <c r="M588" s="1" cm="1">
        <f t="array" ref="M588">SUMPRODUCT(("CT_CWODBDS"=[1]OUT_SyntheticFuels!$C$4:$C$1000)*1,("LTH"=[1]OUT_SyntheticFuels!$A$4:$A$1000)*1,("Var_Fout"=[1]OUT_SyntheticFuels!$B$4:$B$1000)*1,[1]OUT_SyntheticFuels!L$4:L$1000)</f>
        <v>1.5047752293792507E-2</v>
      </c>
      <c r="N588" s="1" cm="1">
        <f t="array" ref="N588">SUMPRODUCT(("CT_CWODBDS"=[1]OUT_SyntheticFuels!$C$4:$C$1000)*1,("LTH"=[1]OUT_SyntheticFuels!$A$4:$A$1000)*1,("Var_Fout"=[1]OUT_SyntheticFuels!$B$4:$B$1000)*1,[1]OUT_SyntheticFuels!M$4:M$1000)</f>
        <v>0.10971525180932221</v>
      </c>
      <c r="O588" s="1" cm="1">
        <f t="array" ref="O588">SUMPRODUCT(("CT_CWODBDS"=[1]OUT_SyntheticFuels!$C$4:$C$1000)*1,("LTH"=[1]OUT_SyntheticFuels!$A$4:$A$1000)*1,("Var_Fout"=[1]OUT_SyntheticFuels!$B$4:$B$1000)*1,[1]OUT_SyntheticFuels!N$4:N$1000)</f>
        <v>0.17137288321986283</v>
      </c>
      <c r="P588" s="1" cm="1">
        <f t="array" ref="P588">SUMPRODUCT(("CT_CWODBDS"=[1]OUT_SyntheticFuels!$C$4:$C$1000)*1,("LTH"=[1]OUT_SyntheticFuels!$A$4:$A$1000)*1,("Var_Fout"=[1]OUT_SyntheticFuels!$B$4:$B$1000)*1,[1]OUT_SyntheticFuels!O$4:O$1000)</f>
        <v>0.52314016326564261</v>
      </c>
      <c r="Q588" s="1" cm="1">
        <f t="array" ref="Q588">SUMPRODUCT(("CT_CWODBDS"=[1]OUT_SyntheticFuels!$C$4:$C$1000)*1,("LTH"=[1]OUT_SyntheticFuels!$A$4:$A$1000)*1,("Var_Fout"=[1]OUT_SyntheticFuels!$B$4:$B$1000)*1,[1]OUT_SyntheticFuels!P$4:P$1000)</f>
        <v>0.60633191620739457</v>
      </c>
      <c r="S588" s="3"/>
    </row>
    <row r="589" spans="2:19" x14ac:dyDescent="0.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SUMPRODUCT(("CT_CWODBDSCCS"=[1]OUT_SyntheticFuels!$C$4:$C$1000)*1,("LTH"=[1]OUT_SyntheticFuels!$A$4:$A$1000)*1,("Var_Fout"=[1]OUT_SyntheticFuels!$B$4:$B$1000)*1,[1]OUT_SyntheticFuels!I$4:I$1000)</f>
        <v>0</v>
      </c>
      <c r="K589" s="1" cm="1">
        <f t="array" ref="K589">SUMPRODUCT(("CT_CWODBDSCCS"=[1]OUT_SyntheticFuels!$C$4:$C$1000)*1,("LTH"=[1]OUT_SyntheticFuels!$A$4:$A$1000)*1,("Var_Fout"=[1]OUT_SyntheticFuels!$B$4:$B$1000)*1,[1]OUT_SyntheticFuels!J$4:J$1000)</f>
        <v>0</v>
      </c>
      <c r="L589" s="1" cm="1">
        <f t="array" ref="L589">SUMPRODUCT(("CT_CWODBDSCCS"=[1]OUT_SyntheticFuels!$C$4:$C$1000)*1,("LTH"=[1]OUT_SyntheticFuels!$A$4:$A$1000)*1,("Var_Fout"=[1]OUT_SyntheticFuels!$B$4:$B$1000)*1,[1]OUT_SyntheticFuels!K$4:K$1000)</f>
        <v>0</v>
      </c>
      <c r="M589" s="1" cm="1">
        <f t="array" ref="M589">SUMPRODUCT(("CT_CWODBDSCCS"=[1]OUT_SyntheticFuels!$C$4:$C$1000)*1,("LTH"=[1]OUT_SyntheticFuels!$A$4:$A$1000)*1,("Var_Fout"=[1]OUT_SyntheticFuels!$B$4:$B$1000)*1,[1]OUT_SyntheticFuels!L$4:L$1000)</f>
        <v>0</v>
      </c>
      <c r="N589" s="1" cm="1">
        <f t="array" ref="N589">SUMPRODUCT(("CT_CWODBDSCCS"=[1]OUT_SyntheticFuels!$C$4:$C$1000)*1,("LTH"=[1]OUT_SyntheticFuels!$A$4:$A$1000)*1,("Var_Fout"=[1]OUT_SyntheticFuels!$B$4:$B$1000)*1,[1]OUT_SyntheticFuels!M$4:M$1000)</f>
        <v>0</v>
      </c>
      <c r="O589" s="1" cm="1">
        <f t="array" ref="O589">SUMPRODUCT(("CT_CWODBDSCCS"=[1]OUT_SyntheticFuels!$C$4:$C$1000)*1,("LTH"=[1]OUT_SyntheticFuels!$A$4:$A$1000)*1,("Var_Fout"=[1]OUT_SyntheticFuels!$B$4:$B$1000)*1,[1]OUT_SyntheticFuels!N$4:N$1000)</f>
        <v>0</v>
      </c>
      <c r="P589" s="1" cm="1">
        <f t="array" ref="P589">SUMPRODUCT(("CT_CWODBDSCCS"=[1]OUT_SyntheticFuels!$C$4:$C$1000)*1,("LTH"=[1]OUT_SyntheticFuels!$A$4:$A$1000)*1,("Var_Fout"=[1]OUT_SyntheticFuels!$B$4:$B$1000)*1,[1]OUT_SyntheticFuels!O$4:O$1000)</f>
        <v>0</v>
      </c>
      <c r="Q589" s="1" cm="1">
        <f t="array" ref="Q589">SUMPRODUCT(("CT_CWODBDSCCS"=[1]OUT_SyntheticFuels!$C$4:$C$1000)*1,("LTH"=[1]OUT_SyntheticFuels!$A$4:$A$1000)*1,("Var_Fout"=[1]OUT_SyntheticFuels!$B$4:$B$1000)*1,[1]OUT_SyntheticFuels!P$4:P$1000)</f>
        <v>0</v>
      </c>
      <c r="S589" s="3"/>
    </row>
    <row r="590" spans="2:19" x14ac:dyDescent="0.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1.7122497342589436</v>
      </c>
      <c r="G590" s="3">
        <f t="shared" ref="G590:K590" si="666">G591+G594</f>
        <v>1.8603442750764803</v>
      </c>
      <c r="H590" s="3">
        <f t="shared" si="666"/>
        <v>1.8379148915076959</v>
      </c>
      <c r="I590" s="3">
        <f t="shared" si="666"/>
        <v>2.8625753931531316E-3</v>
      </c>
      <c r="J590" s="3">
        <f t="shared" si="666"/>
        <v>2.3169294097497841E-3</v>
      </c>
      <c r="K590" s="3">
        <f t="shared" si="666"/>
        <v>6.0594297005001144E-3</v>
      </c>
      <c r="L590" s="3">
        <f t="shared" ref="L590:O590" si="667">L591+L594</f>
        <v>7.9851998815653972E-3</v>
      </c>
      <c r="M590" s="3">
        <f t="shared" si="667"/>
        <v>0.11262663832200079</v>
      </c>
      <c r="N590" s="3">
        <f t="shared" si="667"/>
        <v>0.82117646161900426</v>
      </c>
      <c r="O590" s="3">
        <f t="shared" si="667"/>
        <v>1.2826601182532813</v>
      </c>
      <c r="P590" s="3">
        <f>P591+P594</f>
        <v>3.9155029142882336</v>
      </c>
      <c r="Q590" s="3">
        <f>Q591+Q594</f>
        <v>4.5381611882291999</v>
      </c>
      <c r="S590" s="3"/>
    </row>
    <row r="591" spans="2:19" x14ac:dyDescent="0.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1.6714818834432545</v>
      </c>
      <c r="G591" s="1">
        <f t="shared" ref="G591:K591" si="668">SUM(G592:G593)</f>
        <v>1.8160503637651355</v>
      </c>
      <c r="H591" s="1">
        <f t="shared" si="668"/>
        <v>1.7941550131384651</v>
      </c>
      <c r="I591" s="1">
        <f t="shared" si="668"/>
        <v>2.794418836173295E-3</v>
      </c>
      <c r="J591" s="1">
        <f t="shared" si="668"/>
        <v>2.2617644238033608E-3</v>
      </c>
      <c r="K591" s="1">
        <f t="shared" si="668"/>
        <v>5.9151575647739211E-3</v>
      </c>
      <c r="L591" s="1">
        <f t="shared" ref="L591:O591" si="669">SUM(L592:L593)</f>
        <v>7.7950760748614597E-3</v>
      </c>
      <c r="M591" s="1">
        <f t="shared" si="669"/>
        <v>0.10994505169528648</v>
      </c>
      <c r="N591" s="1">
        <f t="shared" si="669"/>
        <v>0.80162464110426612</v>
      </c>
      <c r="O591" s="1">
        <f t="shared" si="669"/>
        <v>1.2521205916282032</v>
      </c>
      <c r="P591" s="1">
        <f>SUM(P592:P593)</f>
        <v>3.8222766544242281</v>
      </c>
      <c r="Q591" s="1">
        <f>SUM(Q592:Q593)</f>
        <v>4.4301097313666</v>
      </c>
      <c r="S591" s="3"/>
    </row>
    <row r="592" spans="2:19" x14ac:dyDescent="0.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1.6714818834432545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1.8160503637651355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1.7941550131384651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2.794418836173295E-3</v>
      </c>
      <c r="J592" s="1" cm="1">
        <f t="array" ref="J592">SUMPRODUCT(("CT_CWODBDS"=[1]OUT_SyntheticFuels!$C$4:$C$1000)*1,("CWOD"=[1]OUT_SyntheticFuels!$A$4:$A$1000)*1,("Var_Fin"=[1]OUT_SyntheticFuels!$B$4:$B$1000)*1,[1]OUT_SyntheticFuels!I$4:I$1000)</f>
        <v>2.2617644238033608E-3</v>
      </c>
      <c r="K592" s="1" cm="1">
        <f t="array" ref="K592">SUMPRODUCT(("CT_CWODBDS"=[1]OUT_SyntheticFuels!$C$4:$C$1000)*1,("CWOD"=[1]OUT_SyntheticFuels!$A$4:$A$1000)*1,("Var_Fin"=[1]OUT_SyntheticFuels!$B$4:$B$1000)*1,[1]OUT_SyntheticFuels!J$4:J$1000)</f>
        <v>5.9151575647739211E-3</v>
      </c>
      <c r="L592" s="1" cm="1">
        <f t="array" ref="L592">SUMPRODUCT(("CT_CWODBDS"=[1]OUT_SyntheticFuels!$C$4:$C$1000)*1,("CWOD"=[1]OUT_SyntheticFuels!$A$4:$A$1000)*1,("Var_Fin"=[1]OUT_SyntheticFuels!$B$4:$B$1000)*1,[1]OUT_SyntheticFuels!K$4:K$1000)</f>
        <v>7.7950760748614597E-3</v>
      </c>
      <c r="M592" s="1" cm="1">
        <f t="array" ref="M592">SUMPRODUCT(("CT_CWODBDS"=[1]OUT_SyntheticFuels!$C$4:$C$1000)*1,("CWOD"=[1]OUT_SyntheticFuels!$A$4:$A$1000)*1,("Var_Fin"=[1]OUT_SyntheticFuels!$B$4:$B$1000)*1,[1]OUT_SyntheticFuels!L$4:L$1000)</f>
        <v>0.10994505169528648</v>
      </c>
      <c r="N592" s="1" cm="1">
        <f t="array" ref="N592">SUMPRODUCT(("CT_CWODBDS"=[1]OUT_SyntheticFuels!$C$4:$C$1000)*1,("CWOD"=[1]OUT_SyntheticFuels!$A$4:$A$1000)*1,("Var_Fin"=[1]OUT_SyntheticFuels!$B$4:$B$1000)*1,[1]OUT_SyntheticFuels!M$4:M$1000)</f>
        <v>0.80162464110426612</v>
      </c>
      <c r="O592" s="1" cm="1">
        <f t="array" ref="O592">SUMPRODUCT(("CT_CWODBDS"=[1]OUT_SyntheticFuels!$C$4:$C$1000)*1,("CWOD"=[1]OUT_SyntheticFuels!$A$4:$A$1000)*1,("Var_Fin"=[1]OUT_SyntheticFuels!$B$4:$B$1000)*1,[1]OUT_SyntheticFuels!N$4:N$1000)</f>
        <v>1.2521205916282032</v>
      </c>
      <c r="P592" s="1" cm="1">
        <f t="array" ref="P592">SUMPRODUCT(("CT_CWODBDS"=[1]OUT_SyntheticFuels!$C$4:$C$1000)*1,("CWOD"=[1]OUT_SyntheticFuels!$A$4:$A$1000)*1,("Var_Fin"=[1]OUT_SyntheticFuels!$B$4:$B$1000)*1,[1]OUT_SyntheticFuels!O$4:O$1000)</f>
        <v>3.8222766544242281</v>
      </c>
      <c r="Q592" s="1" cm="1">
        <f t="array" ref="Q592">SUMPRODUCT(("CT_CWODBDS"=[1]OUT_SyntheticFuels!$C$4:$C$1000)*1,("CWOD"=[1]OUT_SyntheticFuels!$A$4:$A$1000)*1,("Var_Fin"=[1]OUT_SyntheticFuels!$B$4:$B$1000)*1,[1]OUT_SyntheticFuels!P$4:P$1000)</f>
        <v>4.4301097313666</v>
      </c>
      <c r="S592" s="3"/>
    </row>
    <row r="593" spans="2:19" x14ac:dyDescent="0.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SUMPRODUCT(("CT_CWODBDSCCS"=[1]OUT_SyntheticFuels!$C$4:$C$1000)*1,("CWOD"=[1]OUT_SyntheticFuels!$A$4:$A$1000)*1,("Var_Fin"=[1]OUT_SyntheticFuels!$B$4:$B$1000)*1,[1]OUT_SyntheticFuels!I$4:I$1000)</f>
        <v>0</v>
      </c>
      <c r="K593" s="1" cm="1">
        <f t="array" ref="K593">SUMPRODUCT(("CT_CWODBDSCCS"=[1]OUT_SyntheticFuels!$C$4:$C$1000)*1,("CWOD"=[1]OUT_SyntheticFuels!$A$4:$A$1000)*1,("Var_Fin"=[1]OUT_SyntheticFuels!$B$4:$B$1000)*1,[1]OUT_SyntheticFuels!J$4:J$1000)</f>
        <v>0</v>
      </c>
      <c r="L593" s="1" cm="1">
        <f t="array" ref="L593">SUMPRODUCT(("CT_CWODBDSCCS"=[1]OUT_SyntheticFuels!$C$4:$C$1000)*1,("CWOD"=[1]OUT_SyntheticFuels!$A$4:$A$1000)*1,("Var_Fin"=[1]OUT_SyntheticFuels!$B$4:$B$1000)*1,[1]OUT_SyntheticFuels!K$4:K$1000)</f>
        <v>0</v>
      </c>
      <c r="M593" s="1" cm="1">
        <f t="array" ref="M593">SUMPRODUCT(("CT_CWODBDSCCS"=[1]OUT_SyntheticFuels!$C$4:$C$1000)*1,("CWOD"=[1]OUT_SyntheticFuels!$A$4:$A$1000)*1,("Var_Fin"=[1]OUT_SyntheticFuels!$B$4:$B$1000)*1,[1]OUT_SyntheticFuels!L$4:L$1000)</f>
        <v>0</v>
      </c>
      <c r="N593" s="1" cm="1">
        <f t="array" ref="N593">SUMPRODUCT(("CT_CWODBDSCCS"=[1]OUT_SyntheticFuels!$C$4:$C$1000)*1,("CWOD"=[1]OUT_SyntheticFuels!$A$4:$A$1000)*1,("Var_Fin"=[1]OUT_SyntheticFuels!$B$4:$B$1000)*1,[1]OUT_SyntheticFuels!M$4:M$1000)</f>
        <v>0</v>
      </c>
      <c r="O593" s="1" cm="1">
        <f t="array" ref="O593">SUMPRODUCT(("CT_CWODBDSCCS"=[1]OUT_SyntheticFuels!$C$4:$C$1000)*1,("CWOD"=[1]OUT_SyntheticFuels!$A$4:$A$1000)*1,("Var_Fin"=[1]OUT_SyntheticFuels!$B$4:$B$1000)*1,[1]OUT_SyntheticFuels!N$4:N$1000)</f>
        <v>0</v>
      </c>
      <c r="P593" s="1" cm="1">
        <f t="array" ref="P593">SUMPRODUCT(("CT_CWODBDSCCS"=[1]OUT_SyntheticFuels!$C$4:$C$1000)*1,("CWOD"=[1]OUT_SyntheticFuels!$A$4:$A$1000)*1,("Var_Fin"=[1]OUT_SyntheticFuels!$B$4:$B$1000)*1,[1]OUT_SyntheticFuels!O$4:O$1000)</f>
        <v>0</v>
      </c>
      <c r="Q593" s="1" cm="1">
        <f t="array" ref="Q593">SUMPRODUCT(("CT_CWODBDSCCS"=[1]OUT_SyntheticFuels!$C$4:$C$1000)*1,("CWOD"=[1]OUT_SyntheticFuels!$A$4:$A$1000)*1,("Var_Fin"=[1]OUT_SyntheticFuels!$B$4:$B$1000)*1,[1]OUT_SyntheticFuels!P$4:P$1000)</f>
        <v>0</v>
      </c>
      <c r="S593" s="3"/>
    </row>
    <row r="594" spans="2:19" x14ac:dyDescent="0.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4.0767850815689115E-2</v>
      </c>
      <c r="G594" s="1">
        <f t="shared" ref="G594:K594" si="670">SUM(G595:G596)</f>
        <v>4.429391131134483E-2</v>
      </c>
      <c r="H594" s="1">
        <f t="shared" si="670"/>
        <v>4.3759878369230877E-2</v>
      </c>
      <c r="I594" s="1">
        <f t="shared" si="670"/>
        <v>6.8156556979836563E-5</v>
      </c>
      <c r="J594" s="1">
        <f t="shared" si="670"/>
        <v>5.5164985946423492E-5</v>
      </c>
      <c r="K594" s="1">
        <f t="shared" si="670"/>
        <v>1.4427213572619336E-4</v>
      </c>
      <c r="L594" s="1">
        <f t="shared" ref="L594:O594" si="671">SUM(L595:L596)</f>
        <v>1.9012380670393832E-4</v>
      </c>
      <c r="M594" s="1">
        <f t="shared" si="671"/>
        <v>2.6815866267143073E-3</v>
      </c>
      <c r="N594" s="1">
        <f t="shared" si="671"/>
        <v>1.9551820514738194E-2</v>
      </c>
      <c r="O594" s="1">
        <f t="shared" si="671"/>
        <v>3.0539526625078136E-2</v>
      </c>
      <c r="P594" s="1">
        <f>SUM(P595:P596)</f>
        <v>9.3226259864005623E-2</v>
      </c>
      <c r="Q594" s="1">
        <f>SUM(Q595:Q596)</f>
        <v>0.10805145686260008</v>
      </c>
      <c r="S594" s="3"/>
    </row>
    <row r="595" spans="2:19" x14ac:dyDescent="0.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4.0767850815689115E-2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4.429391131134483E-2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4.3759878369230877E-2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6.8156556979836563E-5</v>
      </c>
      <c r="J595" s="1" cm="1">
        <f t="array" ref="J595">SUMPRODUCT(("CT_CWODBDS"=[1]OUT_SyntheticFuels!$C$4:$C$1000)*1,("Celc"=[1]OUT_SyntheticFuels!$A$4:$A$1000)*1,("Var_Fin"=[1]OUT_SyntheticFuels!$B$4:$B$1000)*1,[1]OUT_SyntheticFuels!I$4:I$1000)</f>
        <v>5.5164985946423492E-5</v>
      </c>
      <c r="K595" s="1" cm="1">
        <f t="array" ref="K595">SUMPRODUCT(("CT_CWODBDS"=[1]OUT_SyntheticFuels!$C$4:$C$1000)*1,("Celc"=[1]OUT_SyntheticFuels!$A$4:$A$1000)*1,("Var_Fin"=[1]OUT_SyntheticFuels!$B$4:$B$1000)*1,[1]OUT_SyntheticFuels!J$4:J$1000)</f>
        <v>1.4427213572619336E-4</v>
      </c>
      <c r="L595" s="1" cm="1">
        <f t="array" ref="L595">SUMPRODUCT(("CT_CWODBDS"=[1]OUT_SyntheticFuels!$C$4:$C$1000)*1,("Celc"=[1]OUT_SyntheticFuels!$A$4:$A$1000)*1,("Var_Fin"=[1]OUT_SyntheticFuels!$B$4:$B$1000)*1,[1]OUT_SyntheticFuels!K$4:K$1000)</f>
        <v>1.9012380670393832E-4</v>
      </c>
      <c r="M595" s="1" cm="1">
        <f t="array" ref="M595">SUMPRODUCT(("CT_CWODBDS"=[1]OUT_SyntheticFuels!$C$4:$C$1000)*1,("Celc"=[1]OUT_SyntheticFuels!$A$4:$A$1000)*1,("Var_Fin"=[1]OUT_SyntheticFuels!$B$4:$B$1000)*1,[1]OUT_SyntheticFuels!L$4:L$1000)</f>
        <v>2.6815866267143073E-3</v>
      </c>
      <c r="N595" s="1" cm="1">
        <f t="array" ref="N595">SUMPRODUCT(("CT_CWODBDS"=[1]OUT_SyntheticFuels!$C$4:$C$1000)*1,("Celc"=[1]OUT_SyntheticFuels!$A$4:$A$1000)*1,("Var_Fin"=[1]OUT_SyntheticFuels!$B$4:$B$1000)*1,[1]OUT_SyntheticFuels!M$4:M$1000)</f>
        <v>1.9551820514738194E-2</v>
      </c>
      <c r="O595" s="1" cm="1">
        <f t="array" ref="O595">SUMPRODUCT(("CT_CWODBDS"=[1]OUT_SyntheticFuels!$C$4:$C$1000)*1,("Celc"=[1]OUT_SyntheticFuels!$A$4:$A$1000)*1,("Var_Fin"=[1]OUT_SyntheticFuels!$B$4:$B$1000)*1,[1]OUT_SyntheticFuels!N$4:N$1000)</f>
        <v>3.0539526625078136E-2</v>
      </c>
      <c r="P595" s="1" cm="1">
        <f t="array" ref="P595">SUMPRODUCT(("CT_CWODBDS"=[1]OUT_SyntheticFuels!$C$4:$C$1000)*1,("Celc"=[1]OUT_SyntheticFuels!$A$4:$A$1000)*1,("Var_Fin"=[1]OUT_SyntheticFuels!$B$4:$B$1000)*1,[1]OUT_SyntheticFuels!O$4:O$1000)</f>
        <v>9.3226259864005623E-2</v>
      </c>
      <c r="Q595" s="1" cm="1">
        <f t="array" ref="Q595">SUMPRODUCT(("CT_CWODBDS"=[1]OUT_SyntheticFuels!$C$4:$C$1000)*1,("Celc"=[1]OUT_SyntheticFuels!$A$4:$A$1000)*1,("Var_Fin"=[1]OUT_SyntheticFuels!$B$4:$B$1000)*1,[1]OUT_SyntheticFuels!P$4:P$1000)</f>
        <v>0.10805145686260008</v>
      </c>
      <c r="S595" s="3"/>
    </row>
    <row r="596" spans="2:19" x14ac:dyDescent="0.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SUMPRODUCT(("CT_CWODBDSCCS"=[1]OUT_SyntheticFuels!$C$4:$C$1000)*1,("Celc"=[1]OUT_SyntheticFuels!$A$4:$A$1000)*1,("Var_Fin"=[1]OUT_SyntheticFuels!$B$4:$B$1000)*1,[1]OUT_SyntheticFuels!I$4:I$1000)</f>
        <v>0</v>
      </c>
      <c r="K596" s="1" cm="1">
        <f t="array" ref="K596">SUMPRODUCT(("CT_CWODBDSCCS"=[1]OUT_SyntheticFuels!$C$4:$C$1000)*1,("Celc"=[1]OUT_SyntheticFuels!$A$4:$A$1000)*1,("Var_Fin"=[1]OUT_SyntheticFuels!$B$4:$B$1000)*1,[1]OUT_SyntheticFuels!J$4:J$1000)</f>
        <v>0</v>
      </c>
      <c r="L596" s="1" cm="1">
        <f t="array" ref="L596">SUMPRODUCT(("CT_CWODBDSCCS"=[1]OUT_SyntheticFuels!$C$4:$C$1000)*1,("Celc"=[1]OUT_SyntheticFuels!$A$4:$A$1000)*1,("Var_Fin"=[1]OUT_SyntheticFuels!$B$4:$B$1000)*1,[1]OUT_SyntheticFuels!K$4:K$1000)</f>
        <v>0</v>
      </c>
      <c r="M596" s="1" cm="1">
        <f t="array" ref="M596">SUMPRODUCT(("CT_CWODBDSCCS"=[1]OUT_SyntheticFuels!$C$4:$C$1000)*1,("Celc"=[1]OUT_SyntheticFuels!$A$4:$A$1000)*1,("Var_Fin"=[1]OUT_SyntheticFuels!$B$4:$B$1000)*1,[1]OUT_SyntheticFuels!L$4:L$1000)</f>
        <v>0</v>
      </c>
      <c r="N596" s="1" cm="1">
        <f t="array" ref="N596">SUMPRODUCT(("CT_CWODBDSCCS"=[1]OUT_SyntheticFuels!$C$4:$C$1000)*1,("Celc"=[1]OUT_SyntheticFuels!$A$4:$A$1000)*1,("Var_Fin"=[1]OUT_SyntheticFuels!$B$4:$B$1000)*1,[1]OUT_SyntheticFuels!M$4:M$1000)</f>
        <v>0</v>
      </c>
      <c r="O596" s="1" cm="1">
        <f t="array" ref="O596">SUMPRODUCT(("CT_CWODBDSCCS"=[1]OUT_SyntheticFuels!$C$4:$C$1000)*1,("Celc"=[1]OUT_SyntheticFuels!$A$4:$A$1000)*1,("Var_Fin"=[1]OUT_SyntheticFuels!$B$4:$B$1000)*1,[1]OUT_SyntheticFuels!N$4:N$1000)</f>
        <v>0</v>
      </c>
      <c r="P596" s="1" cm="1">
        <f t="array" ref="P596">SUMPRODUCT(("CT_CWODBDSCCS"=[1]OUT_SyntheticFuels!$C$4:$C$1000)*1,("Celc"=[1]OUT_SyntheticFuels!$A$4:$A$1000)*1,("Var_Fin"=[1]OUT_SyntheticFuels!$B$4:$B$1000)*1,[1]OUT_SyntheticFuels!O$4:O$1000)</f>
        <v>0</v>
      </c>
      <c r="Q596" s="1" cm="1">
        <f t="array" ref="Q596">SUMPRODUCT(("CT_CWODBDSCCS"=[1]OUT_SyntheticFuels!$C$4:$C$1000)*1,("Celc"=[1]OUT_SyntheticFuels!$A$4:$A$1000)*1,("Var_Fin"=[1]OUT_SyntheticFuels!$B$4:$B$1000)*1,[1]OUT_SyntheticFuels!P$4:P$1000)</f>
        <v>0</v>
      </c>
      <c r="S596" s="3"/>
    </row>
    <row r="597" spans="2:19" x14ac:dyDescent="0.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M597" t="s">
        <v>292</v>
      </c>
      <c r="N597" t="s">
        <v>292</v>
      </c>
      <c r="O597" t="s">
        <v>292</v>
      </c>
      <c r="P597" t="s">
        <v>292</v>
      </c>
      <c r="Q597" t="s">
        <v>292</v>
      </c>
      <c r="S597" s="3"/>
    </row>
    <row r="598" spans="2:19" x14ac:dyDescent="0.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0.47619047619047661</v>
      </c>
      <c r="G598" s="4">
        <f t="shared" ref="G598:K599" si="672">IFERROR(SUM(G584,G588)/SUM(G592,G595),"-")</f>
        <v>0.47619047619047677</v>
      </c>
      <c r="H598" s="4">
        <f t="shared" si="672"/>
        <v>0.47619047619047639</v>
      </c>
      <c r="I598" s="4">
        <f t="shared" si="672"/>
        <v>0.47619047619047644</v>
      </c>
      <c r="J598" s="4">
        <f t="shared" si="672"/>
        <v>0.47619047619047661</v>
      </c>
      <c r="K598" s="4">
        <f t="shared" si="672"/>
        <v>0.47619047619047639</v>
      </c>
      <c r="L598" s="4">
        <f t="shared" ref="L598:O598" si="673">IFERROR(SUM(L584,L588)/SUM(L592,L595),"-")</f>
        <v>0.4761904761904765</v>
      </c>
      <c r="M598" s="4">
        <f t="shared" si="673"/>
        <v>0.47619047619047655</v>
      </c>
      <c r="N598" s="4">
        <f t="shared" si="673"/>
        <v>0.47619047619047611</v>
      </c>
      <c r="O598" s="4">
        <f t="shared" si="673"/>
        <v>0.47619047619047622</v>
      </c>
      <c r="P598" s="4">
        <f>IFERROR(SUM(P584,P588)/SUM(P592,P595),"-")</f>
        <v>0.47619047619047644</v>
      </c>
      <c r="Q598" s="4">
        <f>IFERROR(SUM(Q584,Q588)/SUM(Q592,Q595),"-")</f>
        <v>0.47619047619047611</v>
      </c>
      <c r="S598" s="3"/>
    </row>
    <row r="599" spans="2:19" x14ac:dyDescent="0.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72"/>
        <v>-</v>
      </c>
      <c r="H599" s="4" t="str">
        <f t="shared" si="672"/>
        <v>-</v>
      </c>
      <c r="I599" s="4" t="str">
        <f t="shared" si="672"/>
        <v>-</v>
      </c>
      <c r="J599" s="4" t="str">
        <f t="shared" si="672"/>
        <v>-</v>
      </c>
      <c r="K599" s="4" t="str">
        <f t="shared" si="672"/>
        <v>-</v>
      </c>
      <c r="L599" s="4" t="str">
        <f t="shared" ref="L599:O599" si="674">IFERROR(SUM(L585,L589)/SUM(L593,L596),"-")</f>
        <v>-</v>
      </c>
      <c r="M599" s="4" t="str">
        <f t="shared" si="674"/>
        <v>-</v>
      </c>
      <c r="N599" s="4" t="str">
        <f t="shared" si="674"/>
        <v>-</v>
      </c>
      <c r="O599" s="4" t="str">
        <f t="shared" si="674"/>
        <v>-</v>
      </c>
      <c r="P599" s="4" t="str">
        <f>IFERROR(SUM(P585,P589)/SUM(P593,P596),"-")</f>
        <v>-</v>
      </c>
      <c r="Q599" s="4" t="str">
        <f>IFERROR(SUM(Q585,Q589)/SUM(Q593,Q596),"-")</f>
        <v>-</v>
      </c>
      <c r="S599" s="3"/>
    </row>
    <row r="600" spans="2:19" x14ac:dyDescent="0.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0.19072149030757013</v>
      </c>
      <c r="G600" s="1">
        <f>[1]Other_transformation!C$12</f>
        <v>9.8762772943289682E-5</v>
      </c>
      <c r="H600" s="1">
        <f>[1]Other_transformation!D$12</f>
        <v>1.7378361729828299E-3</v>
      </c>
      <c r="I600" s="1">
        <f>[1]Other_transformation!E$12</f>
        <v>2.0494599818419391E-4</v>
      </c>
      <c r="J600" s="1">
        <f>[1]Other_transformation!F$12</f>
        <v>2.8712456074613235E-4</v>
      </c>
      <c r="K600" s="1">
        <f>[1]Other_transformation!G$12</f>
        <v>3.3870438007592522E-4</v>
      </c>
      <c r="L600" s="1">
        <f>[1]Other_transformation!H$12</f>
        <v>4.0269673430806002E-4</v>
      </c>
      <c r="M600" s="1">
        <f>[1]Other_transformation!I$12</f>
        <v>1.0699181415123756E-3</v>
      </c>
      <c r="N600" s="1">
        <f>[1]Other_transformation!J$12</f>
        <v>7.7367789564033302E-4</v>
      </c>
      <c r="O600" s="1">
        <f>[1]Other_transformation!K$12</f>
        <v>1.3584850809165207E-3</v>
      </c>
      <c r="P600" s="1">
        <f>[1]Other_transformation!L$12</f>
        <v>1.4187865451229292E-3</v>
      </c>
      <c r="Q600" s="1">
        <f>[1]Other_transformation!M$12</f>
        <v>2.8840601409201166E-3</v>
      </c>
      <c r="S600" s="3"/>
    </row>
    <row r="601" spans="2:19" x14ac:dyDescent="0.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0.19072149030757013</v>
      </c>
      <c r="G601" s="1">
        <f t="shared" ref="G601:K601" si="675">SUM(G602:G603)</f>
        <v>9.8762772943289682E-5</v>
      </c>
      <c r="H601" s="1">
        <f t="shared" si="675"/>
        <v>1.7378361729828299E-3</v>
      </c>
      <c r="I601" s="1">
        <f t="shared" si="675"/>
        <v>2.0494599818419391E-4</v>
      </c>
      <c r="J601" s="1">
        <f t="shared" si="675"/>
        <v>2.8712456074613235E-4</v>
      </c>
      <c r="K601" s="1">
        <f t="shared" si="675"/>
        <v>3.3870438007592522E-4</v>
      </c>
      <c r="L601" s="1">
        <f t="shared" ref="L601:O601" si="676">SUM(L602:L603)</f>
        <v>4.0269673430806002E-4</v>
      </c>
      <c r="M601" s="1">
        <f t="shared" si="676"/>
        <v>1.0699181415123756E-3</v>
      </c>
      <c r="N601" s="1">
        <f t="shared" si="676"/>
        <v>7.7367789564033302E-4</v>
      </c>
      <c r="O601" s="1">
        <f t="shared" si="676"/>
        <v>1.3584850809165207E-3</v>
      </c>
      <c r="P601" s="1">
        <f>SUM(P602:P603)</f>
        <v>1.4187865451229292E-3</v>
      </c>
      <c r="Q601" s="1">
        <f>SUM(Q602:Q603)</f>
        <v>2.8840601409201166E-3</v>
      </c>
      <c r="S601" s="3"/>
    </row>
    <row r="602" spans="2:19" x14ac:dyDescent="0.5">
      <c r="B602" s="5" t="s">
        <v>6</v>
      </c>
      <c r="C602" s="5" t="s">
        <v>7</v>
      </c>
      <c r="D602" t="s">
        <v>2165</v>
      </c>
      <c r="E602" t="str">
        <f t="shared" ref="E602:E603" si="677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0.19072149030757013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9.8762772943289682E-5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1.7378361729828299E-3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2.0494599818419391E-4</v>
      </c>
      <c r="J602" s="1" cm="1">
        <f t="array" ref="J602">SUMPRODUCT(("CT_CWODETH"=[1]OUT_SyntheticFuels!$C$4:$C$1000)*1,("ETH"=[1]OUT_SyntheticFuels!$A$4:$A$1000)*1,("Var_Fout"=[1]OUT_SyntheticFuels!$B$4:$B$1000)*1,[1]OUT_SyntheticFuels!I$4:I$1000)</f>
        <v>2.8712456074613235E-4</v>
      </c>
      <c r="K602" s="1" cm="1">
        <f t="array" ref="K602">SUMPRODUCT(("CT_CWODETH"=[1]OUT_SyntheticFuels!$C$4:$C$1000)*1,("ETH"=[1]OUT_SyntheticFuels!$A$4:$A$1000)*1,("Var_Fout"=[1]OUT_SyntheticFuels!$B$4:$B$1000)*1,[1]OUT_SyntheticFuels!J$4:J$1000)</f>
        <v>3.3870438007592522E-4</v>
      </c>
      <c r="L602" s="1" cm="1">
        <f t="array" ref="L602">SUMPRODUCT(("CT_CWODETH"=[1]OUT_SyntheticFuels!$C$4:$C$1000)*1,("ETH"=[1]OUT_SyntheticFuels!$A$4:$A$1000)*1,("Var_Fout"=[1]OUT_SyntheticFuels!$B$4:$B$1000)*1,[1]OUT_SyntheticFuels!K$4:K$1000)</f>
        <v>4.0269673430806002E-4</v>
      </c>
      <c r="M602" s="1" cm="1">
        <f t="array" ref="M602">SUMPRODUCT(("CT_CWODETH"=[1]OUT_SyntheticFuels!$C$4:$C$1000)*1,("ETH"=[1]OUT_SyntheticFuels!$A$4:$A$1000)*1,("Var_Fout"=[1]OUT_SyntheticFuels!$B$4:$B$1000)*1,[1]OUT_SyntheticFuels!L$4:L$1000)</f>
        <v>1.0699181415123756E-3</v>
      </c>
      <c r="N602" s="1" cm="1">
        <f t="array" ref="N602">SUMPRODUCT(("CT_CWODETH"=[1]OUT_SyntheticFuels!$C$4:$C$1000)*1,("ETH"=[1]OUT_SyntheticFuels!$A$4:$A$1000)*1,("Var_Fout"=[1]OUT_SyntheticFuels!$B$4:$B$1000)*1,[1]OUT_SyntheticFuels!M$4:M$1000)</f>
        <v>7.7367789564033302E-4</v>
      </c>
      <c r="O602" s="1" cm="1">
        <f t="array" ref="O602">SUMPRODUCT(("CT_CWODETH"=[1]OUT_SyntheticFuels!$C$4:$C$1000)*1,("ETH"=[1]OUT_SyntheticFuels!$A$4:$A$1000)*1,("Var_Fout"=[1]OUT_SyntheticFuels!$B$4:$B$1000)*1,[1]OUT_SyntheticFuels!N$4:N$1000)</f>
        <v>1.3584850809165207E-3</v>
      </c>
      <c r="P602" s="1" cm="1">
        <f t="array" ref="P602">SUMPRODUCT(("CT_CWODETH"=[1]OUT_SyntheticFuels!$C$4:$C$1000)*1,("ETH"=[1]OUT_SyntheticFuels!$A$4:$A$1000)*1,("Var_Fout"=[1]OUT_SyntheticFuels!$B$4:$B$1000)*1,[1]OUT_SyntheticFuels!O$4:O$1000)</f>
        <v>1.4187865451229292E-3</v>
      </c>
      <c r="Q602" s="1" cm="1">
        <f t="array" ref="Q602">SUMPRODUCT(("CT_CWODETH"=[1]OUT_SyntheticFuels!$C$4:$C$1000)*1,("ETH"=[1]OUT_SyntheticFuels!$A$4:$A$1000)*1,("Var_Fout"=[1]OUT_SyntheticFuels!$B$4:$B$1000)*1,[1]OUT_SyntheticFuels!P$4:P$1000)</f>
        <v>2.8840601409201166E-3</v>
      </c>
      <c r="S602" s="3"/>
    </row>
    <row r="603" spans="2:19" x14ac:dyDescent="0.5">
      <c r="B603" s="5" t="s">
        <v>6</v>
      </c>
      <c r="C603" s="5" t="s">
        <v>7</v>
      </c>
      <c r="D603" t="s">
        <v>2166</v>
      </c>
      <c r="E603" t="str">
        <f t="shared" si="677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SUMPRODUCT(("CT_CWODETHCCS"=[1]OUT_SyntheticFuels!$C$4:$C$1000)*1,("ETH"=[1]OUT_SyntheticFuels!$A$4:$A$1000)*1,("Var_Fout"=[1]OUT_SyntheticFuels!$B$4:$B$1000)*1,[1]OUT_SyntheticFuels!I$4:I$1000)</f>
        <v>0</v>
      </c>
      <c r="K603" s="1" cm="1">
        <f t="array" ref="K603">SUMPRODUCT(("CT_CWODETHCCS"=[1]OUT_SyntheticFuels!$C$4:$C$1000)*1,("ETH"=[1]OUT_SyntheticFuels!$A$4:$A$1000)*1,("Var_Fout"=[1]OUT_SyntheticFuels!$B$4:$B$1000)*1,[1]OUT_SyntheticFuels!J$4:J$1000)</f>
        <v>0</v>
      </c>
      <c r="L603" s="1" cm="1">
        <f t="array" ref="L603">SUMPRODUCT(("CT_CWODETHCCS"=[1]OUT_SyntheticFuels!$C$4:$C$1000)*1,("ETH"=[1]OUT_SyntheticFuels!$A$4:$A$1000)*1,("Var_Fout"=[1]OUT_SyntheticFuels!$B$4:$B$1000)*1,[1]OUT_SyntheticFuels!K$4:K$1000)</f>
        <v>0</v>
      </c>
      <c r="M603" s="1" cm="1">
        <f t="array" ref="M603">SUMPRODUCT(("CT_CWODETHCCS"=[1]OUT_SyntheticFuels!$C$4:$C$1000)*1,("ETH"=[1]OUT_SyntheticFuels!$A$4:$A$1000)*1,("Var_Fout"=[1]OUT_SyntheticFuels!$B$4:$B$1000)*1,[1]OUT_SyntheticFuels!L$4:L$1000)</f>
        <v>0</v>
      </c>
      <c r="N603" s="1" cm="1">
        <f t="array" ref="N603">SUMPRODUCT(("CT_CWODETHCCS"=[1]OUT_SyntheticFuels!$C$4:$C$1000)*1,("ETH"=[1]OUT_SyntheticFuels!$A$4:$A$1000)*1,("Var_Fout"=[1]OUT_SyntheticFuels!$B$4:$B$1000)*1,[1]OUT_SyntheticFuels!M$4:M$1000)</f>
        <v>0</v>
      </c>
      <c r="O603" s="1" cm="1">
        <f t="array" ref="O603">SUMPRODUCT(("CT_CWODETHCCS"=[1]OUT_SyntheticFuels!$C$4:$C$1000)*1,("ETH"=[1]OUT_SyntheticFuels!$A$4:$A$1000)*1,("Var_Fout"=[1]OUT_SyntheticFuels!$B$4:$B$1000)*1,[1]OUT_SyntheticFuels!N$4:N$1000)</f>
        <v>0</v>
      </c>
      <c r="P603" s="1" cm="1">
        <f t="array" ref="P603">SUMPRODUCT(("CT_CWODETHCCS"=[1]OUT_SyntheticFuels!$C$4:$C$1000)*1,("ETH"=[1]OUT_SyntheticFuels!$A$4:$A$1000)*1,("Var_Fout"=[1]OUT_SyntheticFuels!$B$4:$B$1000)*1,[1]OUT_SyntheticFuels!O$4:O$1000)</f>
        <v>0</v>
      </c>
      <c r="Q603" s="1" cm="1">
        <f t="array" ref="Q603">SUMPRODUCT(("CT_CWODETHCCS"=[1]OUT_SyntheticFuels!$C$4:$C$1000)*1,("ETH"=[1]OUT_SyntheticFuels!$A$4:$A$1000)*1,("Var_Fout"=[1]OUT_SyntheticFuels!$B$4:$B$1000)*1,[1]OUT_SyntheticFuels!P$4:P$1000)</f>
        <v>0</v>
      </c>
      <c r="S603" s="3"/>
    </row>
    <row r="604" spans="2:19" x14ac:dyDescent="0.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0.7113911588472358</v>
      </c>
      <c r="G604" s="3">
        <f t="shared" ref="G604:K604" si="678">G605+G608</f>
        <v>3.6838514307847029E-4</v>
      </c>
      <c r="H604" s="3">
        <f t="shared" si="678"/>
        <v>6.4821289252259507E-3</v>
      </c>
      <c r="I604" s="3">
        <f t="shared" si="678"/>
        <v>7.6444857322704378E-4</v>
      </c>
      <c r="J604" s="3">
        <f t="shared" si="678"/>
        <v>1.070974611583074E-3</v>
      </c>
      <c r="K604" s="3">
        <f t="shared" si="678"/>
        <v>1.2633673376832005E-3</v>
      </c>
      <c r="L604" s="3">
        <f t="shared" ref="L604:O604" si="679">L605+L608</f>
        <v>1.5020588189690639E-3</v>
      </c>
      <c r="M604" s="3">
        <f t="shared" si="679"/>
        <v>3.990794667841158E-3</v>
      </c>
      <c r="N604" s="3">
        <f t="shared" si="679"/>
        <v>2.8858185507384402E-3</v>
      </c>
      <c r="O604" s="3">
        <f t="shared" si="679"/>
        <v>5.0671493518186202E-3</v>
      </c>
      <c r="P604" s="3">
        <f>P605+P608</f>
        <v>5.292073813308526E-3</v>
      </c>
      <c r="Q604" s="3">
        <f>Q605+Q608</f>
        <v>1.075754432563202E-2</v>
      </c>
      <c r="S604" s="3"/>
    </row>
    <row r="605" spans="2:19" x14ac:dyDescent="0.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0.39860791474282109</v>
      </c>
      <c r="G605" s="1">
        <f t="shared" ref="G605:K605" si="680">SUM(G606:G607)</f>
        <v>2.064141954514753E-4</v>
      </c>
      <c r="H605" s="1">
        <f t="shared" si="680"/>
        <v>3.6320776015341129E-3</v>
      </c>
      <c r="I605" s="1">
        <f t="shared" si="680"/>
        <v>4.2833713620496564E-4</v>
      </c>
      <c r="J605" s="1">
        <f t="shared" si="680"/>
        <v>6.0009033195941672E-4</v>
      </c>
      <c r="K605" s="1">
        <f t="shared" si="680"/>
        <v>7.0789215435868339E-4</v>
      </c>
      <c r="L605" s="1">
        <f t="shared" ref="L605:O605" si="681">SUM(L606:L607)</f>
        <v>8.4163617470384546E-4</v>
      </c>
      <c r="M605" s="1">
        <f t="shared" si="681"/>
        <v>2.236128915760863E-3</v>
      </c>
      <c r="N605" s="1">
        <f t="shared" si="681"/>
        <v>1.6169868018882949E-3</v>
      </c>
      <c r="O605" s="1">
        <f t="shared" si="681"/>
        <v>2.8392338191155267E-3</v>
      </c>
      <c r="P605" s="1">
        <f>SUM(P606:P607)</f>
        <v>2.9652638793069238E-3</v>
      </c>
      <c r="Q605" s="1">
        <f>SUM(Q606:Q607)</f>
        <v>6.0276856945230377E-3</v>
      </c>
      <c r="S605" s="3"/>
    </row>
    <row r="606" spans="2:19" x14ac:dyDescent="0.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0.39860791474282109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2.064141954514753E-4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3.6320776015341129E-3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4.2833713620496564E-4</v>
      </c>
      <c r="J606" s="1" cm="1">
        <f t="array" ref="J606">SUMPRODUCT(("CT_CWODETH"=[1]OUT_SyntheticFuels!$C$4:$C$1000)*1,("cwod"=[1]OUT_SyntheticFuels!$A$4:$A$1000)*1,("Var_Fin"=[1]OUT_SyntheticFuels!$B$4:$B$1000)*1,[1]OUT_SyntheticFuels!I$4:I$1000)</f>
        <v>6.0009033195941672E-4</v>
      </c>
      <c r="K606" s="1" cm="1">
        <f t="array" ref="K606">SUMPRODUCT(("CT_CWODETH"=[1]OUT_SyntheticFuels!$C$4:$C$1000)*1,("cwod"=[1]OUT_SyntheticFuels!$A$4:$A$1000)*1,("Var_Fin"=[1]OUT_SyntheticFuels!$B$4:$B$1000)*1,[1]OUT_SyntheticFuels!J$4:J$1000)</f>
        <v>7.0789215435868339E-4</v>
      </c>
      <c r="L606" s="1" cm="1">
        <f t="array" ref="L606">SUMPRODUCT(("CT_CWODETH"=[1]OUT_SyntheticFuels!$C$4:$C$1000)*1,("cwod"=[1]OUT_SyntheticFuels!$A$4:$A$1000)*1,("Var_Fin"=[1]OUT_SyntheticFuels!$B$4:$B$1000)*1,[1]OUT_SyntheticFuels!K$4:K$1000)</f>
        <v>8.4163617470384546E-4</v>
      </c>
      <c r="M606" s="1" cm="1">
        <f t="array" ref="M606">SUMPRODUCT(("CT_CWODETH"=[1]OUT_SyntheticFuels!$C$4:$C$1000)*1,("cwod"=[1]OUT_SyntheticFuels!$A$4:$A$1000)*1,("Var_Fin"=[1]OUT_SyntheticFuels!$B$4:$B$1000)*1,[1]OUT_SyntheticFuels!L$4:L$1000)</f>
        <v>2.236128915760863E-3</v>
      </c>
      <c r="N606" s="1" cm="1">
        <f t="array" ref="N606">SUMPRODUCT(("CT_CWODETH"=[1]OUT_SyntheticFuels!$C$4:$C$1000)*1,("cwod"=[1]OUT_SyntheticFuels!$A$4:$A$1000)*1,("Var_Fin"=[1]OUT_SyntheticFuels!$B$4:$B$1000)*1,[1]OUT_SyntheticFuels!M$4:M$1000)</f>
        <v>1.6169868018882949E-3</v>
      </c>
      <c r="O606" s="1" cm="1">
        <f t="array" ref="O606">SUMPRODUCT(("CT_CWODETH"=[1]OUT_SyntheticFuels!$C$4:$C$1000)*1,("cwod"=[1]OUT_SyntheticFuels!$A$4:$A$1000)*1,("Var_Fin"=[1]OUT_SyntheticFuels!$B$4:$B$1000)*1,[1]OUT_SyntheticFuels!N$4:N$1000)</f>
        <v>2.8392338191155267E-3</v>
      </c>
      <c r="P606" s="1" cm="1">
        <f t="array" ref="P606">SUMPRODUCT(("CT_CWODETH"=[1]OUT_SyntheticFuels!$C$4:$C$1000)*1,("cwod"=[1]OUT_SyntheticFuels!$A$4:$A$1000)*1,("Var_Fin"=[1]OUT_SyntheticFuels!$B$4:$B$1000)*1,[1]OUT_SyntheticFuels!O$4:O$1000)</f>
        <v>2.9652638793069238E-3</v>
      </c>
      <c r="Q606" s="1" cm="1">
        <f t="array" ref="Q606">SUMPRODUCT(("CT_CWODETH"=[1]OUT_SyntheticFuels!$C$4:$C$1000)*1,("cwod"=[1]OUT_SyntheticFuels!$A$4:$A$1000)*1,("Var_Fin"=[1]OUT_SyntheticFuels!$B$4:$B$1000)*1,[1]OUT_SyntheticFuels!P$4:P$1000)</f>
        <v>6.0276856945230377E-3</v>
      </c>
      <c r="S606" s="3"/>
    </row>
    <row r="607" spans="2:19" x14ac:dyDescent="0.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SUMPRODUCT(("CT_CWODETHCCS"=[1]OUT_SyntheticFuels!$C$4:$C$1000)*1,("cwod"=[1]OUT_SyntheticFuels!$A$4:$A$1000)*1,("Var_Fin"=[1]OUT_SyntheticFuels!$B$4:$B$1000)*1,[1]OUT_SyntheticFuels!I$4:I$1000)</f>
        <v>0</v>
      </c>
      <c r="K607" s="1" cm="1">
        <f t="array" ref="K607">SUMPRODUCT(("CT_CWODETHCCS"=[1]OUT_SyntheticFuels!$C$4:$C$1000)*1,("cwod"=[1]OUT_SyntheticFuels!$A$4:$A$1000)*1,("Var_Fin"=[1]OUT_SyntheticFuels!$B$4:$B$1000)*1,[1]OUT_SyntheticFuels!J$4:J$1000)</f>
        <v>0</v>
      </c>
      <c r="L607" s="1" cm="1">
        <f t="array" ref="L607">SUMPRODUCT(("CT_CWODETHCCS"=[1]OUT_SyntheticFuels!$C$4:$C$1000)*1,("cwod"=[1]OUT_SyntheticFuels!$A$4:$A$1000)*1,("Var_Fin"=[1]OUT_SyntheticFuels!$B$4:$B$1000)*1,[1]OUT_SyntheticFuels!K$4:K$1000)</f>
        <v>0</v>
      </c>
      <c r="M607" s="1" cm="1">
        <f t="array" ref="M607">SUMPRODUCT(("CT_CWODETHCCS"=[1]OUT_SyntheticFuels!$C$4:$C$1000)*1,("cwod"=[1]OUT_SyntheticFuels!$A$4:$A$1000)*1,("Var_Fin"=[1]OUT_SyntheticFuels!$B$4:$B$1000)*1,[1]OUT_SyntheticFuels!L$4:L$1000)</f>
        <v>0</v>
      </c>
      <c r="N607" s="1" cm="1">
        <f t="array" ref="N607">SUMPRODUCT(("CT_CWODETHCCS"=[1]OUT_SyntheticFuels!$C$4:$C$1000)*1,("cwod"=[1]OUT_SyntheticFuels!$A$4:$A$1000)*1,("Var_Fin"=[1]OUT_SyntheticFuels!$B$4:$B$1000)*1,[1]OUT_SyntheticFuels!M$4:M$1000)</f>
        <v>0</v>
      </c>
      <c r="O607" s="1" cm="1">
        <f t="array" ref="O607">SUMPRODUCT(("CT_CWODETHCCS"=[1]OUT_SyntheticFuels!$C$4:$C$1000)*1,("cwod"=[1]OUT_SyntheticFuels!$A$4:$A$1000)*1,("Var_Fin"=[1]OUT_SyntheticFuels!$B$4:$B$1000)*1,[1]OUT_SyntheticFuels!N$4:N$1000)</f>
        <v>0</v>
      </c>
      <c r="P607" s="1" cm="1">
        <f t="array" ref="P607">SUMPRODUCT(("CT_CWODETHCCS"=[1]OUT_SyntheticFuels!$C$4:$C$1000)*1,("cwod"=[1]OUT_SyntheticFuels!$A$4:$A$1000)*1,("Var_Fin"=[1]OUT_SyntheticFuels!$B$4:$B$1000)*1,[1]OUT_SyntheticFuels!O$4:O$1000)</f>
        <v>0</v>
      </c>
      <c r="Q607" s="1" cm="1">
        <f t="array" ref="Q607">SUMPRODUCT(("CT_CWODETHCCS"=[1]OUT_SyntheticFuels!$C$4:$C$1000)*1,("cwod"=[1]OUT_SyntheticFuels!$A$4:$A$1000)*1,("Var_Fin"=[1]OUT_SyntheticFuels!$B$4:$B$1000)*1,[1]OUT_SyntheticFuels!P$4:P$1000)</f>
        <v>0</v>
      </c>
      <c r="S607" s="3"/>
    </row>
    <row r="608" spans="2:19" x14ac:dyDescent="0.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0.31278324410441471</v>
      </c>
      <c r="G608" s="1">
        <f t="shared" ref="G608:K608" si="682">SUM(G609:G610)</f>
        <v>1.6197094762699499E-4</v>
      </c>
      <c r="H608" s="1">
        <f t="shared" si="682"/>
        <v>2.8500513236918378E-3</v>
      </c>
      <c r="I608" s="1">
        <f t="shared" si="682"/>
        <v>3.3611143702207808E-4</v>
      </c>
      <c r="J608" s="1">
        <f t="shared" si="682"/>
        <v>4.7088427962365732E-4</v>
      </c>
      <c r="K608" s="1">
        <f t="shared" si="682"/>
        <v>5.5547518332451718E-4</v>
      </c>
      <c r="L608" s="1">
        <f t="shared" ref="L608:O608" si="683">SUM(L609:L610)</f>
        <v>6.6042264426521846E-4</v>
      </c>
      <c r="M608" s="1">
        <f t="shared" si="683"/>
        <v>1.7546657520802948E-3</v>
      </c>
      <c r="N608" s="1">
        <f t="shared" si="683"/>
        <v>1.2688317488501455E-3</v>
      </c>
      <c r="O608" s="1">
        <f t="shared" si="683"/>
        <v>2.2279155327030935E-3</v>
      </c>
      <c r="P608" s="1">
        <f>SUM(P609:P610)</f>
        <v>2.3268099340016017E-3</v>
      </c>
      <c r="Q608" s="1">
        <f>SUM(Q609:Q610)</f>
        <v>4.7298586311089828E-3</v>
      </c>
      <c r="S608" s="3"/>
    </row>
    <row r="609" spans="2:19" x14ac:dyDescent="0.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0.31278324410441471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1.6197094762699499E-4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2.8500513236918378E-3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3.3611143702207808E-4</v>
      </c>
      <c r="J609" s="1" cm="1">
        <f t="array" ref="J609">SUMPRODUCT(("CT_CWODETH"=[1]OUT_SyntheticFuels!$C$4:$C$1000)*1,("celc"=[1]OUT_SyntheticFuels!$A$4:$A$1000)*1,("Var_Fin"=[1]OUT_SyntheticFuels!$B$4:$B$1000)*1,[1]OUT_SyntheticFuels!I$4:I$1000)</f>
        <v>4.7088427962365732E-4</v>
      </c>
      <c r="K609" s="1" cm="1">
        <f t="array" ref="K609">SUMPRODUCT(("CT_CWODETH"=[1]OUT_SyntheticFuels!$C$4:$C$1000)*1,("celc"=[1]OUT_SyntheticFuels!$A$4:$A$1000)*1,("Var_Fin"=[1]OUT_SyntheticFuels!$B$4:$B$1000)*1,[1]OUT_SyntheticFuels!J$4:J$1000)</f>
        <v>5.5547518332451718E-4</v>
      </c>
      <c r="L609" s="1" cm="1">
        <f t="array" ref="L609">SUMPRODUCT(("CT_CWODETH"=[1]OUT_SyntheticFuels!$C$4:$C$1000)*1,("celc"=[1]OUT_SyntheticFuels!$A$4:$A$1000)*1,("Var_Fin"=[1]OUT_SyntheticFuels!$B$4:$B$1000)*1,[1]OUT_SyntheticFuels!K$4:K$1000)</f>
        <v>6.6042264426521846E-4</v>
      </c>
      <c r="M609" s="1" cm="1">
        <f t="array" ref="M609">SUMPRODUCT(("CT_CWODETH"=[1]OUT_SyntheticFuels!$C$4:$C$1000)*1,("celc"=[1]OUT_SyntheticFuels!$A$4:$A$1000)*1,("Var_Fin"=[1]OUT_SyntheticFuels!$B$4:$B$1000)*1,[1]OUT_SyntheticFuels!L$4:L$1000)</f>
        <v>1.7546657520802948E-3</v>
      </c>
      <c r="N609" s="1" cm="1">
        <f t="array" ref="N609">SUMPRODUCT(("CT_CWODETH"=[1]OUT_SyntheticFuels!$C$4:$C$1000)*1,("celc"=[1]OUT_SyntheticFuels!$A$4:$A$1000)*1,("Var_Fin"=[1]OUT_SyntheticFuels!$B$4:$B$1000)*1,[1]OUT_SyntheticFuels!M$4:M$1000)</f>
        <v>1.2688317488501455E-3</v>
      </c>
      <c r="O609" s="1" cm="1">
        <f t="array" ref="O609">SUMPRODUCT(("CT_CWODETH"=[1]OUT_SyntheticFuels!$C$4:$C$1000)*1,("celc"=[1]OUT_SyntheticFuels!$A$4:$A$1000)*1,("Var_Fin"=[1]OUT_SyntheticFuels!$B$4:$B$1000)*1,[1]OUT_SyntheticFuels!N$4:N$1000)</f>
        <v>2.2279155327030935E-3</v>
      </c>
      <c r="P609" s="1" cm="1">
        <f t="array" ref="P609">SUMPRODUCT(("CT_CWODETH"=[1]OUT_SyntheticFuels!$C$4:$C$1000)*1,("celc"=[1]OUT_SyntheticFuels!$A$4:$A$1000)*1,("Var_Fin"=[1]OUT_SyntheticFuels!$B$4:$B$1000)*1,[1]OUT_SyntheticFuels!O$4:O$1000)</f>
        <v>2.3268099340016017E-3</v>
      </c>
      <c r="Q609" s="1" cm="1">
        <f t="array" ref="Q609">SUMPRODUCT(("CT_CWODETH"=[1]OUT_SyntheticFuels!$C$4:$C$1000)*1,("celc"=[1]OUT_SyntheticFuels!$A$4:$A$1000)*1,("Var_Fin"=[1]OUT_SyntheticFuels!$B$4:$B$1000)*1,[1]OUT_SyntheticFuels!P$4:P$1000)</f>
        <v>4.7298586311089828E-3</v>
      </c>
      <c r="S609" s="3"/>
    </row>
    <row r="610" spans="2:19" x14ac:dyDescent="0.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SUMPRODUCT(("CT_CWODETHCCS"=[1]OUT_SyntheticFuels!$C$4:$C$1000)*1,("celc"=[1]OUT_SyntheticFuels!$A$4:$A$1000)*1,("Var_Fin"=[1]OUT_SyntheticFuels!$B$4:$B$1000)*1,[1]OUT_SyntheticFuels!I$4:I$1000)</f>
        <v>0</v>
      </c>
      <c r="K610" s="1" cm="1">
        <f t="array" ref="K610">SUMPRODUCT(("CT_CWODETHCCS"=[1]OUT_SyntheticFuels!$C$4:$C$1000)*1,("celc"=[1]OUT_SyntheticFuels!$A$4:$A$1000)*1,("Var_Fin"=[1]OUT_SyntheticFuels!$B$4:$B$1000)*1,[1]OUT_SyntheticFuels!J$4:J$1000)</f>
        <v>0</v>
      </c>
      <c r="L610" s="1" cm="1">
        <f t="array" ref="L610">SUMPRODUCT(("CT_CWODETHCCS"=[1]OUT_SyntheticFuels!$C$4:$C$1000)*1,("celc"=[1]OUT_SyntheticFuels!$A$4:$A$1000)*1,("Var_Fin"=[1]OUT_SyntheticFuels!$B$4:$B$1000)*1,[1]OUT_SyntheticFuels!K$4:K$1000)</f>
        <v>0</v>
      </c>
      <c r="M610" s="1" cm="1">
        <f t="array" ref="M610">SUMPRODUCT(("CT_CWODETHCCS"=[1]OUT_SyntheticFuels!$C$4:$C$1000)*1,("celc"=[1]OUT_SyntheticFuels!$A$4:$A$1000)*1,("Var_Fin"=[1]OUT_SyntheticFuels!$B$4:$B$1000)*1,[1]OUT_SyntheticFuels!L$4:L$1000)</f>
        <v>0</v>
      </c>
      <c r="N610" s="1" cm="1">
        <f t="array" ref="N610">SUMPRODUCT(("CT_CWODETHCCS"=[1]OUT_SyntheticFuels!$C$4:$C$1000)*1,("celc"=[1]OUT_SyntheticFuels!$A$4:$A$1000)*1,("Var_Fin"=[1]OUT_SyntheticFuels!$B$4:$B$1000)*1,[1]OUT_SyntheticFuels!M$4:M$1000)</f>
        <v>0</v>
      </c>
      <c r="O610" s="1" cm="1">
        <f t="array" ref="O610">SUMPRODUCT(("CT_CWODETHCCS"=[1]OUT_SyntheticFuels!$C$4:$C$1000)*1,("celc"=[1]OUT_SyntheticFuels!$A$4:$A$1000)*1,("Var_Fin"=[1]OUT_SyntheticFuels!$B$4:$B$1000)*1,[1]OUT_SyntheticFuels!N$4:N$1000)</f>
        <v>0</v>
      </c>
      <c r="P610" s="1" cm="1">
        <f t="array" ref="P610">SUMPRODUCT(("CT_CWODETHCCS"=[1]OUT_SyntheticFuels!$C$4:$C$1000)*1,("celc"=[1]OUT_SyntheticFuels!$A$4:$A$1000)*1,("Var_Fin"=[1]OUT_SyntheticFuels!$B$4:$B$1000)*1,[1]OUT_SyntheticFuels!O$4:O$1000)</f>
        <v>0</v>
      </c>
      <c r="Q610" s="1" cm="1">
        <f t="array" ref="Q610">SUMPRODUCT(("CT_CWODETHCCS"=[1]OUT_SyntheticFuels!$C$4:$C$1000)*1,("celc"=[1]OUT_SyntheticFuels!$A$4:$A$1000)*1,("Var_Fin"=[1]OUT_SyntheticFuels!$B$4:$B$1000)*1,[1]OUT_SyntheticFuels!P$4:P$1000)</f>
        <v>0</v>
      </c>
      <c r="S610" s="3"/>
    </row>
    <row r="611" spans="2:19" x14ac:dyDescent="0.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M611" t="s">
        <v>292</v>
      </c>
      <c r="N611" t="s">
        <v>292</v>
      </c>
      <c r="O611" t="s">
        <v>292</v>
      </c>
      <c r="P611" t="s">
        <v>292</v>
      </c>
      <c r="Q611" t="s">
        <v>292</v>
      </c>
      <c r="S611" s="3"/>
    </row>
    <row r="612" spans="2:19" x14ac:dyDescent="0.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0.2680965147453086</v>
      </c>
      <c r="G612">
        <f t="shared" ref="G612:K613" si="684">IFERROR(G602/SUM(G606,G609),"-")</f>
        <v>0.26809651474530849</v>
      </c>
      <c r="H612">
        <f t="shared" si="684"/>
        <v>0.26809651474530849</v>
      </c>
      <c r="I612">
        <f t="shared" si="684"/>
        <v>0.26809651474530816</v>
      </c>
      <c r="J612">
        <f t="shared" si="684"/>
        <v>0.26809651474530821</v>
      </c>
      <c r="K612">
        <f t="shared" si="684"/>
        <v>0.26809651474530843</v>
      </c>
      <c r="L612">
        <f t="shared" ref="L612:O612" si="685">IFERROR(L602/SUM(L606,L609),"-")</f>
        <v>0.26809651474530832</v>
      </c>
      <c r="M612">
        <f t="shared" si="685"/>
        <v>0.26809651474530849</v>
      </c>
      <c r="N612">
        <f t="shared" si="685"/>
        <v>0.26809651474530849</v>
      </c>
      <c r="O612">
        <f t="shared" si="685"/>
        <v>0.26809651474530843</v>
      </c>
      <c r="P612">
        <f>IFERROR(P602/SUM(P606,P609),"-")</f>
        <v>0.26809651474530832</v>
      </c>
      <c r="Q612">
        <f>IFERROR(Q602/SUM(Q606,Q609),"-")</f>
        <v>0.26809651474530866</v>
      </c>
      <c r="S612" s="3"/>
    </row>
    <row r="613" spans="2:19" x14ac:dyDescent="0.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84"/>
        <v>-</v>
      </c>
      <c r="H613" t="str">
        <f t="shared" si="684"/>
        <v>-</v>
      </c>
      <c r="I613" t="str">
        <f t="shared" si="684"/>
        <v>-</v>
      </c>
      <c r="J613" t="str">
        <f t="shared" si="684"/>
        <v>-</v>
      </c>
      <c r="K613" t="str">
        <f t="shared" si="684"/>
        <v>-</v>
      </c>
      <c r="L613" t="str">
        <f t="shared" ref="L613:O613" si="686">IFERROR(L603/SUM(L607,L610),"-")</f>
        <v>-</v>
      </c>
      <c r="M613" t="str">
        <f t="shared" si="686"/>
        <v>-</v>
      </c>
      <c r="N613" t="str">
        <f t="shared" si="686"/>
        <v>-</v>
      </c>
      <c r="O613" t="str">
        <f t="shared" si="686"/>
        <v>-</v>
      </c>
      <c r="P613" t="str">
        <f>IFERROR(P603/SUM(P607,P610),"-")</f>
        <v>-</v>
      </c>
      <c r="Q613" t="str">
        <f>IFERROR(Q603/SUM(Q607,Q610),"-")</f>
        <v>-</v>
      </c>
      <c r="S613" s="3"/>
    </row>
    <row r="614" spans="2:19" x14ac:dyDescent="0.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6.957415617007559</v>
      </c>
      <c r="G614" s="3">
        <f t="shared" ref="G614" si="687">G615+G616+G621</f>
        <v>10.109732812647888</v>
      </c>
      <c r="H614" s="3">
        <f t="shared" ref="H614" si="688">H615+H616+H621</f>
        <v>9.9157052053526975</v>
      </c>
      <c r="I614" s="3">
        <f t="shared" ref="I614" si="689">I615+I616+I621</f>
        <v>10.105921274973038</v>
      </c>
      <c r="J614" s="3">
        <f t="shared" ref="J614" si="690">J615+J616+J621</f>
        <v>10.094249383779035</v>
      </c>
      <c r="K614" s="3">
        <f t="shared" ref="K614" si="691">K615+K616+K621</f>
        <v>9.9343001805106308</v>
      </c>
      <c r="L614" s="3">
        <f t="shared" ref="L614:O614" si="692">L615+L616+L621</f>
        <v>9.7736269389358323</v>
      </c>
      <c r="M614" s="3">
        <f t="shared" si="692"/>
        <v>9.613209367448226</v>
      </c>
      <c r="N614" s="3">
        <f t="shared" si="692"/>
        <v>9.6133604075199184</v>
      </c>
      <c r="O614" s="3">
        <f t="shared" si="692"/>
        <v>9.6138027642139861</v>
      </c>
      <c r="P614" s="3">
        <f>P615+P616+P621</f>
        <v>9.6141589768799047</v>
      </c>
      <c r="Q614" s="3">
        <f>Q615+Q616+Q621</f>
        <v>9.617115793000492</v>
      </c>
      <c r="S614" s="3"/>
    </row>
    <row r="615" spans="2:19" x14ac:dyDescent="0.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1.3280031025152899</v>
      </c>
      <c r="G615" s="1">
        <f>[1]Other_transformation!C$19</f>
        <v>4.3697243516386735</v>
      </c>
      <c r="H615" s="1">
        <f>[1]Other_transformation!D$19</f>
        <v>4.384635338622549</v>
      </c>
      <c r="I615" s="1">
        <f>[1]Other_transformation!E$19</f>
        <v>4.3847612587308147</v>
      </c>
      <c r="J615" s="1">
        <f>[1]Other_transformation!F$19</f>
        <v>4.3847637349197717</v>
      </c>
      <c r="K615" s="1">
        <f>[1]Other_transformation!G$19</f>
        <v>4.3851078498009759</v>
      </c>
      <c r="L615" s="1">
        <f>[1]Other_transformation!H$19</f>
        <v>4.3851262937259685</v>
      </c>
      <c r="M615" s="1">
        <f>[1]Other_transformation!I$19</f>
        <v>4.3851814890729006</v>
      </c>
      <c r="N615" s="1">
        <f>[1]Other_transformation!J$19</f>
        <v>4.3851991558232486</v>
      </c>
      <c r="O615" s="1">
        <f>[1]Other_transformation!K$19</f>
        <v>4.3852886892984984</v>
      </c>
      <c r="P615" s="1">
        <f>[1]Other_transformation!L$19</f>
        <v>4.3854383093586415</v>
      </c>
      <c r="Q615" s="1">
        <f>[1]Other_transformation!M$19</f>
        <v>4.3858163806213302</v>
      </c>
      <c r="S615" s="3"/>
    </row>
    <row r="616" spans="2:19" x14ac:dyDescent="0.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5.6294125144922695</v>
      </c>
      <c r="G616" s="1">
        <f>[1]Other_transformation!C$20</f>
        <v>5.739844932748837</v>
      </c>
      <c r="H616" s="1">
        <f>[1]Other_transformation!D$20</f>
        <v>5.5306894513778895</v>
      </c>
      <c r="I616" s="1">
        <f>[1]Other_transformation!E$20</f>
        <v>5.7203752598593853</v>
      </c>
      <c r="J616" s="1">
        <f>[1]Other_transformation!F$20</f>
        <v>5.7082099781466269</v>
      </c>
      <c r="K616" s="1">
        <f>[1]Other_transformation!G$20</f>
        <v>5.5478305550150049</v>
      </c>
      <c r="L616" s="1">
        <f>[1]Other_transformation!H$20</f>
        <v>5.3871015515280503</v>
      </c>
      <c r="M616" s="1">
        <f>[1]Other_transformation!I$20</f>
        <v>5.2263664991943912</v>
      </c>
      <c r="N616" s="1">
        <f>[1]Other_transformation!J$20</f>
        <v>5.2264343825965343</v>
      </c>
      <c r="O616" s="1">
        <f>[1]Other_transformation!K$20</f>
        <v>5.2264823096184694</v>
      </c>
      <c r="P616" s="1">
        <f>[1]Other_transformation!L$20</f>
        <v>5.2265193903185239</v>
      </c>
      <c r="Q616" s="1">
        <f>[1]Other_transformation!M$20</f>
        <v>5.2271096711502416</v>
      </c>
      <c r="S616" s="3"/>
    </row>
    <row r="617" spans="2:19" x14ac:dyDescent="0.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5.6294125144922695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5.739844932748837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5.5306894513778895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5.7203752598593853</v>
      </c>
      <c r="J617" s="1" cm="1">
        <f t="array" ref="J617">SUMPRODUCT(("SUP_WSTBIO"=[1]OUT_SyntheticFuels!$C$4:$C$1000)*1,("BIO"=[1]OUT_SyntheticFuels!$A$4:$A$1000)*1,("Var_Fout"=[1]OUT_SyntheticFuels!$B$4:$B$1000)*1,[1]OUT_SyntheticFuels!I$4:I$1000)</f>
        <v>5.7082099781466269</v>
      </c>
      <c r="K617" s="1" cm="1">
        <f t="array" ref="K617">SUMPRODUCT(("SUP_WSTBIO"=[1]OUT_SyntheticFuels!$C$4:$C$1000)*1,("BIO"=[1]OUT_SyntheticFuels!$A$4:$A$1000)*1,("Var_Fout"=[1]OUT_SyntheticFuels!$B$4:$B$1000)*1,[1]OUT_SyntheticFuels!J$4:J$1000)</f>
        <v>5.5459112100405621</v>
      </c>
      <c r="L617" s="1" cm="1">
        <f t="array" ref="L617">SUMPRODUCT(("SUP_WSTBIO"=[1]OUT_SyntheticFuels!$C$4:$C$1000)*1,("BIO"=[1]OUT_SyntheticFuels!$A$4:$A$1000)*1,("Var_Fout"=[1]OUT_SyntheticFuels!$B$4:$B$1000)*1,[1]OUT_SyntheticFuels!K$4:K$1000)</f>
        <v>5.3852106383757103</v>
      </c>
      <c r="M617" s="1" cm="1">
        <f t="array" ref="M617">SUMPRODUCT(("SUP_WSTBIO"=[1]OUT_SyntheticFuels!$C$4:$C$1000)*1,("BIO"=[1]OUT_SyntheticFuels!$A$4:$A$1000)*1,("Var_Fout"=[1]OUT_SyntheticFuels!$B$4:$B$1000)*1,[1]OUT_SyntheticFuels!L$4:L$1000)</f>
        <v>5.2244750531191873</v>
      </c>
      <c r="N617" s="1" cm="1">
        <f t="array" ref="N617">SUMPRODUCT(("SUP_WSTBIO"=[1]OUT_SyntheticFuels!$C$4:$C$1000)*1,("BIO"=[1]OUT_SyntheticFuels!$A$4:$A$1000)*1,("Var_Fout"=[1]OUT_SyntheticFuels!$B$4:$B$1000)*1,[1]OUT_SyntheticFuels!M$4:M$1000)</f>
        <v>5.2242874367202283</v>
      </c>
      <c r="O617" s="1" cm="1">
        <f t="array" ref="O617">SUMPRODUCT(("SUP_WSTBIO"=[1]OUT_SyntheticFuels!$C$4:$C$1000)*1,("BIO"=[1]OUT_SyntheticFuels!$A$4:$A$1000)*1,("Var_Fout"=[1]OUT_SyntheticFuels!$B$4:$B$1000)*1,[1]OUT_SyntheticFuels!N$4:N$1000)</f>
        <v>5.2240046480109399</v>
      </c>
      <c r="P617" s="1" cm="1">
        <f t="array" ref="P617">SUMPRODUCT(("SUP_WSTBIO"=[1]OUT_SyntheticFuels!$C$4:$C$1000)*1,("BIO"=[1]OUT_SyntheticFuels!$A$4:$A$1000)*1,("Var_Fout"=[1]OUT_SyntheticFuels!$B$4:$B$1000)*1,[1]OUT_SyntheticFuels!O$4:O$1000)</f>
        <v>5.2239011831820719</v>
      </c>
      <c r="Q617" s="1" cm="1">
        <f t="array" ref="Q617">SUMPRODUCT(("SUP_WSTBIO"=[1]OUT_SyntheticFuels!$C$4:$C$1000)*1,("BIO"=[1]OUT_SyntheticFuels!$A$4:$A$1000)*1,("Var_Fout"=[1]OUT_SyntheticFuels!$B$4:$B$1000)*1,[1]OUT_SyntheticFuels!P$4:P$1000)</f>
        <v>5.222249973878613</v>
      </c>
      <c r="S617" s="3"/>
    </row>
    <row r="618" spans="2:19" x14ac:dyDescent="0.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SUMPRODUCT(("SUP_WSTBIOCCS"=[1]OUT_SyntheticFuels!$C$4:$C$1000)*1,("BIO"=[1]OUT_SyntheticFuels!$A$4:$A$1000)*1,("Var_Fout"=[1]OUT_SyntheticFuels!$B$4:$B$1000)*1,[1]OUT_SyntheticFuels!I$4:I$1000)</f>
        <v>0</v>
      </c>
      <c r="K618" s="1" cm="1">
        <f t="array" ref="K618">SUMPRODUCT(("SUP_WSTBIOCCS"=[1]OUT_SyntheticFuels!$C$4:$C$1000)*1,("BIO"=[1]OUT_SyntheticFuels!$A$4:$A$1000)*1,("Var_Fout"=[1]OUT_SyntheticFuels!$B$4:$B$1000)*1,[1]OUT_SyntheticFuels!J$4:J$1000)</f>
        <v>0</v>
      </c>
      <c r="L618" s="1" cm="1">
        <f t="array" ref="L618">SUMPRODUCT(("SUP_WSTBIOCCS"=[1]OUT_SyntheticFuels!$C$4:$C$1000)*1,("BIO"=[1]OUT_SyntheticFuels!$A$4:$A$1000)*1,("Var_Fout"=[1]OUT_SyntheticFuels!$B$4:$B$1000)*1,[1]OUT_SyntheticFuels!K$4:K$1000)</f>
        <v>0</v>
      </c>
      <c r="M618" s="1" cm="1">
        <f t="array" ref="M618">SUMPRODUCT(("SUP_WSTBIOCCS"=[1]OUT_SyntheticFuels!$C$4:$C$1000)*1,("BIO"=[1]OUT_SyntheticFuels!$A$4:$A$1000)*1,("Var_Fout"=[1]OUT_SyntheticFuels!$B$4:$B$1000)*1,[1]OUT_SyntheticFuels!L$4:L$1000)</f>
        <v>0</v>
      </c>
      <c r="N618" s="1" cm="1">
        <f t="array" ref="N618">SUMPRODUCT(("SUP_WSTBIOCCS"=[1]OUT_SyntheticFuels!$C$4:$C$1000)*1,("BIO"=[1]OUT_SyntheticFuels!$A$4:$A$1000)*1,("Var_Fout"=[1]OUT_SyntheticFuels!$B$4:$B$1000)*1,[1]OUT_SyntheticFuels!M$4:M$1000)</f>
        <v>0</v>
      </c>
      <c r="O618" s="1" cm="1">
        <f t="array" ref="O618">SUMPRODUCT(("SUP_WSTBIOCCS"=[1]OUT_SyntheticFuels!$C$4:$C$1000)*1,("BIO"=[1]OUT_SyntheticFuels!$A$4:$A$1000)*1,("Var_Fout"=[1]OUT_SyntheticFuels!$B$4:$B$1000)*1,[1]OUT_SyntheticFuels!N$4:N$1000)</f>
        <v>0</v>
      </c>
      <c r="P618" s="1" cm="1">
        <f t="array" ref="P618">SUMPRODUCT(("SUP_WSTBIOCCS"=[1]OUT_SyntheticFuels!$C$4:$C$1000)*1,("BIO"=[1]OUT_SyntheticFuels!$A$4:$A$1000)*1,("Var_Fout"=[1]OUT_SyntheticFuels!$B$4:$B$1000)*1,[1]OUT_SyntheticFuels!O$4:O$1000)</f>
        <v>0</v>
      </c>
      <c r="Q618" s="1" cm="1">
        <f t="array" ref="Q618">SUMPRODUCT(("SUP_WSTBIOCCS"=[1]OUT_SyntheticFuels!$C$4:$C$1000)*1,("BIO"=[1]OUT_SyntheticFuels!$A$4:$A$1000)*1,("Var_Fout"=[1]OUT_SyntheticFuels!$B$4:$B$1000)*1,[1]OUT_SyntheticFuels!P$4:P$1000)</f>
        <v>0</v>
      </c>
      <c r="S618" s="3"/>
    </row>
    <row r="619" spans="2:19" x14ac:dyDescent="0.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SUMPRODUCT(("SUP_WSTHTGBIO"=[1]OUT_SyntheticFuels!$C$4:$C$1000)*1,("BIO"=[1]OUT_SyntheticFuels!$A$4:$A$1000)*1,("Var_Fout"=[1]OUT_SyntheticFuels!$B$4:$B$1000)*1,[1]OUT_SyntheticFuels!I$4:I$1000)</f>
        <v>0</v>
      </c>
      <c r="K619" s="1" cm="1">
        <f t="array" ref="K619">SUMPRODUCT(("SUP_WSTHTGBIO"=[1]OUT_SyntheticFuels!$C$4:$C$1000)*1,("BIO"=[1]OUT_SyntheticFuels!$A$4:$A$1000)*1,("Var_Fout"=[1]OUT_SyntheticFuels!$B$4:$B$1000)*1,[1]OUT_SyntheticFuels!J$4:J$1000)</f>
        <v>1.9193449744431916E-3</v>
      </c>
      <c r="L619" s="1" cm="1">
        <f t="array" ref="L619">SUMPRODUCT(("SUP_WSTHTGBIO"=[1]OUT_SyntheticFuels!$C$4:$C$1000)*1,("BIO"=[1]OUT_SyntheticFuels!$A$4:$A$1000)*1,("Var_Fout"=[1]OUT_SyntheticFuels!$B$4:$B$1000)*1,[1]OUT_SyntheticFuels!K$4:K$1000)</f>
        <v>1.8909131523395673E-3</v>
      </c>
      <c r="M619" s="1" cm="1">
        <f t="array" ref="M619">SUMPRODUCT(("SUP_WSTHTGBIO"=[1]OUT_SyntheticFuels!$C$4:$C$1000)*1,("BIO"=[1]OUT_SyntheticFuels!$A$4:$A$1000)*1,("Var_Fout"=[1]OUT_SyntheticFuels!$B$4:$B$1000)*1,[1]OUT_SyntheticFuels!L$4:L$1000)</f>
        <v>1.8914460752035519E-3</v>
      </c>
      <c r="N619" s="1" cm="1">
        <f t="array" ref="N619">SUMPRODUCT(("SUP_WSTHTGBIO"=[1]OUT_SyntheticFuels!$C$4:$C$1000)*1,("BIO"=[1]OUT_SyntheticFuels!$A$4:$A$1000)*1,("Var_Fout"=[1]OUT_SyntheticFuels!$B$4:$B$1000)*1,[1]OUT_SyntheticFuels!M$4:M$1000)</f>
        <v>2.1469458763061109E-3</v>
      </c>
      <c r="O619" s="1" cm="1">
        <f t="array" ref="O619">SUMPRODUCT(("SUP_WSTHTGBIO"=[1]OUT_SyntheticFuels!$C$4:$C$1000)*1,("BIO"=[1]OUT_SyntheticFuels!$A$4:$A$1000)*1,("Var_Fout"=[1]OUT_SyntheticFuels!$B$4:$B$1000)*1,[1]OUT_SyntheticFuels!N$4:N$1000)</f>
        <v>2.4776616075295756E-3</v>
      </c>
      <c r="P619" s="1" cm="1">
        <f t="array" ref="P619">SUMPRODUCT(("SUP_WSTHTGBIO"=[1]OUT_SyntheticFuels!$C$4:$C$1000)*1,("BIO"=[1]OUT_SyntheticFuels!$A$4:$A$1000)*1,("Var_Fout"=[1]OUT_SyntheticFuels!$B$4:$B$1000)*1,[1]OUT_SyntheticFuels!O$4:O$1000)</f>
        <v>2.6182071364521105E-3</v>
      </c>
      <c r="Q619" s="1" cm="1">
        <f t="array" ref="Q619">SUMPRODUCT(("SUP_WSTHTGBIO"=[1]OUT_SyntheticFuels!$C$4:$C$1000)*1,("BIO"=[1]OUT_SyntheticFuels!$A$4:$A$1000)*1,("Var_Fout"=[1]OUT_SyntheticFuels!$B$4:$B$1000)*1,[1]OUT_SyntheticFuels!P$4:P$1000)</f>
        <v>4.8596972716286706E-3</v>
      </c>
      <c r="S619" s="3"/>
    </row>
    <row r="620" spans="2:19" x14ac:dyDescent="0.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SUMPRODUCT(("SUP_WSTHTGBIOCCS"=[1]OUT_SyntheticFuels!$C$4:$C$1000)*1,("BIO"=[1]OUT_SyntheticFuels!$A$4:$A$1000)*1,("Var_Fout"=[1]OUT_SyntheticFuels!$B$4:$B$1000)*1,[1]OUT_SyntheticFuels!I$4:I$1000)</f>
        <v>0</v>
      </c>
      <c r="K620" s="1" cm="1">
        <f t="array" ref="K620">SUMPRODUCT(("SUP_WSTHTGBIOCCS"=[1]OUT_SyntheticFuels!$C$4:$C$1000)*1,("BIO"=[1]OUT_SyntheticFuels!$A$4:$A$1000)*1,("Var_Fout"=[1]OUT_SyntheticFuels!$B$4:$B$1000)*1,[1]OUT_SyntheticFuels!J$4:J$1000)</f>
        <v>0</v>
      </c>
      <c r="L620" s="1" cm="1">
        <f t="array" ref="L620">SUMPRODUCT(("SUP_WSTHTGBIOCCS"=[1]OUT_SyntheticFuels!$C$4:$C$1000)*1,("BIO"=[1]OUT_SyntheticFuels!$A$4:$A$1000)*1,("Var_Fout"=[1]OUT_SyntheticFuels!$B$4:$B$1000)*1,[1]OUT_SyntheticFuels!K$4:K$1000)</f>
        <v>0</v>
      </c>
      <c r="M620" s="1" cm="1">
        <f t="array" ref="M620">SUMPRODUCT(("SUP_WSTHTGBIOCCS"=[1]OUT_SyntheticFuels!$C$4:$C$1000)*1,("BIO"=[1]OUT_SyntheticFuels!$A$4:$A$1000)*1,("Var_Fout"=[1]OUT_SyntheticFuels!$B$4:$B$1000)*1,[1]OUT_SyntheticFuels!L$4:L$1000)</f>
        <v>0</v>
      </c>
      <c r="N620" s="1" cm="1">
        <f t="array" ref="N620">SUMPRODUCT(("SUP_WSTHTGBIOCCS"=[1]OUT_SyntheticFuels!$C$4:$C$1000)*1,("BIO"=[1]OUT_SyntheticFuels!$A$4:$A$1000)*1,("Var_Fout"=[1]OUT_SyntheticFuels!$B$4:$B$1000)*1,[1]OUT_SyntheticFuels!M$4:M$1000)</f>
        <v>0</v>
      </c>
      <c r="O620" s="1" cm="1">
        <f t="array" ref="O620">SUMPRODUCT(("SUP_WSTHTGBIOCCS"=[1]OUT_SyntheticFuels!$C$4:$C$1000)*1,("BIO"=[1]OUT_SyntheticFuels!$A$4:$A$1000)*1,("Var_Fout"=[1]OUT_SyntheticFuels!$B$4:$B$1000)*1,[1]OUT_SyntheticFuels!N$4:N$1000)</f>
        <v>0</v>
      </c>
      <c r="P620" s="1" cm="1">
        <f t="array" ref="P620">SUMPRODUCT(("SUP_WSTHTGBIOCCS"=[1]OUT_SyntheticFuels!$C$4:$C$1000)*1,("BIO"=[1]OUT_SyntheticFuels!$A$4:$A$1000)*1,("Var_Fout"=[1]OUT_SyntheticFuels!$B$4:$B$1000)*1,[1]OUT_SyntheticFuels!O$4:O$1000)</f>
        <v>0</v>
      </c>
      <c r="Q620" s="1" cm="1">
        <f t="array" ref="Q620">SUMPRODUCT(("SUP_WSTHTGBIOCCS"=[1]OUT_SyntheticFuels!$C$4:$C$1000)*1,("BIO"=[1]OUT_SyntheticFuels!$A$4:$A$1000)*1,("Var_Fout"=[1]OUT_SyntheticFuels!$B$4:$B$1000)*1,[1]OUT_SyntheticFuels!P$4:P$1000)</f>
        <v>0</v>
      </c>
      <c r="S620" s="3"/>
    </row>
    <row r="621" spans="2:19" x14ac:dyDescent="0.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1.6352826037563151E-4</v>
      </c>
      <c r="H621" s="1">
        <f>[1]Other_transformation!D$21</f>
        <v>3.8041535225937303E-4</v>
      </c>
      <c r="I621" s="1">
        <f>[1]Other_transformation!E$21</f>
        <v>7.8475638283912233E-4</v>
      </c>
      <c r="J621" s="1">
        <f>[1]Other_transformation!F$21</f>
        <v>1.2756707126345772E-3</v>
      </c>
      <c r="K621" s="1">
        <f>[1]Other_transformation!G$21</f>
        <v>1.3617756946483178E-3</v>
      </c>
      <c r="L621" s="1">
        <f>[1]Other_transformation!H$21</f>
        <v>1.3990936818138163E-3</v>
      </c>
      <c r="M621" s="1">
        <f>[1]Other_transformation!I$21</f>
        <v>1.6613791809334986E-3</v>
      </c>
      <c r="N621" s="1">
        <f>[1]Other_transformation!J$21</f>
        <v>1.726869100135379E-3</v>
      </c>
      <c r="O621" s="1">
        <f>[1]Other_transformation!K$21</f>
        <v>2.0317652970200614E-3</v>
      </c>
      <c r="P621" s="1">
        <f>[1]Other_transformation!L$21</f>
        <v>2.2012772027375843E-3</v>
      </c>
      <c r="Q621" s="1">
        <f>[1]Other_transformation!M$21</f>
        <v>4.189741228919853E-3</v>
      </c>
      <c r="S621" s="3"/>
    </row>
    <row r="622" spans="2:19" x14ac:dyDescent="0.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1.6352826037563151E-4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3.8041535225937303E-4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7.8475638283912233E-4</v>
      </c>
      <c r="J622" s="1" cm="1">
        <f t="array" ref="J622">SUMPRODUCT(("SUP_WODBIO"=[1]OUT_SyntheticFuels!$C$4:$C$1000)*1,("BIO"=[1]OUT_SyntheticFuels!$A$4:$A$1000)*1,("Var_Fout"=[1]OUT_SyntheticFuels!$B$4:$B$1000)*1,[1]OUT_SyntheticFuels!I$4:I$1000)</f>
        <v>1.2756707126345772E-3</v>
      </c>
      <c r="K622" s="1" cm="1">
        <f t="array" ref="K622">SUMPRODUCT(("SUP_WODBIO"=[1]OUT_SyntheticFuels!$C$4:$C$1000)*1,("BIO"=[1]OUT_SyntheticFuels!$A$4:$A$1000)*1,("Var_Fout"=[1]OUT_SyntheticFuels!$B$4:$B$1000)*1,[1]OUT_SyntheticFuels!J$4:J$1000)</f>
        <v>1.3617756946483178E-3</v>
      </c>
      <c r="L622" s="1" cm="1">
        <f t="array" ref="L622">SUMPRODUCT(("SUP_WODBIO"=[1]OUT_SyntheticFuels!$C$4:$C$1000)*1,("BIO"=[1]OUT_SyntheticFuels!$A$4:$A$1000)*1,("Var_Fout"=[1]OUT_SyntheticFuels!$B$4:$B$1000)*1,[1]OUT_SyntheticFuels!K$4:K$1000)</f>
        <v>1.3990936818138163E-3</v>
      </c>
      <c r="M622" s="1" cm="1">
        <f t="array" ref="M622">SUMPRODUCT(("SUP_WODBIO"=[1]OUT_SyntheticFuels!$C$4:$C$1000)*1,("BIO"=[1]OUT_SyntheticFuels!$A$4:$A$1000)*1,("Var_Fout"=[1]OUT_SyntheticFuels!$B$4:$B$1000)*1,[1]OUT_SyntheticFuels!L$4:L$1000)</f>
        <v>1.6613791809334986E-3</v>
      </c>
      <c r="N622" s="1" cm="1">
        <f t="array" ref="N622">SUMPRODUCT(("SUP_WODBIO"=[1]OUT_SyntheticFuels!$C$4:$C$1000)*1,("BIO"=[1]OUT_SyntheticFuels!$A$4:$A$1000)*1,("Var_Fout"=[1]OUT_SyntheticFuels!$B$4:$B$1000)*1,[1]OUT_SyntheticFuels!M$4:M$1000)</f>
        <v>1.726869100135379E-3</v>
      </c>
      <c r="O622" s="1" cm="1">
        <f t="array" ref="O622">SUMPRODUCT(("SUP_WODBIO"=[1]OUT_SyntheticFuels!$C$4:$C$1000)*1,("BIO"=[1]OUT_SyntheticFuels!$A$4:$A$1000)*1,("Var_Fout"=[1]OUT_SyntheticFuels!$B$4:$B$1000)*1,[1]OUT_SyntheticFuels!N$4:N$1000)</f>
        <v>2.0317652970200614E-3</v>
      </c>
      <c r="P622" s="1" cm="1">
        <f t="array" ref="P622">SUMPRODUCT(("SUP_WODBIO"=[1]OUT_SyntheticFuels!$C$4:$C$1000)*1,("BIO"=[1]OUT_SyntheticFuels!$A$4:$A$1000)*1,("Var_Fout"=[1]OUT_SyntheticFuels!$B$4:$B$1000)*1,[1]OUT_SyntheticFuels!O$4:O$1000)</f>
        <v>2.2012772027375843E-3</v>
      </c>
      <c r="Q622" s="1" cm="1">
        <f t="array" ref="Q622">SUMPRODUCT(("SUP_WODBIO"=[1]OUT_SyntheticFuels!$C$4:$C$1000)*1,("BIO"=[1]OUT_SyntheticFuels!$A$4:$A$1000)*1,("Var_Fout"=[1]OUT_SyntheticFuels!$B$4:$B$1000)*1,[1]OUT_SyntheticFuels!P$4:P$1000)</f>
        <v>4.189741228919853E-3</v>
      </c>
      <c r="S622" s="3"/>
    </row>
    <row r="623" spans="2:19" x14ac:dyDescent="0.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SUMPRODUCT(("SUP_WODBIOCCS"=[1]OUT_SyntheticFuels!$C$4:$C$1000)*1,("BIO"=[1]OUT_SyntheticFuels!$A$4:$A$1000)*1,("Var_Fout"=[1]OUT_SyntheticFuels!$B$4:$B$1000)*1,[1]OUT_SyntheticFuels!I$4:I$1000)</f>
        <v>0</v>
      </c>
      <c r="K623" s="1" cm="1">
        <f t="array" ref="K623">SUMPRODUCT(("SUP_WODBIOCCS"=[1]OUT_SyntheticFuels!$C$4:$C$1000)*1,("BIO"=[1]OUT_SyntheticFuels!$A$4:$A$1000)*1,("Var_Fout"=[1]OUT_SyntheticFuels!$B$4:$B$1000)*1,[1]OUT_SyntheticFuels!J$4:J$1000)</f>
        <v>0</v>
      </c>
      <c r="L623" s="1" cm="1">
        <f t="array" ref="L623">SUMPRODUCT(("SUP_WODBIOCCS"=[1]OUT_SyntheticFuels!$C$4:$C$1000)*1,("BIO"=[1]OUT_SyntheticFuels!$A$4:$A$1000)*1,("Var_Fout"=[1]OUT_SyntheticFuels!$B$4:$B$1000)*1,[1]OUT_SyntheticFuels!K$4:K$1000)</f>
        <v>0</v>
      </c>
      <c r="M623" s="1" cm="1">
        <f t="array" ref="M623">SUMPRODUCT(("SUP_WODBIOCCS"=[1]OUT_SyntheticFuels!$C$4:$C$1000)*1,("BIO"=[1]OUT_SyntheticFuels!$A$4:$A$1000)*1,("Var_Fout"=[1]OUT_SyntheticFuels!$B$4:$B$1000)*1,[1]OUT_SyntheticFuels!L$4:L$1000)</f>
        <v>0</v>
      </c>
      <c r="N623" s="1" cm="1">
        <f t="array" ref="N623">SUMPRODUCT(("SUP_WODBIOCCS"=[1]OUT_SyntheticFuels!$C$4:$C$1000)*1,("BIO"=[1]OUT_SyntheticFuels!$A$4:$A$1000)*1,("Var_Fout"=[1]OUT_SyntheticFuels!$B$4:$B$1000)*1,[1]OUT_SyntheticFuels!M$4:M$1000)</f>
        <v>0</v>
      </c>
      <c r="O623" s="1" cm="1">
        <f t="array" ref="O623">SUMPRODUCT(("SUP_WODBIOCCS"=[1]OUT_SyntheticFuels!$C$4:$C$1000)*1,("BIO"=[1]OUT_SyntheticFuels!$A$4:$A$1000)*1,("Var_Fout"=[1]OUT_SyntheticFuels!$B$4:$B$1000)*1,[1]OUT_SyntheticFuels!N$4:N$1000)</f>
        <v>0</v>
      </c>
      <c r="P623" s="1" cm="1">
        <f t="array" ref="P623">SUMPRODUCT(("SUP_WODBIOCCS"=[1]OUT_SyntheticFuels!$C$4:$C$1000)*1,("BIO"=[1]OUT_SyntheticFuels!$A$4:$A$1000)*1,("Var_Fout"=[1]OUT_SyntheticFuels!$B$4:$B$1000)*1,[1]OUT_SyntheticFuels!O$4:O$1000)</f>
        <v>0</v>
      </c>
      <c r="Q623" s="1" cm="1">
        <f t="array" ref="Q623">SUMPRODUCT(("SUP_WODBIOCCS"=[1]OUT_SyntheticFuels!$C$4:$C$1000)*1,("BIO"=[1]OUT_SyntheticFuels!$A$4:$A$1000)*1,("Var_Fout"=[1]OUT_SyntheticFuels!$B$4:$B$1000)*1,[1]OUT_SyntheticFuels!P$4:P$1000)</f>
        <v>0</v>
      </c>
      <c r="S623" s="3"/>
    </row>
    <row r="624" spans="2:19" x14ac:dyDescent="0.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0.1125882502898454</v>
      </c>
      <c r="G624" s="3">
        <f t="shared" ref="G624" si="693">G625+G626+G631</f>
        <v>0.11480343978539181</v>
      </c>
      <c r="H624" s="3">
        <f t="shared" ref="H624" si="694">H625+H626+H631</f>
        <v>0.11062900564164813</v>
      </c>
      <c r="I624" s="3">
        <f t="shared" ref="I624" si="695">I625+I626+I631</f>
        <v>0.11443889545250131</v>
      </c>
      <c r="J624" s="3">
        <f t="shared" ref="J624" si="696">J625+J626+J631</f>
        <v>0.11421522639143776</v>
      </c>
      <c r="K624" s="3">
        <f t="shared" ref="K624" si="697">K625+K626+K631</f>
        <v>0.11097269522859719</v>
      </c>
      <c r="L624" s="3">
        <f t="shared" ref="L624:O624" si="698">L625+L626+L631</f>
        <v>0.10776017651478671</v>
      </c>
      <c r="M624" s="3">
        <f t="shared" si="698"/>
        <v>0.10455595622962104</v>
      </c>
      <c r="N624" s="3">
        <f t="shared" si="698"/>
        <v>0.10455482349840994</v>
      </c>
      <c r="O624" s="3">
        <f t="shared" si="698"/>
        <v>0.10456136357209948</v>
      </c>
      <c r="P624" s="3">
        <f>P625+P626+P631</f>
        <v>0.10456607475175102</v>
      </c>
      <c r="Q624" s="3">
        <f>Q625+Q626+Q631</f>
        <v>0.10461258912672909</v>
      </c>
      <c r="S624" s="3"/>
    </row>
    <row r="625" spans="2:19" x14ac:dyDescent="0.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SUMPRODUCT(("SUP_MNRBIO"=[1]OUT_SyntheticFuels!$C$4:$C$1000)*1,("Var_Fout"=[1]OUT_SyntheticFuels!$B$4:$B$1000)*1,("ELC35"=[1]OUT_SyntheticFuels!$A$4:$A$1000)*1,[1]OUT_SyntheticFuels!I$4:I$1000)</f>
        <v>0</v>
      </c>
      <c r="K625" s="1" cm="1">
        <f t="array" ref="K625">SUMPRODUCT(("SUP_MNRBIO"=[1]OUT_SyntheticFuels!$C$4:$C$1000)*1,("Var_Fout"=[1]OUT_SyntheticFuels!$B$4:$B$1000)*1,("ELC35"=[1]OUT_SyntheticFuels!$A$4:$A$1000)*1,[1]OUT_SyntheticFuels!J$4:J$1000)</f>
        <v>0</v>
      </c>
      <c r="L625" s="1" cm="1">
        <f t="array" ref="L625">SUMPRODUCT(("SUP_MNRBIO"=[1]OUT_SyntheticFuels!$C$4:$C$1000)*1,("Var_Fout"=[1]OUT_SyntheticFuels!$B$4:$B$1000)*1,("ELC35"=[1]OUT_SyntheticFuels!$A$4:$A$1000)*1,[1]OUT_SyntheticFuels!K$4:K$1000)</f>
        <v>0</v>
      </c>
      <c r="M625" s="1" cm="1">
        <f t="array" ref="M625">SUMPRODUCT(("SUP_MNRBIO"=[1]OUT_SyntheticFuels!$C$4:$C$1000)*1,("Var_Fout"=[1]OUT_SyntheticFuels!$B$4:$B$1000)*1,("ELC35"=[1]OUT_SyntheticFuels!$A$4:$A$1000)*1,[1]OUT_SyntheticFuels!L$4:L$1000)</f>
        <v>0</v>
      </c>
      <c r="N625" s="1" cm="1">
        <f t="array" ref="N625">SUMPRODUCT(("SUP_MNRBIO"=[1]OUT_SyntheticFuels!$C$4:$C$1000)*1,("Var_Fout"=[1]OUT_SyntheticFuels!$B$4:$B$1000)*1,("ELC35"=[1]OUT_SyntheticFuels!$A$4:$A$1000)*1,[1]OUT_SyntheticFuels!M$4:M$1000)</f>
        <v>0</v>
      </c>
      <c r="O625" s="1" cm="1">
        <f t="array" ref="O625">SUMPRODUCT(("SUP_MNRBIO"=[1]OUT_SyntheticFuels!$C$4:$C$1000)*1,("Var_Fout"=[1]OUT_SyntheticFuels!$B$4:$B$1000)*1,("ELC35"=[1]OUT_SyntheticFuels!$A$4:$A$1000)*1,[1]OUT_SyntheticFuels!N$4:N$1000)</f>
        <v>0</v>
      </c>
      <c r="P625" s="1" cm="1">
        <f t="array" ref="P625">SUMPRODUCT(("SUP_MNRBIO"=[1]OUT_SyntheticFuels!$C$4:$C$1000)*1,("Var_Fout"=[1]OUT_SyntheticFuels!$B$4:$B$1000)*1,("ELC35"=[1]OUT_SyntheticFuels!$A$4:$A$1000)*1,[1]OUT_SyntheticFuels!O$4:O$1000)</f>
        <v>0</v>
      </c>
      <c r="Q625" s="1" cm="1">
        <f t="array" ref="Q625">SUMPRODUCT(("SUP_MNRBIO"=[1]OUT_SyntheticFuels!$C$4:$C$1000)*1,("Var_Fout"=[1]OUT_SyntheticFuels!$B$4:$B$1000)*1,("ELC35"=[1]OUT_SyntheticFuels!$A$4:$A$1000)*1,[1]OUT_SyntheticFuels!P$4:P$1000)</f>
        <v>0</v>
      </c>
      <c r="S625" s="3"/>
    </row>
    <row r="626" spans="2:19" x14ac:dyDescent="0.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0.1125882502898454</v>
      </c>
      <c r="G626" s="1">
        <f t="shared" ref="G626:K626" si="699">SUM(G627:G630)</f>
        <v>0.11479689865497679</v>
      </c>
      <c r="H626" s="1">
        <f t="shared" si="699"/>
        <v>0.11061378902755775</v>
      </c>
      <c r="I626" s="1">
        <f t="shared" si="699"/>
        <v>0.11440750519718774</v>
      </c>
      <c r="J626" s="1">
        <f t="shared" si="699"/>
        <v>0.11416419956293238</v>
      </c>
      <c r="K626" s="1">
        <f t="shared" si="699"/>
        <v>0.11091822420081127</v>
      </c>
      <c r="L626" s="1">
        <f t="shared" ref="L626:O626" si="700">SUM(L627:L630)</f>
        <v>0.10770421276751416</v>
      </c>
      <c r="M626" s="1">
        <f t="shared" si="700"/>
        <v>0.10448950106238369</v>
      </c>
      <c r="N626" s="1">
        <f t="shared" si="700"/>
        <v>0.10448574873440453</v>
      </c>
      <c r="O626" s="1">
        <f t="shared" si="700"/>
        <v>0.10448009296021868</v>
      </c>
      <c r="P626" s="1">
        <f>SUM(P627:P630)</f>
        <v>0.10447802366364152</v>
      </c>
      <c r="Q626" s="1">
        <f>SUM(Q627:Q630)</f>
        <v>0.1044449994775723</v>
      </c>
      <c r="S626" s="3"/>
    </row>
    <row r="627" spans="2:19" x14ac:dyDescent="0.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0.1125882502898454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0.11479689865497679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0.11061378902755775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0.11440750519718774</v>
      </c>
      <c r="J627" s="1" cm="1">
        <f t="array" ref="J627">SUMPRODUCT(("SUP_WSTBIO"=[1]OUT_SyntheticFuels!$C$4:$C$1000)*1,("elc35"=[1]OUT_SyntheticFuels!$A$4:$A$1000)*1,("Var_Fout"=[1]OUT_SyntheticFuels!$B$4:$B$1000)*1,[1]OUT_SyntheticFuels!I$4:I$1000)</f>
        <v>0.11416419956293238</v>
      </c>
      <c r="K627" s="1" cm="1">
        <f t="array" ref="K627">SUMPRODUCT(("SUP_WSTBIO"=[1]OUT_SyntheticFuels!$C$4:$C$1000)*1,("elc35"=[1]OUT_SyntheticFuels!$A$4:$A$1000)*1,("Var_Fout"=[1]OUT_SyntheticFuels!$B$4:$B$1000)*1,[1]OUT_SyntheticFuels!J$4:J$1000)</f>
        <v>0.11091822420081127</v>
      </c>
      <c r="L627" s="1" cm="1">
        <f t="array" ref="L627">SUMPRODUCT(("SUP_WSTBIO"=[1]OUT_SyntheticFuels!$C$4:$C$1000)*1,("elc35"=[1]OUT_SyntheticFuels!$A$4:$A$1000)*1,("Var_Fout"=[1]OUT_SyntheticFuels!$B$4:$B$1000)*1,[1]OUT_SyntheticFuels!K$4:K$1000)</f>
        <v>0.10770421276751416</v>
      </c>
      <c r="M627" s="1" cm="1">
        <f t="array" ref="M627">SUMPRODUCT(("SUP_WSTBIO"=[1]OUT_SyntheticFuels!$C$4:$C$1000)*1,("elc35"=[1]OUT_SyntheticFuels!$A$4:$A$1000)*1,("Var_Fout"=[1]OUT_SyntheticFuels!$B$4:$B$1000)*1,[1]OUT_SyntheticFuels!L$4:L$1000)</f>
        <v>0.10448950106238369</v>
      </c>
      <c r="N627" s="1" cm="1">
        <f t="array" ref="N627">SUMPRODUCT(("SUP_WSTBIO"=[1]OUT_SyntheticFuels!$C$4:$C$1000)*1,("elc35"=[1]OUT_SyntheticFuels!$A$4:$A$1000)*1,("Var_Fout"=[1]OUT_SyntheticFuels!$B$4:$B$1000)*1,[1]OUT_SyntheticFuels!M$4:M$1000)</f>
        <v>0.10448574873440453</v>
      </c>
      <c r="O627" s="1" cm="1">
        <f t="array" ref="O627">SUMPRODUCT(("SUP_WSTBIO"=[1]OUT_SyntheticFuels!$C$4:$C$1000)*1,("elc35"=[1]OUT_SyntheticFuels!$A$4:$A$1000)*1,("Var_Fout"=[1]OUT_SyntheticFuels!$B$4:$B$1000)*1,[1]OUT_SyntheticFuels!N$4:N$1000)</f>
        <v>0.10448009296021868</v>
      </c>
      <c r="P627" s="1" cm="1">
        <f t="array" ref="P627">SUMPRODUCT(("SUP_WSTBIO"=[1]OUT_SyntheticFuels!$C$4:$C$1000)*1,("elc35"=[1]OUT_SyntheticFuels!$A$4:$A$1000)*1,("Var_Fout"=[1]OUT_SyntheticFuels!$B$4:$B$1000)*1,[1]OUT_SyntheticFuels!O$4:O$1000)</f>
        <v>0.10447802366364152</v>
      </c>
      <c r="Q627" s="1" cm="1">
        <f t="array" ref="Q627">SUMPRODUCT(("SUP_WSTBIO"=[1]OUT_SyntheticFuels!$C$4:$C$1000)*1,("elc35"=[1]OUT_SyntheticFuels!$A$4:$A$1000)*1,("Var_Fout"=[1]OUT_SyntheticFuels!$B$4:$B$1000)*1,[1]OUT_SyntheticFuels!P$4:P$1000)</f>
        <v>0.1044449994775723</v>
      </c>
      <c r="S627" s="3"/>
    </row>
    <row r="628" spans="2:19" x14ac:dyDescent="0.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SUMPRODUCT(("SUP_WSTBIOCCS"=[1]OUT_SyntheticFuels!$C$4:$C$1000)*1,("elc35"=[1]OUT_SyntheticFuels!$A$4:$A$1000)*1,("Var_Fout"=[1]OUT_SyntheticFuels!$B$4:$B$1000)*1,[1]OUT_SyntheticFuels!I$4:I$1000)</f>
        <v>0</v>
      </c>
      <c r="K628" s="1" cm="1">
        <f t="array" ref="K628">SUMPRODUCT(("SUP_WSTBIOCCS"=[1]OUT_SyntheticFuels!$C$4:$C$1000)*1,("elc35"=[1]OUT_SyntheticFuels!$A$4:$A$1000)*1,("Var_Fout"=[1]OUT_SyntheticFuels!$B$4:$B$1000)*1,[1]OUT_SyntheticFuels!J$4:J$1000)</f>
        <v>0</v>
      </c>
      <c r="L628" s="1" cm="1">
        <f t="array" ref="L628">SUMPRODUCT(("SUP_WSTBIOCCS"=[1]OUT_SyntheticFuels!$C$4:$C$1000)*1,("elc35"=[1]OUT_SyntheticFuels!$A$4:$A$1000)*1,("Var_Fout"=[1]OUT_SyntheticFuels!$B$4:$B$1000)*1,[1]OUT_SyntheticFuels!K$4:K$1000)</f>
        <v>0</v>
      </c>
      <c r="M628" s="1" cm="1">
        <f t="array" ref="M628">SUMPRODUCT(("SUP_WSTBIOCCS"=[1]OUT_SyntheticFuels!$C$4:$C$1000)*1,("elc35"=[1]OUT_SyntheticFuels!$A$4:$A$1000)*1,("Var_Fout"=[1]OUT_SyntheticFuels!$B$4:$B$1000)*1,[1]OUT_SyntheticFuels!L$4:L$1000)</f>
        <v>0</v>
      </c>
      <c r="N628" s="1" cm="1">
        <f t="array" ref="N628">SUMPRODUCT(("SUP_WSTBIOCCS"=[1]OUT_SyntheticFuels!$C$4:$C$1000)*1,("elc35"=[1]OUT_SyntheticFuels!$A$4:$A$1000)*1,("Var_Fout"=[1]OUT_SyntheticFuels!$B$4:$B$1000)*1,[1]OUT_SyntheticFuels!M$4:M$1000)</f>
        <v>0</v>
      </c>
      <c r="O628" s="1" cm="1">
        <f t="array" ref="O628">SUMPRODUCT(("SUP_WSTBIOCCS"=[1]OUT_SyntheticFuels!$C$4:$C$1000)*1,("elc35"=[1]OUT_SyntheticFuels!$A$4:$A$1000)*1,("Var_Fout"=[1]OUT_SyntheticFuels!$B$4:$B$1000)*1,[1]OUT_SyntheticFuels!N$4:N$1000)</f>
        <v>0</v>
      </c>
      <c r="P628" s="1" cm="1">
        <f t="array" ref="P628">SUMPRODUCT(("SUP_WSTBIOCCS"=[1]OUT_SyntheticFuels!$C$4:$C$1000)*1,("elc35"=[1]OUT_SyntheticFuels!$A$4:$A$1000)*1,("Var_Fout"=[1]OUT_SyntheticFuels!$B$4:$B$1000)*1,[1]OUT_SyntheticFuels!O$4:O$1000)</f>
        <v>0</v>
      </c>
      <c r="Q628" s="1" cm="1">
        <f t="array" ref="Q628">SUMPRODUCT(("SUP_WSTBIOCCS"=[1]OUT_SyntheticFuels!$C$4:$C$1000)*1,("elc35"=[1]OUT_SyntheticFuels!$A$4:$A$1000)*1,("Var_Fout"=[1]OUT_SyntheticFuels!$B$4:$B$1000)*1,[1]OUT_SyntheticFuels!P$4:P$1000)</f>
        <v>0</v>
      </c>
      <c r="S628" s="3"/>
    </row>
    <row r="629" spans="2:19" x14ac:dyDescent="0.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SUMPRODUCT(("SUP_WSTHTGBIO"=[1]OUT_SyntheticFuels!$C$4:$C$1000)*1,("elc35"=[1]OUT_SyntheticFuels!$A$4:$A$1000)*1,("Var_Fout"=[1]OUT_SyntheticFuels!$B$4:$B$1000)*1,[1]OUT_SyntheticFuels!I$4:I$1000)</f>
        <v>0</v>
      </c>
      <c r="K629" s="1" cm="1">
        <f t="array" ref="K629">SUMPRODUCT(("SUP_WSTHTGBIO"=[1]OUT_SyntheticFuels!$C$4:$C$1000)*1,("elc35"=[1]OUT_SyntheticFuels!$A$4:$A$1000)*1,("Var_Fout"=[1]OUT_SyntheticFuels!$B$4:$B$1000)*1,[1]OUT_SyntheticFuels!J$4:J$1000)</f>
        <v>0</v>
      </c>
      <c r="L629" s="1" cm="1">
        <f t="array" ref="L629">SUMPRODUCT(("SUP_WSTHTGBIO"=[1]OUT_SyntheticFuels!$C$4:$C$1000)*1,("elc35"=[1]OUT_SyntheticFuels!$A$4:$A$1000)*1,("Var_Fout"=[1]OUT_SyntheticFuels!$B$4:$B$1000)*1,[1]OUT_SyntheticFuels!K$4:K$1000)</f>
        <v>0</v>
      </c>
      <c r="M629" s="1" cm="1">
        <f t="array" ref="M629">SUMPRODUCT(("SUP_WSTHTGBIO"=[1]OUT_SyntheticFuels!$C$4:$C$1000)*1,("elc35"=[1]OUT_SyntheticFuels!$A$4:$A$1000)*1,("Var_Fout"=[1]OUT_SyntheticFuels!$B$4:$B$1000)*1,[1]OUT_SyntheticFuels!L$4:L$1000)</f>
        <v>0</v>
      </c>
      <c r="N629" s="1" cm="1">
        <f t="array" ref="N629">SUMPRODUCT(("SUP_WSTHTGBIO"=[1]OUT_SyntheticFuels!$C$4:$C$1000)*1,("elc35"=[1]OUT_SyntheticFuels!$A$4:$A$1000)*1,("Var_Fout"=[1]OUT_SyntheticFuels!$B$4:$B$1000)*1,[1]OUT_SyntheticFuels!M$4:M$1000)</f>
        <v>0</v>
      </c>
      <c r="O629" s="1" cm="1">
        <f t="array" ref="O629">SUMPRODUCT(("SUP_WSTHTGBIO"=[1]OUT_SyntheticFuels!$C$4:$C$1000)*1,("elc35"=[1]OUT_SyntheticFuels!$A$4:$A$1000)*1,("Var_Fout"=[1]OUT_SyntheticFuels!$B$4:$B$1000)*1,[1]OUT_SyntheticFuels!N$4:N$1000)</f>
        <v>0</v>
      </c>
      <c r="P629" s="1" cm="1">
        <f t="array" ref="P629">SUMPRODUCT(("SUP_WSTHTGBIO"=[1]OUT_SyntheticFuels!$C$4:$C$1000)*1,("elc35"=[1]OUT_SyntheticFuels!$A$4:$A$1000)*1,("Var_Fout"=[1]OUT_SyntheticFuels!$B$4:$B$1000)*1,[1]OUT_SyntheticFuels!O$4:O$1000)</f>
        <v>0</v>
      </c>
      <c r="Q629" s="1" cm="1">
        <f t="array" ref="Q629">SUMPRODUCT(("SUP_WSTHTGBIO"=[1]OUT_SyntheticFuels!$C$4:$C$1000)*1,("elc35"=[1]OUT_SyntheticFuels!$A$4:$A$1000)*1,("Var_Fout"=[1]OUT_SyntheticFuels!$B$4:$B$1000)*1,[1]OUT_SyntheticFuels!P$4:P$1000)</f>
        <v>0</v>
      </c>
      <c r="S629" s="3"/>
    </row>
    <row r="630" spans="2:19" x14ac:dyDescent="0.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SUMPRODUCT(("SUP_WSTHTGBIOCCS"=[1]OUT_SyntheticFuels!$C$4:$C$1000)*1,("elc35"=[1]OUT_SyntheticFuels!$A$4:$A$1000)*1,("Var_Fout"=[1]OUT_SyntheticFuels!$B$4:$B$1000)*1,[1]OUT_SyntheticFuels!I$4:I$1000)</f>
        <v>0</v>
      </c>
      <c r="K630" s="1" cm="1">
        <f t="array" ref="K630">SUMPRODUCT(("SUP_WSTHTGBIOCCS"=[1]OUT_SyntheticFuels!$C$4:$C$1000)*1,("elc35"=[1]OUT_SyntheticFuels!$A$4:$A$1000)*1,("Var_Fout"=[1]OUT_SyntheticFuels!$B$4:$B$1000)*1,[1]OUT_SyntheticFuels!J$4:J$1000)</f>
        <v>0</v>
      </c>
      <c r="L630" s="1" cm="1">
        <f t="array" ref="L630">SUMPRODUCT(("SUP_WSTHTGBIOCCS"=[1]OUT_SyntheticFuels!$C$4:$C$1000)*1,("elc35"=[1]OUT_SyntheticFuels!$A$4:$A$1000)*1,("Var_Fout"=[1]OUT_SyntheticFuels!$B$4:$B$1000)*1,[1]OUT_SyntheticFuels!K$4:K$1000)</f>
        <v>0</v>
      </c>
      <c r="M630" s="1" cm="1">
        <f t="array" ref="M630">SUMPRODUCT(("SUP_WSTHTGBIOCCS"=[1]OUT_SyntheticFuels!$C$4:$C$1000)*1,("elc35"=[1]OUT_SyntheticFuels!$A$4:$A$1000)*1,("Var_Fout"=[1]OUT_SyntheticFuels!$B$4:$B$1000)*1,[1]OUT_SyntheticFuels!L$4:L$1000)</f>
        <v>0</v>
      </c>
      <c r="N630" s="1" cm="1">
        <f t="array" ref="N630">SUMPRODUCT(("SUP_WSTHTGBIOCCS"=[1]OUT_SyntheticFuels!$C$4:$C$1000)*1,("elc35"=[1]OUT_SyntheticFuels!$A$4:$A$1000)*1,("Var_Fout"=[1]OUT_SyntheticFuels!$B$4:$B$1000)*1,[1]OUT_SyntheticFuels!M$4:M$1000)</f>
        <v>0</v>
      </c>
      <c r="O630" s="1" cm="1">
        <f t="array" ref="O630">SUMPRODUCT(("SUP_WSTHTGBIOCCS"=[1]OUT_SyntheticFuels!$C$4:$C$1000)*1,("elc35"=[1]OUT_SyntheticFuels!$A$4:$A$1000)*1,("Var_Fout"=[1]OUT_SyntheticFuels!$B$4:$B$1000)*1,[1]OUT_SyntheticFuels!N$4:N$1000)</f>
        <v>0</v>
      </c>
      <c r="P630" s="1" cm="1">
        <f t="array" ref="P630">SUMPRODUCT(("SUP_WSTHTGBIOCCS"=[1]OUT_SyntheticFuels!$C$4:$C$1000)*1,("elc35"=[1]OUT_SyntheticFuels!$A$4:$A$1000)*1,("Var_Fout"=[1]OUT_SyntheticFuels!$B$4:$B$1000)*1,[1]OUT_SyntheticFuels!O$4:O$1000)</f>
        <v>0</v>
      </c>
      <c r="Q630" s="1" cm="1">
        <f t="array" ref="Q630">SUMPRODUCT(("SUP_WSTHTGBIOCCS"=[1]OUT_SyntheticFuels!$C$4:$C$1000)*1,("elc35"=[1]OUT_SyntheticFuels!$A$4:$A$1000)*1,("Var_Fout"=[1]OUT_SyntheticFuels!$B$4:$B$1000)*1,[1]OUT_SyntheticFuels!P$4:P$1000)</f>
        <v>0</v>
      </c>
      <c r="S630" s="3"/>
    </row>
    <row r="631" spans="2:19" x14ac:dyDescent="0.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701">SUM(G632:G633)</f>
        <v>6.5411304150252728E-6</v>
      </c>
      <c r="H631" s="1">
        <f t="shared" si="701"/>
        <v>1.5216614090374944E-5</v>
      </c>
      <c r="I631" s="1">
        <f t="shared" si="701"/>
        <v>3.139025531356497E-5</v>
      </c>
      <c r="J631" s="1">
        <f t="shared" si="701"/>
        <v>5.1026828505383137E-5</v>
      </c>
      <c r="K631" s="1">
        <f t="shared" si="701"/>
        <v>5.4471027785932789E-5</v>
      </c>
      <c r="L631" s="1">
        <f t="shared" ref="L631:O631" si="702">SUM(L632:L633)</f>
        <v>5.5963747272552749E-5</v>
      </c>
      <c r="M631" s="1">
        <f t="shared" si="702"/>
        <v>6.6455167237340038E-5</v>
      </c>
      <c r="N631" s="1">
        <f t="shared" si="702"/>
        <v>6.9074764005415312E-5</v>
      </c>
      <c r="O631" s="1">
        <f t="shared" si="702"/>
        <v>8.1270611880802576E-5</v>
      </c>
      <c r="P631" s="1">
        <f>SUM(P632:P633)</f>
        <v>8.8051088109503513E-5</v>
      </c>
      <c r="Q631" s="1">
        <f>SUM(Q632:Q633)</f>
        <v>1.6758964915679437E-4</v>
      </c>
      <c r="S631" s="3"/>
    </row>
    <row r="632" spans="2:19" x14ac:dyDescent="0.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6.5411304150252728E-6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1.5216614090374944E-5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3.139025531356497E-5</v>
      </c>
      <c r="J632" s="1" cm="1">
        <f t="array" ref="J632">SUMPRODUCT(("SUP_WODBIO"=[1]OUT_SyntheticFuels!$C$4:$C$1000)*1,("elc35"=[1]OUT_SyntheticFuels!$A$4:$A$1000)*1,("Var_Fout"=[1]OUT_SyntheticFuels!$B$4:$B$1000)*1,[1]OUT_SyntheticFuels!I$4:I$1000)</f>
        <v>5.1026828505383137E-5</v>
      </c>
      <c r="K632" s="1" cm="1">
        <f t="array" ref="K632">SUMPRODUCT(("SUP_WODBIO"=[1]OUT_SyntheticFuels!$C$4:$C$1000)*1,("elc35"=[1]OUT_SyntheticFuels!$A$4:$A$1000)*1,("Var_Fout"=[1]OUT_SyntheticFuels!$B$4:$B$1000)*1,[1]OUT_SyntheticFuels!J$4:J$1000)</f>
        <v>5.4471027785932789E-5</v>
      </c>
      <c r="L632" s="1" cm="1">
        <f t="array" ref="L632">SUMPRODUCT(("SUP_WODBIO"=[1]OUT_SyntheticFuels!$C$4:$C$1000)*1,("elc35"=[1]OUT_SyntheticFuels!$A$4:$A$1000)*1,("Var_Fout"=[1]OUT_SyntheticFuels!$B$4:$B$1000)*1,[1]OUT_SyntheticFuels!K$4:K$1000)</f>
        <v>5.5963747272552749E-5</v>
      </c>
      <c r="M632" s="1" cm="1">
        <f t="array" ref="M632">SUMPRODUCT(("SUP_WODBIO"=[1]OUT_SyntheticFuels!$C$4:$C$1000)*1,("elc35"=[1]OUT_SyntheticFuels!$A$4:$A$1000)*1,("Var_Fout"=[1]OUT_SyntheticFuels!$B$4:$B$1000)*1,[1]OUT_SyntheticFuels!L$4:L$1000)</f>
        <v>6.6455167237340038E-5</v>
      </c>
      <c r="N632" s="1" cm="1">
        <f t="array" ref="N632">SUMPRODUCT(("SUP_WODBIO"=[1]OUT_SyntheticFuels!$C$4:$C$1000)*1,("elc35"=[1]OUT_SyntheticFuels!$A$4:$A$1000)*1,("Var_Fout"=[1]OUT_SyntheticFuels!$B$4:$B$1000)*1,[1]OUT_SyntheticFuels!M$4:M$1000)</f>
        <v>6.9074764005415312E-5</v>
      </c>
      <c r="O632" s="1" cm="1">
        <f t="array" ref="O632">SUMPRODUCT(("SUP_WODBIO"=[1]OUT_SyntheticFuels!$C$4:$C$1000)*1,("elc35"=[1]OUT_SyntheticFuels!$A$4:$A$1000)*1,("Var_Fout"=[1]OUT_SyntheticFuels!$B$4:$B$1000)*1,[1]OUT_SyntheticFuels!N$4:N$1000)</f>
        <v>8.1270611880802576E-5</v>
      </c>
      <c r="P632" s="1" cm="1">
        <f t="array" ref="P632">SUMPRODUCT(("SUP_WODBIO"=[1]OUT_SyntheticFuels!$C$4:$C$1000)*1,("elc35"=[1]OUT_SyntheticFuels!$A$4:$A$1000)*1,("Var_Fout"=[1]OUT_SyntheticFuels!$B$4:$B$1000)*1,[1]OUT_SyntheticFuels!O$4:O$1000)</f>
        <v>8.8051088109503513E-5</v>
      </c>
      <c r="Q632" s="1" cm="1">
        <f t="array" ref="Q632">SUMPRODUCT(("SUP_WODBIO"=[1]OUT_SyntheticFuels!$C$4:$C$1000)*1,("elc35"=[1]OUT_SyntheticFuels!$A$4:$A$1000)*1,("Var_Fout"=[1]OUT_SyntheticFuels!$B$4:$B$1000)*1,[1]OUT_SyntheticFuels!P$4:P$1000)</f>
        <v>1.6758964915679437E-4</v>
      </c>
      <c r="S632" s="3"/>
    </row>
    <row r="633" spans="2:19" x14ac:dyDescent="0.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SUMPRODUCT(("SUP_WODBIOCCS"=[1]OUT_SyntheticFuels!$C$4:$C$1000)*1,("elc35"=[1]OUT_SyntheticFuels!$A$4:$A$1000)*1,("Var_Fout"=[1]OUT_SyntheticFuels!$B$4:$B$1000)*1,[1]OUT_SyntheticFuels!I$4:I$1000)</f>
        <v>0</v>
      </c>
      <c r="K633" s="1" cm="1">
        <f t="array" ref="K633">SUMPRODUCT(("SUP_WODBIOCCS"=[1]OUT_SyntheticFuels!$C$4:$C$1000)*1,("elc35"=[1]OUT_SyntheticFuels!$A$4:$A$1000)*1,("Var_Fout"=[1]OUT_SyntheticFuels!$B$4:$B$1000)*1,[1]OUT_SyntheticFuels!J$4:J$1000)</f>
        <v>0</v>
      </c>
      <c r="L633" s="1" cm="1">
        <f t="array" ref="L633">SUMPRODUCT(("SUP_WODBIOCCS"=[1]OUT_SyntheticFuels!$C$4:$C$1000)*1,("elc35"=[1]OUT_SyntheticFuels!$A$4:$A$1000)*1,("Var_Fout"=[1]OUT_SyntheticFuels!$B$4:$B$1000)*1,[1]OUT_SyntheticFuels!K$4:K$1000)</f>
        <v>0</v>
      </c>
      <c r="M633" s="1" cm="1">
        <f t="array" ref="M633">SUMPRODUCT(("SUP_WODBIOCCS"=[1]OUT_SyntheticFuels!$C$4:$C$1000)*1,("elc35"=[1]OUT_SyntheticFuels!$A$4:$A$1000)*1,("Var_Fout"=[1]OUT_SyntheticFuels!$B$4:$B$1000)*1,[1]OUT_SyntheticFuels!L$4:L$1000)</f>
        <v>0</v>
      </c>
      <c r="N633" s="1" cm="1">
        <f t="array" ref="N633">SUMPRODUCT(("SUP_WODBIOCCS"=[1]OUT_SyntheticFuels!$C$4:$C$1000)*1,("elc35"=[1]OUT_SyntheticFuels!$A$4:$A$1000)*1,("Var_Fout"=[1]OUT_SyntheticFuels!$B$4:$B$1000)*1,[1]OUT_SyntheticFuels!M$4:M$1000)</f>
        <v>0</v>
      </c>
      <c r="O633" s="1" cm="1">
        <f t="array" ref="O633">SUMPRODUCT(("SUP_WODBIOCCS"=[1]OUT_SyntheticFuels!$C$4:$C$1000)*1,("elc35"=[1]OUT_SyntheticFuels!$A$4:$A$1000)*1,("Var_Fout"=[1]OUT_SyntheticFuels!$B$4:$B$1000)*1,[1]OUT_SyntheticFuels!N$4:N$1000)</f>
        <v>0</v>
      </c>
      <c r="P633" s="1" cm="1">
        <f t="array" ref="P633">SUMPRODUCT(("SUP_WODBIOCCS"=[1]OUT_SyntheticFuels!$C$4:$C$1000)*1,("elc35"=[1]OUT_SyntheticFuels!$A$4:$A$1000)*1,("Var_Fout"=[1]OUT_SyntheticFuels!$B$4:$B$1000)*1,[1]OUT_SyntheticFuels!O$4:O$1000)</f>
        <v>0</v>
      </c>
      <c r="Q633" s="1" cm="1">
        <f t="array" ref="Q633">SUMPRODUCT(("SUP_WODBIOCCS"=[1]OUT_SyntheticFuels!$C$4:$C$1000)*1,("elc35"=[1]OUT_SyntheticFuels!$A$4:$A$1000)*1,("Var_Fout"=[1]OUT_SyntheticFuels!$B$4:$B$1000)*1,[1]OUT_SyntheticFuels!P$4:P$1000)</f>
        <v>0</v>
      </c>
      <c r="S633" s="3"/>
    </row>
    <row r="634" spans="2:19" x14ac:dyDescent="0.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703">G635+G636+G641</f>
        <v>1.9623391245075788E-5</v>
      </c>
      <c r="H634" s="3">
        <f t="shared" ref="H634" si="704">H635+H636+H641</f>
        <v>4.5649842271124783E-5</v>
      </c>
      <c r="I634" s="3">
        <f t="shared" ref="I634" si="705">I635+I636+I641</f>
        <v>9.4170765940694687E-5</v>
      </c>
      <c r="J634" s="3">
        <f t="shared" ref="J634" si="706">J635+J636+J641</f>
        <v>1.5308048551614925E-4</v>
      </c>
      <c r="K634" s="3">
        <f t="shared" ref="K634" si="707">K635+K636+K641</f>
        <v>1.6341308335779802E-4</v>
      </c>
      <c r="L634" s="3">
        <f t="shared" ref="L634:O634" si="708">L635+L636+L641</f>
        <v>1.6789124181765792E-4</v>
      </c>
      <c r="M634" s="3">
        <f t="shared" si="708"/>
        <v>1.9936550171202006E-4</v>
      </c>
      <c r="N634" s="3">
        <f t="shared" si="708"/>
        <v>2.0722429201624584E-4</v>
      </c>
      <c r="O634" s="3">
        <f t="shared" si="708"/>
        <v>2.4381183564240748E-4</v>
      </c>
      <c r="P634" s="3">
        <f>P635+P636+P641</f>
        <v>2.6415326432851013E-4</v>
      </c>
      <c r="Q634" s="3">
        <f>Q635+Q636+Q641</f>
        <v>5.0276894747038254E-4</v>
      </c>
      <c r="S634" s="3"/>
    </row>
    <row r="635" spans="2:19" x14ac:dyDescent="0.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SUMPRODUCT(("SUP_MNRBIO"=[1]OUT_SyntheticFuels!$C$4:$C$1000)*1,("Var_Fout"=[1]OUT_SyntheticFuels!$B$4:$B$1000)*1,("LTH"=[1]OUT_SyntheticFuels!$A$4:$A$1000)*1,[1]OUT_SyntheticFuels!I$4:I$1000)</f>
        <v>0</v>
      </c>
      <c r="K635" s="1" cm="1">
        <f t="array" ref="K635">SUMPRODUCT(("SUP_MNRBIO"=[1]OUT_SyntheticFuels!$C$4:$C$1000)*1,("Var_Fout"=[1]OUT_SyntheticFuels!$B$4:$B$1000)*1,("LTH"=[1]OUT_SyntheticFuels!$A$4:$A$1000)*1,[1]OUT_SyntheticFuels!J$4:J$1000)</f>
        <v>0</v>
      </c>
      <c r="L635" s="1" cm="1">
        <f t="array" ref="L635">SUMPRODUCT(("SUP_MNRBIO"=[1]OUT_SyntheticFuels!$C$4:$C$1000)*1,("Var_Fout"=[1]OUT_SyntheticFuels!$B$4:$B$1000)*1,("LTH"=[1]OUT_SyntheticFuels!$A$4:$A$1000)*1,[1]OUT_SyntheticFuels!K$4:K$1000)</f>
        <v>0</v>
      </c>
      <c r="M635" s="1" cm="1">
        <f t="array" ref="M635">SUMPRODUCT(("SUP_MNRBIO"=[1]OUT_SyntheticFuels!$C$4:$C$1000)*1,("Var_Fout"=[1]OUT_SyntheticFuels!$B$4:$B$1000)*1,("LTH"=[1]OUT_SyntheticFuels!$A$4:$A$1000)*1,[1]OUT_SyntheticFuels!L$4:L$1000)</f>
        <v>0</v>
      </c>
      <c r="N635" s="1" cm="1">
        <f t="array" ref="N635">SUMPRODUCT(("SUP_MNRBIO"=[1]OUT_SyntheticFuels!$C$4:$C$1000)*1,("Var_Fout"=[1]OUT_SyntheticFuels!$B$4:$B$1000)*1,("LTH"=[1]OUT_SyntheticFuels!$A$4:$A$1000)*1,[1]OUT_SyntheticFuels!M$4:M$1000)</f>
        <v>0</v>
      </c>
      <c r="O635" s="1" cm="1">
        <f t="array" ref="O635">SUMPRODUCT(("SUP_MNRBIO"=[1]OUT_SyntheticFuels!$C$4:$C$1000)*1,("Var_Fout"=[1]OUT_SyntheticFuels!$B$4:$B$1000)*1,("LTH"=[1]OUT_SyntheticFuels!$A$4:$A$1000)*1,[1]OUT_SyntheticFuels!N$4:N$1000)</f>
        <v>0</v>
      </c>
      <c r="P635" s="1" cm="1">
        <f t="array" ref="P635">SUMPRODUCT(("SUP_MNRBIO"=[1]OUT_SyntheticFuels!$C$4:$C$1000)*1,("Var_Fout"=[1]OUT_SyntheticFuels!$B$4:$B$1000)*1,("LTH"=[1]OUT_SyntheticFuels!$A$4:$A$1000)*1,[1]OUT_SyntheticFuels!O$4:O$1000)</f>
        <v>0</v>
      </c>
      <c r="Q635" s="1" cm="1">
        <f t="array" ref="Q635">SUMPRODUCT(("SUP_MNRBIO"=[1]OUT_SyntheticFuels!$C$4:$C$1000)*1,("Var_Fout"=[1]OUT_SyntheticFuels!$B$4:$B$1000)*1,("LTH"=[1]OUT_SyntheticFuels!$A$4:$A$1000)*1,[1]OUT_SyntheticFuels!P$4:P$1000)</f>
        <v>0</v>
      </c>
      <c r="S635" s="3"/>
    </row>
    <row r="636" spans="2:19" x14ac:dyDescent="0.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709">SUM(G637:G640)</f>
        <v>0</v>
      </c>
      <c r="H636" s="1">
        <f t="shared" ref="H636" si="710">SUM(H637:H640)</f>
        <v>0</v>
      </c>
      <c r="I636" s="1">
        <f t="shared" ref="I636" si="711">SUM(I637:I640)</f>
        <v>0</v>
      </c>
      <c r="J636" s="1">
        <f t="shared" ref="J636" si="712">SUM(J637:J640)</f>
        <v>0</v>
      </c>
      <c r="K636" s="1">
        <f t="shared" ref="K636" si="713">SUM(K637:K640)</f>
        <v>0</v>
      </c>
      <c r="L636" s="1">
        <f t="shared" ref="L636:O636" si="714">SUM(L637:L640)</f>
        <v>0</v>
      </c>
      <c r="M636" s="1">
        <f t="shared" si="714"/>
        <v>0</v>
      </c>
      <c r="N636" s="1">
        <f t="shared" si="714"/>
        <v>0</v>
      </c>
      <c r="O636" s="1">
        <f t="shared" si="714"/>
        <v>0</v>
      </c>
      <c r="P636" s="1">
        <f>SUM(P637:P640)</f>
        <v>0</v>
      </c>
      <c r="Q636" s="1">
        <f>SUM(Q637:Q640)</f>
        <v>0</v>
      </c>
      <c r="S636" s="3"/>
    </row>
    <row r="637" spans="2:19" x14ac:dyDescent="0.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SUMPRODUCT(("SUP_WSTBIO"=[1]OUT_SyntheticFuels!$C$4:$C$1000)*1,("LTH"=[1]OUT_SyntheticFuels!$A$4:$A$1000)*1,("Var_Fout"=[1]OUT_SyntheticFuels!$B$4:$B$1000)*1,[1]OUT_SyntheticFuels!I$4:I$1000)</f>
        <v>0</v>
      </c>
      <c r="K637" s="1" cm="1">
        <f t="array" ref="K637">SUMPRODUCT(("SUP_WSTBIO"=[1]OUT_SyntheticFuels!$C$4:$C$1000)*1,("LTH"=[1]OUT_SyntheticFuels!$A$4:$A$1000)*1,("Var_Fout"=[1]OUT_SyntheticFuels!$B$4:$B$1000)*1,[1]OUT_SyntheticFuels!J$4:J$1000)</f>
        <v>0</v>
      </c>
      <c r="L637" s="1" cm="1">
        <f t="array" ref="L637">SUMPRODUCT(("SUP_WSTBIO"=[1]OUT_SyntheticFuels!$C$4:$C$1000)*1,("LTH"=[1]OUT_SyntheticFuels!$A$4:$A$1000)*1,("Var_Fout"=[1]OUT_SyntheticFuels!$B$4:$B$1000)*1,[1]OUT_SyntheticFuels!K$4:K$1000)</f>
        <v>0</v>
      </c>
      <c r="M637" s="1" cm="1">
        <f t="array" ref="M637">SUMPRODUCT(("SUP_WSTBIO"=[1]OUT_SyntheticFuels!$C$4:$C$1000)*1,("LTH"=[1]OUT_SyntheticFuels!$A$4:$A$1000)*1,("Var_Fout"=[1]OUT_SyntheticFuels!$B$4:$B$1000)*1,[1]OUT_SyntheticFuels!L$4:L$1000)</f>
        <v>0</v>
      </c>
      <c r="N637" s="1" cm="1">
        <f t="array" ref="N637">SUMPRODUCT(("SUP_WSTBIO"=[1]OUT_SyntheticFuels!$C$4:$C$1000)*1,("LTH"=[1]OUT_SyntheticFuels!$A$4:$A$1000)*1,("Var_Fout"=[1]OUT_SyntheticFuels!$B$4:$B$1000)*1,[1]OUT_SyntheticFuels!M$4:M$1000)</f>
        <v>0</v>
      </c>
      <c r="O637" s="1" cm="1">
        <f t="array" ref="O637">SUMPRODUCT(("SUP_WSTBIO"=[1]OUT_SyntheticFuels!$C$4:$C$1000)*1,("LTH"=[1]OUT_SyntheticFuels!$A$4:$A$1000)*1,("Var_Fout"=[1]OUT_SyntheticFuels!$B$4:$B$1000)*1,[1]OUT_SyntheticFuels!N$4:N$1000)</f>
        <v>0</v>
      </c>
      <c r="P637" s="1" cm="1">
        <f t="array" ref="P637">SUMPRODUCT(("SUP_WSTBIO"=[1]OUT_SyntheticFuels!$C$4:$C$1000)*1,("LTH"=[1]OUT_SyntheticFuels!$A$4:$A$1000)*1,("Var_Fout"=[1]OUT_SyntheticFuels!$B$4:$B$1000)*1,[1]OUT_SyntheticFuels!O$4:O$1000)</f>
        <v>0</v>
      </c>
      <c r="Q637" s="1" cm="1">
        <f t="array" ref="Q637">SUMPRODUCT(("SUP_WSTBIO"=[1]OUT_SyntheticFuels!$C$4:$C$1000)*1,("LTH"=[1]OUT_SyntheticFuels!$A$4:$A$1000)*1,("Var_Fout"=[1]OUT_SyntheticFuels!$B$4:$B$1000)*1,[1]OUT_SyntheticFuels!P$4:P$1000)</f>
        <v>0</v>
      </c>
      <c r="S637" s="3"/>
    </row>
    <row r="638" spans="2:19" x14ac:dyDescent="0.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SUMPRODUCT(("SUP_WSTBIOCCS"=[1]OUT_SyntheticFuels!$C$4:$C$1000)*1,("LTH"=[1]OUT_SyntheticFuels!$A$4:$A$1000)*1,("Var_Fout"=[1]OUT_SyntheticFuels!$B$4:$B$1000)*1,[1]OUT_SyntheticFuels!I$4:I$1000)</f>
        <v>0</v>
      </c>
      <c r="K638" s="1" cm="1">
        <f t="array" ref="K638">SUMPRODUCT(("SUP_WSTBIOCCS"=[1]OUT_SyntheticFuels!$C$4:$C$1000)*1,("LTH"=[1]OUT_SyntheticFuels!$A$4:$A$1000)*1,("Var_Fout"=[1]OUT_SyntheticFuels!$B$4:$B$1000)*1,[1]OUT_SyntheticFuels!J$4:J$1000)</f>
        <v>0</v>
      </c>
      <c r="L638" s="1" cm="1">
        <f t="array" ref="L638">SUMPRODUCT(("SUP_WSTBIOCCS"=[1]OUT_SyntheticFuels!$C$4:$C$1000)*1,("LTH"=[1]OUT_SyntheticFuels!$A$4:$A$1000)*1,("Var_Fout"=[1]OUT_SyntheticFuels!$B$4:$B$1000)*1,[1]OUT_SyntheticFuels!K$4:K$1000)</f>
        <v>0</v>
      </c>
      <c r="M638" s="1" cm="1">
        <f t="array" ref="M638">SUMPRODUCT(("SUP_WSTBIOCCS"=[1]OUT_SyntheticFuels!$C$4:$C$1000)*1,("LTH"=[1]OUT_SyntheticFuels!$A$4:$A$1000)*1,("Var_Fout"=[1]OUT_SyntheticFuels!$B$4:$B$1000)*1,[1]OUT_SyntheticFuels!L$4:L$1000)</f>
        <v>0</v>
      </c>
      <c r="N638" s="1" cm="1">
        <f t="array" ref="N638">SUMPRODUCT(("SUP_WSTBIOCCS"=[1]OUT_SyntheticFuels!$C$4:$C$1000)*1,("LTH"=[1]OUT_SyntheticFuels!$A$4:$A$1000)*1,("Var_Fout"=[1]OUT_SyntheticFuels!$B$4:$B$1000)*1,[1]OUT_SyntheticFuels!M$4:M$1000)</f>
        <v>0</v>
      </c>
      <c r="O638" s="1" cm="1">
        <f t="array" ref="O638">SUMPRODUCT(("SUP_WSTBIOCCS"=[1]OUT_SyntheticFuels!$C$4:$C$1000)*1,("LTH"=[1]OUT_SyntheticFuels!$A$4:$A$1000)*1,("Var_Fout"=[1]OUT_SyntheticFuels!$B$4:$B$1000)*1,[1]OUT_SyntheticFuels!N$4:N$1000)</f>
        <v>0</v>
      </c>
      <c r="P638" s="1" cm="1">
        <f t="array" ref="P638">SUMPRODUCT(("SUP_WSTBIOCCS"=[1]OUT_SyntheticFuels!$C$4:$C$1000)*1,("LTH"=[1]OUT_SyntheticFuels!$A$4:$A$1000)*1,("Var_Fout"=[1]OUT_SyntheticFuels!$B$4:$B$1000)*1,[1]OUT_SyntheticFuels!O$4:O$1000)</f>
        <v>0</v>
      </c>
      <c r="Q638" s="1" cm="1">
        <f t="array" ref="Q638">SUMPRODUCT(("SUP_WSTBIOCCS"=[1]OUT_SyntheticFuels!$C$4:$C$1000)*1,("LTH"=[1]OUT_SyntheticFuels!$A$4:$A$1000)*1,("Var_Fout"=[1]OUT_SyntheticFuels!$B$4:$B$1000)*1,[1]OUT_SyntheticFuels!P$4:P$1000)</f>
        <v>0</v>
      </c>
      <c r="S638" s="3"/>
    </row>
    <row r="639" spans="2:19" x14ac:dyDescent="0.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SUMPRODUCT(("SUP_WSTHTGBIO"=[1]OUT_SyntheticFuels!$C$4:$C$1000)*1,("LTH"=[1]OUT_SyntheticFuels!$A$4:$A$1000)*1,("Var_Fout"=[1]OUT_SyntheticFuels!$B$4:$B$1000)*1,[1]OUT_SyntheticFuels!I$4:I$1000)</f>
        <v>0</v>
      </c>
      <c r="K639" s="1" cm="1">
        <f t="array" ref="K639">SUMPRODUCT(("SUP_WSTHTGBIO"=[1]OUT_SyntheticFuels!$C$4:$C$1000)*1,("LTH"=[1]OUT_SyntheticFuels!$A$4:$A$1000)*1,("Var_Fout"=[1]OUT_SyntheticFuels!$B$4:$B$1000)*1,[1]OUT_SyntheticFuels!J$4:J$1000)</f>
        <v>0</v>
      </c>
      <c r="L639" s="1" cm="1">
        <f t="array" ref="L639">SUMPRODUCT(("SUP_WSTHTGBIO"=[1]OUT_SyntheticFuels!$C$4:$C$1000)*1,("LTH"=[1]OUT_SyntheticFuels!$A$4:$A$1000)*1,("Var_Fout"=[1]OUT_SyntheticFuels!$B$4:$B$1000)*1,[1]OUT_SyntheticFuels!K$4:K$1000)</f>
        <v>0</v>
      </c>
      <c r="M639" s="1" cm="1">
        <f t="array" ref="M639">SUMPRODUCT(("SUP_WSTHTGBIO"=[1]OUT_SyntheticFuels!$C$4:$C$1000)*1,("LTH"=[1]OUT_SyntheticFuels!$A$4:$A$1000)*1,("Var_Fout"=[1]OUT_SyntheticFuels!$B$4:$B$1000)*1,[1]OUT_SyntheticFuels!L$4:L$1000)</f>
        <v>0</v>
      </c>
      <c r="N639" s="1" cm="1">
        <f t="array" ref="N639">SUMPRODUCT(("SUP_WSTHTGBIO"=[1]OUT_SyntheticFuels!$C$4:$C$1000)*1,("LTH"=[1]OUT_SyntheticFuels!$A$4:$A$1000)*1,("Var_Fout"=[1]OUT_SyntheticFuels!$B$4:$B$1000)*1,[1]OUT_SyntheticFuels!M$4:M$1000)</f>
        <v>0</v>
      </c>
      <c r="O639" s="1" cm="1">
        <f t="array" ref="O639">SUMPRODUCT(("SUP_WSTHTGBIO"=[1]OUT_SyntheticFuels!$C$4:$C$1000)*1,("LTH"=[1]OUT_SyntheticFuels!$A$4:$A$1000)*1,("Var_Fout"=[1]OUT_SyntheticFuels!$B$4:$B$1000)*1,[1]OUT_SyntheticFuels!N$4:N$1000)</f>
        <v>0</v>
      </c>
      <c r="P639" s="1" cm="1">
        <f t="array" ref="P639">SUMPRODUCT(("SUP_WSTHTGBIO"=[1]OUT_SyntheticFuels!$C$4:$C$1000)*1,("LTH"=[1]OUT_SyntheticFuels!$A$4:$A$1000)*1,("Var_Fout"=[1]OUT_SyntheticFuels!$B$4:$B$1000)*1,[1]OUT_SyntheticFuels!O$4:O$1000)</f>
        <v>0</v>
      </c>
      <c r="Q639" s="1" cm="1">
        <f t="array" ref="Q639">SUMPRODUCT(("SUP_WSTHTGBIO"=[1]OUT_SyntheticFuels!$C$4:$C$1000)*1,("LTH"=[1]OUT_SyntheticFuels!$A$4:$A$1000)*1,("Var_Fout"=[1]OUT_SyntheticFuels!$B$4:$B$1000)*1,[1]OUT_SyntheticFuels!P$4:P$1000)</f>
        <v>0</v>
      </c>
      <c r="S639" s="3"/>
    </row>
    <row r="640" spans="2:19" x14ac:dyDescent="0.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SUMPRODUCT(("SUP_WSTHTGBIOCCS"=[1]OUT_SyntheticFuels!$C$4:$C$1000)*1,("LTH"=[1]OUT_SyntheticFuels!$A$4:$A$1000)*1,("Var_Fout"=[1]OUT_SyntheticFuels!$B$4:$B$1000)*1,[1]OUT_SyntheticFuels!I$4:I$1000)</f>
        <v>0</v>
      </c>
      <c r="K640" s="1" cm="1">
        <f t="array" ref="K640">SUMPRODUCT(("SUP_WSTHTGBIOCCS"=[1]OUT_SyntheticFuels!$C$4:$C$1000)*1,("LTH"=[1]OUT_SyntheticFuels!$A$4:$A$1000)*1,("Var_Fout"=[1]OUT_SyntheticFuels!$B$4:$B$1000)*1,[1]OUT_SyntheticFuels!J$4:J$1000)</f>
        <v>0</v>
      </c>
      <c r="L640" s="1" cm="1">
        <f t="array" ref="L640">SUMPRODUCT(("SUP_WSTHTGBIOCCS"=[1]OUT_SyntheticFuels!$C$4:$C$1000)*1,("LTH"=[1]OUT_SyntheticFuels!$A$4:$A$1000)*1,("Var_Fout"=[1]OUT_SyntheticFuels!$B$4:$B$1000)*1,[1]OUT_SyntheticFuels!K$4:K$1000)</f>
        <v>0</v>
      </c>
      <c r="M640" s="1" cm="1">
        <f t="array" ref="M640">SUMPRODUCT(("SUP_WSTHTGBIOCCS"=[1]OUT_SyntheticFuels!$C$4:$C$1000)*1,("LTH"=[1]OUT_SyntheticFuels!$A$4:$A$1000)*1,("Var_Fout"=[1]OUT_SyntheticFuels!$B$4:$B$1000)*1,[1]OUT_SyntheticFuels!L$4:L$1000)</f>
        <v>0</v>
      </c>
      <c r="N640" s="1" cm="1">
        <f t="array" ref="N640">SUMPRODUCT(("SUP_WSTHTGBIOCCS"=[1]OUT_SyntheticFuels!$C$4:$C$1000)*1,("LTH"=[1]OUT_SyntheticFuels!$A$4:$A$1000)*1,("Var_Fout"=[1]OUT_SyntheticFuels!$B$4:$B$1000)*1,[1]OUT_SyntheticFuels!M$4:M$1000)</f>
        <v>0</v>
      </c>
      <c r="O640" s="1" cm="1">
        <f t="array" ref="O640">SUMPRODUCT(("SUP_WSTHTGBIOCCS"=[1]OUT_SyntheticFuels!$C$4:$C$1000)*1,("LTH"=[1]OUT_SyntheticFuels!$A$4:$A$1000)*1,("Var_Fout"=[1]OUT_SyntheticFuels!$B$4:$B$1000)*1,[1]OUT_SyntheticFuels!N$4:N$1000)</f>
        <v>0</v>
      </c>
      <c r="P640" s="1" cm="1">
        <f t="array" ref="P640">SUMPRODUCT(("SUP_WSTHTGBIOCCS"=[1]OUT_SyntheticFuels!$C$4:$C$1000)*1,("LTH"=[1]OUT_SyntheticFuels!$A$4:$A$1000)*1,("Var_Fout"=[1]OUT_SyntheticFuels!$B$4:$B$1000)*1,[1]OUT_SyntheticFuels!O$4:O$1000)</f>
        <v>0</v>
      </c>
      <c r="Q640" s="1" cm="1">
        <f t="array" ref="Q640">SUMPRODUCT(("SUP_WSTHTGBIOCCS"=[1]OUT_SyntheticFuels!$C$4:$C$1000)*1,("LTH"=[1]OUT_SyntheticFuels!$A$4:$A$1000)*1,("Var_Fout"=[1]OUT_SyntheticFuels!$B$4:$B$1000)*1,[1]OUT_SyntheticFuels!P$4:P$1000)</f>
        <v>0</v>
      </c>
      <c r="S640" s="3"/>
    </row>
    <row r="641" spans="2:19" x14ac:dyDescent="0.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715">SUM(G642:G643)</f>
        <v>1.9623391245075788E-5</v>
      </c>
      <c r="H641" s="1">
        <f t="shared" ref="H641" si="716">SUM(H642:H643)</f>
        <v>4.5649842271124783E-5</v>
      </c>
      <c r="I641" s="1">
        <f t="shared" ref="I641" si="717">SUM(I642:I643)</f>
        <v>9.4170765940694687E-5</v>
      </c>
      <c r="J641" s="1">
        <f t="shared" ref="J641" si="718">SUM(J642:J643)</f>
        <v>1.5308048551614925E-4</v>
      </c>
      <c r="K641" s="1">
        <f t="shared" ref="K641" si="719">SUM(K642:K643)</f>
        <v>1.6341308335779802E-4</v>
      </c>
      <c r="L641" s="1">
        <f t="shared" ref="L641:O641" si="720">SUM(L642:L643)</f>
        <v>1.6789124181765792E-4</v>
      </c>
      <c r="M641" s="1">
        <f t="shared" si="720"/>
        <v>1.9936550171202006E-4</v>
      </c>
      <c r="N641" s="1">
        <f t="shared" si="720"/>
        <v>2.0722429201624584E-4</v>
      </c>
      <c r="O641" s="1">
        <f t="shared" si="720"/>
        <v>2.4381183564240748E-4</v>
      </c>
      <c r="P641" s="1">
        <f>SUM(P642:P643)</f>
        <v>2.6415326432851013E-4</v>
      </c>
      <c r="Q641" s="1">
        <f>SUM(Q642:Q643)</f>
        <v>5.0276894747038254E-4</v>
      </c>
      <c r="S641" s="3"/>
    </row>
    <row r="642" spans="2:19" x14ac:dyDescent="0.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1.9623391245075788E-5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4.5649842271124783E-5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9.4170765940694687E-5</v>
      </c>
      <c r="J642" s="1" cm="1">
        <f t="array" ref="J642">SUMPRODUCT(("SUP_WODBIO"=[1]OUT_SyntheticFuels!$C$4:$C$1000)*1,("LTH"=[1]OUT_SyntheticFuels!$A$4:$A$1000)*1,("Var_Fout"=[1]OUT_SyntheticFuels!$B$4:$B$1000)*1,[1]OUT_SyntheticFuels!I$4:I$1000)</f>
        <v>1.5308048551614925E-4</v>
      </c>
      <c r="K642" s="1" cm="1">
        <f t="array" ref="K642">SUMPRODUCT(("SUP_WODBIO"=[1]OUT_SyntheticFuels!$C$4:$C$1000)*1,("LTH"=[1]OUT_SyntheticFuels!$A$4:$A$1000)*1,("Var_Fout"=[1]OUT_SyntheticFuels!$B$4:$B$1000)*1,[1]OUT_SyntheticFuels!J$4:J$1000)</f>
        <v>1.6341308335779802E-4</v>
      </c>
      <c r="L642" s="1" cm="1">
        <f t="array" ref="L642">SUMPRODUCT(("SUP_WODBIO"=[1]OUT_SyntheticFuels!$C$4:$C$1000)*1,("LTH"=[1]OUT_SyntheticFuels!$A$4:$A$1000)*1,("Var_Fout"=[1]OUT_SyntheticFuels!$B$4:$B$1000)*1,[1]OUT_SyntheticFuels!K$4:K$1000)</f>
        <v>1.6789124181765792E-4</v>
      </c>
      <c r="M642" s="1" cm="1">
        <f t="array" ref="M642">SUMPRODUCT(("SUP_WODBIO"=[1]OUT_SyntheticFuels!$C$4:$C$1000)*1,("LTH"=[1]OUT_SyntheticFuels!$A$4:$A$1000)*1,("Var_Fout"=[1]OUT_SyntheticFuels!$B$4:$B$1000)*1,[1]OUT_SyntheticFuels!L$4:L$1000)</f>
        <v>1.9936550171202006E-4</v>
      </c>
      <c r="N642" s="1" cm="1">
        <f t="array" ref="N642">SUMPRODUCT(("SUP_WODBIO"=[1]OUT_SyntheticFuels!$C$4:$C$1000)*1,("LTH"=[1]OUT_SyntheticFuels!$A$4:$A$1000)*1,("Var_Fout"=[1]OUT_SyntheticFuels!$B$4:$B$1000)*1,[1]OUT_SyntheticFuels!M$4:M$1000)</f>
        <v>2.0722429201624584E-4</v>
      </c>
      <c r="O642" s="1" cm="1">
        <f t="array" ref="O642">SUMPRODUCT(("SUP_WODBIO"=[1]OUT_SyntheticFuels!$C$4:$C$1000)*1,("LTH"=[1]OUT_SyntheticFuels!$A$4:$A$1000)*1,("Var_Fout"=[1]OUT_SyntheticFuels!$B$4:$B$1000)*1,[1]OUT_SyntheticFuels!N$4:N$1000)</f>
        <v>2.4381183564240748E-4</v>
      </c>
      <c r="P642" s="1" cm="1">
        <f t="array" ref="P642">SUMPRODUCT(("SUP_WODBIO"=[1]OUT_SyntheticFuels!$C$4:$C$1000)*1,("LTH"=[1]OUT_SyntheticFuels!$A$4:$A$1000)*1,("Var_Fout"=[1]OUT_SyntheticFuels!$B$4:$B$1000)*1,[1]OUT_SyntheticFuels!O$4:O$1000)</f>
        <v>2.6415326432851013E-4</v>
      </c>
      <c r="Q642" s="1" cm="1">
        <f t="array" ref="Q642">SUMPRODUCT(("SUP_WODBIO"=[1]OUT_SyntheticFuels!$C$4:$C$1000)*1,("LTH"=[1]OUT_SyntheticFuels!$A$4:$A$1000)*1,("Var_Fout"=[1]OUT_SyntheticFuels!$B$4:$B$1000)*1,[1]OUT_SyntheticFuels!P$4:P$1000)</f>
        <v>5.0276894747038254E-4</v>
      </c>
      <c r="S642" s="3"/>
    </row>
    <row r="643" spans="2:19" x14ac:dyDescent="0.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SUMPRODUCT(("SUP_WODBIOCCS"=[1]OUT_SyntheticFuels!$C$4:$C$1000)*1,("LTH"=[1]OUT_SyntheticFuels!$A$4:$A$1000)*1,("Var_Fout"=[1]OUT_SyntheticFuels!$B$4:$B$1000)*1,[1]OUT_SyntheticFuels!I$4:I$1000)</f>
        <v>0</v>
      </c>
      <c r="K643" s="1" cm="1">
        <f t="array" ref="K643">SUMPRODUCT(("SUP_WODBIOCCS"=[1]OUT_SyntheticFuels!$C$4:$C$1000)*1,("LTH"=[1]OUT_SyntheticFuels!$A$4:$A$1000)*1,("Var_Fout"=[1]OUT_SyntheticFuels!$B$4:$B$1000)*1,[1]OUT_SyntheticFuels!J$4:J$1000)</f>
        <v>0</v>
      </c>
      <c r="L643" s="1" cm="1">
        <f t="array" ref="L643">SUMPRODUCT(("SUP_WODBIOCCS"=[1]OUT_SyntheticFuels!$C$4:$C$1000)*1,("LTH"=[1]OUT_SyntheticFuels!$A$4:$A$1000)*1,("Var_Fout"=[1]OUT_SyntheticFuels!$B$4:$B$1000)*1,[1]OUT_SyntheticFuels!K$4:K$1000)</f>
        <v>0</v>
      </c>
      <c r="M643" s="1" cm="1">
        <f t="array" ref="M643">SUMPRODUCT(("SUP_WODBIOCCS"=[1]OUT_SyntheticFuels!$C$4:$C$1000)*1,("LTH"=[1]OUT_SyntheticFuels!$A$4:$A$1000)*1,("Var_Fout"=[1]OUT_SyntheticFuels!$B$4:$B$1000)*1,[1]OUT_SyntheticFuels!L$4:L$1000)</f>
        <v>0</v>
      </c>
      <c r="N643" s="1" cm="1">
        <f t="array" ref="N643">SUMPRODUCT(("SUP_WODBIOCCS"=[1]OUT_SyntheticFuels!$C$4:$C$1000)*1,("LTH"=[1]OUT_SyntheticFuels!$A$4:$A$1000)*1,("Var_Fout"=[1]OUT_SyntheticFuels!$B$4:$B$1000)*1,[1]OUT_SyntheticFuels!M$4:M$1000)</f>
        <v>0</v>
      </c>
      <c r="O643" s="1" cm="1">
        <f t="array" ref="O643">SUMPRODUCT(("SUP_WODBIOCCS"=[1]OUT_SyntheticFuels!$C$4:$C$1000)*1,("LTH"=[1]OUT_SyntheticFuels!$A$4:$A$1000)*1,("Var_Fout"=[1]OUT_SyntheticFuels!$B$4:$B$1000)*1,[1]OUT_SyntheticFuels!N$4:N$1000)</f>
        <v>0</v>
      </c>
      <c r="P643" s="1" cm="1">
        <f t="array" ref="P643">SUMPRODUCT(("SUP_WODBIOCCS"=[1]OUT_SyntheticFuels!$C$4:$C$1000)*1,("LTH"=[1]OUT_SyntheticFuels!$A$4:$A$1000)*1,("Var_Fout"=[1]OUT_SyntheticFuels!$B$4:$B$1000)*1,[1]OUT_SyntheticFuels!O$4:O$1000)</f>
        <v>0</v>
      </c>
      <c r="Q643" s="1" cm="1">
        <f t="array" ref="Q643">SUMPRODUCT(("SUP_WODBIOCCS"=[1]OUT_SyntheticFuels!$C$4:$C$1000)*1,("LTH"=[1]OUT_SyntheticFuels!$A$4:$A$1000)*1,("Var_Fout"=[1]OUT_SyntheticFuels!$B$4:$B$1000)*1,[1]OUT_SyntheticFuels!P$4:P$1000)</f>
        <v>0</v>
      </c>
      <c r="S643" s="3"/>
    </row>
    <row r="644" spans="2:19" x14ac:dyDescent="0.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13.477461590969286</v>
      </c>
      <c r="G644" s="3">
        <f t="shared" ref="G644" si="721">G645+G646+G651</f>
        <v>22.366885781775959</v>
      </c>
      <c r="H644" s="3">
        <f t="shared" ref="H644" si="722">H645+H646+H651</f>
        <v>22.050196091583786</v>
      </c>
      <c r="I644" s="3">
        <f t="shared" ref="I644" si="723">I645+I646+I651</f>
        <v>22.377253282182327</v>
      </c>
      <c r="J644" s="3">
        <f t="shared" ref="J644" si="724">J645+J646+J651</f>
        <v>22.357005765471563</v>
      </c>
      <c r="K644" s="3">
        <f t="shared" ref="K644" si="725">K645+K646+K651</f>
        <v>22.081786958160365</v>
      </c>
      <c r="L644" s="3">
        <f t="shared" ref="L644:O644" si="726">L645+L646+L651</f>
        <v>21.805536315814336</v>
      </c>
      <c r="M644" s="3">
        <f t="shared" si="726"/>
        <v>21.529675663513402</v>
      </c>
      <c r="N644" s="3">
        <f t="shared" si="726"/>
        <v>21.529857008529341</v>
      </c>
      <c r="O644" s="3">
        <f t="shared" si="726"/>
        <v>21.530510900192507</v>
      </c>
      <c r="P644" s="3">
        <f>P645+P646+P651</f>
        <v>21.531190533581384</v>
      </c>
      <c r="Q644" s="3">
        <f>Q645+Q646+Q651</f>
        <v>21.53531923613879</v>
      </c>
      <c r="S644" s="3"/>
    </row>
    <row r="645" spans="2:19" x14ac:dyDescent="0.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3.7980888731937248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12.497411645686592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12.540057068460483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12.540417199970127</v>
      </c>
      <c r="J645" s="1" cm="1">
        <f t="array" ref="J645">SUMPRODUCT(("SUP_MNRBIO"=[1]OUT_SyntheticFuels!$C$4:$C$1000)*1,("VAR_FIN"=[1]OUT_SyntheticFuels!$B$4:$B$1000)*1,("MNR"=[1]OUT_SyntheticFuels!$A$4:$A$1000)*1,[1]OUT_SyntheticFuels!I$4:I$1000)</f>
        <v>12.540424281870546</v>
      </c>
      <c r="K645" s="1" cm="1">
        <f t="array" ref="K645">SUMPRODUCT(("SUP_MNRBIO"=[1]OUT_SyntheticFuels!$C$4:$C$1000)*1,("VAR_FIN"=[1]OUT_SyntheticFuels!$B$4:$B$1000)*1,("MNR"=[1]OUT_SyntheticFuels!$A$4:$A$1000)*1,[1]OUT_SyntheticFuels!J$4:J$1000)</f>
        <v>12.541408450430788</v>
      </c>
      <c r="L645" s="1" cm="1">
        <f t="array" ref="L645">SUMPRODUCT(("SUP_MNRBIO"=[1]OUT_SyntheticFuels!$C$4:$C$1000)*1,("VAR_FIN"=[1]OUT_SyntheticFuels!$B$4:$B$1000)*1,("MNR"=[1]OUT_SyntheticFuels!$A$4:$A$1000)*1,[1]OUT_SyntheticFuels!K$4:K$1000)</f>
        <v>12.541461200056258</v>
      </c>
      <c r="M645" s="1" cm="1">
        <f t="array" ref="M645">SUMPRODUCT(("SUP_MNRBIO"=[1]OUT_SyntheticFuels!$C$4:$C$1000)*1,("VAR_FIN"=[1]OUT_SyntheticFuels!$B$4:$B$1000)*1,("MNR"=[1]OUT_SyntheticFuels!$A$4:$A$1000)*1,[1]OUT_SyntheticFuels!L$4:L$1000)</f>
        <v>12.541619058748488</v>
      </c>
      <c r="N645" s="1" cm="1">
        <f t="array" ref="N645">SUMPRODUCT(("SUP_MNRBIO"=[1]OUT_SyntheticFuels!$C$4:$C$1000)*1,("VAR_FIN"=[1]OUT_SyntheticFuels!$B$4:$B$1000)*1,("MNR"=[1]OUT_SyntheticFuels!$A$4:$A$1000)*1,[1]OUT_SyntheticFuels!M$4:M$1000)</f>
        <v>12.541669585654484</v>
      </c>
      <c r="O645" s="1" cm="1">
        <f t="array" ref="O645">SUMPRODUCT(("SUP_MNRBIO"=[1]OUT_SyntheticFuels!$C$4:$C$1000)*1,("VAR_FIN"=[1]OUT_SyntheticFuels!$B$4:$B$1000)*1,("MNR"=[1]OUT_SyntheticFuels!$A$4:$A$1000)*1,[1]OUT_SyntheticFuels!N$4:N$1000)</f>
        <v>12.541925651393687</v>
      </c>
      <c r="P645" s="1" cm="1">
        <f t="array" ref="P645">SUMPRODUCT(("SUP_MNRBIO"=[1]OUT_SyntheticFuels!$C$4:$C$1000)*1,("VAR_FIN"=[1]OUT_SyntheticFuels!$B$4:$B$1000)*1,("MNR"=[1]OUT_SyntheticFuels!$A$4:$A$1000)*1,[1]OUT_SyntheticFuels!O$4:O$1000)</f>
        <v>12.542353564765696</v>
      </c>
      <c r="Q645" s="1" cm="1">
        <f t="array" ref="Q645">SUMPRODUCT(("SUP_MNRBIO"=[1]OUT_SyntheticFuels!$C$4:$C$1000)*1,("VAR_FIN"=[1]OUT_SyntheticFuels!$B$4:$B$1000)*1,("MNR"=[1]OUT_SyntheticFuels!$A$4:$A$1000)*1,[1]OUT_SyntheticFuels!P$4:P$1000)</f>
        <v>12.543434848576995</v>
      </c>
      <c r="S645" s="3"/>
    </row>
    <row r="646" spans="2:19" x14ac:dyDescent="0.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9.6793727177755606</v>
      </c>
      <c r="G646" s="1">
        <f t="shared" ref="G646" si="727">SUM(G647:G650)</f>
        <v>9.8692533729378589</v>
      </c>
      <c r="H646" s="1">
        <f t="shared" ref="H646" si="728">SUM(H647:H650)</f>
        <v>9.5096254623977501</v>
      </c>
      <c r="I646" s="1">
        <f t="shared" ref="I646" si="729">SUM(I647:I650)</f>
        <v>9.8357766610953696</v>
      </c>
      <c r="J646" s="1">
        <f t="shared" ref="J646" si="730">SUM(J647:J650)</f>
        <v>9.814859328138958</v>
      </c>
      <c r="K646" s="1">
        <f t="shared" ref="K646" si="731">SUM(K647:K650)</f>
        <v>9.5385401105417991</v>
      </c>
      <c r="L646" s="1">
        <f t="shared" ref="L646:O646" si="732">SUM(L647:L650)</f>
        <v>9.2621863392876307</v>
      </c>
      <c r="M646" s="1">
        <f t="shared" si="732"/>
        <v>8.9858137428706524</v>
      </c>
      <c r="N646" s="1">
        <f t="shared" si="732"/>
        <v>8.985856149589674</v>
      </c>
      <c r="O646" s="1">
        <f t="shared" si="732"/>
        <v>8.9858423656478426</v>
      </c>
      <c r="P646" s="1">
        <f>SUM(P647:P650)</f>
        <v>8.9858652445919915</v>
      </c>
      <c r="Q646" s="1">
        <f>SUM(Q647:Q650)</f>
        <v>8.9862282369027504</v>
      </c>
      <c r="S646" s="3"/>
    </row>
    <row r="647" spans="2:19" x14ac:dyDescent="0.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9.6793727177755606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9.8692533729378589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9.5096254623977501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9.8357766610953696</v>
      </c>
      <c r="J647" s="1" cm="1">
        <f t="array" ref="J647">SUMPRODUCT(("SUP_WSTBIO"=[1]OUT_SyntheticFuels!$C$4:$C$1000)*1,("CWST"=[1]OUT_SyntheticFuels!$A$4:$A$1000)*1,("VAR_FIN"=[1]OUT_SyntheticFuels!$B$4:$B$1000)*1,[1]OUT_SyntheticFuels!I$4:I$1000)</f>
        <v>9.814859328138958</v>
      </c>
      <c r="K647" s="1" cm="1">
        <f t="array" ref="K647">SUMPRODUCT(("SUP_WSTBIO"=[1]OUT_SyntheticFuels!$C$4:$C$1000)*1,("CWST"=[1]OUT_SyntheticFuels!$A$4:$A$1000)*1,("VAR_FIN"=[1]OUT_SyntheticFuels!$B$4:$B$1000)*1,[1]OUT_SyntheticFuels!J$4:J$1000)</f>
        <v>9.5357981891497374</v>
      </c>
      <c r="L647" s="1" cm="1">
        <f t="array" ref="L647">SUMPRODUCT(("SUP_WSTBIO"=[1]OUT_SyntheticFuels!$C$4:$C$1000)*1,("CWST"=[1]OUT_SyntheticFuels!$A$4:$A$1000)*1,("VAR_FIN"=[1]OUT_SyntheticFuels!$B$4:$B$1000)*1,[1]OUT_SyntheticFuels!K$4:K$1000)</f>
        <v>9.259485034784289</v>
      </c>
      <c r="M647" s="1" cm="1">
        <f t="array" ref="M647">SUMPRODUCT(("SUP_WSTBIO"=[1]OUT_SyntheticFuels!$C$4:$C$1000)*1,("CWST"=[1]OUT_SyntheticFuels!$A$4:$A$1000)*1,("VAR_FIN"=[1]OUT_SyntheticFuels!$B$4:$B$1000)*1,[1]OUT_SyntheticFuels!L$4:L$1000)</f>
        <v>8.9831116770489334</v>
      </c>
      <c r="N647" s="1" cm="1">
        <f t="array" ref="N647">SUMPRODUCT(("SUP_WSTBIO"=[1]OUT_SyntheticFuels!$C$4:$C$1000)*1,("CWST"=[1]OUT_SyntheticFuels!$A$4:$A$1000)*1,("VAR_FIN"=[1]OUT_SyntheticFuels!$B$4:$B$1000)*1,[1]OUT_SyntheticFuels!M$4:M$1000)</f>
        <v>8.9827890840520936</v>
      </c>
      <c r="O647" s="1" cm="1">
        <f t="array" ref="O647">SUMPRODUCT(("SUP_WSTBIO"=[1]OUT_SyntheticFuels!$C$4:$C$1000)*1,("CWST"=[1]OUT_SyntheticFuels!$A$4:$A$1000)*1,("VAR_FIN"=[1]OUT_SyntheticFuels!$B$4:$B$1000)*1,[1]OUT_SyntheticFuels!N$4:N$1000)</f>
        <v>8.9823028490656576</v>
      </c>
      <c r="P647" s="1" cm="1">
        <f t="array" ref="P647">SUMPRODUCT(("SUP_WSTBIO"=[1]OUT_SyntheticFuels!$C$4:$C$1000)*1,("CWST"=[1]OUT_SyntheticFuels!$A$4:$A$1000)*1,("VAR_FIN"=[1]OUT_SyntheticFuels!$B$4:$B$1000)*1,[1]OUT_SyntheticFuels!O$4:O$1000)</f>
        <v>8.9821249486827739</v>
      </c>
      <c r="Q647" s="1" cm="1">
        <f t="array" ref="Q647">SUMPRODUCT(("SUP_WSTBIO"=[1]OUT_SyntheticFuels!$C$4:$C$1000)*1,("CWST"=[1]OUT_SyntheticFuels!$A$4:$A$1000)*1,("VAR_FIN"=[1]OUT_SyntheticFuels!$B$4:$B$1000)*1,[1]OUT_SyntheticFuels!P$4:P$1000)</f>
        <v>8.979285812228996</v>
      </c>
      <c r="S647" s="3"/>
    </row>
    <row r="648" spans="2:19" x14ac:dyDescent="0.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SUMPRODUCT(("SUP_WSTBIOCCS"=[1]OUT_SyntheticFuels!$C$4:$C$1000)*1,("CWST"=[1]OUT_SyntheticFuels!$A$4:$A$1000)*1,("VAR_FIN"=[1]OUT_SyntheticFuels!$B$4:$B$1000)*1,[1]OUT_SyntheticFuels!I$4:I$1000)</f>
        <v>0</v>
      </c>
      <c r="K648" s="1" cm="1">
        <f t="array" ref="K648">SUMPRODUCT(("SUP_WSTBIOCCS"=[1]OUT_SyntheticFuels!$C$4:$C$1000)*1,("CWST"=[1]OUT_SyntheticFuels!$A$4:$A$1000)*1,("VAR_FIN"=[1]OUT_SyntheticFuels!$B$4:$B$1000)*1,[1]OUT_SyntheticFuels!J$4:J$1000)</f>
        <v>0</v>
      </c>
      <c r="L648" s="1" cm="1">
        <f t="array" ref="L648">SUMPRODUCT(("SUP_WSTBIOCCS"=[1]OUT_SyntheticFuels!$C$4:$C$1000)*1,("CWST"=[1]OUT_SyntheticFuels!$A$4:$A$1000)*1,("VAR_FIN"=[1]OUT_SyntheticFuels!$B$4:$B$1000)*1,[1]OUT_SyntheticFuels!K$4:K$1000)</f>
        <v>0</v>
      </c>
      <c r="M648" s="1" cm="1">
        <f t="array" ref="M648">SUMPRODUCT(("SUP_WSTBIOCCS"=[1]OUT_SyntheticFuels!$C$4:$C$1000)*1,("CWST"=[1]OUT_SyntheticFuels!$A$4:$A$1000)*1,("VAR_FIN"=[1]OUT_SyntheticFuels!$B$4:$B$1000)*1,[1]OUT_SyntheticFuels!L$4:L$1000)</f>
        <v>0</v>
      </c>
      <c r="N648" s="1" cm="1">
        <f t="array" ref="N648">SUMPRODUCT(("SUP_WSTBIOCCS"=[1]OUT_SyntheticFuels!$C$4:$C$1000)*1,("CWST"=[1]OUT_SyntheticFuels!$A$4:$A$1000)*1,("VAR_FIN"=[1]OUT_SyntheticFuels!$B$4:$B$1000)*1,[1]OUT_SyntheticFuels!M$4:M$1000)</f>
        <v>0</v>
      </c>
      <c r="O648" s="1" cm="1">
        <f t="array" ref="O648">SUMPRODUCT(("SUP_WSTBIOCCS"=[1]OUT_SyntheticFuels!$C$4:$C$1000)*1,("CWST"=[1]OUT_SyntheticFuels!$A$4:$A$1000)*1,("VAR_FIN"=[1]OUT_SyntheticFuels!$B$4:$B$1000)*1,[1]OUT_SyntheticFuels!N$4:N$1000)</f>
        <v>0</v>
      </c>
      <c r="P648" s="1" cm="1">
        <f t="array" ref="P648">SUMPRODUCT(("SUP_WSTBIOCCS"=[1]OUT_SyntheticFuels!$C$4:$C$1000)*1,("CWST"=[1]OUT_SyntheticFuels!$A$4:$A$1000)*1,("VAR_FIN"=[1]OUT_SyntheticFuels!$B$4:$B$1000)*1,[1]OUT_SyntheticFuels!O$4:O$1000)</f>
        <v>0</v>
      </c>
      <c r="Q648" s="1" cm="1">
        <f t="array" ref="Q648">SUMPRODUCT(("SUP_WSTBIOCCS"=[1]OUT_SyntheticFuels!$C$4:$C$1000)*1,("CWST"=[1]OUT_SyntheticFuels!$A$4:$A$1000)*1,("VAR_FIN"=[1]OUT_SyntheticFuels!$B$4:$B$1000)*1,[1]OUT_SyntheticFuels!P$4:P$1000)</f>
        <v>0</v>
      </c>
      <c r="S648" s="3"/>
    </row>
    <row r="649" spans="2:19" x14ac:dyDescent="0.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SUMPRODUCT(("SUP_WSTHTGBIO"=[1]OUT_SyntheticFuels!$C$4:$C$1000)*1,("CWST"=[1]OUT_SyntheticFuels!$A$4:$A$1000)*1,("VAR_FIN"=[1]OUT_SyntheticFuels!$B$4:$B$1000)*1,[1]OUT_SyntheticFuels!I$4:I$1000)</f>
        <v>0</v>
      </c>
      <c r="K649" s="1" cm="1">
        <f t="array" ref="K649">SUMPRODUCT(("SUP_WSTHTGBIO"=[1]OUT_SyntheticFuels!$C$4:$C$1000)*1,("CWST"=[1]OUT_SyntheticFuels!$A$4:$A$1000)*1,("VAR_FIN"=[1]OUT_SyntheticFuels!$B$4:$B$1000)*1,[1]OUT_SyntheticFuels!J$4:J$1000)</f>
        <v>2.741921392061703E-3</v>
      </c>
      <c r="L649" s="1" cm="1">
        <f t="array" ref="L649">SUMPRODUCT(("SUP_WSTHTGBIO"=[1]OUT_SyntheticFuels!$C$4:$C$1000)*1,("CWST"=[1]OUT_SyntheticFuels!$A$4:$A$1000)*1,("VAR_FIN"=[1]OUT_SyntheticFuels!$B$4:$B$1000)*1,[1]OUT_SyntheticFuels!K$4:K$1000)</f>
        <v>2.7013045033422406E-3</v>
      </c>
      <c r="M649" s="1" cm="1">
        <f t="array" ref="M649">SUMPRODUCT(("SUP_WSTHTGBIO"=[1]OUT_SyntheticFuels!$C$4:$C$1000)*1,("CWST"=[1]OUT_SyntheticFuels!$A$4:$A$1000)*1,("VAR_FIN"=[1]OUT_SyntheticFuels!$B$4:$B$1000)*1,[1]OUT_SyntheticFuels!L$4:L$1000)</f>
        <v>2.7020658217193601E-3</v>
      </c>
      <c r="N649" s="1" cm="1">
        <f t="array" ref="N649">SUMPRODUCT(("SUP_WSTHTGBIO"=[1]OUT_SyntheticFuels!$C$4:$C$1000)*1,("CWST"=[1]OUT_SyntheticFuels!$A$4:$A$1000)*1,("VAR_FIN"=[1]OUT_SyntheticFuels!$B$4:$B$1000)*1,[1]OUT_SyntheticFuels!M$4:M$1000)</f>
        <v>3.0670655375801591E-3</v>
      </c>
      <c r="O649" s="1" cm="1">
        <f t="array" ref="O649">SUMPRODUCT(("SUP_WSTHTGBIO"=[1]OUT_SyntheticFuels!$C$4:$C$1000)*1,("CWST"=[1]OUT_SyntheticFuels!$A$4:$A$1000)*1,("VAR_FIN"=[1]OUT_SyntheticFuels!$B$4:$B$1000)*1,[1]OUT_SyntheticFuels!N$4:N$1000)</f>
        <v>3.5395165821851095E-3</v>
      </c>
      <c r="P649" s="1" cm="1">
        <f t="array" ref="P649">SUMPRODUCT(("SUP_WSTHTGBIO"=[1]OUT_SyntheticFuels!$C$4:$C$1000)*1,("CWST"=[1]OUT_SyntheticFuels!$A$4:$A$1000)*1,("VAR_FIN"=[1]OUT_SyntheticFuels!$B$4:$B$1000)*1,[1]OUT_SyntheticFuels!O$4:O$1000)</f>
        <v>3.7402959092173024E-3</v>
      </c>
      <c r="Q649" s="1" cm="1">
        <f t="array" ref="Q649">SUMPRODUCT(("SUP_WSTHTGBIO"=[1]OUT_SyntheticFuels!$C$4:$C$1000)*1,("CWST"=[1]OUT_SyntheticFuels!$A$4:$A$1000)*1,("VAR_FIN"=[1]OUT_SyntheticFuels!$B$4:$B$1000)*1,[1]OUT_SyntheticFuels!P$4:P$1000)</f>
        <v>6.9424246737552426E-3</v>
      </c>
      <c r="S649" s="3"/>
    </row>
    <row r="650" spans="2:19" x14ac:dyDescent="0.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SUMPRODUCT(("SUP_WSTHTGBIOCCS"=[1]OUT_SyntheticFuels!$C$4:$C$1000)*1,("CWST"=[1]OUT_SyntheticFuels!$A$4:$A$1000)*1,("VAR_FIN"=[1]OUT_SyntheticFuels!$B$4:$B$1000)*1,[1]OUT_SyntheticFuels!I$4:I$1000)</f>
        <v>0</v>
      </c>
      <c r="K650" s="1" cm="1">
        <f t="array" ref="K650">SUMPRODUCT(("SUP_WSTHTGBIOCCS"=[1]OUT_SyntheticFuels!$C$4:$C$1000)*1,("CWST"=[1]OUT_SyntheticFuels!$A$4:$A$1000)*1,("VAR_FIN"=[1]OUT_SyntheticFuels!$B$4:$B$1000)*1,[1]OUT_SyntheticFuels!J$4:J$1000)</f>
        <v>0</v>
      </c>
      <c r="L650" s="1" cm="1">
        <f t="array" ref="L650">SUMPRODUCT(("SUP_WSTHTGBIOCCS"=[1]OUT_SyntheticFuels!$C$4:$C$1000)*1,("CWST"=[1]OUT_SyntheticFuels!$A$4:$A$1000)*1,("VAR_FIN"=[1]OUT_SyntheticFuels!$B$4:$B$1000)*1,[1]OUT_SyntheticFuels!K$4:K$1000)</f>
        <v>0</v>
      </c>
      <c r="M650" s="1" cm="1">
        <f t="array" ref="M650">SUMPRODUCT(("SUP_WSTHTGBIOCCS"=[1]OUT_SyntheticFuels!$C$4:$C$1000)*1,("CWST"=[1]OUT_SyntheticFuels!$A$4:$A$1000)*1,("VAR_FIN"=[1]OUT_SyntheticFuels!$B$4:$B$1000)*1,[1]OUT_SyntheticFuels!L$4:L$1000)</f>
        <v>0</v>
      </c>
      <c r="N650" s="1" cm="1">
        <f t="array" ref="N650">SUMPRODUCT(("SUP_WSTHTGBIOCCS"=[1]OUT_SyntheticFuels!$C$4:$C$1000)*1,("CWST"=[1]OUT_SyntheticFuels!$A$4:$A$1000)*1,("VAR_FIN"=[1]OUT_SyntheticFuels!$B$4:$B$1000)*1,[1]OUT_SyntheticFuels!M$4:M$1000)</f>
        <v>0</v>
      </c>
      <c r="O650" s="1" cm="1">
        <f t="array" ref="O650">SUMPRODUCT(("SUP_WSTHTGBIOCCS"=[1]OUT_SyntheticFuels!$C$4:$C$1000)*1,("CWST"=[1]OUT_SyntheticFuels!$A$4:$A$1000)*1,("VAR_FIN"=[1]OUT_SyntheticFuels!$B$4:$B$1000)*1,[1]OUT_SyntheticFuels!N$4:N$1000)</f>
        <v>0</v>
      </c>
      <c r="P650" s="1" cm="1">
        <f t="array" ref="P650">SUMPRODUCT(("SUP_WSTHTGBIOCCS"=[1]OUT_SyntheticFuels!$C$4:$C$1000)*1,("CWST"=[1]OUT_SyntheticFuels!$A$4:$A$1000)*1,("VAR_FIN"=[1]OUT_SyntheticFuels!$B$4:$B$1000)*1,[1]OUT_SyntheticFuels!O$4:O$1000)</f>
        <v>0</v>
      </c>
      <c r="Q650" s="1" cm="1">
        <f t="array" ref="Q650">SUMPRODUCT(("SUP_WSTHTGBIOCCS"=[1]OUT_SyntheticFuels!$C$4:$C$1000)*1,("CWST"=[1]OUT_SyntheticFuels!$A$4:$A$1000)*1,("VAR_FIN"=[1]OUT_SyntheticFuels!$B$4:$B$1000)*1,[1]OUT_SyntheticFuels!P$4:P$1000)</f>
        <v>0</v>
      </c>
      <c r="S650" s="3"/>
    </row>
    <row r="651" spans="2:19" x14ac:dyDescent="0.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733">SUM(G652:G653)</f>
        <v>2.2076315150710267E-4</v>
      </c>
      <c r="H651" s="1">
        <f t="shared" ref="H651" si="734">SUM(H652:H653)</f>
        <v>5.1356072555015374E-4</v>
      </c>
      <c r="I651" s="1">
        <f t="shared" ref="I651" si="735">SUM(I652:I653)</f>
        <v>1.0594211168328156E-3</v>
      </c>
      <c r="J651" s="1">
        <f t="shared" ref="J651" si="736">SUM(J652:J653)</f>
        <v>1.7221554620566808E-3</v>
      </c>
      <c r="K651" s="1">
        <f t="shared" ref="K651" si="737">SUM(K652:K653)</f>
        <v>1.8383971877752301E-3</v>
      </c>
      <c r="L651" s="1">
        <f t="shared" ref="L651:O651" si="738">SUM(L652:L653)</f>
        <v>1.8887764704486529E-3</v>
      </c>
      <c r="M651" s="1">
        <f t="shared" si="738"/>
        <v>2.2428618942602237E-3</v>
      </c>
      <c r="N651" s="1">
        <f t="shared" si="738"/>
        <v>2.3312732851827633E-3</v>
      </c>
      <c r="O651" s="1">
        <f t="shared" si="738"/>
        <v>2.7428831509770861E-3</v>
      </c>
      <c r="P651" s="1">
        <f>SUM(P652:P653)</f>
        <v>2.9717242236957401E-3</v>
      </c>
      <c r="Q651" s="1">
        <f>SUM(Q652:Q653)</f>
        <v>5.6561506590418007E-3</v>
      </c>
      <c r="S651" s="3"/>
    </row>
    <row r="652" spans="2:19" x14ac:dyDescent="0.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2.2076315150710267E-4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5.1356072555015374E-4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1.0594211168328156E-3</v>
      </c>
      <c r="J652" s="1" cm="1">
        <f t="array" ref="J652">SUMPRODUCT(("SUP_WODBIO"=[1]OUT_SyntheticFuels!$C$4:$C$1000)*1,("CWOD"=[1]OUT_SyntheticFuels!$A$4:$A$1000)*1,("VAR_FIN"=[1]OUT_SyntheticFuels!$B$4:$B$1000)*1,[1]OUT_SyntheticFuels!I$4:I$1000)</f>
        <v>1.7221554620566808E-3</v>
      </c>
      <c r="K652" s="1" cm="1">
        <f t="array" ref="K652">SUMPRODUCT(("SUP_WODBIO"=[1]OUT_SyntheticFuels!$C$4:$C$1000)*1,("CWOD"=[1]OUT_SyntheticFuels!$A$4:$A$1000)*1,("VAR_FIN"=[1]OUT_SyntheticFuels!$B$4:$B$1000)*1,[1]OUT_SyntheticFuels!J$4:J$1000)</f>
        <v>1.8383971877752301E-3</v>
      </c>
      <c r="L652" s="1" cm="1">
        <f t="array" ref="L652">SUMPRODUCT(("SUP_WODBIO"=[1]OUT_SyntheticFuels!$C$4:$C$1000)*1,("CWOD"=[1]OUT_SyntheticFuels!$A$4:$A$1000)*1,("VAR_FIN"=[1]OUT_SyntheticFuels!$B$4:$B$1000)*1,[1]OUT_SyntheticFuels!K$4:K$1000)</f>
        <v>1.8887764704486529E-3</v>
      </c>
      <c r="M652" s="1" cm="1">
        <f t="array" ref="M652">SUMPRODUCT(("SUP_WODBIO"=[1]OUT_SyntheticFuels!$C$4:$C$1000)*1,("CWOD"=[1]OUT_SyntheticFuels!$A$4:$A$1000)*1,("VAR_FIN"=[1]OUT_SyntheticFuels!$B$4:$B$1000)*1,[1]OUT_SyntheticFuels!L$4:L$1000)</f>
        <v>2.2428618942602237E-3</v>
      </c>
      <c r="N652" s="1" cm="1">
        <f t="array" ref="N652">SUMPRODUCT(("SUP_WODBIO"=[1]OUT_SyntheticFuels!$C$4:$C$1000)*1,("CWOD"=[1]OUT_SyntheticFuels!$A$4:$A$1000)*1,("VAR_FIN"=[1]OUT_SyntheticFuels!$B$4:$B$1000)*1,[1]OUT_SyntheticFuels!M$4:M$1000)</f>
        <v>2.3312732851827633E-3</v>
      </c>
      <c r="O652" s="1" cm="1">
        <f t="array" ref="O652">SUMPRODUCT(("SUP_WODBIO"=[1]OUT_SyntheticFuels!$C$4:$C$1000)*1,("CWOD"=[1]OUT_SyntheticFuels!$A$4:$A$1000)*1,("VAR_FIN"=[1]OUT_SyntheticFuels!$B$4:$B$1000)*1,[1]OUT_SyntheticFuels!N$4:N$1000)</f>
        <v>2.7428831509770861E-3</v>
      </c>
      <c r="P652" s="1" cm="1">
        <f t="array" ref="P652">SUMPRODUCT(("SUP_WODBIO"=[1]OUT_SyntheticFuels!$C$4:$C$1000)*1,("CWOD"=[1]OUT_SyntheticFuels!$A$4:$A$1000)*1,("VAR_FIN"=[1]OUT_SyntheticFuels!$B$4:$B$1000)*1,[1]OUT_SyntheticFuels!O$4:O$1000)</f>
        <v>2.9717242236957401E-3</v>
      </c>
      <c r="Q652" s="1" cm="1">
        <f t="array" ref="Q652">SUMPRODUCT(("SUP_WODBIO"=[1]OUT_SyntheticFuels!$C$4:$C$1000)*1,("CWOD"=[1]OUT_SyntheticFuels!$A$4:$A$1000)*1,("VAR_FIN"=[1]OUT_SyntheticFuels!$B$4:$B$1000)*1,[1]OUT_SyntheticFuels!P$4:P$1000)</f>
        <v>5.6561506590418007E-3</v>
      </c>
      <c r="S652" s="3"/>
    </row>
    <row r="653" spans="2:19" x14ac:dyDescent="0.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SUMPRODUCT(("SUP_WODBIOCCS"=[1]OUT_SyntheticFuels!$C$4:$C$1000)*1,("CWOD"=[1]OUT_SyntheticFuels!$A$4:$A$1000)*1,("VAR_FIN"=[1]OUT_SyntheticFuels!$B$4:$B$1000)*1,[1]OUT_SyntheticFuels!I$4:I$1000)</f>
        <v>0</v>
      </c>
      <c r="K653" s="1" cm="1">
        <f t="array" ref="K653">SUMPRODUCT(("SUP_WODBIOCCS"=[1]OUT_SyntheticFuels!$C$4:$C$1000)*1,("CWOD"=[1]OUT_SyntheticFuels!$A$4:$A$1000)*1,("VAR_FIN"=[1]OUT_SyntheticFuels!$B$4:$B$1000)*1,[1]OUT_SyntheticFuels!J$4:J$1000)</f>
        <v>0</v>
      </c>
      <c r="L653" s="1" cm="1">
        <f t="array" ref="L653">SUMPRODUCT(("SUP_WODBIOCCS"=[1]OUT_SyntheticFuels!$C$4:$C$1000)*1,("CWOD"=[1]OUT_SyntheticFuels!$A$4:$A$1000)*1,("VAR_FIN"=[1]OUT_SyntheticFuels!$B$4:$B$1000)*1,[1]OUT_SyntheticFuels!K$4:K$1000)</f>
        <v>0</v>
      </c>
      <c r="M653" s="1" cm="1">
        <f t="array" ref="M653">SUMPRODUCT(("SUP_WODBIOCCS"=[1]OUT_SyntheticFuels!$C$4:$C$1000)*1,("CWOD"=[1]OUT_SyntheticFuels!$A$4:$A$1000)*1,("VAR_FIN"=[1]OUT_SyntheticFuels!$B$4:$B$1000)*1,[1]OUT_SyntheticFuels!L$4:L$1000)</f>
        <v>0</v>
      </c>
      <c r="N653" s="1" cm="1">
        <f t="array" ref="N653">SUMPRODUCT(("SUP_WODBIOCCS"=[1]OUT_SyntheticFuels!$C$4:$C$1000)*1,("CWOD"=[1]OUT_SyntheticFuels!$A$4:$A$1000)*1,("VAR_FIN"=[1]OUT_SyntheticFuels!$B$4:$B$1000)*1,[1]OUT_SyntheticFuels!M$4:M$1000)</f>
        <v>0</v>
      </c>
      <c r="O653" s="1" cm="1">
        <f t="array" ref="O653">SUMPRODUCT(("SUP_WODBIOCCS"=[1]OUT_SyntheticFuels!$C$4:$C$1000)*1,("CWOD"=[1]OUT_SyntheticFuels!$A$4:$A$1000)*1,("VAR_FIN"=[1]OUT_SyntheticFuels!$B$4:$B$1000)*1,[1]OUT_SyntheticFuels!N$4:N$1000)</f>
        <v>0</v>
      </c>
      <c r="P653" s="1" cm="1">
        <f t="array" ref="P653">SUMPRODUCT(("SUP_WODBIOCCS"=[1]OUT_SyntheticFuels!$C$4:$C$1000)*1,("CWOD"=[1]OUT_SyntheticFuels!$A$4:$A$1000)*1,("VAR_FIN"=[1]OUT_SyntheticFuels!$B$4:$B$1000)*1,[1]OUT_SyntheticFuels!O$4:O$1000)</f>
        <v>0</v>
      </c>
      <c r="Q653" s="1" cm="1">
        <f t="array" ref="Q653">SUMPRODUCT(("SUP_WODBIOCCS"=[1]OUT_SyntheticFuels!$C$4:$C$1000)*1,("CWOD"=[1]OUT_SyntheticFuels!$A$4:$A$1000)*1,("VAR_FIN"=[1]OUT_SyntheticFuels!$B$4:$B$1000)*1,[1]OUT_SyntheticFuels!P$4:P$1000)</f>
        <v>0</v>
      </c>
      <c r="S653" s="3"/>
    </row>
    <row r="654" spans="2:19" x14ac:dyDescent="0.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M654" s="14" t="s">
        <v>292</v>
      </c>
      <c r="N654" s="14" t="s">
        <v>292</v>
      </c>
      <c r="O654" s="14" t="s">
        <v>292</v>
      </c>
      <c r="P654" s="14" t="s">
        <v>292</v>
      </c>
      <c r="Q654" s="14" t="s">
        <v>292</v>
      </c>
      <c r="S654" s="3"/>
    </row>
    <row r="655" spans="2:19" x14ac:dyDescent="0.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739">IFERROR(SUM(F635,F625,F615)/F645,"-")</f>
        <v>0.34965034965035002</v>
      </c>
      <c r="G655" s="4">
        <f t="shared" si="739"/>
        <v>0.34965034965035002</v>
      </c>
      <c r="H655" s="4">
        <f t="shared" si="739"/>
        <v>0.34965034965034986</v>
      </c>
      <c r="I655" s="4">
        <f t="shared" si="739"/>
        <v>0.34965034965034975</v>
      </c>
      <c r="J655" s="4">
        <f t="shared" si="739"/>
        <v>0.34965034965034969</v>
      </c>
      <c r="K655" s="4">
        <f t="shared" si="739"/>
        <v>0.34965034965034975</v>
      </c>
      <c r="L655" s="4">
        <f t="shared" ref="L655:O655" si="740">IFERROR(SUM(L635,L625,L615)/L645,"-")</f>
        <v>0.34965034965034997</v>
      </c>
      <c r="M655" s="4">
        <f t="shared" si="740"/>
        <v>0.34965034965034986</v>
      </c>
      <c r="N655" s="4">
        <f t="shared" si="740"/>
        <v>0.34965034965034986</v>
      </c>
      <c r="O655" s="4">
        <f t="shared" si="740"/>
        <v>0.34965034965035019</v>
      </c>
      <c r="P655" s="4">
        <f>IFERROR(SUM(P635,P625,P615)/P645,"-")</f>
        <v>0.34965034965035019</v>
      </c>
      <c r="Q655" s="4">
        <f>IFERROR(SUM(Q635,Q625,Q615)/Q645,"-")</f>
        <v>0.34965034965034991</v>
      </c>
      <c r="S655" s="3"/>
    </row>
    <row r="656" spans="2:19" x14ac:dyDescent="0.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741">IFERROR(SUM(F637,F627,F617)/F647,"-")</f>
        <v>0.59322033898305115</v>
      </c>
      <c r="G656" s="4">
        <f t="shared" si="741"/>
        <v>0.59322033898305082</v>
      </c>
      <c r="H656" s="4">
        <f t="shared" si="741"/>
        <v>0.59322033898305104</v>
      </c>
      <c r="I656" s="4">
        <f t="shared" si="741"/>
        <v>0.59322033898305071</v>
      </c>
      <c r="J656" s="4">
        <f t="shared" si="741"/>
        <v>0.5932203389830516</v>
      </c>
      <c r="K656" s="4">
        <f t="shared" si="741"/>
        <v>0.59322033898305127</v>
      </c>
      <c r="L656" s="4">
        <f t="shared" ref="L656:O656" si="742">IFERROR(SUM(L637,L627,L617)/L647,"-")</f>
        <v>0.59322033898305104</v>
      </c>
      <c r="M656" s="4">
        <f t="shared" si="742"/>
        <v>0.59322033898305082</v>
      </c>
      <c r="N656" s="4">
        <f t="shared" si="742"/>
        <v>0.59322033898305093</v>
      </c>
      <c r="O656" s="4">
        <f t="shared" si="742"/>
        <v>0.59322033898305149</v>
      </c>
      <c r="P656" s="4">
        <f t="shared" ref="P656:Q659" si="743">IFERROR(SUM(P637,P627,P617)/P647,"-")</f>
        <v>0.59322033898305082</v>
      </c>
      <c r="Q656" s="4">
        <f t="shared" si="743"/>
        <v>0.59322033898305104</v>
      </c>
      <c r="S656" s="3"/>
    </row>
    <row r="657" spans="2:19" x14ac:dyDescent="0.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741"/>
        <v>-</v>
      </c>
      <c r="G657" s="4" t="str">
        <f t="shared" si="741"/>
        <v>-</v>
      </c>
      <c r="H657" s="4" t="str">
        <f t="shared" si="741"/>
        <v>-</v>
      </c>
      <c r="I657" s="4" t="str">
        <f t="shared" si="741"/>
        <v>-</v>
      </c>
      <c r="J657" s="4" t="str">
        <f t="shared" si="741"/>
        <v>-</v>
      </c>
      <c r="K657" s="4" t="str">
        <f t="shared" si="741"/>
        <v>-</v>
      </c>
      <c r="L657" s="4" t="str">
        <f t="shared" ref="L657:O657" si="744">IFERROR(SUM(L638,L628,L618)/L648,"-")</f>
        <v>-</v>
      </c>
      <c r="M657" s="4" t="str">
        <f t="shared" si="744"/>
        <v>-</v>
      </c>
      <c r="N657" s="4" t="str">
        <f t="shared" si="744"/>
        <v>-</v>
      </c>
      <c r="O657" s="4" t="str">
        <f t="shared" si="744"/>
        <v>-</v>
      </c>
      <c r="P657" s="4" t="str">
        <f t="shared" si="743"/>
        <v>-</v>
      </c>
      <c r="Q657" s="4" t="str">
        <f t="shared" si="743"/>
        <v>-</v>
      </c>
      <c r="S657" s="3"/>
    </row>
    <row r="658" spans="2:19" x14ac:dyDescent="0.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741"/>
        <v>-</v>
      </c>
      <c r="G658" s="4" t="str">
        <f t="shared" si="741"/>
        <v>-</v>
      </c>
      <c r="H658" s="4" t="str">
        <f t="shared" si="741"/>
        <v>-</v>
      </c>
      <c r="I658" s="4" t="str">
        <f t="shared" si="741"/>
        <v>-</v>
      </c>
      <c r="J658" s="4" t="str">
        <f t="shared" si="741"/>
        <v>-</v>
      </c>
      <c r="K658" s="4">
        <f t="shared" si="741"/>
        <v>0.69999999999999984</v>
      </c>
      <c r="L658" s="4">
        <f t="shared" ref="L658:O658" si="745">IFERROR(SUM(L639,L629,L619)/L649,"-")</f>
        <v>0.69999999999999962</v>
      </c>
      <c r="M658" s="4">
        <f t="shared" si="745"/>
        <v>0.7</v>
      </c>
      <c r="N658" s="4">
        <f t="shared" si="745"/>
        <v>0.69999999999999984</v>
      </c>
      <c r="O658" s="4">
        <f t="shared" si="745"/>
        <v>0.69999999999999973</v>
      </c>
      <c r="P658" s="4">
        <f t="shared" si="743"/>
        <v>0.69999999999999962</v>
      </c>
      <c r="Q658" s="4">
        <f t="shared" si="743"/>
        <v>0.70000000000000007</v>
      </c>
      <c r="S658" s="3"/>
    </row>
    <row r="659" spans="2:19" x14ac:dyDescent="0.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741"/>
        <v>-</v>
      </c>
      <c r="G659" s="4" t="str">
        <f t="shared" si="741"/>
        <v>-</v>
      </c>
      <c r="H659" s="4" t="str">
        <f t="shared" si="741"/>
        <v>-</v>
      </c>
      <c r="I659" s="4" t="str">
        <f t="shared" si="741"/>
        <v>-</v>
      </c>
      <c r="J659" s="4" t="str">
        <f t="shared" si="741"/>
        <v>-</v>
      </c>
      <c r="K659" s="4" t="str">
        <f t="shared" si="741"/>
        <v>-</v>
      </c>
      <c r="L659" s="4" t="str">
        <f t="shared" ref="L659:O659" si="746">IFERROR(SUM(L640,L630,L620)/L650,"-")</f>
        <v>-</v>
      </c>
      <c r="M659" s="4" t="str">
        <f t="shared" si="746"/>
        <v>-</v>
      </c>
      <c r="N659" s="4" t="str">
        <f t="shared" si="746"/>
        <v>-</v>
      </c>
      <c r="O659" s="4" t="str">
        <f t="shared" si="746"/>
        <v>-</v>
      </c>
      <c r="P659" s="4" t="str">
        <f t="shared" si="743"/>
        <v>-</v>
      </c>
      <c r="Q659" s="4" t="str">
        <f t="shared" si="743"/>
        <v>-</v>
      </c>
      <c r="S659" s="3"/>
    </row>
    <row r="660" spans="2:19" x14ac:dyDescent="0.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47">IFERROR(SUM(F642,F632,F622)/F652,"-")</f>
        <v>-</v>
      </c>
      <c r="G660" s="4">
        <f t="shared" si="747"/>
        <v>0.85925925925925883</v>
      </c>
      <c r="H660" s="4">
        <f t="shared" si="747"/>
        <v>0.85925925925925906</v>
      </c>
      <c r="I660" s="4">
        <f t="shared" si="747"/>
        <v>0.85925925925925895</v>
      </c>
      <c r="J660" s="4">
        <f t="shared" si="747"/>
        <v>0.8592592592592585</v>
      </c>
      <c r="K660" s="4">
        <f t="shared" si="747"/>
        <v>0.85925925925925872</v>
      </c>
      <c r="L660" s="4">
        <f t="shared" ref="L660:O660" si="748">IFERROR(SUM(L642,L632,L622)/L652,"-")</f>
        <v>0.85925925925925883</v>
      </c>
      <c r="M660" s="4">
        <f t="shared" si="748"/>
        <v>0.85925925925925917</v>
      </c>
      <c r="N660" s="4">
        <f t="shared" si="748"/>
        <v>0.85925925925925883</v>
      </c>
      <c r="O660" s="4">
        <f t="shared" si="748"/>
        <v>0.85925925925925828</v>
      </c>
      <c r="P660" s="4">
        <f>IFERROR(SUM(P642,P632,P622)/P652,"-")</f>
        <v>0.85925925925925895</v>
      </c>
      <c r="Q660" s="4">
        <f>IFERROR(SUM(Q642,Q632,Q622)/Q652,"-")</f>
        <v>0.85925925925925939</v>
      </c>
      <c r="S660" s="3"/>
    </row>
    <row r="661" spans="2:19" x14ac:dyDescent="0.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47"/>
        <v>-</v>
      </c>
      <c r="G661" s="4" t="str">
        <f t="shared" si="747"/>
        <v>-</v>
      </c>
      <c r="H661" s="4" t="str">
        <f t="shared" si="747"/>
        <v>-</v>
      </c>
      <c r="I661" s="4" t="str">
        <f t="shared" si="747"/>
        <v>-</v>
      </c>
      <c r="J661" s="4" t="str">
        <f t="shared" si="747"/>
        <v>-</v>
      </c>
      <c r="K661" s="4" t="str">
        <f t="shared" si="747"/>
        <v>-</v>
      </c>
      <c r="L661" s="4" t="str">
        <f t="shared" ref="L661:O661" si="749">IFERROR(SUM(L643,L633,L623)/L653,"-")</f>
        <v>-</v>
      </c>
      <c r="M661" s="4" t="str">
        <f t="shared" si="749"/>
        <v>-</v>
      </c>
      <c r="N661" s="4" t="str">
        <f t="shared" si="749"/>
        <v>-</v>
      </c>
      <c r="O661" s="4" t="str">
        <f t="shared" si="749"/>
        <v>-</v>
      </c>
      <c r="P661" s="4" t="str">
        <f>IFERROR(SUM(P643,P633,P623)/P653,"-")</f>
        <v>-</v>
      </c>
      <c r="Q661" s="4" t="str">
        <f>IFERROR(SUM(Q643,Q633,Q623)/Q653,"-")</f>
        <v>-</v>
      </c>
      <c r="S661" s="3"/>
    </row>
    <row r="662" spans="2:19" x14ac:dyDescent="0.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4.0159056985320076E-3</v>
      </c>
      <c r="G662" s="3">
        <f t="shared" ref="G662:K662" si="750">SUM(G663,G667,G676)</f>
        <v>5.8854629502050259E-3</v>
      </c>
      <c r="H662" s="3">
        <f t="shared" si="750"/>
        <v>5.9822842623426719E-3</v>
      </c>
      <c r="I662" s="3">
        <f t="shared" si="750"/>
        <v>2.0921593525272487E-2</v>
      </c>
      <c r="J662" s="3">
        <f t="shared" si="750"/>
        <v>6.1140047383676691E-2</v>
      </c>
      <c r="K662" s="3">
        <f t="shared" si="750"/>
        <v>8.9414743416635661E-2</v>
      </c>
      <c r="L662" s="3">
        <f t="shared" ref="L662:O662" si="751">SUM(L663,L667,L676)</f>
        <v>8.9596883466719845E-2</v>
      </c>
      <c r="M662" s="3">
        <f t="shared" si="751"/>
        <v>0.25126440228023639</v>
      </c>
      <c r="N662" s="3">
        <f t="shared" si="751"/>
        <v>0.2626527890042355</v>
      </c>
      <c r="O662" s="3">
        <f t="shared" si="751"/>
        <v>0.66549055620991282</v>
      </c>
      <c r="P662" s="3">
        <f>SUM(P663,P667,P676)</f>
        <v>0.69015652395161176</v>
      </c>
      <c r="Q662" s="3">
        <f>SUM(Q663,Q667,Q676)</f>
        <v>0.83378511793860466</v>
      </c>
      <c r="S662" s="3"/>
    </row>
    <row r="663" spans="2:19" x14ac:dyDescent="0.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4.0159056985320076E-3</v>
      </c>
      <c r="G663" s="1">
        <f>[1]Other_transformation!C$28</f>
        <v>5.8854629502050259E-3</v>
      </c>
      <c r="H663" s="1">
        <f>[1]Other_transformation!D$28</f>
        <v>5.9822842623426719E-3</v>
      </c>
      <c r="I663" s="1">
        <f>[1]Other_transformation!E$28</f>
        <v>2.0921593525272487E-2</v>
      </c>
      <c r="J663" s="1">
        <f>[1]Other_transformation!F$28</f>
        <v>6.1140047383676691E-2</v>
      </c>
      <c r="K663" s="1">
        <f>[1]Other_transformation!G$28</f>
        <v>8.9414743416635661E-2</v>
      </c>
      <c r="L663" s="1">
        <f>[1]Other_transformation!H$28</f>
        <v>8.9596883466719845E-2</v>
      </c>
      <c r="M663" s="1">
        <f>[1]Other_transformation!I$28</f>
        <v>0.23151993242492824</v>
      </c>
      <c r="N663" s="1">
        <f>[1]Other_transformation!J$28</f>
        <v>0.24352512287593031</v>
      </c>
      <c r="O663" s="1">
        <f>[1]Other_transformation!K$28</f>
        <v>0.63729265647714028</v>
      </c>
      <c r="P663" s="1">
        <f>[1]Other_transformation!L$28</f>
        <v>0.6609152833654115</v>
      </c>
      <c r="Q663" s="1">
        <f>[1]Other_transformation!M$28</f>
        <v>0.74588309038686496</v>
      </c>
      <c r="S663" s="3"/>
    </row>
    <row r="664" spans="2:19" x14ac:dyDescent="0.5">
      <c r="B664" t="str">
        <f t="shared" ref="B664:B675" si="752">B663</f>
        <v>SPS1</v>
      </c>
      <c r="C664" t="str">
        <f t="shared" ref="C664:C675" si="753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4.0159056985320076E-3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5.8854629502050259E-3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5.9822842623426719E-3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2.0851514170396809E-2</v>
      </c>
      <c r="J664" s="1" cm="1">
        <f t="array" ref="J664">SUMPRODUCT(("SUP_ELCH2"=[1]OUT_SyntheticFuels!$C$4:$C$1000)*1,ISNUMBER(SEARCH("h2",[1]OUT_SyntheticFuels!$A$4:$A$1000))*1,("Var_Fout"=[1]OUT_SyntheticFuels!$B$4:$B$1000)*1,[1]OUT_SyntheticFuels!I$4:I$1000)</f>
        <v>5.9977506858904128E-2</v>
      </c>
      <c r="K664" s="1" cm="1">
        <f t="array" ref="K664">SUMPRODUCT(("SUP_ELCH2"=[1]OUT_SyntheticFuels!$C$4:$C$1000)*1,ISNUMBER(SEARCH("h2",[1]OUT_SyntheticFuels!$A$4:$A$1000))*1,("Var_Fout"=[1]OUT_SyntheticFuels!$B$4:$B$1000)*1,[1]OUT_SyntheticFuels!J$4:J$1000)</f>
        <v>6.3257269198409405E-2</v>
      </c>
      <c r="L664" s="1" cm="1">
        <f t="array" ref="L664">SUMPRODUCT(("SUP_ELCH2"=[1]OUT_SyntheticFuels!$C$4:$C$1000)*1,ISNUMBER(SEARCH("h2",[1]OUT_SyntheticFuels!$A$4:$A$1000))*1,("Var_Fout"=[1]OUT_SyntheticFuels!$B$4:$B$1000)*1,[1]OUT_SyntheticFuels!K$4:K$1000)</f>
        <v>5.7219951627738116E-2</v>
      </c>
      <c r="M664" s="1" cm="1">
        <f t="array" ref="M664">SUMPRODUCT(("SUP_ELCH2"=[1]OUT_SyntheticFuels!$C$4:$C$1000)*1,ISNUMBER(SEARCH("h2",[1]OUT_SyntheticFuels!$A$4:$A$1000))*1,("Var_Fout"=[1]OUT_SyntheticFuels!$B$4:$B$1000)*1,[1]OUT_SyntheticFuels!L$4:L$1000)</f>
        <v>0.18675780457132787</v>
      </c>
      <c r="N664" s="1" cm="1">
        <f t="array" ref="N664">SUMPRODUCT(("SUP_ELCH2"=[1]OUT_SyntheticFuels!$C$4:$C$1000)*1,ISNUMBER(SEARCH("h2",[1]OUT_SyntheticFuels!$A$4:$A$1000))*1,("Var_Fout"=[1]OUT_SyntheticFuels!$B$4:$B$1000)*1,[1]OUT_SyntheticFuels!M$4:M$1000)</f>
        <v>0.20280366725775226</v>
      </c>
      <c r="O664" s="1" cm="1">
        <f t="array" ref="O664">SUMPRODUCT(("SUP_ELCH2"=[1]OUT_SyntheticFuels!$C$4:$C$1000)*1,ISNUMBER(SEARCH("h2",[1]OUT_SyntheticFuels!$A$4:$A$1000))*1,("Var_Fout"=[1]OUT_SyntheticFuels!$B$4:$B$1000)*1,[1]OUT_SyntheticFuels!N$4:N$1000)</f>
        <v>0.59317081825033557</v>
      </c>
      <c r="P664" s="1" cm="1">
        <f t="array" ref="P664">SUMPRODUCT(("SUP_ELCH2"=[1]OUT_SyntheticFuels!$C$4:$C$1000)*1,ISNUMBER(SEARCH("h2",[1]OUT_SyntheticFuels!$A$4:$A$1000))*1,("Var_Fout"=[1]OUT_SyntheticFuels!$B$4:$B$1000)*1,[1]OUT_SyntheticFuels!O$4:O$1000)</f>
        <v>0.61726693909382346</v>
      </c>
      <c r="Q664" s="1" cm="1">
        <f t="array" ref="Q664">SUMPRODUCT(("SUP_ELCH2"=[1]OUT_SyntheticFuels!$C$4:$C$1000)*1,ISNUMBER(SEARCH("h2",[1]OUT_SyntheticFuels!$A$4:$A$1000))*1,("Var_Fout"=[1]OUT_SyntheticFuels!$B$4:$B$1000)*1,[1]OUT_SyntheticFuels!P$4:P$1000)</f>
        <v>0.66569766617567561</v>
      </c>
      <c r="S664" s="3"/>
    </row>
    <row r="665" spans="2:19" x14ac:dyDescent="0.5">
      <c r="B665" t="str">
        <f t="shared" ref="B665" si="754">B664</f>
        <v>SPS1</v>
      </c>
      <c r="C665" t="str">
        <f t="shared" ref="C665" si="755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7.0079354875676606E-5</v>
      </c>
      <c r="J665" s="1" cm="1">
        <f t="array" ref="J665">SUMPRODUCT(("SUP_ELCH2_D"=[1]OUT_SyntheticFuels!$C$4:$C$1000)*1,ISNUMBER(SEARCH("h2",[1]OUT_SyntheticFuels!$A$4:$A$1000))*1,("Var_Fout"=[1]OUT_SyntheticFuels!$B$4:$B$1000)*1,[1]OUT_SyntheticFuels!I$4:I$1000)</f>
        <v>1.1625405247725612E-3</v>
      </c>
      <c r="K665" s="1" cm="1">
        <f t="array" ref="K665">SUMPRODUCT(("SUP_ELCH2_D"=[1]OUT_SyntheticFuels!$C$4:$C$1000)*1,ISNUMBER(SEARCH("h2",[1]OUT_SyntheticFuels!$A$4:$A$1000))*1,("Var_Fout"=[1]OUT_SyntheticFuels!$B$4:$B$1000)*1,[1]OUT_SyntheticFuels!J$4:J$1000)</f>
        <v>2.9517128393154431E-3</v>
      </c>
      <c r="L665" s="1" cm="1">
        <f t="array" ref="L665">SUMPRODUCT(("SUP_ELCH2_D"=[1]OUT_SyntheticFuels!$C$4:$C$1000)*1,ISNUMBER(SEARCH("h2",[1]OUT_SyntheticFuels!$A$4:$A$1000))*1,("Var_Fout"=[1]OUT_SyntheticFuels!$B$4:$B$1000)*1,[1]OUT_SyntheticFuels!K$4:K$1000)</f>
        <v>3.4011937446101893E-3</v>
      </c>
      <c r="M665" s="1" cm="1">
        <f t="array" ref="M665">SUMPRODUCT(("SUP_ELCH2_D"=[1]OUT_SyntheticFuels!$C$4:$C$1000)*1,ISNUMBER(SEARCH("h2",[1]OUT_SyntheticFuels!$A$4:$A$1000))*1,("Var_Fout"=[1]OUT_SyntheticFuels!$B$4:$B$1000)*1,[1]OUT_SyntheticFuels!L$4:L$1000)</f>
        <v>3.533682605802941E-3</v>
      </c>
      <c r="N665" s="1" cm="1">
        <f t="array" ref="N665">SUMPRODUCT(("SUP_ELCH2_D"=[1]OUT_SyntheticFuels!$C$4:$C$1000)*1,ISNUMBER(SEARCH("h2",[1]OUT_SyntheticFuels!$A$4:$A$1000))*1,("Var_Fout"=[1]OUT_SyntheticFuels!$B$4:$B$1000)*1,[1]OUT_SyntheticFuels!M$4:M$1000)</f>
        <v>3.5345709183155216E-3</v>
      </c>
      <c r="O665" s="1" cm="1">
        <f t="array" ref="O665">SUMPRODUCT(("SUP_ELCH2_D"=[1]OUT_SyntheticFuels!$C$4:$C$1000)*1,ISNUMBER(SEARCH("h2",[1]OUT_SyntheticFuels!$A$4:$A$1000))*1,("Var_Fout"=[1]OUT_SyntheticFuels!$B$4:$B$1000)*1,[1]OUT_SyntheticFuels!N$4:N$1000)</f>
        <v>3.5840711505878173E-3</v>
      </c>
      <c r="P665" s="1" cm="1">
        <f t="array" ref="P665">SUMPRODUCT(("SUP_ELCH2_D"=[1]OUT_SyntheticFuels!$C$4:$C$1000)*1,ISNUMBER(SEARCH("h2",[1]OUT_SyntheticFuels!$A$4:$A$1000))*1,("Var_Fout"=[1]OUT_SyntheticFuels!$B$4:$B$1000)*1,[1]OUT_SyntheticFuels!O$4:O$1000)</f>
        <v>2.8923419006574125E-3</v>
      </c>
      <c r="Q665" s="1" cm="1">
        <f t="array" ref="Q665">SUMPRODUCT(("SUP_ELCH2_D"=[1]OUT_SyntheticFuels!$C$4:$C$1000)*1,ISNUMBER(SEARCH("h2",[1]OUT_SyntheticFuels!$A$4:$A$1000))*1,("Var_Fout"=[1]OUT_SyntheticFuels!$B$4:$B$1000)*1,[1]OUT_SyntheticFuels!P$4:P$1000)</f>
        <v>5.599919252407457E-3</v>
      </c>
      <c r="S665" s="3"/>
    </row>
    <row r="666" spans="2:19" x14ac:dyDescent="0.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SUMPRODUCT(("SUP_ELCH2_SOEC"=[1]OUT_SyntheticFuels!$C$4:$C$1000)*1,ISNUMBER(SEARCH("H2",[1]OUT_SyntheticFuels!$A$4:$A$1000))*1,("Var_Fout"=[1]OUT_SyntheticFuels!$B$4:$B$1000)*1,[1]OUT_SyntheticFuels!I$4:I$1000)</f>
        <v>0</v>
      </c>
      <c r="K666" s="1" cm="1">
        <f t="array" ref="K666">SUMPRODUCT(("SUP_ELCH2_SOEC"=[1]OUT_SyntheticFuels!$C$4:$C$1000)*1,ISNUMBER(SEARCH("H2",[1]OUT_SyntheticFuels!$A$4:$A$1000))*1,("Var_Fout"=[1]OUT_SyntheticFuels!$B$4:$B$1000)*1,[1]OUT_SyntheticFuels!J$4:J$1000)</f>
        <v>2.3205761378910821E-2</v>
      </c>
      <c r="L666" s="1" cm="1">
        <f t="array" ref="L666">SUMPRODUCT(("SUP_ELCH2_SOEC"=[1]OUT_SyntheticFuels!$C$4:$C$1000)*1,ISNUMBER(SEARCH("H2",[1]OUT_SyntheticFuels!$A$4:$A$1000))*1,("Var_Fout"=[1]OUT_SyntheticFuels!$B$4:$B$1000)*1,[1]OUT_SyntheticFuels!K$4:K$1000)</f>
        <v>2.8975738094371539E-2</v>
      </c>
      <c r="M666" s="1" cm="1">
        <f t="array" ref="M666">SUMPRODUCT(("SUP_ELCH2_SOEC"=[1]OUT_SyntheticFuels!$C$4:$C$1000)*1,ISNUMBER(SEARCH("H2",[1]OUT_SyntheticFuels!$A$4:$A$1000))*1,("Var_Fout"=[1]OUT_SyntheticFuels!$B$4:$B$1000)*1,[1]OUT_SyntheticFuels!L$4:L$1000)</f>
        <v>4.1228445247797424E-2</v>
      </c>
      <c r="N666" s="1" cm="1">
        <f t="array" ref="N666">SUMPRODUCT(("SUP_ELCH2_SOEC"=[1]OUT_SyntheticFuels!$C$4:$C$1000)*1,ISNUMBER(SEARCH("H2",[1]OUT_SyntheticFuels!$A$4:$A$1000))*1,("Var_Fout"=[1]OUT_SyntheticFuels!$B$4:$B$1000)*1,[1]OUT_SyntheticFuels!M$4:M$1000)</f>
        <v>3.7186884699862525E-2</v>
      </c>
      <c r="O666" s="1" cm="1">
        <f t="array" ref="O666">SUMPRODUCT(("SUP_ELCH2_SOEC"=[1]OUT_SyntheticFuels!$C$4:$C$1000)*1,ISNUMBER(SEARCH("H2",[1]OUT_SyntheticFuels!$A$4:$A$1000))*1,("Var_Fout"=[1]OUT_SyntheticFuels!$B$4:$B$1000)*1,[1]OUT_SyntheticFuels!N$4:N$1000)</f>
        <v>4.0537767076216848E-2</v>
      </c>
      <c r="P666" s="1" cm="1">
        <f t="array" ref="P666">SUMPRODUCT(("SUP_ELCH2_SOEC"=[1]OUT_SyntheticFuels!$C$4:$C$1000)*1,ISNUMBER(SEARCH("H2",[1]OUT_SyntheticFuels!$A$4:$A$1000))*1,("Var_Fout"=[1]OUT_SyntheticFuels!$B$4:$B$1000)*1,[1]OUT_SyntheticFuels!O$4:O$1000)</f>
        <v>4.0756002370930577E-2</v>
      </c>
      <c r="Q666" s="1" cm="1">
        <f t="array" ref="Q666">SUMPRODUCT(("SUP_ELCH2_SOEC"=[1]OUT_SyntheticFuels!$C$4:$C$1000)*1,ISNUMBER(SEARCH("H2",[1]OUT_SyntheticFuels!$A$4:$A$1000))*1,("Var_Fout"=[1]OUT_SyntheticFuels!$B$4:$B$1000)*1,[1]OUT_SyntheticFuels!P$4:P$1000)</f>
        <v>7.4585504958781926E-2</v>
      </c>
      <c r="S666" s="3"/>
    </row>
    <row r="667" spans="2:19" x14ac:dyDescent="0.5">
      <c r="B667" t="str">
        <f t="shared" si="752"/>
        <v>SPS1</v>
      </c>
      <c r="C667" t="str">
        <f t="shared" si="753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SUM([1]Other_transformation!F$29:F$30)</f>
        <v>0</v>
      </c>
      <c r="K667" s="1">
        <f>SUM([1]Other_transformation!G$29:G$30)</f>
        <v>0</v>
      </c>
      <c r="L667" s="1">
        <f>SUM([1]Other_transformation!H$29:H$30)</f>
        <v>0</v>
      </c>
      <c r="M667" s="1">
        <f>SUM([1]Other_transformation!I$29:I$30)</f>
        <v>3.1533641270516553E-3</v>
      </c>
      <c r="N667" s="1">
        <f>SUM([1]Other_transformation!J$29:J$30)</f>
        <v>3.215731084946528E-3</v>
      </c>
      <c r="O667" s="1">
        <f>SUM([1]Other_transformation!K$29:K$30)</f>
        <v>4.8868905390840539E-3</v>
      </c>
      <c r="P667" s="1">
        <f>SUM([1]Other_transformation!L$29:L$30)</f>
        <v>4.9941011688480518E-3</v>
      </c>
      <c r="Q667" s="1">
        <f>SUM([1]Other_transformation!M$29:M$30)</f>
        <v>1.0202023063845095E-2</v>
      </c>
      <c r="S667" s="3"/>
    </row>
    <row r="668" spans="2:19" x14ac:dyDescent="0.5">
      <c r="B668" t="str">
        <f t="shared" si="752"/>
        <v>SPS1</v>
      </c>
      <c r="C668" t="str">
        <f t="shared" si="753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[1]Other_transformation!F$29</f>
        <v>0</v>
      </c>
      <c r="K668" s="1">
        <f>[1]Other_transformation!G$29</f>
        <v>0</v>
      </c>
      <c r="L668" s="1">
        <f>[1]Other_transformation!H$29</f>
        <v>0</v>
      </c>
      <c r="M668" s="1">
        <f>[1]Other_transformation!I$29</f>
        <v>3.1533641270516553E-3</v>
      </c>
      <c r="N668" s="1">
        <f>[1]Other_transformation!J$29</f>
        <v>3.215731084946528E-3</v>
      </c>
      <c r="O668" s="1">
        <f>[1]Other_transformation!K$29</f>
        <v>4.8868905390840539E-3</v>
      </c>
      <c r="P668" s="1">
        <f>[1]Other_transformation!L$29</f>
        <v>4.9941011688480518E-3</v>
      </c>
      <c r="Q668" s="1">
        <f>[1]Other_transformation!M$29</f>
        <v>1.0202023063845095E-2</v>
      </c>
      <c r="S668" s="3"/>
    </row>
    <row r="669" spans="2:19" x14ac:dyDescent="0.5">
      <c r="B669" t="str">
        <f t="shared" si="752"/>
        <v>SPS1</v>
      </c>
      <c r="C669" t="str">
        <f t="shared" si="753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[1]Other_transformation!F$30</f>
        <v>0</v>
      </c>
      <c r="K669" s="1">
        <f>[1]Other_transformation!G$30</f>
        <v>0</v>
      </c>
      <c r="L669" s="1">
        <f>[1]Other_transformation!H$30</f>
        <v>0</v>
      </c>
      <c r="M669" s="1">
        <f>[1]Other_transformation!I$30</f>
        <v>0</v>
      </c>
      <c r="N669" s="1">
        <f>[1]Other_transformation!J$30</f>
        <v>0</v>
      </c>
      <c r="O669" s="1">
        <f>[1]Other_transformation!K$30</f>
        <v>0</v>
      </c>
      <c r="P669" s="1">
        <f>[1]Other_transformation!L$30</f>
        <v>0</v>
      </c>
      <c r="Q669" s="1">
        <f>[1]Other_transformation!M$30</f>
        <v>0</v>
      </c>
      <c r="S669" s="3"/>
    </row>
    <row r="670" spans="2:19" x14ac:dyDescent="0.5">
      <c r="B670" t="str">
        <f t="shared" si="752"/>
        <v>SPS1</v>
      </c>
      <c r="C670" t="str">
        <f t="shared" si="753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56">G667-G673</f>
        <v>0</v>
      </c>
      <c r="H670" s="1">
        <f t="shared" si="756"/>
        <v>0</v>
      </c>
      <c r="I670" s="1">
        <f t="shared" si="756"/>
        <v>0</v>
      </c>
      <c r="J670" s="1">
        <f t="shared" si="756"/>
        <v>0</v>
      </c>
      <c r="K670" s="1">
        <f t="shared" si="756"/>
        <v>0</v>
      </c>
      <c r="L670" s="1">
        <f t="shared" ref="L670:O670" si="757">L667-L673</f>
        <v>0</v>
      </c>
      <c r="M670" s="1">
        <f t="shared" si="757"/>
        <v>0</v>
      </c>
      <c r="N670" s="1">
        <f t="shared" si="757"/>
        <v>0</v>
      </c>
      <c r="O670" s="1">
        <f t="shared" si="757"/>
        <v>0</v>
      </c>
      <c r="P670" s="1">
        <f t="shared" ref="P670:Q672" si="758">P667-P673</f>
        <v>0</v>
      </c>
      <c r="Q670" s="1">
        <f t="shared" si="758"/>
        <v>0</v>
      </c>
      <c r="S670" s="3"/>
    </row>
    <row r="671" spans="2:19" x14ac:dyDescent="0.5">
      <c r="B671" t="str">
        <f t="shared" si="752"/>
        <v>SPS1</v>
      </c>
      <c r="C671" t="str">
        <f t="shared" si="753"/>
        <v>CH</v>
      </c>
      <c r="D671" t="s">
        <v>607</v>
      </c>
      <c r="E671" s="5" t="s">
        <v>8</v>
      </c>
      <c r="F671" s="1">
        <f t="shared" ref="F671:K671" si="759">F668-F674</f>
        <v>0</v>
      </c>
      <c r="G671" s="1">
        <f t="shared" si="759"/>
        <v>0</v>
      </c>
      <c r="H671" s="1">
        <f t="shared" si="759"/>
        <v>0</v>
      </c>
      <c r="I671" s="1">
        <f t="shared" si="759"/>
        <v>0</v>
      </c>
      <c r="J671" s="1">
        <f t="shared" si="759"/>
        <v>0</v>
      </c>
      <c r="K671" s="1">
        <f t="shared" si="759"/>
        <v>0</v>
      </c>
      <c r="L671" s="1">
        <f t="shared" ref="L671:O671" si="760">L668-L674</f>
        <v>0</v>
      </c>
      <c r="M671" s="1">
        <f t="shared" si="760"/>
        <v>0</v>
      </c>
      <c r="N671" s="1">
        <f t="shared" si="760"/>
        <v>0</v>
      </c>
      <c r="O671" s="1">
        <f t="shared" si="760"/>
        <v>0</v>
      </c>
      <c r="P671" s="1">
        <f t="shared" si="758"/>
        <v>0</v>
      </c>
      <c r="Q671" s="1">
        <f t="shared" si="758"/>
        <v>0</v>
      </c>
      <c r="S671" s="3"/>
    </row>
    <row r="672" spans="2:19" x14ac:dyDescent="0.5">
      <c r="B672" t="str">
        <f t="shared" si="752"/>
        <v>SPS1</v>
      </c>
      <c r="C672" t="str">
        <f t="shared" si="753"/>
        <v>CH</v>
      </c>
      <c r="D672" t="s">
        <v>608</v>
      </c>
      <c r="E672" s="5" t="s">
        <v>8</v>
      </c>
      <c r="F672" s="1">
        <f t="shared" ref="F672:K672" si="761">F669-F675</f>
        <v>0</v>
      </c>
      <c r="G672" s="1">
        <f t="shared" si="761"/>
        <v>0</v>
      </c>
      <c r="H672" s="1">
        <f t="shared" si="761"/>
        <v>0</v>
      </c>
      <c r="I672" s="1">
        <f t="shared" si="761"/>
        <v>0</v>
      </c>
      <c r="J672" s="1">
        <f t="shared" si="761"/>
        <v>0</v>
      </c>
      <c r="K672" s="1">
        <f t="shared" si="761"/>
        <v>0</v>
      </c>
      <c r="L672" s="1">
        <f t="shared" ref="L672:O672" si="762">L669-L675</f>
        <v>0</v>
      </c>
      <c r="M672" s="1">
        <f t="shared" si="762"/>
        <v>0</v>
      </c>
      <c r="N672" s="1">
        <f t="shared" si="762"/>
        <v>0</v>
      </c>
      <c r="O672" s="1">
        <f t="shared" si="762"/>
        <v>0</v>
      </c>
      <c r="P672" s="1">
        <f t="shared" si="758"/>
        <v>0</v>
      </c>
      <c r="Q672" s="1">
        <f t="shared" si="758"/>
        <v>0</v>
      </c>
      <c r="S672" s="3"/>
    </row>
    <row r="673" spans="2:19" x14ac:dyDescent="0.5">
      <c r="B673" t="str">
        <f t="shared" si="752"/>
        <v>SPS1</v>
      </c>
      <c r="C673" t="str">
        <f t="shared" si="753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63">SUM(G674:G675)</f>
        <v>0</v>
      </c>
      <c r="H673" s="1">
        <f t="shared" si="763"/>
        <v>0</v>
      </c>
      <c r="I673" s="1">
        <f t="shared" si="763"/>
        <v>0</v>
      </c>
      <c r="J673" s="1">
        <f t="shared" si="763"/>
        <v>0</v>
      </c>
      <c r="K673" s="1">
        <f t="shared" si="763"/>
        <v>0</v>
      </c>
      <c r="L673" s="1">
        <f t="shared" ref="L673:O673" si="764">SUM(L674:L675)</f>
        <v>0</v>
      </c>
      <c r="M673" s="1">
        <f t="shared" si="764"/>
        <v>3.1533641270516553E-3</v>
      </c>
      <c r="N673" s="1">
        <f t="shared" si="764"/>
        <v>3.215731084946528E-3</v>
      </c>
      <c r="O673" s="1">
        <f t="shared" si="764"/>
        <v>4.8868905390840539E-3</v>
      </c>
      <c r="P673" s="1">
        <f>SUM(P674:P675)</f>
        <v>4.9941011688480518E-3</v>
      </c>
      <c r="Q673" s="1">
        <f>SUM(Q674:Q675)</f>
        <v>1.0202023063845095E-2</v>
      </c>
      <c r="S673" s="3"/>
    </row>
    <row r="674" spans="2:19" x14ac:dyDescent="0.5">
      <c r="B674" t="str">
        <f t="shared" si="752"/>
        <v>SPS1</v>
      </c>
      <c r="C674" t="str">
        <f t="shared" si="753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IFERROR([1]Energy_Balances!F$157/([1]Energy_Balances!F$157+[1]Energy_Balances!F$72),0)*J668</f>
        <v>0</v>
      </c>
      <c r="K674" s="1">
        <f>IFERROR([1]Energy_Balances!G$157/([1]Energy_Balances!G$157+[1]Energy_Balances!G$72),0)*K668</f>
        <v>0</v>
      </c>
      <c r="L674" s="1">
        <f>IFERROR([1]Energy_Balances!H$157/([1]Energy_Balances!H$157+[1]Energy_Balances!H$72),0)*L668</f>
        <v>0</v>
      </c>
      <c r="M674" s="1">
        <f>IFERROR([1]Energy_Balances!I$157/([1]Energy_Balances!I$157+[1]Energy_Balances!I$72),0)*M668</f>
        <v>3.1533641270516553E-3</v>
      </c>
      <c r="N674" s="1">
        <f>IFERROR([1]Energy_Balances!J$157/([1]Energy_Balances!J$157+[1]Energy_Balances!J$72),0)*N668</f>
        <v>3.215731084946528E-3</v>
      </c>
      <c r="O674" s="1">
        <f>IFERROR([1]Energy_Balances!K$157/([1]Energy_Balances!K$157+[1]Energy_Balances!K$72),0)*O668</f>
        <v>4.8868905390840539E-3</v>
      </c>
      <c r="P674" s="1">
        <f>IFERROR([1]Energy_Balances!L$157/([1]Energy_Balances!L$157+[1]Energy_Balances!L$72),0)*P668</f>
        <v>4.9941011688480518E-3</v>
      </c>
      <c r="Q674" s="1">
        <f>IFERROR([1]Energy_Balances!M$157/([1]Energy_Balances!M$157+[1]Energy_Balances!M$72),0)*Q668</f>
        <v>1.0202023063845095E-2</v>
      </c>
      <c r="S674" s="3"/>
    </row>
    <row r="675" spans="2:19" x14ac:dyDescent="0.5">
      <c r="B675" t="str">
        <f t="shared" si="752"/>
        <v>SPS1</v>
      </c>
      <c r="C675" t="str">
        <f t="shared" si="753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IFERROR([1]Energy_Balances!F$157/([1]Energy_Balances!F$157+[1]Energy_Balances!F$72),0)*J669</f>
        <v>0</v>
      </c>
      <c r="K675" s="1">
        <f>IFERROR([1]Energy_Balances!G$157/([1]Energy_Balances!G$157+[1]Energy_Balances!G$72),0)*K669</f>
        <v>0</v>
      </c>
      <c r="L675" s="1">
        <f>IFERROR([1]Energy_Balances!H$157/([1]Energy_Balances!H$157+[1]Energy_Balances!H$72),0)*L669</f>
        <v>0</v>
      </c>
      <c r="M675" s="1">
        <f>IFERROR([1]Energy_Balances!I$157/([1]Energy_Balances!I$157+[1]Energy_Balances!I$72),0)*M669</f>
        <v>0</v>
      </c>
      <c r="N675" s="1">
        <f>IFERROR([1]Energy_Balances!J$157/([1]Energy_Balances!J$157+[1]Energy_Balances!J$72),0)*N669</f>
        <v>0</v>
      </c>
      <c r="O675" s="1">
        <f>IFERROR([1]Energy_Balances!K$157/([1]Energy_Balances!K$157+[1]Energy_Balances!K$72),0)*O669</f>
        <v>0</v>
      </c>
      <c r="P675" s="1">
        <f>IFERROR([1]Energy_Balances!L$157/([1]Energy_Balances!L$157+[1]Energy_Balances!L$72),0)*P669</f>
        <v>0</v>
      </c>
      <c r="Q675" s="1">
        <f>IFERROR([1]Energy_Balances!M$157/([1]Energy_Balances!M$157+[1]Energy_Balances!M$72),0)*Q669</f>
        <v>0</v>
      </c>
      <c r="S675" s="3"/>
    </row>
    <row r="676" spans="2:19" x14ac:dyDescent="0.5">
      <c r="B676" t="str">
        <f t="shared" ref="B676:B678" si="765">B675</f>
        <v>SPS1</v>
      </c>
      <c r="C676" t="str">
        <f t="shared" ref="C676:C678" si="766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67">SUM(G677:G678)</f>
        <v>0</v>
      </c>
      <c r="H676" s="1">
        <f t="shared" si="767"/>
        <v>0</v>
      </c>
      <c r="I676" s="1">
        <f t="shared" si="767"/>
        <v>0</v>
      </c>
      <c r="J676" s="1">
        <f t="shared" si="767"/>
        <v>0</v>
      </c>
      <c r="K676" s="1">
        <f t="shared" si="767"/>
        <v>0</v>
      </c>
      <c r="L676" s="1">
        <f t="shared" ref="L676:O676" si="768">SUM(L677:L678)</f>
        <v>0</v>
      </c>
      <c r="M676" s="1">
        <f t="shared" si="768"/>
        <v>1.6591105728256502E-2</v>
      </c>
      <c r="N676" s="1">
        <f t="shared" si="768"/>
        <v>1.5911935043358676E-2</v>
      </c>
      <c r="O676" s="1">
        <f t="shared" si="768"/>
        <v>2.33110091936885E-2</v>
      </c>
      <c r="P676" s="1">
        <f>SUM(P677:P678)</f>
        <v>2.4247139417352251E-2</v>
      </c>
      <c r="Q676" s="1">
        <f>SUM(Q677:Q678)</f>
        <v>7.7700004487894644E-2</v>
      </c>
      <c r="S676" s="3"/>
    </row>
    <row r="677" spans="2:19" x14ac:dyDescent="0.5">
      <c r="B677" t="str">
        <f t="shared" si="765"/>
        <v>SPS1</v>
      </c>
      <c r="C677" t="str">
        <f t="shared" si="766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[1]Other_transformation!F31</f>
        <v>0</v>
      </c>
      <c r="K677" s="1">
        <f>[1]Other_transformation!G31</f>
        <v>0</v>
      </c>
      <c r="L677" s="1">
        <f>[1]Other_transformation!H31</f>
        <v>0</v>
      </c>
      <c r="M677" s="1">
        <f>[1]Other_transformation!I31</f>
        <v>1.6591105728256502E-2</v>
      </c>
      <c r="N677" s="1">
        <f>[1]Other_transformation!J31</f>
        <v>1.5911935043358676E-2</v>
      </c>
      <c r="O677" s="1">
        <f>[1]Other_transformation!K31</f>
        <v>2.33110091936885E-2</v>
      </c>
      <c r="P677" s="1">
        <f>[1]Other_transformation!L31</f>
        <v>2.4247139417352251E-2</v>
      </c>
      <c r="Q677" s="1">
        <f>[1]Other_transformation!M31</f>
        <v>7.7700004487894644E-2</v>
      </c>
      <c r="S677" s="3"/>
    </row>
    <row r="678" spans="2:19" x14ac:dyDescent="0.5">
      <c r="B678" t="str">
        <f t="shared" si="765"/>
        <v>SPS1</v>
      </c>
      <c r="C678" t="str">
        <f t="shared" si="766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[1]Other_transformation!F32</f>
        <v>0</v>
      </c>
      <c r="K678" s="1">
        <f>[1]Other_transformation!G32</f>
        <v>0</v>
      </c>
      <c r="L678" s="1">
        <f>[1]Other_transformation!H32</f>
        <v>0</v>
      </c>
      <c r="M678" s="1">
        <f>[1]Other_transformation!I32</f>
        <v>0</v>
      </c>
      <c r="N678" s="1">
        <f>[1]Other_transformation!J32</f>
        <v>0</v>
      </c>
      <c r="O678" s="1">
        <f>[1]Other_transformation!K32</f>
        <v>0</v>
      </c>
      <c r="P678" s="1">
        <f>[1]Other_transformation!L32</f>
        <v>0</v>
      </c>
      <c r="Q678" s="1">
        <f>[1]Other_transformation!M32</f>
        <v>0</v>
      </c>
      <c r="S678" s="3"/>
    </row>
    <row r="679" spans="2:19" x14ac:dyDescent="0.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5.8626360562511071E-3</v>
      </c>
      <c r="G679" s="3">
        <f t="shared" ref="G679:K679" si="769">SUM(G680,G684,G686,G695)</f>
        <v>8.4804941645605578E-3</v>
      </c>
      <c r="H679" s="3">
        <f t="shared" si="769"/>
        <v>8.4555254591415913E-3</v>
      </c>
      <c r="I679" s="3">
        <f t="shared" si="769"/>
        <v>2.8659717157907535E-2</v>
      </c>
      <c r="J679" s="3">
        <f t="shared" si="769"/>
        <v>8.1249232403556984E-2</v>
      </c>
      <c r="K679" s="3">
        <f t="shared" si="769"/>
        <v>0.11210423350608306</v>
      </c>
      <c r="L679" s="3">
        <f t="shared" ref="L679:O679" si="770">SUM(L680,L684,L686,L695)</f>
        <v>0.10876433070591757</v>
      </c>
      <c r="M679" s="3">
        <f t="shared" si="770"/>
        <v>0.30967317905456282</v>
      </c>
      <c r="N679" s="3">
        <f t="shared" si="770"/>
        <v>0.32370187540402018</v>
      </c>
      <c r="O679" s="3">
        <f t="shared" si="770"/>
        <v>0.81807362966095098</v>
      </c>
      <c r="P679" s="3">
        <f>SUM(P680,P684,P686,P695)</f>
        <v>0.8485593379470473</v>
      </c>
      <c r="Q679" s="3">
        <f>SUM(Q680,Q684,Q686,Q695)</f>
        <v>1.044452097310518</v>
      </c>
      <c r="S679" s="3"/>
    </row>
    <row r="680" spans="2:19" x14ac:dyDescent="0.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5.8626360562511071E-3</v>
      </c>
      <c r="G680" s="1">
        <f t="shared" ref="G680:K680" si="771">SUM(G681:G683)</f>
        <v>8.4804941645605578E-3</v>
      </c>
      <c r="H680" s="1">
        <f t="shared" si="771"/>
        <v>8.4555254591415913E-3</v>
      </c>
      <c r="I680" s="1">
        <f t="shared" si="771"/>
        <v>2.8659717157907535E-2</v>
      </c>
      <c r="J680" s="1">
        <f t="shared" si="771"/>
        <v>8.1249232403556984E-2</v>
      </c>
      <c r="K680" s="1">
        <f t="shared" si="771"/>
        <v>0.10863670594371708</v>
      </c>
      <c r="L680" s="1">
        <f t="shared" ref="L680:O680" si="772">SUM(L681:L683)</f>
        <v>0.10498971348289599</v>
      </c>
      <c r="M680" s="1">
        <f t="shared" si="772"/>
        <v>0.27329123448820097</v>
      </c>
      <c r="N680" s="1">
        <f t="shared" si="772"/>
        <v>0.28881888247555482</v>
      </c>
      <c r="O680" s="1">
        <f t="shared" si="772"/>
        <v>0.76828763219929463</v>
      </c>
      <c r="P680" s="1">
        <f>SUM(P681:P683)</f>
        <v>0.79704780846176149</v>
      </c>
      <c r="Q680" s="1">
        <f>SUM(Q681:Q683)</f>
        <v>0.89324109694424914</v>
      </c>
      <c r="S680" s="3"/>
    </row>
    <row r="681" spans="2:19" x14ac:dyDescent="0.5">
      <c r="B681" t="str">
        <f t="shared" ref="B681:B697" si="773">B680</f>
        <v>SPS1</v>
      </c>
      <c r="C681" t="str">
        <f t="shared" ref="C681:C697" si="774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5.8626360562511071E-3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8.4804941645605578E-3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8.4555254591415913E-3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2.8563718041639485E-2</v>
      </c>
      <c r="J681" s="1" cm="1">
        <f t="array" ref="J681">SUMPRODUCT(("SUP_ELCH2"=[1]OUT_SyntheticFuels!$C$4:$C$1000)*1,ISNUMBER(SEARCH("ELC",[1]OUT_SyntheticFuels!$A$4:$A$1000))*1,("Var_Fin"=[1]OUT_SyntheticFuels!$B$4:$B$1000)*1,[1]OUT_SyntheticFuels!I$4:I$1000)</f>
        <v>7.970432805169976E-2</v>
      </c>
      <c r="K681" s="1" cm="1">
        <f t="array" ref="K681">SUMPRODUCT(("SUP_ELCH2"=[1]OUT_SyntheticFuels!$C$4:$C$1000)*1,ISNUMBER(SEARCH("ELC",[1]OUT_SyntheticFuels!$A$4:$A$1000))*1,("Var_Fin"=[1]OUT_SyntheticFuels!$B$4:$B$1000)*1,[1]OUT_SyntheticFuels!J$4:J$1000)</f>
        <v>8.1622282836657289E-2</v>
      </c>
      <c r="L681" s="1" cm="1">
        <f t="array" ref="L681">SUMPRODUCT(("SUP_ELCH2"=[1]OUT_SyntheticFuels!$C$4:$C$1000)*1,ISNUMBER(SEARCH("ELC",[1]OUT_SyntheticFuels!$A$4:$A$1000))*1,("Var_Fin"=[1]OUT_SyntheticFuels!$B$4:$B$1000)*1,[1]OUT_SyntheticFuels!K$4:K$1000)</f>
        <v>7.1749155646066529E-2</v>
      </c>
      <c r="M681" s="1" cm="1">
        <f t="array" ref="M681">SUMPRODUCT(("SUP_ELCH2"=[1]OUT_SyntheticFuels!$C$4:$C$1000)*1,ISNUMBER(SEARCH("ELC",[1]OUT_SyntheticFuels!$A$4:$A$1000))*1,("Var_Fin"=[1]OUT_SyntheticFuels!$B$4:$B$1000)*1,[1]OUT_SyntheticFuels!L$4:L$1000)</f>
        <v>0.22775342020893655</v>
      </c>
      <c r="N681" s="1" cm="1">
        <f t="array" ref="N681">SUMPRODUCT(("SUP_ELCH2"=[1]OUT_SyntheticFuels!$C$4:$C$1000)*1,ISNUMBER(SEARCH("ELC",[1]OUT_SyntheticFuels!$A$4:$A$1000))*1,("Var_Fin"=[1]OUT_SyntheticFuels!$B$4:$B$1000)*1,[1]OUT_SyntheticFuels!M$4:M$1000)</f>
        <v>0.24732154543628312</v>
      </c>
      <c r="O681" s="1" cm="1">
        <f t="array" ref="O681">SUMPRODUCT(("SUP_ELCH2"=[1]OUT_SyntheticFuels!$C$4:$C$1000)*1,ISNUMBER(SEARCH("ELC",[1]OUT_SyntheticFuels!$A$4:$A$1000))*1,("Var_Fin"=[1]OUT_SyntheticFuels!$B$4:$B$1000)*1,[1]OUT_SyntheticFuels!N$4:N$1000)</f>
        <v>0.72337904664675123</v>
      </c>
      <c r="P681" s="1" cm="1">
        <f t="array" ref="P681">SUMPRODUCT(("SUP_ELCH2"=[1]OUT_SyntheticFuels!$C$4:$C$1000)*1,ISNUMBER(SEARCH("ELC",[1]OUT_SyntheticFuels!$A$4:$A$1000))*1,("Var_Fin"=[1]OUT_SyntheticFuels!$B$4:$B$1000)*1,[1]OUT_SyntheticFuels!O$4:O$1000)</f>
        <v>0.75276455987051694</v>
      </c>
      <c r="Q681" s="1" cm="1">
        <f t="array" ref="Q681">SUMPRODUCT(("SUP_ELCH2"=[1]OUT_SyntheticFuels!$C$4:$C$1000)*1,ISNUMBER(SEARCH("ELC",[1]OUT_SyntheticFuels!$A$4:$A$1000))*1,("Var_Fin"=[1]OUT_SyntheticFuels!$B$4:$B$1000)*1,[1]OUT_SyntheticFuels!P$4:P$1000)</f>
        <v>0.81182642216545808</v>
      </c>
      <c r="S681" s="3"/>
    </row>
    <row r="682" spans="2:19" x14ac:dyDescent="0.5">
      <c r="B682" t="str">
        <f t="shared" ref="B682" si="775">B681</f>
        <v>SPS1</v>
      </c>
      <c r="C682" t="str">
        <f t="shared" ref="C682" si="776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9.5999116268050133E-5</v>
      </c>
      <c r="J682" s="1" cm="1">
        <f t="array" ref="J682">SUMPRODUCT(("SUP_ELCH2_D"=[1]OUT_SyntheticFuels!$C$4:$C$1000)*1,ISNUMBER(SEARCH("ELC",[1]OUT_SyntheticFuels!$A$4:$A$1000))*1,("Var_Fin"=[1]OUT_SyntheticFuels!$B$4:$B$1000)*1,[1]OUT_SyntheticFuels!I$4:I$1000)</f>
        <v>1.5449043518572245E-3</v>
      </c>
      <c r="K682" s="1" cm="1">
        <f t="array" ref="K682">SUMPRODUCT(("SUP_ELCH2_D"=[1]OUT_SyntheticFuels!$C$4:$C$1000)*1,ISNUMBER(SEARCH("ELC",[1]OUT_SyntheticFuels!$A$4:$A$1000))*1,("Var_Fin"=[1]OUT_SyntheticFuels!$B$4:$B$1000)*1,[1]OUT_SyntheticFuels!J$4:J$1000)</f>
        <v>3.8086617281489579E-3</v>
      </c>
      <c r="L682" s="1" cm="1">
        <f t="array" ref="L682">SUMPRODUCT(("SUP_ELCH2_D"=[1]OUT_SyntheticFuels!$C$4:$C$1000)*1,ISNUMBER(SEARCH("ELC",[1]OUT_SyntheticFuels!$A$4:$A$1000))*1,("Var_Fin"=[1]OUT_SyntheticFuels!$B$4:$B$1000)*1,[1]OUT_SyntheticFuels!K$4:K$1000)</f>
        <v>4.2648197424579194E-3</v>
      </c>
      <c r="M682" s="1" cm="1">
        <f t="array" ref="M682">SUMPRODUCT(("SUP_ELCH2_D"=[1]OUT_SyntheticFuels!$C$4:$C$1000)*1,ISNUMBER(SEARCH("ELC",[1]OUT_SyntheticFuels!$A$4:$A$1000))*1,("Var_Fin"=[1]OUT_SyntheticFuels!$B$4:$B$1000)*1,[1]OUT_SyntheticFuels!L$4:L$1000)</f>
        <v>4.3093690314670056E-3</v>
      </c>
      <c r="N682" s="1" cm="1">
        <f t="array" ref="N682">SUMPRODUCT(("SUP_ELCH2_D"=[1]OUT_SyntheticFuels!$C$4:$C$1000)*1,ISNUMBER(SEARCH("ELC",[1]OUT_SyntheticFuels!$A$4:$A$1000))*1,("Var_Fin"=[1]OUT_SyntheticFuels!$B$4:$B$1000)*1,[1]OUT_SyntheticFuels!M$4:M$1000)</f>
        <v>4.3104523394091746E-3</v>
      </c>
      <c r="O682" s="1" cm="1">
        <f t="array" ref="O682">SUMPRODUCT(("SUP_ELCH2_D"=[1]OUT_SyntheticFuels!$C$4:$C$1000)*1,ISNUMBER(SEARCH("ELC",[1]OUT_SyntheticFuels!$A$4:$A$1000))*1,("Var_Fin"=[1]OUT_SyntheticFuels!$B$4:$B$1000)*1,[1]OUT_SyntheticFuels!N$4:N$1000)</f>
        <v>4.3708184763266052E-3</v>
      </c>
      <c r="P682" s="1" cm="1">
        <f t="array" ref="P682">SUMPRODUCT(("SUP_ELCH2_D"=[1]OUT_SyntheticFuels!$C$4:$C$1000)*1,ISNUMBER(SEARCH("ELC",[1]OUT_SyntheticFuels!$A$4:$A$1000))*1,("Var_Fin"=[1]OUT_SyntheticFuels!$B$4:$B$1000)*1,[1]OUT_SyntheticFuels!O$4:O$1000)</f>
        <v>3.527246220313919E-3</v>
      </c>
      <c r="Q682" s="1" cm="1">
        <f t="array" ref="Q682">SUMPRODUCT(("SUP_ELCH2_D"=[1]OUT_SyntheticFuels!$C$4:$C$1000)*1,ISNUMBER(SEARCH("ELC",[1]OUT_SyntheticFuels!$A$4:$A$1000))*1,("Var_Fin"=[1]OUT_SyntheticFuels!$B$4:$B$1000)*1,[1]OUT_SyntheticFuels!P$4:P$1000)</f>
        <v>6.8291698200090923E-3</v>
      </c>
      <c r="S682" s="3"/>
    </row>
    <row r="683" spans="2:19" x14ac:dyDescent="0.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SUMPRODUCT(("SUP_ELCH2_SOEC"=[1]OUT_SyntheticFuels!$C$4:$C$1000)*1,ISNUMBER(SEARCH("ELC",[1]OUT_SyntheticFuels!$A$4:$A$1000))*1,("Var_Fin"=[1]OUT_SyntheticFuels!$B$4:$B$1000)*1,[1]OUT_SyntheticFuels!I$4:I$1000)</f>
        <v>0</v>
      </c>
      <c r="K683" s="1" cm="1">
        <f t="array" ref="K683">SUMPRODUCT(("SUP_ELCH2_SOEC"=[1]OUT_SyntheticFuels!$C$4:$C$1000)*1,ISNUMBER(SEARCH("ELC",[1]OUT_SyntheticFuels!$A$4:$A$1000))*1,("Var_Fin"=[1]OUT_SyntheticFuels!$B$4:$B$1000)*1,[1]OUT_SyntheticFuels!J$4:J$1000)</f>
        <v>2.3205761378910821E-2</v>
      </c>
      <c r="L683" s="1" cm="1">
        <f t="array" ref="L683">SUMPRODUCT(("SUP_ELCH2_SOEC"=[1]OUT_SyntheticFuels!$C$4:$C$1000)*1,ISNUMBER(SEARCH("ELC",[1]OUT_SyntheticFuels!$A$4:$A$1000))*1,("Var_Fin"=[1]OUT_SyntheticFuels!$B$4:$B$1000)*1,[1]OUT_SyntheticFuels!K$4:K$1000)</f>
        <v>2.8975738094371539E-2</v>
      </c>
      <c r="M683" s="1" cm="1">
        <f t="array" ref="M683">SUMPRODUCT(("SUP_ELCH2_SOEC"=[1]OUT_SyntheticFuels!$C$4:$C$1000)*1,ISNUMBER(SEARCH("ELC",[1]OUT_SyntheticFuels!$A$4:$A$1000))*1,("Var_Fin"=[1]OUT_SyntheticFuels!$B$4:$B$1000)*1,[1]OUT_SyntheticFuels!L$4:L$1000)</f>
        <v>4.1228445247797424E-2</v>
      </c>
      <c r="N683" s="1" cm="1">
        <f t="array" ref="N683">SUMPRODUCT(("SUP_ELCH2_SOEC"=[1]OUT_SyntheticFuels!$C$4:$C$1000)*1,ISNUMBER(SEARCH("ELC",[1]OUT_SyntheticFuels!$A$4:$A$1000))*1,("Var_Fin"=[1]OUT_SyntheticFuels!$B$4:$B$1000)*1,[1]OUT_SyntheticFuels!M$4:M$1000)</f>
        <v>3.7186884699862525E-2</v>
      </c>
      <c r="O683" s="1" cm="1">
        <f t="array" ref="O683">SUMPRODUCT(("SUP_ELCH2_SOEC"=[1]OUT_SyntheticFuels!$C$4:$C$1000)*1,ISNUMBER(SEARCH("ELC",[1]OUT_SyntheticFuels!$A$4:$A$1000))*1,("Var_Fin"=[1]OUT_SyntheticFuels!$B$4:$B$1000)*1,[1]OUT_SyntheticFuels!N$4:N$1000)</f>
        <v>4.0537767076216848E-2</v>
      </c>
      <c r="P683" s="1" cm="1">
        <f t="array" ref="P683">SUMPRODUCT(("SUP_ELCH2_SOEC"=[1]OUT_SyntheticFuels!$C$4:$C$1000)*1,ISNUMBER(SEARCH("ELC",[1]OUT_SyntheticFuels!$A$4:$A$1000))*1,("Var_Fin"=[1]OUT_SyntheticFuels!$B$4:$B$1000)*1,[1]OUT_SyntheticFuels!O$4:O$1000)</f>
        <v>4.0756002370930577E-2</v>
      </c>
      <c r="Q683" s="1" cm="1">
        <f t="array" ref="Q683">SUMPRODUCT(("SUP_ELCH2_SOEC"=[1]OUT_SyntheticFuels!$C$4:$C$1000)*1,ISNUMBER(SEARCH("ELC",[1]OUT_SyntheticFuels!$A$4:$A$1000))*1,("Var_Fin"=[1]OUT_SyntheticFuels!$B$4:$B$1000)*1,[1]OUT_SyntheticFuels!P$4:P$1000)</f>
        <v>7.4585504958781926E-2</v>
      </c>
      <c r="S683" s="3"/>
    </row>
    <row r="684" spans="2:19" x14ac:dyDescent="0.5">
      <c r="B684" t="str">
        <f t="shared" ref="B684:B685" si="777">B683</f>
        <v>SPS1</v>
      </c>
      <c r="C684" t="str">
        <f t="shared" ref="C684:C685" si="778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O684" si="779">G685</f>
        <v>0</v>
      </c>
      <c r="H684" s="1">
        <f t="shared" si="779"/>
        <v>0</v>
      </c>
      <c r="I684" s="1">
        <f t="shared" si="779"/>
        <v>0</v>
      </c>
      <c r="J684" s="1">
        <f t="shared" si="779"/>
        <v>0</v>
      </c>
      <c r="K684" s="1">
        <f t="shared" si="779"/>
        <v>3.4675275623659886E-3</v>
      </c>
      <c r="L684" s="1">
        <f t="shared" si="779"/>
        <v>3.7746172230215809E-3</v>
      </c>
      <c r="M684" s="1">
        <f t="shared" si="779"/>
        <v>4.580938360866379E-3</v>
      </c>
      <c r="N684" s="1">
        <f t="shared" si="779"/>
        <v>4.1318760777625009E-3</v>
      </c>
      <c r="O684" s="1">
        <f t="shared" si="779"/>
        <v>4.5041963418018631E-3</v>
      </c>
      <c r="P684" s="1">
        <f>P685</f>
        <v>4.5284447078811655E-3</v>
      </c>
      <c r="Q684" s="1">
        <f>Q685</f>
        <v>8.2872783287535352E-3</v>
      </c>
      <c r="S684" s="3"/>
    </row>
    <row r="685" spans="2:19" x14ac:dyDescent="0.5">
      <c r="B685" t="str">
        <f t="shared" si="777"/>
        <v>SPS1</v>
      </c>
      <c r="C685" t="str">
        <f t="shared" si="778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SUMPRODUCT(("SUP_ELCH2_SOEC"=[1]OUT_SyntheticFuels!$C$4:$C$1000)*1,ISNUMBER(SEARCH("CHEAT",[1]OUT_SyntheticFuels!$A$4:$A$1000))*1,("Var_Fin"=[1]OUT_SyntheticFuels!$B$4:$B$1000)*1,[1]OUT_SyntheticFuels!I$4:I$1000)</f>
        <v>0</v>
      </c>
      <c r="K685" s="1" cm="1">
        <f t="array" ref="K685">SUMPRODUCT(("SUP_ELCH2_SOEC"=[1]OUT_SyntheticFuels!$C$4:$C$1000)*1,ISNUMBER(SEARCH("CHEAT",[1]OUT_SyntheticFuels!$A$4:$A$1000))*1,("Var_Fin"=[1]OUT_SyntheticFuels!$B$4:$B$1000)*1,[1]OUT_SyntheticFuels!J$4:J$1000)</f>
        <v>3.4675275623659886E-3</v>
      </c>
      <c r="L685" s="1" cm="1">
        <f t="array" ref="L685">SUMPRODUCT(("SUP_ELCH2_SOEC"=[1]OUT_SyntheticFuels!$C$4:$C$1000)*1,ISNUMBER(SEARCH("CHEAT",[1]OUT_SyntheticFuels!$A$4:$A$1000))*1,("Var_Fin"=[1]OUT_SyntheticFuels!$B$4:$B$1000)*1,[1]OUT_SyntheticFuels!K$4:K$1000)</f>
        <v>3.7746172230215809E-3</v>
      </c>
      <c r="M685" s="1" cm="1">
        <f t="array" ref="M685">SUMPRODUCT(("SUP_ELCH2_SOEC"=[1]OUT_SyntheticFuels!$C$4:$C$1000)*1,ISNUMBER(SEARCH("CHEAT",[1]OUT_SyntheticFuels!$A$4:$A$1000))*1,("Var_Fin"=[1]OUT_SyntheticFuels!$B$4:$B$1000)*1,[1]OUT_SyntheticFuels!L$4:L$1000)</f>
        <v>4.580938360866379E-3</v>
      </c>
      <c r="N685" s="1" cm="1">
        <f t="array" ref="N685">SUMPRODUCT(("SUP_ELCH2_SOEC"=[1]OUT_SyntheticFuels!$C$4:$C$1000)*1,ISNUMBER(SEARCH("CHEAT",[1]OUT_SyntheticFuels!$A$4:$A$1000))*1,("Var_Fin"=[1]OUT_SyntheticFuels!$B$4:$B$1000)*1,[1]OUT_SyntheticFuels!M$4:M$1000)</f>
        <v>4.1318760777625009E-3</v>
      </c>
      <c r="O685" s="1" cm="1">
        <f t="array" ref="O685">SUMPRODUCT(("SUP_ELCH2_SOEC"=[1]OUT_SyntheticFuels!$C$4:$C$1000)*1,ISNUMBER(SEARCH("CHEAT",[1]OUT_SyntheticFuels!$A$4:$A$1000))*1,("Var_Fin"=[1]OUT_SyntheticFuels!$B$4:$B$1000)*1,[1]OUT_SyntheticFuels!N$4:N$1000)</f>
        <v>4.5041963418018631E-3</v>
      </c>
      <c r="P685" s="1" cm="1">
        <f t="array" ref="P685">SUMPRODUCT(("SUP_ELCH2_SOEC"=[1]OUT_SyntheticFuels!$C$4:$C$1000)*1,ISNUMBER(SEARCH("CHEAT",[1]OUT_SyntheticFuels!$A$4:$A$1000))*1,("Var_Fin"=[1]OUT_SyntheticFuels!$B$4:$B$1000)*1,[1]OUT_SyntheticFuels!O$4:O$1000)</f>
        <v>4.5284447078811655E-3</v>
      </c>
      <c r="Q685" s="1" cm="1">
        <f t="array" ref="Q685">SUMPRODUCT(("SUP_ELCH2_SOEC"=[1]OUT_SyntheticFuels!$C$4:$C$1000)*1,ISNUMBER(SEARCH("CHEAT",[1]OUT_SyntheticFuels!$A$4:$A$1000))*1,("Var_Fin"=[1]OUT_SyntheticFuels!$B$4:$B$1000)*1,[1]OUT_SyntheticFuels!P$4:P$1000)</f>
        <v>8.2872783287535352E-3</v>
      </c>
      <c r="S685" s="3"/>
    </row>
    <row r="686" spans="2:19" x14ac:dyDescent="0.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80">SUM(G687:G688)</f>
        <v>0</v>
      </c>
      <c r="H686" s="1">
        <f t="shared" si="780"/>
        <v>0</v>
      </c>
      <c r="I686" s="1">
        <f t="shared" si="780"/>
        <v>0</v>
      </c>
      <c r="J686" s="1">
        <f t="shared" si="780"/>
        <v>0</v>
      </c>
      <c r="K686" s="1">
        <f t="shared" si="780"/>
        <v>0</v>
      </c>
      <c r="L686" s="1">
        <f t="shared" ref="L686:O686" si="781">SUM(L687:L688)</f>
        <v>0</v>
      </c>
      <c r="M686" s="1">
        <f t="shared" si="781"/>
        <v>4.1491633250679717E-3</v>
      </c>
      <c r="N686" s="1">
        <f t="shared" si="781"/>
        <v>4.2312251117717446E-3</v>
      </c>
      <c r="O686" s="1">
        <f t="shared" si="781"/>
        <v>6.4301191303737532E-3</v>
      </c>
      <c r="P686" s="1">
        <f>SUM(P687:P688)</f>
        <v>6.5711857484842843E-3</v>
      </c>
      <c r="Q686" s="1">
        <f>SUM(Q687:Q688)</f>
        <v>1.3423714557690919E-2</v>
      </c>
      <c r="S686" s="3"/>
    </row>
    <row r="687" spans="2:19" x14ac:dyDescent="0.5">
      <c r="B687" t="str">
        <f t="shared" si="773"/>
        <v>SPS1</v>
      </c>
      <c r="C687" t="str">
        <f t="shared" si="774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SUMPRODUCT(("SUP_ngaH2"=[1]OUT_SyntheticFuels!$C$4:$C$1000)*1,ISNUMBER(SEARCH("nga",[1]OUT_SyntheticFuels!$A$4:$A$1000))*1,("Var_Fin"=[1]OUT_SyntheticFuels!$B$4:$B$1000)*1,[1]OUT_SyntheticFuels!I$4:I$1000)</f>
        <v>0</v>
      </c>
      <c r="K687" s="1" cm="1">
        <f t="array" ref="K687">SUMPRODUCT(("SUP_ngaH2"=[1]OUT_SyntheticFuels!$C$4:$C$1000)*1,ISNUMBER(SEARCH("nga",[1]OUT_SyntheticFuels!$A$4:$A$1000))*1,("Var_Fin"=[1]OUT_SyntheticFuels!$B$4:$B$1000)*1,[1]OUT_SyntheticFuels!J$4:J$1000)</f>
        <v>0</v>
      </c>
      <c r="L687" s="1" cm="1">
        <f t="array" ref="L687">SUMPRODUCT(("SUP_ngaH2"=[1]OUT_SyntheticFuels!$C$4:$C$1000)*1,ISNUMBER(SEARCH("nga",[1]OUT_SyntheticFuels!$A$4:$A$1000))*1,("Var_Fin"=[1]OUT_SyntheticFuels!$B$4:$B$1000)*1,[1]OUT_SyntheticFuels!K$4:K$1000)</f>
        <v>0</v>
      </c>
      <c r="M687" s="1" cm="1">
        <f t="array" ref="M687">SUMPRODUCT(("SUP_ngaH2"=[1]OUT_SyntheticFuels!$C$4:$C$1000)*1,ISNUMBER(SEARCH("nga",[1]OUT_SyntheticFuels!$A$4:$A$1000))*1,("Var_Fin"=[1]OUT_SyntheticFuels!$B$4:$B$1000)*1,[1]OUT_SyntheticFuels!L$4:L$1000)</f>
        <v>4.1491633250679717E-3</v>
      </c>
      <c r="N687" s="1" cm="1">
        <f t="array" ref="N687">SUMPRODUCT(("SUP_ngaH2"=[1]OUT_SyntheticFuels!$C$4:$C$1000)*1,ISNUMBER(SEARCH("nga",[1]OUT_SyntheticFuels!$A$4:$A$1000))*1,("Var_Fin"=[1]OUT_SyntheticFuels!$B$4:$B$1000)*1,[1]OUT_SyntheticFuels!M$4:M$1000)</f>
        <v>4.2312251117717446E-3</v>
      </c>
      <c r="O687" s="1" cm="1">
        <f t="array" ref="O687">SUMPRODUCT(("SUP_ngaH2"=[1]OUT_SyntheticFuels!$C$4:$C$1000)*1,ISNUMBER(SEARCH("nga",[1]OUT_SyntheticFuels!$A$4:$A$1000))*1,("Var_Fin"=[1]OUT_SyntheticFuels!$B$4:$B$1000)*1,[1]OUT_SyntheticFuels!N$4:N$1000)</f>
        <v>6.4301191303737532E-3</v>
      </c>
      <c r="P687" s="1" cm="1">
        <f t="array" ref="P687">SUMPRODUCT(("SUP_ngaH2"=[1]OUT_SyntheticFuels!$C$4:$C$1000)*1,ISNUMBER(SEARCH("nga",[1]OUT_SyntheticFuels!$A$4:$A$1000))*1,("Var_Fin"=[1]OUT_SyntheticFuels!$B$4:$B$1000)*1,[1]OUT_SyntheticFuels!O$4:O$1000)</f>
        <v>6.5711857484842843E-3</v>
      </c>
      <c r="Q687" s="1" cm="1">
        <f t="array" ref="Q687">SUMPRODUCT(("SUP_ngaH2"=[1]OUT_SyntheticFuels!$C$4:$C$1000)*1,ISNUMBER(SEARCH("nga",[1]OUT_SyntheticFuels!$A$4:$A$1000))*1,("Var_Fin"=[1]OUT_SyntheticFuels!$B$4:$B$1000)*1,[1]OUT_SyntheticFuels!P$4:P$1000)</f>
        <v>1.3423714557690919E-2</v>
      </c>
      <c r="S687" s="3"/>
    </row>
    <row r="688" spans="2:19" x14ac:dyDescent="0.5">
      <c r="B688" t="str">
        <f t="shared" si="773"/>
        <v>SPS1</v>
      </c>
      <c r="C688" t="str">
        <f t="shared" si="774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SUMPRODUCT(("SUP_ngaH2ccs"=[1]OUT_SyntheticFuels!$C$4:$C$1000)*1,ISNUMBER(SEARCH("nga",[1]OUT_SyntheticFuels!$A$4:$A$1000))*1,("Var_Fin"=[1]OUT_SyntheticFuels!$B$4:$B$1000)*1,[1]OUT_SyntheticFuels!I$4:I$1000)</f>
        <v>0</v>
      </c>
      <c r="K688" s="1" cm="1">
        <f t="array" ref="K688">SUMPRODUCT(("SUP_ngaH2ccs"=[1]OUT_SyntheticFuels!$C$4:$C$1000)*1,ISNUMBER(SEARCH("nga",[1]OUT_SyntheticFuels!$A$4:$A$1000))*1,("Var_Fin"=[1]OUT_SyntheticFuels!$B$4:$B$1000)*1,[1]OUT_SyntheticFuels!J$4:J$1000)</f>
        <v>0</v>
      </c>
      <c r="L688" s="1" cm="1">
        <f t="array" ref="L688">SUMPRODUCT(("SUP_ngaH2ccs"=[1]OUT_SyntheticFuels!$C$4:$C$1000)*1,ISNUMBER(SEARCH("nga",[1]OUT_SyntheticFuels!$A$4:$A$1000))*1,("Var_Fin"=[1]OUT_SyntheticFuels!$B$4:$B$1000)*1,[1]OUT_SyntheticFuels!K$4:K$1000)</f>
        <v>0</v>
      </c>
      <c r="M688" s="1" cm="1">
        <f t="array" ref="M688">SUMPRODUCT(("SUP_ngaH2ccs"=[1]OUT_SyntheticFuels!$C$4:$C$1000)*1,ISNUMBER(SEARCH("nga",[1]OUT_SyntheticFuels!$A$4:$A$1000))*1,("Var_Fin"=[1]OUT_SyntheticFuels!$B$4:$B$1000)*1,[1]OUT_SyntheticFuels!L$4:L$1000)</f>
        <v>0</v>
      </c>
      <c r="N688" s="1" cm="1">
        <f t="array" ref="N688">SUMPRODUCT(("SUP_ngaH2ccs"=[1]OUT_SyntheticFuels!$C$4:$C$1000)*1,ISNUMBER(SEARCH("nga",[1]OUT_SyntheticFuels!$A$4:$A$1000))*1,("Var_Fin"=[1]OUT_SyntheticFuels!$B$4:$B$1000)*1,[1]OUT_SyntheticFuels!M$4:M$1000)</f>
        <v>0</v>
      </c>
      <c r="O688" s="1" cm="1">
        <f t="array" ref="O688">SUMPRODUCT(("SUP_ngaH2ccs"=[1]OUT_SyntheticFuels!$C$4:$C$1000)*1,ISNUMBER(SEARCH("nga",[1]OUT_SyntheticFuels!$A$4:$A$1000))*1,("Var_Fin"=[1]OUT_SyntheticFuels!$B$4:$B$1000)*1,[1]OUT_SyntheticFuels!N$4:N$1000)</f>
        <v>0</v>
      </c>
      <c r="P688" s="1" cm="1">
        <f t="array" ref="P688">SUMPRODUCT(("SUP_ngaH2ccs"=[1]OUT_SyntheticFuels!$C$4:$C$1000)*1,ISNUMBER(SEARCH("nga",[1]OUT_SyntheticFuels!$A$4:$A$1000))*1,("Var_Fin"=[1]OUT_SyntheticFuels!$B$4:$B$1000)*1,[1]OUT_SyntheticFuels!O$4:O$1000)</f>
        <v>0</v>
      </c>
      <c r="Q688" s="1" cm="1">
        <f t="array" ref="Q688">SUMPRODUCT(("SUP_ngaH2ccs"=[1]OUT_SyntheticFuels!$C$4:$C$1000)*1,ISNUMBER(SEARCH("nga",[1]OUT_SyntheticFuels!$A$4:$A$1000))*1,("Var_Fin"=[1]OUT_SyntheticFuels!$B$4:$B$1000)*1,[1]OUT_SyntheticFuels!P$4:P$1000)</f>
        <v>0</v>
      </c>
      <c r="S688" s="3"/>
    </row>
    <row r="689" spans="2:19" x14ac:dyDescent="0.5">
      <c r="B689" t="str">
        <f t="shared" si="773"/>
        <v>SPS1</v>
      </c>
      <c r="C689" t="str">
        <f t="shared" si="774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82">G686-G692</f>
        <v>0</v>
      </c>
      <c r="H689" s="1">
        <f t="shared" si="782"/>
        <v>0</v>
      </c>
      <c r="I689" s="1">
        <f t="shared" si="782"/>
        <v>0</v>
      </c>
      <c r="J689" s="1">
        <f t="shared" si="782"/>
        <v>0</v>
      </c>
      <c r="K689" s="1">
        <f t="shared" si="782"/>
        <v>0</v>
      </c>
      <c r="L689" s="1">
        <f t="shared" ref="L689:O689" si="783">L686-L692</f>
        <v>0</v>
      </c>
      <c r="M689" s="1">
        <f t="shared" si="783"/>
        <v>0</v>
      </c>
      <c r="N689" s="1">
        <f t="shared" si="783"/>
        <v>0</v>
      </c>
      <c r="O689" s="1">
        <f t="shared" si="783"/>
        <v>0</v>
      </c>
      <c r="P689" s="1">
        <f t="shared" ref="P689:Q691" si="784">P686-P692</f>
        <v>0</v>
      </c>
      <c r="Q689" s="1">
        <f t="shared" si="784"/>
        <v>0</v>
      </c>
      <c r="S689" s="3"/>
    </row>
    <row r="690" spans="2:19" x14ac:dyDescent="0.5">
      <c r="B690" t="str">
        <f t="shared" si="773"/>
        <v>SPS1</v>
      </c>
      <c r="C690" t="str">
        <f t="shared" si="774"/>
        <v>CH</v>
      </c>
      <c r="D690" t="s">
        <v>609</v>
      </c>
      <c r="E690" s="5" t="s">
        <v>8</v>
      </c>
      <c r="F690" s="1">
        <f t="shared" ref="F690:K690" si="785">F687-F693</f>
        <v>0</v>
      </c>
      <c r="G690" s="1">
        <f t="shared" si="785"/>
        <v>0</v>
      </c>
      <c r="H690" s="1">
        <f t="shared" si="785"/>
        <v>0</v>
      </c>
      <c r="I690" s="1">
        <f t="shared" si="785"/>
        <v>0</v>
      </c>
      <c r="J690" s="1">
        <f t="shared" si="785"/>
        <v>0</v>
      </c>
      <c r="K690" s="1">
        <f t="shared" si="785"/>
        <v>0</v>
      </c>
      <c r="L690" s="1">
        <f t="shared" ref="L690:O690" si="786">L687-L693</f>
        <v>0</v>
      </c>
      <c r="M690" s="1">
        <f t="shared" si="786"/>
        <v>0</v>
      </c>
      <c r="N690" s="1">
        <f t="shared" si="786"/>
        <v>0</v>
      </c>
      <c r="O690" s="1">
        <f t="shared" si="786"/>
        <v>0</v>
      </c>
      <c r="P690" s="1">
        <f t="shared" si="784"/>
        <v>0</v>
      </c>
      <c r="Q690" s="1">
        <f t="shared" si="784"/>
        <v>0</v>
      </c>
      <c r="S690" s="3"/>
    </row>
    <row r="691" spans="2:19" x14ac:dyDescent="0.5">
      <c r="B691" t="str">
        <f t="shared" si="773"/>
        <v>SPS1</v>
      </c>
      <c r="C691" t="str">
        <f t="shared" si="774"/>
        <v>CH</v>
      </c>
      <c r="D691" t="s">
        <v>610</v>
      </c>
      <c r="E691" s="5" t="s">
        <v>8</v>
      </c>
      <c r="F691" s="1">
        <f t="shared" ref="F691:K691" si="787">F688-F694</f>
        <v>0</v>
      </c>
      <c r="G691" s="1">
        <f t="shared" si="787"/>
        <v>0</v>
      </c>
      <c r="H691" s="1">
        <f t="shared" si="787"/>
        <v>0</v>
      </c>
      <c r="I691" s="1">
        <f t="shared" si="787"/>
        <v>0</v>
      </c>
      <c r="J691" s="1">
        <f t="shared" si="787"/>
        <v>0</v>
      </c>
      <c r="K691" s="1">
        <f t="shared" si="787"/>
        <v>0</v>
      </c>
      <c r="L691" s="1">
        <f t="shared" ref="L691:O691" si="788">L688-L694</f>
        <v>0</v>
      </c>
      <c r="M691" s="1">
        <f t="shared" si="788"/>
        <v>0</v>
      </c>
      <c r="N691" s="1">
        <f t="shared" si="788"/>
        <v>0</v>
      </c>
      <c r="O691" s="1">
        <f t="shared" si="788"/>
        <v>0</v>
      </c>
      <c r="P691" s="1">
        <f t="shared" si="784"/>
        <v>0</v>
      </c>
      <c r="Q691" s="1">
        <f t="shared" si="784"/>
        <v>0</v>
      </c>
      <c r="S691" s="3"/>
    </row>
    <row r="692" spans="2:19" x14ac:dyDescent="0.5">
      <c r="B692" t="str">
        <f t="shared" si="773"/>
        <v>SPS1</v>
      </c>
      <c r="C692" t="str">
        <f t="shared" si="774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89">SUM(G693:G694)</f>
        <v>0</v>
      </c>
      <c r="H692" s="1">
        <f t="shared" si="789"/>
        <v>0</v>
      </c>
      <c r="I692" s="1">
        <f t="shared" si="789"/>
        <v>0</v>
      </c>
      <c r="J692" s="1">
        <f t="shared" si="789"/>
        <v>0</v>
      </c>
      <c r="K692" s="1">
        <f t="shared" si="789"/>
        <v>0</v>
      </c>
      <c r="L692" s="1">
        <f t="shared" ref="L692:O692" si="790">SUM(L693:L694)</f>
        <v>0</v>
      </c>
      <c r="M692" s="1">
        <f t="shared" si="790"/>
        <v>4.1491633250679717E-3</v>
      </c>
      <c r="N692" s="1">
        <f t="shared" si="790"/>
        <v>4.2312251117717446E-3</v>
      </c>
      <c r="O692" s="1">
        <f t="shared" si="790"/>
        <v>6.4301191303737532E-3</v>
      </c>
      <c r="P692" s="1">
        <f>SUM(P693:P694)</f>
        <v>6.5711857484842843E-3</v>
      </c>
      <c r="Q692" s="1">
        <f>SUM(Q693:Q694)</f>
        <v>1.3423714557690919E-2</v>
      </c>
      <c r="S692" s="3"/>
    </row>
    <row r="693" spans="2:19" x14ac:dyDescent="0.5">
      <c r="B693" t="str">
        <f t="shared" si="773"/>
        <v>SPS1</v>
      </c>
      <c r="C693" t="str">
        <f t="shared" si="774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91">IFERROR(G674/G668,0)*G687</f>
        <v>0</v>
      </c>
      <c r="H693" s="1">
        <f t="shared" si="791"/>
        <v>0</v>
      </c>
      <c r="I693" s="1">
        <f t="shared" si="791"/>
        <v>0</v>
      </c>
      <c r="J693" s="1">
        <f t="shared" si="791"/>
        <v>0</v>
      </c>
      <c r="K693" s="1">
        <f t="shared" si="791"/>
        <v>0</v>
      </c>
      <c r="L693" s="1">
        <f t="shared" ref="L693:O693" si="792">IFERROR(L674/L668,0)*L687</f>
        <v>0</v>
      </c>
      <c r="M693" s="1">
        <f t="shared" si="792"/>
        <v>4.1491633250679717E-3</v>
      </c>
      <c r="N693" s="1">
        <f t="shared" si="792"/>
        <v>4.2312251117717446E-3</v>
      </c>
      <c r="O693" s="1">
        <f t="shared" si="792"/>
        <v>6.4301191303737532E-3</v>
      </c>
      <c r="P693" s="1">
        <f>IFERROR(P674/P668,0)*P687</f>
        <v>6.5711857484842843E-3</v>
      </c>
      <c r="Q693" s="1">
        <f>IFERROR(Q674/Q668,0)*Q687</f>
        <v>1.3423714557690919E-2</v>
      </c>
      <c r="S693" s="3"/>
    </row>
    <row r="694" spans="2:19" x14ac:dyDescent="0.5">
      <c r="B694" t="str">
        <f t="shared" si="773"/>
        <v>SPS1</v>
      </c>
      <c r="C694" t="str">
        <f t="shared" si="774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91"/>
        <v>0</v>
      </c>
      <c r="H694" s="1">
        <f t="shared" si="791"/>
        <v>0</v>
      </c>
      <c r="I694" s="1">
        <f t="shared" si="791"/>
        <v>0</v>
      </c>
      <c r="J694" s="1">
        <f t="shared" si="791"/>
        <v>0</v>
      </c>
      <c r="K694" s="1">
        <f t="shared" si="791"/>
        <v>0</v>
      </c>
      <c r="L694" s="1">
        <f t="shared" ref="L694:O694" si="793">IFERROR(L675/L669,0)*L688</f>
        <v>0</v>
      </c>
      <c r="M694" s="1">
        <f t="shared" si="793"/>
        <v>0</v>
      </c>
      <c r="N694" s="1">
        <f t="shared" si="793"/>
        <v>0</v>
      </c>
      <c r="O694" s="1">
        <f t="shared" si="793"/>
        <v>0</v>
      </c>
      <c r="P694" s="1">
        <f>IFERROR(P675/P669,0)*P688</f>
        <v>0</v>
      </c>
      <c r="Q694" s="1">
        <f>IFERROR(Q675/Q669,0)*Q688</f>
        <v>0</v>
      </c>
      <c r="S694" s="3"/>
    </row>
    <row r="695" spans="2:19" x14ac:dyDescent="0.5">
      <c r="B695" t="str">
        <f t="shared" si="773"/>
        <v>SPS1</v>
      </c>
      <c r="C695" t="str">
        <f t="shared" si="774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94">SUM(G696:G697)</f>
        <v>0</v>
      </c>
      <c r="H695" s="1">
        <f t="shared" si="794"/>
        <v>0</v>
      </c>
      <c r="I695" s="1">
        <f t="shared" si="794"/>
        <v>0</v>
      </c>
      <c r="J695" s="1">
        <f t="shared" si="794"/>
        <v>0</v>
      </c>
      <c r="K695" s="1">
        <f t="shared" si="794"/>
        <v>0</v>
      </c>
      <c r="L695" s="1">
        <f t="shared" ref="L695:O695" si="795">SUM(L696:L697)</f>
        <v>0</v>
      </c>
      <c r="M695" s="1">
        <f t="shared" si="795"/>
        <v>2.7651842880427491E-2</v>
      </c>
      <c r="N695" s="1">
        <f t="shared" si="795"/>
        <v>2.6519891738931097E-2</v>
      </c>
      <c r="O695" s="1">
        <f t="shared" si="795"/>
        <v>3.8851681989480795E-2</v>
      </c>
      <c r="P695" s="1">
        <f>SUM(P696:P697)</f>
        <v>4.0411899028920416E-2</v>
      </c>
      <c r="Q695" s="1">
        <f>SUM(Q696:Q697)</f>
        <v>0.12950000747982454</v>
      </c>
      <c r="S695" s="3"/>
    </row>
    <row r="696" spans="2:19" x14ac:dyDescent="0.5">
      <c r="B696" t="str">
        <f t="shared" si="773"/>
        <v>SPS1</v>
      </c>
      <c r="C696" t="str">
        <f t="shared" si="774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SUMPRODUCT(("SUP_wodH2"=[1]OUT_SyntheticFuels!$C$4:$C$1000)*1,ISNUMBER(SEARCH("wod",[1]OUT_SyntheticFuels!$A$4:$A$1000))*1,("Var_Fin"=[1]OUT_SyntheticFuels!$B$4:$B$1000)*1,[1]OUT_SyntheticFuels!I$4:I$1000)</f>
        <v>0</v>
      </c>
      <c r="K696" s="1" cm="1">
        <f t="array" ref="K696">SUMPRODUCT(("SUP_wodH2"=[1]OUT_SyntheticFuels!$C$4:$C$1000)*1,ISNUMBER(SEARCH("wod",[1]OUT_SyntheticFuels!$A$4:$A$1000))*1,("Var_Fin"=[1]OUT_SyntheticFuels!$B$4:$B$1000)*1,[1]OUT_SyntheticFuels!J$4:J$1000)</f>
        <v>0</v>
      </c>
      <c r="L696" s="1" cm="1">
        <f t="array" ref="L696">SUMPRODUCT(("SUP_wodH2"=[1]OUT_SyntheticFuels!$C$4:$C$1000)*1,ISNUMBER(SEARCH("wod",[1]OUT_SyntheticFuels!$A$4:$A$1000))*1,("Var_Fin"=[1]OUT_SyntheticFuels!$B$4:$B$1000)*1,[1]OUT_SyntheticFuels!K$4:K$1000)</f>
        <v>0</v>
      </c>
      <c r="M696" s="1" cm="1">
        <f t="array" ref="M696">SUMPRODUCT(("SUP_wodH2"=[1]OUT_SyntheticFuels!$C$4:$C$1000)*1,ISNUMBER(SEARCH("wod",[1]OUT_SyntheticFuels!$A$4:$A$1000))*1,("Var_Fin"=[1]OUT_SyntheticFuels!$B$4:$B$1000)*1,[1]OUT_SyntheticFuels!L$4:L$1000)</f>
        <v>2.7651842880427491E-2</v>
      </c>
      <c r="N696" s="1" cm="1">
        <f t="array" ref="N696">SUMPRODUCT(("SUP_wodH2"=[1]OUT_SyntheticFuels!$C$4:$C$1000)*1,ISNUMBER(SEARCH("wod",[1]OUT_SyntheticFuels!$A$4:$A$1000))*1,("Var_Fin"=[1]OUT_SyntheticFuels!$B$4:$B$1000)*1,[1]OUT_SyntheticFuels!M$4:M$1000)</f>
        <v>2.6519891738931097E-2</v>
      </c>
      <c r="O696" s="1" cm="1">
        <f t="array" ref="O696">SUMPRODUCT(("SUP_wodH2"=[1]OUT_SyntheticFuels!$C$4:$C$1000)*1,ISNUMBER(SEARCH("wod",[1]OUT_SyntheticFuels!$A$4:$A$1000))*1,("Var_Fin"=[1]OUT_SyntheticFuels!$B$4:$B$1000)*1,[1]OUT_SyntheticFuels!N$4:N$1000)</f>
        <v>3.8851681989480795E-2</v>
      </c>
      <c r="P696" s="1" cm="1">
        <f t="array" ref="P696">SUMPRODUCT(("SUP_wodH2"=[1]OUT_SyntheticFuels!$C$4:$C$1000)*1,ISNUMBER(SEARCH("wod",[1]OUT_SyntheticFuels!$A$4:$A$1000))*1,("Var_Fin"=[1]OUT_SyntheticFuels!$B$4:$B$1000)*1,[1]OUT_SyntheticFuels!O$4:O$1000)</f>
        <v>4.0411899028920416E-2</v>
      </c>
      <c r="Q696" s="1" cm="1">
        <f t="array" ref="Q696">SUMPRODUCT(("SUP_wodH2"=[1]OUT_SyntheticFuels!$C$4:$C$1000)*1,ISNUMBER(SEARCH("wod",[1]OUT_SyntheticFuels!$A$4:$A$1000))*1,("Var_Fin"=[1]OUT_SyntheticFuels!$B$4:$B$1000)*1,[1]OUT_SyntheticFuels!P$4:P$1000)</f>
        <v>0.12950000747982454</v>
      </c>
      <c r="S696" s="3"/>
    </row>
    <row r="697" spans="2:19" x14ac:dyDescent="0.5">
      <c r="B697" t="str">
        <f t="shared" si="773"/>
        <v>SPS1</v>
      </c>
      <c r="C697" t="str">
        <f t="shared" si="774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SUMPRODUCT(("SUP_wodH2ccs"=[1]OUT_SyntheticFuels!$C$4:$C$1000)*1,ISNUMBER(SEARCH("wod",[1]OUT_SyntheticFuels!$A$4:$A$1000))*1,("Var_Fin"=[1]OUT_SyntheticFuels!$B$4:$B$1000)*1,[1]OUT_SyntheticFuels!I$4:I$1000)</f>
        <v>0</v>
      </c>
      <c r="K697" s="1" cm="1">
        <f t="array" ref="K697">SUMPRODUCT(("SUP_wodH2ccs"=[1]OUT_SyntheticFuels!$C$4:$C$1000)*1,ISNUMBER(SEARCH("wod",[1]OUT_SyntheticFuels!$A$4:$A$1000))*1,("Var_Fin"=[1]OUT_SyntheticFuels!$B$4:$B$1000)*1,[1]OUT_SyntheticFuels!J$4:J$1000)</f>
        <v>0</v>
      </c>
      <c r="L697" s="1" cm="1">
        <f t="array" ref="L697">SUMPRODUCT(("SUP_wodH2ccs"=[1]OUT_SyntheticFuels!$C$4:$C$1000)*1,ISNUMBER(SEARCH("wod",[1]OUT_SyntheticFuels!$A$4:$A$1000))*1,("Var_Fin"=[1]OUT_SyntheticFuels!$B$4:$B$1000)*1,[1]OUT_SyntheticFuels!K$4:K$1000)</f>
        <v>0</v>
      </c>
      <c r="M697" s="1" cm="1">
        <f t="array" ref="M697">SUMPRODUCT(("SUP_wodH2ccs"=[1]OUT_SyntheticFuels!$C$4:$C$1000)*1,ISNUMBER(SEARCH("wod",[1]OUT_SyntheticFuels!$A$4:$A$1000))*1,("Var_Fin"=[1]OUT_SyntheticFuels!$B$4:$B$1000)*1,[1]OUT_SyntheticFuels!L$4:L$1000)</f>
        <v>0</v>
      </c>
      <c r="N697" s="1" cm="1">
        <f t="array" ref="N697">SUMPRODUCT(("SUP_wodH2ccs"=[1]OUT_SyntheticFuels!$C$4:$C$1000)*1,ISNUMBER(SEARCH("wod",[1]OUT_SyntheticFuels!$A$4:$A$1000))*1,("Var_Fin"=[1]OUT_SyntheticFuels!$B$4:$B$1000)*1,[1]OUT_SyntheticFuels!M$4:M$1000)</f>
        <v>0</v>
      </c>
      <c r="O697" s="1" cm="1">
        <f t="array" ref="O697">SUMPRODUCT(("SUP_wodH2ccs"=[1]OUT_SyntheticFuels!$C$4:$C$1000)*1,ISNUMBER(SEARCH("wod",[1]OUT_SyntheticFuels!$A$4:$A$1000))*1,("Var_Fin"=[1]OUT_SyntheticFuels!$B$4:$B$1000)*1,[1]OUT_SyntheticFuels!N$4:N$1000)</f>
        <v>0</v>
      </c>
      <c r="P697" s="1" cm="1">
        <f t="array" ref="P697">SUMPRODUCT(("SUP_wodH2ccs"=[1]OUT_SyntheticFuels!$C$4:$C$1000)*1,ISNUMBER(SEARCH("wod",[1]OUT_SyntheticFuels!$A$4:$A$1000))*1,("Var_Fin"=[1]OUT_SyntheticFuels!$B$4:$B$1000)*1,[1]OUT_SyntheticFuels!O$4:O$1000)</f>
        <v>0</v>
      </c>
      <c r="Q697" s="1" cm="1">
        <f t="array" ref="Q697">SUMPRODUCT(("SUP_wodH2ccs"=[1]OUT_SyntheticFuels!$C$4:$C$1000)*1,ISNUMBER(SEARCH("wod",[1]OUT_SyntheticFuels!$A$4:$A$1000))*1,("Var_Fin"=[1]OUT_SyntheticFuels!$B$4:$B$1000)*1,[1]OUT_SyntheticFuels!P$4:P$1000)</f>
        <v>0</v>
      </c>
      <c r="S697" s="3"/>
    </row>
    <row r="698" spans="2:19" x14ac:dyDescent="0.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M698" s="4" t="s">
        <v>292</v>
      </c>
      <c r="N698" s="4" t="s">
        <v>292</v>
      </c>
      <c r="O698" s="4" t="s">
        <v>292</v>
      </c>
      <c r="P698" s="4" t="s">
        <v>292</v>
      </c>
      <c r="Q698" s="4" t="s">
        <v>292</v>
      </c>
      <c r="S698" s="3"/>
    </row>
    <row r="699" spans="2:19" x14ac:dyDescent="0.5">
      <c r="B699" t="str">
        <f>B698</f>
        <v>SPS1</v>
      </c>
      <c r="C699" t="str">
        <f t="shared" ref="C699:C705" si="796">C698</f>
        <v>CH</v>
      </c>
      <c r="D699" t="s">
        <v>409</v>
      </c>
      <c r="E699" s="5" t="s">
        <v>240</v>
      </c>
      <c r="F699" s="4">
        <f>IFERROR(F664/F681,"-")</f>
        <v>0.68499999999999983</v>
      </c>
      <c r="G699" s="4">
        <f t="shared" ref="G699:K699" si="797">IFERROR(G664/G681,"-")</f>
        <v>0.69399999999999984</v>
      </c>
      <c r="H699" s="4">
        <f t="shared" si="797"/>
        <v>0.70749999999999957</v>
      </c>
      <c r="I699" s="4">
        <f t="shared" si="797"/>
        <v>0.72999999999999943</v>
      </c>
      <c r="J699" s="4">
        <f t="shared" si="797"/>
        <v>0.75250000000000072</v>
      </c>
      <c r="K699" s="4">
        <f t="shared" si="797"/>
        <v>0.77500000000000002</v>
      </c>
      <c r="L699" s="4">
        <f t="shared" ref="L699:O699" si="798">IFERROR(L664/L681,"-")</f>
        <v>0.79750000000000087</v>
      </c>
      <c r="M699" s="4">
        <f t="shared" si="798"/>
        <v>0.81999999999999962</v>
      </c>
      <c r="N699" s="4">
        <f t="shared" si="798"/>
        <v>0.8200000000000004</v>
      </c>
      <c r="O699" s="4">
        <f t="shared" si="798"/>
        <v>0.8199999999999994</v>
      </c>
      <c r="P699" s="4">
        <f>IFERROR(P664/P681,"-")</f>
        <v>0.8199999999999994</v>
      </c>
      <c r="Q699" s="4">
        <f>IFERROR(Q664/Q681,"-")</f>
        <v>0.82</v>
      </c>
      <c r="S699" s="3"/>
    </row>
    <row r="700" spans="2:19" x14ac:dyDescent="0.5">
      <c r="B700" t="str">
        <f t="shared" ref="B700:B705" si="799">B699</f>
        <v>SPS1</v>
      </c>
      <c r="C700" t="str">
        <f t="shared" si="796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800">IFERROR(G665/G682,"-")</f>
        <v>-</v>
      </c>
      <c r="H700" s="4" t="str">
        <f t="shared" si="800"/>
        <v>-</v>
      </c>
      <c r="I700" s="4">
        <f t="shared" si="800"/>
        <v>0.73000000000000009</v>
      </c>
      <c r="J700" s="4">
        <f t="shared" si="800"/>
        <v>0.75249999999999984</v>
      </c>
      <c r="K700" s="4">
        <f t="shared" si="800"/>
        <v>0.77500000000000024</v>
      </c>
      <c r="L700" s="4">
        <f t="shared" ref="L700:O700" si="801">IFERROR(L665/L682,"-")</f>
        <v>0.79749999999999965</v>
      </c>
      <c r="M700" s="4">
        <f t="shared" si="801"/>
        <v>0.81999999999999917</v>
      </c>
      <c r="N700" s="4">
        <f t="shared" si="801"/>
        <v>0.81999999999999962</v>
      </c>
      <c r="O700" s="4">
        <f t="shared" si="801"/>
        <v>0.82000000000000028</v>
      </c>
      <c r="P700" s="4">
        <f>IFERROR(P665/P682,"-")</f>
        <v>0.81999999999999973</v>
      </c>
      <c r="Q700" s="4">
        <f>IFERROR(Q665/Q682,"-")</f>
        <v>0.82000000000000017</v>
      </c>
      <c r="S700" s="3"/>
    </row>
    <row r="701" spans="2:19" x14ac:dyDescent="0.5">
      <c r="B701" t="str">
        <f t="shared" si="799"/>
        <v>SPS1</v>
      </c>
      <c r="C701" t="str">
        <f t="shared" si="796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802">IFERROR(G666/SUM(G683,G685),"-")</f>
        <v>-</v>
      </c>
      <c r="H701" s="4" t="str">
        <f t="shared" si="802"/>
        <v>-</v>
      </c>
      <c r="I701" s="4" t="str">
        <f t="shared" si="802"/>
        <v>-</v>
      </c>
      <c r="J701" s="4" t="str">
        <f t="shared" si="802"/>
        <v>-</v>
      </c>
      <c r="K701" s="4">
        <f t="shared" si="802"/>
        <v>0.86999999999999988</v>
      </c>
      <c r="L701" s="4">
        <f t="shared" ref="L701:O701" si="803">IFERROR(L666/SUM(L683,L685),"-")</f>
        <v>0.88474576271186434</v>
      </c>
      <c r="M701" s="4">
        <f t="shared" si="803"/>
        <v>0.9</v>
      </c>
      <c r="N701" s="4">
        <f t="shared" si="803"/>
        <v>0.89999999999999991</v>
      </c>
      <c r="O701" s="4">
        <f t="shared" si="803"/>
        <v>0.90000000000000024</v>
      </c>
      <c r="P701" s="4">
        <f>IFERROR(P666/SUM(P683,P685),"-")</f>
        <v>0.90000000000000024</v>
      </c>
      <c r="Q701" s="4">
        <f>IFERROR(Q666/SUM(Q683,Q685),"-")</f>
        <v>0.90000000000000013</v>
      </c>
      <c r="S701" s="3"/>
    </row>
    <row r="702" spans="2:19" x14ac:dyDescent="0.5">
      <c r="B702" t="str">
        <f t="shared" si="799"/>
        <v>SPS1</v>
      </c>
      <c r="C702" t="str">
        <f t="shared" si="796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804">IFERROR(G668/G687,"-")</f>
        <v>-</v>
      </c>
      <c r="H702" s="4" t="str">
        <f t="shared" si="804"/>
        <v>-</v>
      </c>
      <c r="I702" s="4" t="str">
        <f t="shared" si="804"/>
        <v>-</v>
      </c>
      <c r="J702" s="4" t="str">
        <f t="shared" si="804"/>
        <v>-</v>
      </c>
      <c r="K702" s="4" t="str">
        <f t="shared" si="804"/>
        <v>-</v>
      </c>
      <c r="L702" s="4" t="str">
        <f t="shared" ref="L702:O702" si="805">IFERROR(L668/L687,"-")</f>
        <v>-</v>
      </c>
      <c r="M702" s="4">
        <f t="shared" si="805"/>
        <v>0.75999999999999923</v>
      </c>
      <c r="N702" s="4">
        <f t="shared" si="805"/>
        <v>0.76000000000000045</v>
      </c>
      <c r="O702" s="4">
        <f t="shared" si="805"/>
        <v>0.76000000000000023</v>
      </c>
      <c r="P702" s="4">
        <f>IFERROR(P668/P687,"-")</f>
        <v>0.75999999999999934</v>
      </c>
      <c r="Q702" s="4">
        <f>IFERROR(Q668/Q687,"-")</f>
        <v>0.75999999999999979</v>
      </c>
      <c r="S702" s="3"/>
    </row>
    <row r="703" spans="2:19" x14ac:dyDescent="0.5">
      <c r="B703" t="str">
        <f t="shared" si="799"/>
        <v>SPS1</v>
      </c>
      <c r="C703" t="str">
        <f t="shared" si="796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804"/>
        <v>-</v>
      </c>
      <c r="H703" s="4" t="str">
        <f t="shared" si="804"/>
        <v>-</v>
      </c>
      <c r="I703" s="4" t="str">
        <f t="shared" si="804"/>
        <v>-</v>
      </c>
      <c r="J703" s="4" t="str">
        <f t="shared" si="804"/>
        <v>-</v>
      </c>
      <c r="K703" s="4" t="str">
        <f t="shared" si="804"/>
        <v>-</v>
      </c>
      <c r="L703" s="4" t="str">
        <f t="shared" ref="L703:O703" si="806">IFERROR(L669/L688,"-")</f>
        <v>-</v>
      </c>
      <c r="M703" s="4" t="str">
        <f t="shared" si="806"/>
        <v>-</v>
      </c>
      <c r="N703" s="4" t="str">
        <f t="shared" si="806"/>
        <v>-</v>
      </c>
      <c r="O703" s="4" t="str">
        <f t="shared" si="806"/>
        <v>-</v>
      </c>
      <c r="P703" s="4" t="str">
        <f>IFERROR(P669/P688,"-")</f>
        <v>-</v>
      </c>
      <c r="Q703" s="4" t="str">
        <f>IFERROR(Q669/Q688,"-")</f>
        <v>-</v>
      </c>
      <c r="S703" s="3"/>
    </row>
    <row r="704" spans="2:19" x14ac:dyDescent="0.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807">IFERROR(G677/G696,"-")</f>
        <v>-</v>
      </c>
      <c r="H704" s="4" t="str">
        <f t="shared" si="807"/>
        <v>-</v>
      </c>
      <c r="I704" s="4" t="str">
        <f t="shared" si="807"/>
        <v>-</v>
      </c>
      <c r="J704" s="4" t="str">
        <f t="shared" si="807"/>
        <v>-</v>
      </c>
      <c r="K704" s="4" t="str">
        <f t="shared" si="807"/>
        <v>-</v>
      </c>
      <c r="L704" s="4" t="str">
        <f t="shared" ref="L704:O704" si="808">IFERROR(L677/L696,"-")</f>
        <v>-</v>
      </c>
      <c r="M704" s="4">
        <f t="shared" si="808"/>
        <v>0.60000000000000031</v>
      </c>
      <c r="N704" s="4">
        <f t="shared" si="808"/>
        <v>0.60000000000000064</v>
      </c>
      <c r="O704" s="4">
        <f t="shared" si="808"/>
        <v>0.60000000000000064</v>
      </c>
      <c r="P704" s="4">
        <f>IFERROR(P677/P696,"-")</f>
        <v>0.60000000000000009</v>
      </c>
      <c r="Q704" s="4">
        <f>IFERROR(Q677/Q696,"-")</f>
        <v>0.59999999999999942</v>
      </c>
      <c r="S704" s="3"/>
    </row>
    <row r="705" spans="2:19" x14ac:dyDescent="0.5">
      <c r="B705" t="str">
        <f t="shared" si="799"/>
        <v>SPS1</v>
      </c>
      <c r="C705" t="str">
        <f t="shared" si="796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807"/>
        <v>-</v>
      </c>
      <c r="H705" s="4" t="str">
        <f t="shared" si="807"/>
        <v>-</v>
      </c>
      <c r="I705" s="4" t="str">
        <f t="shared" si="807"/>
        <v>-</v>
      </c>
      <c r="J705" s="4" t="str">
        <f t="shared" si="807"/>
        <v>-</v>
      </c>
      <c r="K705" s="4" t="str">
        <f t="shared" si="807"/>
        <v>-</v>
      </c>
      <c r="L705" s="4" t="str">
        <f t="shared" ref="L705:O705" si="809">IFERROR(L678/L697,"-")</f>
        <v>-</v>
      </c>
      <c r="M705" s="4" t="str">
        <f t="shared" si="809"/>
        <v>-</v>
      </c>
      <c r="N705" s="4" t="str">
        <f t="shared" si="809"/>
        <v>-</v>
      </c>
      <c r="O705" s="4" t="str">
        <f t="shared" si="809"/>
        <v>-</v>
      </c>
      <c r="P705" s="4" t="str">
        <f>IFERROR(P678/P697,"-")</f>
        <v>-</v>
      </c>
      <c r="Q705" s="4" t="str">
        <f>IFERROR(Q678/Q697,"-")</f>
        <v>-</v>
      </c>
      <c r="S705" s="3"/>
    </row>
    <row r="706" spans="2:19" x14ac:dyDescent="0.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1.1764725215335543</v>
      </c>
      <c r="G706" s="1">
        <f>[1]Other_transformation!C$39</f>
        <v>3.1966946716914917</v>
      </c>
      <c r="H706" s="1">
        <f>[1]Other_transformation!D$39</f>
        <v>3.1817842368810791</v>
      </c>
      <c r="I706" s="1">
        <f>[1]Other_transformation!E$39</f>
        <v>3.1816545669577141</v>
      </c>
      <c r="J706" s="1">
        <f>[1]Other_transformation!F$39</f>
        <v>3.181659684249889</v>
      </c>
      <c r="K706" s="1">
        <f>[1]Other_transformation!G$39</f>
        <v>3.1794711798527691</v>
      </c>
      <c r="L706" s="1">
        <f>[1]Other_transformation!H$39</f>
        <v>3.1795518437793042</v>
      </c>
      <c r="M706" s="1">
        <f>[1]Other_transformation!I$39</f>
        <v>3.1841823725636567</v>
      </c>
      <c r="N706" s="1">
        <f>[1]Other_transformation!J$39</f>
        <v>3.1839593972181381</v>
      </c>
      <c r="O706" s="1">
        <f>[1]Other_transformation!K$39</f>
        <v>3.1866992186239971</v>
      </c>
      <c r="P706" s="1">
        <f>[1]Other_transformation!L$39</f>
        <v>3.1867759520490995</v>
      </c>
      <c r="Q706" s="1">
        <f>[1]Other_transformation!M$39</f>
        <v>3.1963525135417319</v>
      </c>
      <c r="S706" s="3"/>
    </row>
    <row r="707" spans="2:19" x14ac:dyDescent="0.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1.2890722776472576</v>
      </c>
      <c r="G707" s="1">
        <f>[1]Other_transformation!C$38</f>
        <v>3.5026491532574848</v>
      </c>
      <c r="H707" s="1">
        <f>[1]Other_transformation!D$38</f>
        <v>3.4863116461674624</v>
      </c>
      <c r="I707" s="1">
        <f>[1]Other_transformation!E$38</f>
        <v>3.4861695655830087</v>
      </c>
      <c r="J707" s="1">
        <f>[1]Other_transformation!F$38</f>
        <v>3.4861751726493533</v>
      </c>
      <c r="K707" s="1">
        <f>[1]Other_transformation!G$38</f>
        <v>3.483777207294275</v>
      </c>
      <c r="L707" s="1">
        <f>[1]Other_transformation!H$38</f>
        <v>3.4838655915358063</v>
      </c>
      <c r="M707" s="1">
        <f>[1]Other_transformation!I$38</f>
        <v>3.4889393065419005</v>
      </c>
      <c r="N707" s="1">
        <f>[1]Other_transformation!J$38</f>
        <v>3.4886949903073523</v>
      </c>
      <c r="O707" s="1">
        <f>[1]Other_transformation!K$38</f>
        <v>3.4916970390210773</v>
      </c>
      <c r="P707" s="1">
        <f>[1]Other_transformation!L$38</f>
        <v>3.4917811165743187</v>
      </c>
      <c r="Q707" s="1">
        <f>[1]Other_transformation!M$38</f>
        <v>3.5022742472759587</v>
      </c>
      <c r="S707" s="3"/>
    </row>
    <row r="708" spans="2:19" x14ac:dyDescent="0.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810">F706/F707</f>
        <v>0.91265054871925877</v>
      </c>
      <c r="G708" s="14">
        <f t="shared" si="810"/>
        <v>0.9126505487192591</v>
      </c>
      <c r="H708" s="14">
        <f t="shared" si="810"/>
        <v>0.91265054871925944</v>
      </c>
      <c r="I708" s="14">
        <f t="shared" si="810"/>
        <v>0.9126505487192591</v>
      </c>
      <c r="J708" s="14">
        <f t="shared" si="810"/>
        <v>0.91265054871925877</v>
      </c>
      <c r="K708" s="14">
        <f t="shared" si="810"/>
        <v>0.91265054871925932</v>
      </c>
      <c r="L708" s="14">
        <f t="shared" ref="L708:O708" si="811">L706/L707</f>
        <v>0.91265054871926032</v>
      </c>
      <c r="M708" s="14">
        <f t="shared" si="811"/>
        <v>0.91265054871925899</v>
      </c>
      <c r="N708" s="14">
        <f t="shared" si="811"/>
        <v>0.91265054871925988</v>
      </c>
      <c r="O708" s="14">
        <f t="shared" si="811"/>
        <v>0.91265054871925866</v>
      </c>
      <c r="P708" s="14">
        <f>P706/P707</f>
        <v>0.91265054871925921</v>
      </c>
      <c r="Q708" s="14">
        <f>Q706/Q707</f>
        <v>0.91265054871925855</v>
      </c>
      <c r="S708" s="3"/>
    </row>
    <row r="709" spans="2:19" x14ac:dyDescent="0.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5.9796508519805887</v>
      </c>
      <c r="G709" s="17" cm="1">
        <f t="array" ref="G709">SUMPRODUCT(("CT_CWODPLT"=[1]OUT_SyntheticFuels!$C$4:$C$1000)*1,("Var_Fout"=[1]OUT_SyntheticFuels!$B$4:$B$1000)*1,[1]OUT_SyntheticFuels!F$4:F$1000)</f>
        <v>6.9696556873476512</v>
      </c>
      <c r="H709" s="17" cm="1">
        <f t="array" ref="H709">SUMPRODUCT(("CT_CWODPLT"=[1]OUT_SyntheticFuels!$C$4:$C$1000)*1,("Var_Fout"=[1]OUT_SyntheticFuels!$B$4:$B$1000)*1,[1]OUT_SyntheticFuels!G$4:G$1000)</f>
        <v>6.7848961432602248</v>
      </c>
      <c r="I709" s="17" cm="1">
        <f t="array" ref="I709">SUMPRODUCT(("CT_CWODPLT"=[1]OUT_SyntheticFuels!$C$4:$C$1000)*1,("Var_Fout"=[1]OUT_SyntheticFuels!$B$4:$B$1000)*1,[1]OUT_SyntheticFuels!H$4:H$1000)</f>
        <v>7.1513306460565733</v>
      </c>
      <c r="J709" s="17" cm="1">
        <f t="array" ref="J709">SUMPRODUCT(("CT_CWODPLT"=[1]OUT_SyntheticFuels!$C$4:$C$1000)*1,("Var_Fout"=[1]OUT_SyntheticFuels!$B$4:$B$1000)*1,[1]OUT_SyntheticFuels!I$4:I$1000)</f>
        <v>7.4359293048292372</v>
      </c>
      <c r="K709" s="17" cm="1">
        <f t="array" ref="K709">SUMPRODUCT(("CT_CWODPLT"=[1]OUT_SyntheticFuels!$C$4:$C$1000)*1,("Var_Fout"=[1]OUT_SyntheticFuels!$B$4:$B$1000)*1,[1]OUT_SyntheticFuels!J$4:J$1000)</f>
        <v>7.8758506530310903</v>
      </c>
      <c r="L709" s="17" cm="1">
        <f t="array" ref="L709">SUMPRODUCT(("CT_CWODPLT"=[1]OUT_SyntheticFuels!$C$4:$C$1000)*1,("Var_Fout"=[1]OUT_SyntheticFuels!$B$4:$B$1000)*1,[1]OUT_SyntheticFuels!K$4:K$1000)</f>
        <v>7.8229189364554417</v>
      </c>
      <c r="M709" s="17" cm="1">
        <f t="array" ref="M709">SUMPRODUCT(("CT_CWODPLT"=[1]OUT_SyntheticFuels!$C$4:$C$1000)*1,("Var_Fout"=[1]OUT_SyntheticFuels!$B$4:$B$1000)*1,[1]OUT_SyntheticFuels!L$4:L$1000)</f>
        <v>7.9485908564211245</v>
      </c>
      <c r="N709" s="17" cm="1">
        <f t="array" ref="N709">SUMPRODUCT(("CT_CWODPLT"=[1]OUT_SyntheticFuels!$C$4:$C$1000)*1,("Var_Fout"=[1]OUT_SyntheticFuels!$B$4:$B$1000)*1,[1]OUT_SyntheticFuels!M$4:M$1000)</f>
        <v>7.9274002891264335</v>
      </c>
      <c r="O709" s="17" cm="1">
        <f t="array" ref="O709">SUMPRODUCT(("CT_CWODPLT"=[1]OUT_SyntheticFuels!$C$4:$C$1000)*1,("Var_Fout"=[1]OUT_SyntheticFuels!$B$4:$B$1000)*1,[1]OUT_SyntheticFuels!N$4:N$1000)</f>
        <v>7.9045900516640657</v>
      </c>
      <c r="P709" s="17" cm="1">
        <f t="array" ref="P709">SUMPRODUCT(("CT_CWODPLT"=[1]OUT_SyntheticFuels!$C$4:$C$1000)*1,("Var_Fout"=[1]OUT_SyntheticFuels!$B$4:$B$1000)*1,[1]OUT_SyntheticFuels!O$4:O$1000)</f>
        <v>7.8437970371528918</v>
      </c>
      <c r="Q709" s="17" cm="1">
        <f t="array" ref="Q709">SUMPRODUCT(("CT_CWODPLT"=[1]OUT_SyntheticFuels!$C$4:$C$1000)*1,("Var_Fout"=[1]OUT_SyntheticFuels!$B$4:$B$1000)*1,[1]OUT_SyntheticFuels!P$4:P$1000)</f>
        <v>7.7241767319505819</v>
      </c>
      <c r="S709" s="3"/>
    </row>
    <row r="710" spans="2:19" x14ac:dyDescent="0.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5.9796508519805887</v>
      </c>
      <c r="G710" s="18">
        <f t="shared" ref="G710:K710" si="812">G709</f>
        <v>6.9696556873476512</v>
      </c>
      <c r="H710" s="18">
        <f t="shared" si="812"/>
        <v>6.7848961432602248</v>
      </c>
      <c r="I710" s="18">
        <f t="shared" si="812"/>
        <v>7.1513306460565733</v>
      </c>
      <c r="J710" s="18">
        <f t="shared" si="812"/>
        <v>7.4359293048292372</v>
      </c>
      <c r="K710" s="18">
        <f t="shared" si="812"/>
        <v>7.8758506530310903</v>
      </c>
      <c r="L710" s="18">
        <f t="shared" ref="L710:O710" si="813">L709</f>
        <v>7.8229189364554417</v>
      </c>
      <c r="M710" s="18">
        <f t="shared" si="813"/>
        <v>7.9485908564211245</v>
      </c>
      <c r="N710" s="18">
        <f t="shared" si="813"/>
        <v>7.9274002891264335</v>
      </c>
      <c r="O710" s="18">
        <f t="shared" si="813"/>
        <v>7.9045900516640657</v>
      </c>
      <c r="P710" s="18">
        <f>P709</f>
        <v>7.8437970371528918</v>
      </c>
      <c r="Q710" s="18">
        <f>Q709</f>
        <v>7.7241767319505819</v>
      </c>
      <c r="S710" s="3"/>
    </row>
    <row r="711" spans="2:19" x14ac:dyDescent="0.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7.1186319666435489</v>
      </c>
      <c r="G711" s="17" cm="1">
        <f t="array" ref="G711">SUMPRODUCT(("CT_CWODPLT"=[1]OUT_SyntheticFuels!$C$4:$C$1000)*1,("Var_Fin"=[1]OUT_SyntheticFuels!$B$4:$B$1000)*1,[1]OUT_SyntheticFuels!F$4:F$1000)</f>
        <v>8.297209151604342</v>
      </c>
      <c r="H711" s="17" cm="1">
        <f t="array" ref="H711">SUMPRODUCT(("CT_CWODPLT"=[1]OUT_SyntheticFuels!$C$4:$C$1000)*1,("Var_Fin"=[1]OUT_SyntheticFuels!$B$4:$B$1000)*1,[1]OUT_SyntheticFuels!G$4:G$1000)</f>
        <v>8.0772573134050258</v>
      </c>
      <c r="I711" s="17" cm="1">
        <f t="array" ref="I711">SUMPRODUCT(("CT_CWODPLT"=[1]OUT_SyntheticFuels!$C$4:$C$1000)*1,("Var_Fin"=[1]OUT_SyntheticFuels!$B$4:$B$1000)*1,[1]OUT_SyntheticFuels!H$4:H$1000)</f>
        <v>8.5134888643530626</v>
      </c>
      <c r="J711" s="17" cm="1">
        <f t="array" ref="J711">SUMPRODUCT(("CT_CWODPLT"=[1]OUT_SyntheticFuels!$C$4:$C$1000)*1,("Var_Fin"=[1]OUT_SyntheticFuels!$B$4:$B$1000)*1,[1]OUT_SyntheticFuels!I$4:I$1000)</f>
        <v>8.8522967914633774</v>
      </c>
      <c r="K711" s="17" cm="1">
        <f t="array" ref="K711">SUMPRODUCT(("CT_CWODPLT"=[1]OUT_SyntheticFuels!$C$4:$C$1000)*1,("Var_Fin"=[1]OUT_SyntheticFuels!$B$4:$B$1000)*1,[1]OUT_SyntheticFuels!J$4:J$1000)</f>
        <v>9.3760126821798657</v>
      </c>
      <c r="L711" s="17" cm="1">
        <f t="array" ref="L711">SUMPRODUCT(("CT_CWODPLT"=[1]OUT_SyntheticFuels!$C$4:$C$1000)*1,("Var_Fin"=[1]OUT_SyntheticFuels!$B$4:$B$1000)*1,[1]OUT_SyntheticFuels!K$4:K$1000)</f>
        <v>9.3129987338755313</v>
      </c>
      <c r="M711" s="17" cm="1">
        <f t="array" ref="M711">SUMPRODUCT(("CT_CWODPLT"=[1]OUT_SyntheticFuels!$C$4:$C$1000)*1,("Var_Fin"=[1]OUT_SyntheticFuels!$B$4:$B$1000)*1,[1]OUT_SyntheticFuels!L$4:L$1000)</f>
        <v>9.462608162406088</v>
      </c>
      <c r="N711" s="17" cm="1">
        <f t="array" ref="N711">SUMPRODUCT(("CT_CWODPLT"=[1]OUT_SyntheticFuels!$C$4:$C$1000)*1,("Var_Fin"=[1]OUT_SyntheticFuels!$B$4:$B$1000)*1,[1]OUT_SyntheticFuels!M$4:M$1000)</f>
        <v>9.4373812965790744</v>
      </c>
      <c r="O711" s="17" cm="1">
        <f t="array" ref="O711">SUMPRODUCT(("CT_CWODPLT"=[1]OUT_SyntheticFuels!$C$4:$C$1000)*1,("Var_Fin"=[1]OUT_SyntheticFuels!$B$4:$B$1000)*1,[1]OUT_SyntheticFuels!N$4:N$1000)</f>
        <v>9.410226251981026</v>
      </c>
      <c r="P711" s="17" cm="1">
        <f t="array" ref="P711">SUMPRODUCT(("CT_CWODPLT"=[1]OUT_SyntheticFuels!$C$4:$C$1000)*1,("Var_Fin"=[1]OUT_SyntheticFuels!$B$4:$B$1000)*1,[1]OUT_SyntheticFuels!O$4:O$1000)</f>
        <v>9.3378536156581919</v>
      </c>
      <c r="Q711" s="17" cm="1">
        <f t="array" ref="Q711">SUMPRODUCT(("CT_CWODPLT"=[1]OUT_SyntheticFuels!$C$4:$C$1000)*1,("Var_Fin"=[1]OUT_SyntheticFuels!$B$4:$B$1000)*1,[1]OUT_SyntheticFuels!P$4:P$1000)</f>
        <v>9.1954484904173501</v>
      </c>
      <c r="S711" s="3"/>
    </row>
    <row r="712" spans="2:19" x14ac:dyDescent="0.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814">F711</f>
        <v>7.1186319666435489</v>
      </c>
      <c r="G712" s="18">
        <f t="shared" si="814"/>
        <v>8.297209151604342</v>
      </c>
      <c r="H712" s="18">
        <f t="shared" si="814"/>
        <v>8.0772573134050258</v>
      </c>
      <c r="I712" s="18">
        <f t="shared" si="814"/>
        <v>8.5134888643530626</v>
      </c>
      <c r="J712" s="18">
        <f t="shared" si="814"/>
        <v>8.8522967914633774</v>
      </c>
      <c r="K712" s="18">
        <f t="shared" si="814"/>
        <v>9.3760126821798657</v>
      </c>
      <c r="L712" s="18">
        <f t="shared" ref="L712:O712" si="815">L711</f>
        <v>9.3129987338755313</v>
      </c>
      <c r="M712" s="18">
        <f t="shared" si="815"/>
        <v>9.462608162406088</v>
      </c>
      <c r="N712" s="18">
        <f t="shared" si="815"/>
        <v>9.4373812965790744</v>
      </c>
      <c r="O712" s="18">
        <f t="shared" si="815"/>
        <v>9.410226251981026</v>
      </c>
      <c r="P712" s="18">
        <f>P711</f>
        <v>9.3378536156581919</v>
      </c>
      <c r="Q712" s="18">
        <f>Q711</f>
        <v>9.1954484904173501</v>
      </c>
      <c r="S712" s="3"/>
    </row>
    <row r="713" spans="2:19" x14ac:dyDescent="0.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816">IFERROR(F709/F711,"-")</f>
        <v>0.84000000000000108</v>
      </c>
      <c r="G713" s="14">
        <f t="shared" si="816"/>
        <v>0.84000000000000041</v>
      </c>
      <c r="H713" s="14">
        <f t="shared" si="816"/>
        <v>0.84000000000000041</v>
      </c>
      <c r="I713" s="14">
        <f t="shared" si="816"/>
        <v>0.84000000000000008</v>
      </c>
      <c r="J713" s="14">
        <f t="shared" si="816"/>
        <v>0.84</v>
      </c>
      <c r="K713" s="14">
        <f t="shared" si="816"/>
        <v>0.8400000000000003</v>
      </c>
      <c r="L713" s="14">
        <f t="shared" ref="L713:O713" si="817">IFERROR(L709/L711,"-")</f>
        <v>0.83999999999999952</v>
      </c>
      <c r="M713" s="14">
        <f t="shared" si="817"/>
        <v>0.84000000000000108</v>
      </c>
      <c r="N713" s="14">
        <f t="shared" si="817"/>
        <v>0.84000000000000119</v>
      </c>
      <c r="O713" s="14">
        <f t="shared" si="817"/>
        <v>0.84000000000000041</v>
      </c>
      <c r="P713" s="14">
        <f>IFERROR(P709/P711,"-")</f>
        <v>0.84000000000000108</v>
      </c>
      <c r="Q713" s="14">
        <f>IFERROR(Q709/Q711,"-")</f>
        <v>0.84000000000000086</v>
      </c>
      <c r="S713" s="3"/>
    </row>
    <row r="714" spans="2:19" x14ac:dyDescent="0.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818">G715+G717</f>
        <v>0</v>
      </c>
      <c r="H714" s="17">
        <f t="shared" si="818"/>
        <v>0</v>
      </c>
      <c r="I714" s="17">
        <f t="shared" si="818"/>
        <v>0</v>
      </c>
      <c r="J714" s="17">
        <f t="shared" si="818"/>
        <v>0</v>
      </c>
      <c r="K714" s="17">
        <f t="shared" si="818"/>
        <v>0</v>
      </c>
      <c r="L714" s="17">
        <f t="shared" ref="L714:O714" si="819">L715+L717</f>
        <v>0</v>
      </c>
      <c r="M714" s="17">
        <f t="shared" si="819"/>
        <v>0</v>
      </c>
      <c r="N714" s="17">
        <f t="shared" si="819"/>
        <v>0</v>
      </c>
      <c r="O714" s="17">
        <f t="shared" si="819"/>
        <v>0</v>
      </c>
      <c r="P714" s="17">
        <f>P715+P717</f>
        <v>0</v>
      </c>
      <c r="Q714" s="17">
        <f>Q715+Q717</f>
        <v>0</v>
      </c>
      <c r="S714" s="3"/>
    </row>
    <row r="715" spans="2:19" x14ac:dyDescent="0.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O715" si="820">G716</f>
        <v>0</v>
      </c>
      <c r="H715" s="18">
        <f t="shared" si="820"/>
        <v>0</v>
      </c>
      <c r="I715" s="18">
        <f t="shared" si="820"/>
        <v>0</v>
      </c>
      <c r="J715" s="18">
        <f t="shared" si="820"/>
        <v>0</v>
      </c>
      <c r="K715" s="18">
        <f t="shared" si="820"/>
        <v>0</v>
      </c>
      <c r="L715" s="18">
        <f t="shared" si="820"/>
        <v>0</v>
      </c>
      <c r="M715" s="18">
        <f t="shared" si="820"/>
        <v>0</v>
      </c>
      <c r="N715" s="18">
        <f t="shared" si="820"/>
        <v>0</v>
      </c>
      <c r="O715" s="18">
        <f t="shared" si="820"/>
        <v>0</v>
      </c>
      <c r="P715" s="18">
        <f>P716</f>
        <v>0</v>
      </c>
      <c r="Q715" s="18">
        <f>Q716</f>
        <v>0</v>
      </c>
      <c r="S715" s="3"/>
    </row>
    <row r="716" spans="2:19" x14ac:dyDescent="0.5">
      <c r="B716" s="5" t="str">
        <f t="shared" ref="B716:C718" si="821">B714</f>
        <v>SPS1</v>
      </c>
      <c r="C716" s="5" t="str">
        <f t="shared" si="821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SUMPRODUCT(("SUP_H2NGA"=[1]OUT_SyntheticFuels!$C$4:$C$1000)*1,("NGA"=[1]OUT_SyntheticFuels!$A$4:$A$1000)*1,("Var_Fout"=[1]OUT_SyntheticFuels!$B$4:$B$1000)*1,[1]OUT_SyntheticFuels!I$4:I$1000)</f>
        <v>0</v>
      </c>
      <c r="K716" s="18" cm="1">
        <f t="array" ref="K716">SUMPRODUCT(("SUP_H2NGA"=[1]OUT_SyntheticFuels!$C$4:$C$1000)*1,("NGA"=[1]OUT_SyntheticFuels!$A$4:$A$1000)*1,("Var_Fout"=[1]OUT_SyntheticFuels!$B$4:$B$1000)*1,[1]OUT_SyntheticFuels!J$4:J$1000)</f>
        <v>0</v>
      </c>
      <c r="L716" s="18" cm="1">
        <f t="array" ref="L716">SUMPRODUCT(("SUP_H2NGA"=[1]OUT_SyntheticFuels!$C$4:$C$1000)*1,("NGA"=[1]OUT_SyntheticFuels!$A$4:$A$1000)*1,("Var_Fout"=[1]OUT_SyntheticFuels!$B$4:$B$1000)*1,[1]OUT_SyntheticFuels!K$4:K$1000)</f>
        <v>0</v>
      </c>
      <c r="M716" s="18" cm="1">
        <f t="array" ref="M716">SUMPRODUCT(("SUP_H2NGA"=[1]OUT_SyntheticFuels!$C$4:$C$1000)*1,("NGA"=[1]OUT_SyntheticFuels!$A$4:$A$1000)*1,("Var_Fout"=[1]OUT_SyntheticFuels!$B$4:$B$1000)*1,[1]OUT_SyntheticFuels!L$4:L$1000)</f>
        <v>0</v>
      </c>
      <c r="N716" s="18" cm="1">
        <f t="array" ref="N716">SUMPRODUCT(("SUP_H2NGA"=[1]OUT_SyntheticFuels!$C$4:$C$1000)*1,("NGA"=[1]OUT_SyntheticFuels!$A$4:$A$1000)*1,("Var_Fout"=[1]OUT_SyntheticFuels!$B$4:$B$1000)*1,[1]OUT_SyntheticFuels!M$4:M$1000)</f>
        <v>0</v>
      </c>
      <c r="O716" s="18" cm="1">
        <f t="array" ref="O716">SUMPRODUCT(("SUP_H2NGA"=[1]OUT_SyntheticFuels!$C$4:$C$1000)*1,("NGA"=[1]OUT_SyntheticFuels!$A$4:$A$1000)*1,("Var_Fout"=[1]OUT_SyntheticFuels!$B$4:$B$1000)*1,[1]OUT_SyntheticFuels!N$4:N$1000)</f>
        <v>0</v>
      </c>
      <c r="P716" s="18" cm="1">
        <f t="array" ref="P716">SUMPRODUCT(("SUP_H2NGA"=[1]OUT_SyntheticFuels!$C$4:$C$1000)*1,("NGA"=[1]OUT_SyntheticFuels!$A$4:$A$1000)*1,("Var_Fout"=[1]OUT_SyntheticFuels!$B$4:$B$1000)*1,[1]OUT_SyntheticFuels!O$4:O$1000)</f>
        <v>0</v>
      </c>
      <c r="Q716" s="18" cm="1">
        <f t="array" ref="Q716">SUMPRODUCT(("SUP_H2NGA"=[1]OUT_SyntheticFuels!$C$4:$C$1000)*1,("NGA"=[1]OUT_SyntheticFuels!$A$4:$A$1000)*1,("Var_Fout"=[1]OUT_SyntheticFuels!$B$4:$B$1000)*1,[1]OUT_SyntheticFuels!P$4:P$1000)</f>
        <v>0</v>
      </c>
      <c r="S716" s="3"/>
    </row>
    <row r="717" spans="2:19" x14ac:dyDescent="0.5">
      <c r="B717" s="5" t="str">
        <f t="shared" si="821"/>
        <v>SPS1</v>
      </c>
      <c r="C717" s="5" t="str">
        <f t="shared" si="821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822">SUM(G718:G720)</f>
        <v>0</v>
      </c>
      <c r="H717" s="18">
        <f t="shared" si="822"/>
        <v>0</v>
      </c>
      <c r="I717" s="18">
        <f t="shared" si="822"/>
        <v>0</v>
      </c>
      <c r="J717" s="18">
        <f t="shared" si="822"/>
        <v>0</v>
      </c>
      <c r="K717" s="18">
        <f t="shared" si="822"/>
        <v>0</v>
      </c>
      <c r="L717" s="18">
        <f t="shared" ref="L717:O717" si="823">SUM(L718:L720)</f>
        <v>0</v>
      </c>
      <c r="M717" s="18">
        <f t="shared" si="823"/>
        <v>0</v>
      </c>
      <c r="N717" s="18">
        <f t="shared" si="823"/>
        <v>0</v>
      </c>
      <c r="O717" s="18">
        <f t="shared" si="823"/>
        <v>0</v>
      </c>
      <c r="P717" s="18">
        <f>SUM(P718:P720)</f>
        <v>0</v>
      </c>
      <c r="Q717" s="18">
        <f>SUM(Q718:Q720)</f>
        <v>0</v>
      </c>
      <c r="S717" s="3"/>
    </row>
    <row r="718" spans="2:19" x14ac:dyDescent="0.5">
      <c r="B718" s="5" t="str">
        <f t="shared" si="821"/>
        <v>SPS1</v>
      </c>
      <c r="C718" s="5" t="str">
        <f t="shared" si="821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SUMPRODUCT(("SUP_H2DSL"=[1]OUT_SyntheticFuels!$C$4:$C$1000)*1,("DSL"=[1]OUT_SyntheticFuels!$A$4:$A$1000)*1,("Var_Fout"=[1]OUT_SyntheticFuels!$B$4:$B$1000)*1,[1]OUT_SyntheticFuels!I$4:I$1000)</f>
        <v>0</v>
      </c>
      <c r="K718" s="18" cm="1">
        <f t="array" ref="K718">SUMPRODUCT(("SUP_H2DSL"=[1]OUT_SyntheticFuels!$C$4:$C$1000)*1,("DSL"=[1]OUT_SyntheticFuels!$A$4:$A$1000)*1,("Var_Fout"=[1]OUT_SyntheticFuels!$B$4:$B$1000)*1,[1]OUT_SyntheticFuels!J$4:J$1000)</f>
        <v>0</v>
      </c>
      <c r="L718" s="18" cm="1">
        <f t="array" ref="L718">SUMPRODUCT(("SUP_H2DSL"=[1]OUT_SyntheticFuels!$C$4:$C$1000)*1,("DSL"=[1]OUT_SyntheticFuels!$A$4:$A$1000)*1,("Var_Fout"=[1]OUT_SyntheticFuels!$B$4:$B$1000)*1,[1]OUT_SyntheticFuels!K$4:K$1000)</f>
        <v>0</v>
      </c>
      <c r="M718" s="18" cm="1">
        <f t="array" ref="M718">SUMPRODUCT(("SUP_H2DSL"=[1]OUT_SyntheticFuels!$C$4:$C$1000)*1,("DSL"=[1]OUT_SyntheticFuels!$A$4:$A$1000)*1,("Var_Fout"=[1]OUT_SyntheticFuels!$B$4:$B$1000)*1,[1]OUT_SyntheticFuels!L$4:L$1000)</f>
        <v>0</v>
      </c>
      <c r="N718" s="18" cm="1">
        <f t="array" ref="N718">SUMPRODUCT(("SUP_H2DSL"=[1]OUT_SyntheticFuels!$C$4:$C$1000)*1,("DSL"=[1]OUT_SyntheticFuels!$A$4:$A$1000)*1,("Var_Fout"=[1]OUT_SyntheticFuels!$B$4:$B$1000)*1,[1]OUT_SyntheticFuels!M$4:M$1000)</f>
        <v>0</v>
      </c>
      <c r="O718" s="18" cm="1">
        <f t="array" ref="O718">SUMPRODUCT(("SUP_H2DSL"=[1]OUT_SyntheticFuels!$C$4:$C$1000)*1,("DSL"=[1]OUT_SyntheticFuels!$A$4:$A$1000)*1,("Var_Fout"=[1]OUT_SyntheticFuels!$B$4:$B$1000)*1,[1]OUT_SyntheticFuels!N$4:N$1000)</f>
        <v>0</v>
      </c>
      <c r="P718" s="18" cm="1">
        <f t="array" ref="P718">SUMPRODUCT(("SUP_H2DSL"=[1]OUT_SyntheticFuels!$C$4:$C$1000)*1,("DSL"=[1]OUT_SyntheticFuels!$A$4:$A$1000)*1,("Var_Fout"=[1]OUT_SyntheticFuels!$B$4:$B$1000)*1,[1]OUT_SyntheticFuels!O$4:O$1000)</f>
        <v>0</v>
      </c>
      <c r="Q718" s="18" cm="1">
        <f t="array" ref="Q718">SUMPRODUCT(("SUP_H2DSL"=[1]OUT_SyntheticFuels!$C$4:$C$1000)*1,("DSL"=[1]OUT_SyntheticFuels!$A$4:$A$1000)*1,("Var_Fout"=[1]OUT_SyntheticFuels!$B$4:$B$1000)*1,[1]OUT_SyntheticFuels!P$4:P$1000)</f>
        <v>0</v>
      </c>
      <c r="S718" s="3"/>
    </row>
    <row r="719" spans="2:19" x14ac:dyDescent="0.5">
      <c r="B719" s="5" t="str">
        <f t="shared" ref="B719:C721" si="824">B718</f>
        <v>SPS1</v>
      </c>
      <c r="C719" s="5" t="str">
        <f t="shared" si="824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SUMPRODUCT(("SUP_H2gsl"=[1]OUT_SyntheticFuels!$C$4:$C$1000)*1,("gsl"=[1]OUT_SyntheticFuels!$A$4:$A$1000)*1,("Var_Fout"=[1]OUT_SyntheticFuels!$B$4:$B$1000)*1,[1]OUT_SyntheticFuels!I$4:I$1000)</f>
        <v>0</v>
      </c>
      <c r="K719" s="18" cm="1">
        <f t="array" ref="K719">SUMPRODUCT(("SUP_H2gsl"=[1]OUT_SyntheticFuels!$C$4:$C$1000)*1,("gsl"=[1]OUT_SyntheticFuels!$A$4:$A$1000)*1,("Var_Fout"=[1]OUT_SyntheticFuels!$B$4:$B$1000)*1,[1]OUT_SyntheticFuels!J$4:J$1000)</f>
        <v>0</v>
      </c>
      <c r="L719" s="18" cm="1">
        <f t="array" ref="L719">SUMPRODUCT(("SUP_H2gsl"=[1]OUT_SyntheticFuels!$C$4:$C$1000)*1,("gsl"=[1]OUT_SyntheticFuels!$A$4:$A$1000)*1,("Var_Fout"=[1]OUT_SyntheticFuels!$B$4:$B$1000)*1,[1]OUT_SyntheticFuels!K$4:K$1000)</f>
        <v>0</v>
      </c>
      <c r="M719" s="18" cm="1">
        <f t="array" ref="M719">SUMPRODUCT(("SUP_H2gsl"=[1]OUT_SyntheticFuels!$C$4:$C$1000)*1,("gsl"=[1]OUT_SyntheticFuels!$A$4:$A$1000)*1,("Var_Fout"=[1]OUT_SyntheticFuels!$B$4:$B$1000)*1,[1]OUT_SyntheticFuels!L$4:L$1000)</f>
        <v>0</v>
      </c>
      <c r="N719" s="18" cm="1">
        <f t="array" ref="N719">SUMPRODUCT(("SUP_H2gsl"=[1]OUT_SyntheticFuels!$C$4:$C$1000)*1,("gsl"=[1]OUT_SyntheticFuels!$A$4:$A$1000)*1,("Var_Fout"=[1]OUT_SyntheticFuels!$B$4:$B$1000)*1,[1]OUT_SyntheticFuels!M$4:M$1000)</f>
        <v>0</v>
      </c>
      <c r="O719" s="18" cm="1">
        <f t="array" ref="O719">SUMPRODUCT(("SUP_H2gsl"=[1]OUT_SyntheticFuels!$C$4:$C$1000)*1,("gsl"=[1]OUT_SyntheticFuels!$A$4:$A$1000)*1,("Var_Fout"=[1]OUT_SyntheticFuels!$B$4:$B$1000)*1,[1]OUT_SyntheticFuels!N$4:N$1000)</f>
        <v>0</v>
      </c>
      <c r="P719" s="18" cm="1">
        <f t="array" ref="P719">SUMPRODUCT(("SUP_H2gsl"=[1]OUT_SyntheticFuels!$C$4:$C$1000)*1,("gsl"=[1]OUT_SyntheticFuels!$A$4:$A$1000)*1,("Var_Fout"=[1]OUT_SyntheticFuels!$B$4:$B$1000)*1,[1]OUT_SyntheticFuels!O$4:O$1000)</f>
        <v>0</v>
      </c>
      <c r="Q719" s="18" cm="1">
        <f t="array" ref="Q719">SUMPRODUCT(("SUP_H2gsl"=[1]OUT_SyntheticFuels!$C$4:$C$1000)*1,("gsl"=[1]OUT_SyntheticFuels!$A$4:$A$1000)*1,("Var_Fout"=[1]OUT_SyntheticFuels!$B$4:$B$1000)*1,[1]OUT_SyntheticFuels!P$4:P$1000)</f>
        <v>0</v>
      </c>
      <c r="S719" s="3"/>
    </row>
    <row r="720" spans="2:19" x14ac:dyDescent="0.5">
      <c r="B720" s="5" t="str">
        <f t="shared" si="824"/>
        <v>SPS1</v>
      </c>
      <c r="C720" s="5" t="str">
        <f t="shared" si="824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SUMPRODUCT(("SUP_H2DSL"=[1]OUT_SyntheticFuels!$C$4:$C$1000)*1,("KER"=[1]OUT_SyntheticFuels!$A$4:$A$1000)*1,("Var_Fout"=[1]OUT_SyntheticFuels!$B$4:$B$1000)*1,[1]OUT_SyntheticFuels!I$4:I$1000)</f>
        <v>0</v>
      </c>
      <c r="K720" s="18" cm="1">
        <f t="array" ref="K720">SUMPRODUCT(("SUP_H2DSL"=[1]OUT_SyntheticFuels!$C$4:$C$1000)*1,("KER"=[1]OUT_SyntheticFuels!$A$4:$A$1000)*1,("Var_Fout"=[1]OUT_SyntheticFuels!$B$4:$B$1000)*1,[1]OUT_SyntheticFuels!J$4:J$1000)</f>
        <v>0</v>
      </c>
      <c r="L720" s="18" cm="1">
        <f t="array" ref="L720">SUMPRODUCT(("SUP_H2DSL"=[1]OUT_SyntheticFuels!$C$4:$C$1000)*1,("KER"=[1]OUT_SyntheticFuels!$A$4:$A$1000)*1,("Var_Fout"=[1]OUT_SyntheticFuels!$B$4:$B$1000)*1,[1]OUT_SyntheticFuels!K$4:K$1000)</f>
        <v>0</v>
      </c>
      <c r="M720" s="18" cm="1">
        <f t="array" ref="M720">SUMPRODUCT(("SUP_H2DSL"=[1]OUT_SyntheticFuels!$C$4:$C$1000)*1,("KER"=[1]OUT_SyntheticFuels!$A$4:$A$1000)*1,("Var_Fout"=[1]OUT_SyntheticFuels!$B$4:$B$1000)*1,[1]OUT_SyntheticFuels!L$4:L$1000)</f>
        <v>0</v>
      </c>
      <c r="N720" s="18" cm="1">
        <f t="array" ref="N720">SUMPRODUCT(("SUP_H2DSL"=[1]OUT_SyntheticFuels!$C$4:$C$1000)*1,("KER"=[1]OUT_SyntheticFuels!$A$4:$A$1000)*1,("Var_Fout"=[1]OUT_SyntheticFuels!$B$4:$B$1000)*1,[1]OUT_SyntheticFuels!M$4:M$1000)</f>
        <v>0</v>
      </c>
      <c r="O720" s="18" cm="1">
        <f t="array" ref="O720">SUMPRODUCT(("SUP_H2DSL"=[1]OUT_SyntheticFuels!$C$4:$C$1000)*1,("KER"=[1]OUT_SyntheticFuels!$A$4:$A$1000)*1,("Var_Fout"=[1]OUT_SyntheticFuels!$B$4:$B$1000)*1,[1]OUT_SyntheticFuels!N$4:N$1000)</f>
        <v>0</v>
      </c>
      <c r="P720" s="18" cm="1">
        <f t="array" ref="P720">SUMPRODUCT(("SUP_H2DSL"=[1]OUT_SyntheticFuels!$C$4:$C$1000)*1,("KER"=[1]OUT_SyntheticFuels!$A$4:$A$1000)*1,("Var_Fout"=[1]OUT_SyntheticFuels!$B$4:$B$1000)*1,[1]OUT_SyntheticFuels!O$4:O$1000)</f>
        <v>0</v>
      </c>
      <c r="Q720" s="18" cm="1">
        <f t="array" ref="Q720">SUMPRODUCT(("SUP_H2DSL"=[1]OUT_SyntheticFuels!$C$4:$C$1000)*1,("KER"=[1]OUT_SyntheticFuels!$A$4:$A$1000)*1,("Var_Fout"=[1]OUT_SyntheticFuels!$B$4:$B$1000)*1,[1]OUT_SyntheticFuels!P$4:P$1000)</f>
        <v>0</v>
      </c>
      <c r="S720" s="3"/>
    </row>
    <row r="721" spans="2:19" x14ac:dyDescent="0.5">
      <c r="B721" s="9" t="str">
        <f t="shared" si="824"/>
        <v>SPS1</v>
      </c>
      <c r="C721" s="9" t="str">
        <f t="shared" si="824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O721" si="825">G722</f>
        <v>0</v>
      </c>
      <c r="H721" s="17">
        <f t="shared" si="825"/>
        <v>0</v>
      </c>
      <c r="I721" s="17">
        <f t="shared" si="825"/>
        <v>0</v>
      </c>
      <c r="J721" s="17">
        <f t="shared" si="825"/>
        <v>0</v>
      </c>
      <c r="K721" s="17">
        <f t="shared" si="825"/>
        <v>0</v>
      </c>
      <c r="L721" s="17">
        <f t="shared" si="825"/>
        <v>0</v>
      </c>
      <c r="M721" s="17">
        <f t="shared" si="825"/>
        <v>0</v>
      </c>
      <c r="N721" s="17">
        <f t="shared" si="825"/>
        <v>0</v>
      </c>
      <c r="O721" s="17">
        <f t="shared" si="825"/>
        <v>0</v>
      </c>
      <c r="P721" s="17">
        <f>P722</f>
        <v>0</v>
      </c>
      <c r="Q721" s="17">
        <f>Q722</f>
        <v>0</v>
      </c>
      <c r="S721" s="3"/>
    </row>
    <row r="722" spans="2:19" x14ac:dyDescent="0.5">
      <c r="B722" s="5" t="str">
        <f>B721</f>
        <v>SPS1</v>
      </c>
      <c r="C722" s="5" t="str">
        <f t="shared" ref="C722:C728" si="826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827">SUM(G723,G725)</f>
        <v>0</v>
      </c>
      <c r="H722" s="18">
        <f t="shared" si="827"/>
        <v>0</v>
      </c>
      <c r="I722" s="18">
        <f t="shared" si="827"/>
        <v>0</v>
      </c>
      <c r="J722" s="18">
        <f t="shared" si="827"/>
        <v>0</v>
      </c>
      <c r="K722" s="18">
        <f t="shared" si="827"/>
        <v>0</v>
      </c>
      <c r="L722" s="18">
        <f t="shared" ref="L722:O722" si="828">SUM(L723,L725)</f>
        <v>0</v>
      </c>
      <c r="M722" s="18">
        <f t="shared" si="828"/>
        <v>0</v>
      </c>
      <c r="N722" s="18">
        <f t="shared" si="828"/>
        <v>0</v>
      </c>
      <c r="O722" s="18">
        <f t="shared" si="828"/>
        <v>0</v>
      </c>
      <c r="P722" s="18">
        <f>SUM(P723,P725)</f>
        <v>0</v>
      </c>
      <c r="Q722" s="18">
        <f>SUM(Q723,Q725)</f>
        <v>0</v>
      </c>
      <c r="S722" s="3"/>
    </row>
    <row r="723" spans="2:19" x14ac:dyDescent="0.5">
      <c r="B723" s="5" t="str">
        <f t="shared" ref="B723:B728" si="829">B722</f>
        <v>SPS1</v>
      </c>
      <c r="C723" s="5" t="str">
        <f t="shared" si="826"/>
        <v>CH</v>
      </c>
      <c r="D723" t="s">
        <v>929</v>
      </c>
      <c r="E723" s="5" t="s">
        <v>8</v>
      </c>
      <c r="F723" s="18">
        <f>F724</f>
        <v>0</v>
      </c>
      <c r="G723" s="18">
        <f t="shared" ref="G723:O723" si="830">G724</f>
        <v>0</v>
      </c>
      <c r="H723" s="18">
        <f t="shared" si="830"/>
        <v>0</v>
      </c>
      <c r="I723" s="18">
        <f t="shared" si="830"/>
        <v>0</v>
      </c>
      <c r="J723" s="18">
        <f t="shared" si="830"/>
        <v>0</v>
      </c>
      <c r="K723" s="18">
        <f t="shared" si="830"/>
        <v>0</v>
      </c>
      <c r="L723" s="18">
        <f t="shared" si="830"/>
        <v>0</v>
      </c>
      <c r="M723" s="18">
        <f t="shared" si="830"/>
        <v>0</v>
      </c>
      <c r="N723" s="18">
        <f t="shared" si="830"/>
        <v>0</v>
      </c>
      <c r="O723" s="18">
        <f t="shared" si="830"/>
        <v>0</v>
      </c>
      <c r="P723" s="18">
        <f>P724</f>
        <v>0</v>
      </c>
      <c r="Q723" s="18">
        <f>Q724</f>
        <v>0</v>
      </c>
      <c r="S723" s="3"/>
    </row>
    <row r="724" spans="2:19" x14ac:dyDescent="0.5">
      <c r="B724" s="5" t="str">
        <f t="shared" si="829"/>
        <v>SPS1</v>
      </c>
      <c r="C724" s="5" t="str">
        <f t="shared" si="826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SUMPRODUCT(("SUP_H2NGA"=[1]OUT_SyntheticFuels!$C$4:$C$1000)*1,("H2"=[1]OUT_SyntheticFuels!$A$4:$A$1000)*1,("Var_Fin"=[1]OUT_SyntheticFuels!$B$4:$B$1000)*1,[1]OUT_SyntheticFuels!I$4:I$1000)</f>
        <v>0</v>
      </c>
      <c r="K724" s="10" cm="1">
        <f t="array" ref="K724">SUMPRODUCT(("SUP_H2NGA"=[1]OUT_SyntheticFuels!$C$4:$C$1000)*1,("H2"=[1]OUT_SyntheticFuels!$A$4:$A$1000)*1,("Var_Fin"=[1]OUT_SyntheticFuels!$B$4:$B$1000)*1,[1]OUT_SyntheticFuels!J$4:J$1000)</f>
        <v>0</v>
      </c>
      <c r="L724" s="10" cm="1">
        <f t="array" ref="L724">SUMPRODUCT(("SUP_H2NGA"=[1]OUT_SyntheticFuels!$C$4:$C$1000)*1,("H2"=[1]OUT_SyntheticFuels!$A$4:$A$1000)*1,("Var_Fin"=[1]OUT_SyntheticFuels!$B$4:$B$1000)*1,[1]OUT_SyntheticFuels!K$4:K$1000)</f>
        <v>0</v>
      </c>
      <c r="M724" s="10" cm="1">
        <f t="array" ref="M724">SUMPRODUCT(("SUP_H2NGA"=[1]OUT_SyntheticFuels!$C$4:$C$1000)*1,("H2"=[1]OUT_SyntheticFuels!$A$4:$A$1000)*1,("Var_Fin"=[1]OUT_SyntheticFuels!$B$4:$B$1000)*1,[1]OUT_SyntheticFuels!L$4:L$1000)</f>
        <v>0</v>
      </c>
      <c r="N724" s="10" cm="1">
        <f t="array" ref="N724">SUMPRODUCT(("SUP_H2NGA"=[1]OUT_SyntheticFuels!$C$4:$C$1000)*1,("H2"=[1]OUT_SyntheticFuels!$A$4:$A$1000)*1,("Var_Fin"=[1]OUT_SyntheticFuels!$B$4:$B$1000)*1,[1]OUT_SyntheticFuels!M$4:M$1000)</f>
        <v>0</v>
      </c>
      <c r="O724" s="10" cm="1">
        <f t="array" ref="O724">SUMPRODUCT(("SUP_H2NGA"=[1]OUT_SyntheticFuels!$C$4:$C$1000)*1,("H2"=[1]OUT_SyntheticFuels!$A$4:$A$1000)*1,("Var_Fin"=[1]OUT_SyntheticFuels!$B$4:$B$1000)*1,[1]OUT_SyntheticFuels!N$4:N$1000)</f>
        <v>0</v>
      </c>
      <c r="P724" s="10" cm="1">
        <f t="array" ref="P724">SUMPRODUCT(("SUP_H2NGA"=[1]OUT_SyntheticFuels!$C$4:$C$1000)*1,("H2"=[1]OUT_SyntheticFuels!$A$4:$A$1000)*1,("Var_Fin"=[1]OUT_SyntheticFuels!$B$4:$B$1000)*1,[1]OUT_SyntheticFuels!O$4:O$1000)</f>
        <v>0</v>
      </c>
      <c r="Q724" s="10" cm="1">
        <f t="array" ref="Q724">SUMPRODUCT(("SUP_H2NGA"=[1]OUT_SyntheticFuels!$C$4:$C$1000)*1,("H2"=[1]OUT_SyntheticFuels!$A$4:$A$1000)*1,("Var_Fin"=[1]OUT_SyntheticFuels!$B$4:$B$1000)*1,[1]OUT_SyntheticFuels!P$4:P$1000)</f>
        <v>0</v>
      </c>
      <c r="S724" s="3"/>
    </row>
    <row r="725" spans="2:19" x14ac:dyDescent="0.5">
      <c r="B725" s="5" t="str">
        <f t="shared" si="829"/>
        <v>SPS1</v>
      </c>
      <c r="C725" s="5" t="str">
        <f t="shared" si="826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831">SUM(G726:G728)</f>
        <v>0</v>
      </c>
      <c r="H725" s="18">
        <f t="shared" si="831"/>
        <v>0</v>
      </c>
      <c r="I725" s="18">
        <f t="shared" si="831"/>
        <v>0</v>
      </c>
      <c r="J725" s="18">
        <f t="shared" si="831"/>
        <v>0</v>
      </c>
      <c r="K725" s="18">
        <f t="shared" si="831"/>
        <v>0</v>
      </c>
      <c r="L725" s="18">
        <f t="shared" ref="L725:O725" si="832">SUM(L726:L728)</f>
        <v>0</v>
      </c>
      <c r="M725" s="18">
        <f t="shared" si="832"/>
        <v>0</v>
      </c>
      <c r="N725" s="18">
        <f t="shared" si="832"/>
        <v>0</v>
      </c>
      <c r="O725" s="18">
        <f t="shared" si="832"/>
        <v>0</v>
      </c>
      <c r="P725" s="18">
        <f>SUM(P726:P728)</f>
        <v>0</v>
      </c>
      <c r="Q725" s="18">
        <f>SUM(Q726:Q728)</f>
        <v>0</v>
      </c>
      <c r="S725" s="3"/>
    </row>
    <row r="726" spans="2:19" x14ac:dyDescent="0.5">
      <c r="B726" s="5" t="str">
        <f t="shared" si="829"/>
        <v>SPS1</v>
      </c>
      <c r="C726" s="5" t="str">
        <f t="shared" si="826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SUMPRODUCT(("SUP_H2DSL"=[1]OUT_SyntheticFuels!$C$4:$C$1000)*1,("H2"=[1]OUT_SyntheticFuels!$A$4:$A$1000)*1,("Var_Fin"=[1]OUT_SyntheticFuels!$B$4:$B$1000)*1,[1]OUT_SyntheticFuels!I$4:I$1000)*IFERROR(J718/SUM(J718,J720),0)</f>
        <v>0</v>
      </c>
      <c r="K726" s="10" cm="1">
        <f t="array" ref="K726">SUMPRODUCT(("SUP_H2DSL"=[1]OUT_SyntheticFuels!$C$4:$C$1000)*1,("H2"=[1]OUT_SyntheticFuels!$A$4:$A$1000)*1,("Var_Fin"=[1]OUT_SyntheticFuels!$B$4:$B$1000)*1,[1]OUT_SyntheticFuels!J$4:J$1000)*IFERROR(K718/SUM(K718,K720),0)</f>
        <v>0</v>
      </c>
      <c r="L726" s="10" cm="1">
        <f t="array" ref="L726">SUMPRODUCT(("SUP_H2DSL"=[1]OUT_SyntheticFuels!$C$4:$C$1000)*1,("H2"=[1]OUT_SyntheticFuels!$A$4:$A$1000)*1,("Var_Fin"=[1]OUT_SyntheticFuels!$B$4:$B$1000)*1,[1]OUT_SyntheticFuels!K$4:K$1000)*IFERROR(L718/SUM(L718,L720),0)</f>
        <v>0</v>
      </c>
      <c r="M726" s="10" cm="1">
        <f t="array" ref="M726">SUMPRODUCT(("SUP_H2DSL"=[1]OUT_SyntheticFuels!$C$4:$C$1000)*1,("H2"=[1]OUT_SyntheticFuels!$A$4:$A$1000)*1,("Var_Fin"=[1]OUT_SyntheticFuels!$B$4:$B$1000)*1,[1]OUT_SyntheticFuels!L$4:L$1000)*IFERROR(M718/SUM(M718,M720),0)</f>
        <v>0</v>
      </c>
      <c r="N726" s="10" cm="1">
        <f t="array" ref="N726">SUMPRODUCT(("SUP_H2DSL"=[1]OUT_SyntheticFuels!$C$4:$C$1000)*1,("H2"=[1]OUT_SyntheticFuels!$A$4:$A$1000)*1,("Var_Fin"=[1]OUT_SyntheticFuels!$B$4:$B$1000)*1,[1]OUT_SyntheticFuels!M$4:M$1000)*IFERROR(N718/SUM(N718,N720),0)</f>
        <v>0</v>
      </c>
      <c r="O726" s="10" cm="1">
        <f t="array" ref="O726">SUMPRODUCT(("SUP_H2DSL"=[1]OUT_SyntheticFuels!$C$4:$C$1000)*1,("H2"=[1]OUT_SyntheticFuels!$A$4:$A$1000)*1,("Var_Fin"=[1]OUT_SyntheticFuels!$B$4:$B$1000)*1,[1]OUT_SyntheticFuels!N$4:N$1000)*IFERROR(O718/SUM(O718,O720),0)</f>
        <v>0</v>
      </c>
      <c r="P726" s="10" cm="1">
        <f t="array" ref="P726">SUMPRODUCT(("SUP_H2DSL"=[1]OUT_SyntheticFuels!$C$4:$C$1000)*1,("H2"=[1]OUT_SyntheticFuels!$A$4:$A$1000)*1,("Var_Fin"=[1]OUT_SyntheticFuels!$B$4:$B$1000)*1,[1]OUT_SyntheticFuels!O$4:O$1000)*IFERROR(P718/SUM(P718,P720),0)</f>
        <v>0</v>
      </c>
      <c r="Q726" s="10" cm="1">
        <f t="array" ref="Q726">SUMPRODUCT(("SUP_H2DSL"=[1]OUT_SyntheticFuels!$C$4:$C$1000)*1,("H2"=[1]OUT_SyntheticFuels!$A$4:$A$1000)*1,("Var_Fin"=[1]OUT_SyntheticFuels!$B$4:$B$1000)*1,[1]OUT_SyntheticFuels!P$4:P$1000)*IFERROR(Q718/SUM(Q718,Q720),0)</f>
        <v>0</v>
      </c>
      <c r="S726" s="3"/>
    </row>
    <row r="727" spans="2:19" x14ac:dyDescent="0.5">
      <c r="B727" s="5" t="str">
        <f t="shared" si="829"/>
        <v>SPS1</v>
      </c>
      <c r="C727" s="5" t="str">
        <f t="shared" si="826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SUMPRODUCT(("SUP_H2GSL"=[1]OUT_SyntheticFuels!$C$4:$C$1000)*1,("H2"=[1]OUT_SyntheticFuels!$A$4:$A$1000)*1,("Var_Fin"=[1]OUT_SyntheticFuels!$B$4:$B$1000)*1,[1]OUT_SyntheticFuels!I$4:I$1000)</f>
        <v>0</v>
      </c>
      <c r="K727" s="10" cm="1">
        <f t="array" ref="K727">SUMPRODUCT(("SUP_H2GSL"=[1]OUT_SyntheticFuels!$C$4:$C$1000)*1,("H2"=[1]OUT_SyntheticFuels!$A$4:$A$1000)*1,("Var_Fin"=[1]OUT_SyntheticFuels!$B$4:$B$1000)*1,[1]OUT_SyntheticFuels!J$4:J$1000)</f>
        <v>0</v>
      </c>
      <c r="L727" s="10" cm="1">
        <f t="array" ref="L727">SUMPRODUCT(("SUP_H2GSL"=[1]OUT_SyntheticFuels!$C$4:$C$1000)*1,("H2"=[1]OUT_SyntheticFuels!$A$4:$A$1000)*1,("Var_Fin"=[1]OUT_SyntheticFuels!$B$4:$B$1000)*1,[1]OUT_SyntheticFuels!K$4:K$1000)</f>
        <v>0</v>
      </c>
      <c r="M727" s="10" cm="1">
        <f t="array" ref="M727">SUMPRODUCT(("SUP_H2GSL"=[1]OUT_SyntheticFuels!$C$4:$C$1000)*1,("H2"=[1]OUT_SyntheticFuels!$A$4:$A$1000)*1,("Var_Fin"=[1]OUT_SyntheticFuels!$B$4:$B$1000)*1,[1]OUT_SyntheticFuels!L$4:L$1000)</f>
        <v>0</v>
      </c>
      <c r="N727" s="10" cm="1">
        <f t="array" ref="N727">SUMPRODUCT(("SUP_H2GSL"=[1]OUT_SyntheticFuels!$C$4:$C$1000)*1,("H2"=[1]OUT_SyntheticFuels!$A$4:$A$1000)*1,("Var_Fin"=[1]OUT_SyntheticFuels!$B$4:$B$1000)*1,[1]OUT_SyntheticFuels!M$4:M$1000)</f>
        <v>0</v>
      </c>
      <c r="O727" s="10" cm="1">
        <f t="array" ref="O727">SUMPRODUCT(("SUP_H2GSL"=[1]OUT_SyntheticFuels!$C$4:$C$1000)*1,("H2"=[1]OUT_SyntheticFuels!$A$4:$A$1000)*1,("Var_Fin"=[1]OUT_SyntheticFuels!$B$4:$B$1000)*1,[1]OUT_SyntheticFuels!N$4:N$1000)</f>
        <v>0</v>
      </c>
      <c r="P727" s="10" cm="1">
        <f t="array" ref="P727">SUMPRODUCT(("SUP_H2GSL"=[1]OUT_SyntheticFuels!$C$4:$C$1000)*1,("H2"=[1]OUT_SyntheticFuels!$A$4:$A$1000)*1,("Var_Fin"=[1]OUT_SyntheticFuels!$B$4:$B$1000)*1,[1]OUT_SyntheticFuels!O$4:O$1000)</f>
        <v>0</v>
      </c>
      <c r="Q727" s="10" cm="1">
        <f t="array" ref="Q727">SUMPRODUCT(("SUP_H2GSL"=[1]OUT_SyntheticFuels!$C$4:$C$1000)*1,("H2"=[1]OUT_SyntheticFuels!$A$4:$A$1000)*1,("Var_Fin"=[1]OUT_SyntheticFuels!$B$4:$B$1000)*1,[1]OUT_SyntheticFuels!P$4:P$1000)</f>
        <v>0</v>
      </c>
      <c r="S727" s="3"/>
    </row>
    <row r="728" spans="2:19" x14ac:dyDescent="0.5">
      <c r="B728" s="5" t="str">
        <f t="shared" si="829"/>
        <v>SPS1</v>
      </c>
      <c r="C728" s="5" t="str">
        <f t="shared" si="826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SUMPRODUCT(("SUP_H2DSL"=[1]OUT_SyntheticFuels!$C$4:$C$1000)*1,("H2"=[1]OUT_SyntheticFuels!$A$4:$A$1000)*1,("Var_Fin"=[1]OUT_SyntheticFuels!$B$4:$B$1000)*1,[1]OUT_SyntheticFuels!I$4:I$1000)-J726</f>
        <v>0</v>
      </c>
      <c r="K728" s="10" cm="1">
        <f t="array" ref="K728">SUMPRODUCT(("SUP_H2DSL"=[1]OUT_SyntheticFuels!$C$4:$C$1000)*1,("H2"=[1]OUT_SyntheticFuels!$A$4:$A$1000)*1,("Var_Fin"=[1]OUT_SyntheticFuels!$B$4:$B$1000)*1,[1]OUT_SyntheticFuels!J$4:J$1000)-K726</f>
        <v>0</v>
      </c>
      <c r="L728" s="10" cm="1">
        <f t="array" ref="L728">SUMPRODUCT(("SUP_H2DSL"=[1]OUT_SyntheticFuels!$C$4:$C$1000)*1,("H2"=[1]OUT_SyntheticFuels!$A$4:$A$1000)*1,("Var_Fin"=[1]OUT_SyntheticFuels!$B$4:$B$1000)*1,[1]OUT_SyntheticFuels!K$4:K$1000)-L726</f>
        <v>0</v>
      </c>
      <c r="M728" s="10" cm="1">
        <f t="array" ref="M728">SUMPRODUCT(("SUP_H2DSL"=[1]OUT_SyntheticFuels!$C$4:$C$1000)*1,("H2"=[1]OUT_SyntheticFuels!$A$4:$A$1000)*1,("Var_Fin"=[1]OUT_SyntheticFuels!$B$4:$B$1000)*1,[1]OUT_SyntheticFuels!L$4:L$1000)-M726</f>
        <v>0</v>
      </c>
      <c r="N728" s="10" cm="1">
        <f t="array" ref="N728">SUMPRODUCT(("SUP_H2DSL"=[1]OUT_SyntheticFuels!$C$4:$C$1000)*1,("H2"=[1]OUT_SyntheticFuels!$A$4:$A$1000)*1,("Var_Fin"=[1]OUT_SyntheticFuels!$B$4:$B$1000)*1,[1]OUT_SyntheticFuels!M$4:M$1000)-N726</f>
        <v>0</v>
      </c>
      <c r="O728" s="10" cm="1">
        <f t="array" ref="O728">SUMPRODUCT(("SUP_H2DSL"=[1]OUT_SyntheticFuels!$C$4:$C$1000)*1,("H2"=[1]OUT_SyntheticFuels!$A$4:$A$1000)*1,("Var_Fin"=[1]OUT_SyntheticFuels!$B$4:$B$1000)*1,[1]OUT_SyntheticFuels!N$4:N$1000)-O726</f>
        <v>0</v>
      </c>
      <c r="P728" s="10" cm="1">
        <f t="array" ref="P728">SUMPRODUCT(("SUP_H2DSL"=[1]OUT_SyntheticFuels!$C$4:$C$1000)*1,("H2"=[1]OUT_SyntheticFuels!$A$4:$A$1000)*1,("Var_Fin"=[1]OUT_SyntheticFuels!$B$4:$B$1000)*1,[1]OUT_SyntheticFuels!O$4:O$1000)-P726</f>
        <v>0</v>
      </c>
      <c r="Q728" s="10" cm="1">
        <f t="array" ref="Q728">SUMPRODUCT(("SUP_H2DSL"=[1]OUT_SyntheticFuels!$C$4:$C$1000)*1,("H2"=[1]OUT_SyntheticFuels!$A$4:$A$1000)*1,("Var_Fin"=[1]OUT_SyntheticFuels!$B$4:$B$1000)*1,[1]OUT_SyntheticFuels!P$4:P$1000)-Q726</f>
        <v>0</v>
      </c>
      <c r="S728" s="3"/>
    </row>
    <row r="729" spans="2:19" x14ac:dyDescent="0.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M729" s="14" t="s">
        <v>292</v>
      </c>
      <c r="N729" s="14" t="s">
        <v>292</v>
      </c>
      <c r="O729" s="14" t="s">
        <v>292</v>
      </c>
      <c r="P729" s="14" t="s">
        <v>292</v>
      </c>
      <c r="Q729" s="14" t="s">
        <v>292</v>
      </c>
      <c r="S729" s="3"/>
    </row>
    <row r="730" spans="2:19" x14ac:dyDescent="0.5">
      <c r="B730" s="5" t="str">
        <f>B729</f>
        <v>SPS1</v>
      </c>
      <c r="C730" s="5" t="str">
        <f t="shared" ref="C730:C735" si="833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834">IFERROR(G716/G724,"-")</f>
        <v>-</v>
      </c>
      <c r="H730" s="14" t="str">
        <f t="shared" si="834"/>
        <v>-</v>
      </c>
      <c r="I730" s="14" t="str">
        <f t="shared" si="834"/>
        <v>-</v>
      </c>
      <c r="J730" s="14" t="str">
        <f t="shared" si="834"/>
        <v>-</v>
      </c>
      <c r="K730" s="14" t="str">
        <f t="shared" si="834"/>
        <v>-</v>
      </c>
      <c r="L730" s="14" t="str">
        <f t="shared" ref="L730:O730" si="835">IFERROR(L716/L724,"-")</f>
        <v>-</v>
      </c>
      <c r="M730" s="14" t="str">
        <f t="shared" si="835"/>
        <v>-</v>
      </c>
      <c r="N730" s="14" t="str">
        <f t="shared" si="835"/>
        <v>-</v>
      </c>
      <c r="O730" s="14" t="str">
        <f t="shared" si="835"/>
        <v>-</v>
      </c>
      <c r="P730" s="14" t="str">
        <f>IFERROR(P716/P724,"-")</f>
        <v>-</v>
      </c>
      <c r="Q730" s="14" t="str">
        <f>IFERROR(Q716/Q724,"-")</f>
        <v>-</v>
      </c>
      <c r="S730" s="3"/>
    </row>
    <row r="731" spans="2:19" x14ac:dyDescent="0.5">
      <c r="B731" s="5" t="str">
        <f t="shared" ref="B731:B735" si="836">B730</f>
        <v>SPS1</v>
      </c>
      <c r="C731" s="5" t="str">
        <f t="shared" si="833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837">IFERROR(G718/G726,"-")</f>
        <v>-</v>
      </c>
      <c r="H731" s="16" t="str">
        <f t="shared" si="837"/>
        <v>-</v>
      </c>
      <c r="I731" s="16" t="str">
        <f t="shared" si="837"/>
        <v>-</v>
      </c>
      <c r="J731" s="16" t="str">
        <f t="shared" si="837"/>
        <v>-</v>
      </c>
      <c r="K731" s="16" t="str">
        <f t="shared" si="837"/>
        <v>-</v>
      </c>
      <c r="L731" s="16" t="str">
        <f t="shared" ref="L731:O731" si="838">IFERROR(L718/L726,"-")</f>
        <v>-</v>
      </c>
      <c r="M731" s="16" t="str">
        <f t="shared" si="838"/>
        <v>-</v>
      </c>
      <c r="N731" s="16" t="str">
        <f t="shared" si="838"/>
        <v>-</v>
      </c>
      <c r="O731" s="16" t="str">
        <f t="shared" si="838"/>
        <v>-</v>
      </c>
      <c r="P731" s="16" t="str">
        <f t="shared" ref="P731:Q733" si="839">IFERROR(P718/P726,"-")</f>
        <v>-</v>
      </c>
      <c r="Q731" s="16" t="str">
        <f t="shared" si="839"/>
        <v>-</v>
      </c>
      <c r="S731" s="3"/>
    </row>
    <row r="732" spans="2:19" x14ac:dyDescent="0.5">
      <c r="B732" s="5" t="str">
        <f t="shared" si="836"/>
        <v>SPS1</v>
      </c>
      <c r="C732" s="5" t="str">
        <f t="shared" si="833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840">IFERROR(G719/G727,"-")</f>
        <v>-</v>
      </c>
      <c r="H732" s="16" t="str">
        <f t="shared" si="840"/>
        <v>-</v>
      </c>
      <c r="I732" s="16" t="str">
        <f t="shared" si="840"/>
        <v>-</v>
      </c>
      <c r="J732" s="16" t="str">
        <f t="shared" si="840"/>
        <v>-</v>
      </c>
      <c r="K732" s="16" t="str">
        <f t="shared" si="840"/>
        <v>-</v>
      </c>
      <c r="L732" s="16" t="str">
        <f t="shared" ref="L732:O732" si="841">IFERROR(L719/L727,"-")</f>
        <v>-</v>
      </c>
      <c r="M732" s="16" t="str">
        <f t="shared" si="841"/>
        <v>-</v>
      </c>
      <c r="N732" s="16" t="str">
        <f t="shared" si="841"/>
        <v>-</v>
      </c>
      <c r="O732" s="16" t="str">
        <f t="shared" si="841"/>
        <v>-</v>
      </c>
      <c r="P732" s="16" t="str">
        <f t="shared" si="839"/>
        <v>-</v>
      </c>
      <c r="Q732" s="16" t="str">
        <f t="shared" si="839"/>
        <v>-</v>
      </c>
      <c r="S732" s="3"/>
    </row>
    <row r="733" spans="2:19" x14ac:dyDescent="0.5">
      <c r="B733" s="5" t="str">
        <f t="shared" si="836"/>
        <v>SPS1</v>
      </c>
      <c r="C733" s="5" t="str">
        <f t="shared" si="833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842">IFERROR(G720/G728,"-")</f>
        <v>-</v>
      </c>
      <c r="H733" s="16" t="str">
        <f t="shared" si="842"/>
        <v>-</v>
      </c>
      <c r="I733" s="16" t="str">
        <f t="shared" si="842"/>
        <v>-</v>
      </c>
      <c r="J733" s="16" t="str">
        <f t="shared" si="842"/>
        <v>-</v>
      </c>
      <c r="K733" s="16" t="str">
        <f t="shared" si="842"/>
        <v>-</v>
      </c>
      <c r="L733" s="16" t="str">
        <f t="shared" ref="L733:O733" si="843">IFERROR(L720/L728,"-")</f>
        <v>-</v>
      </c>
      <c r="M733" s="16" t="str">
        <f t="shared" si="843"/>
        <v>-</v>
      </c>
      <c r="N733" s="16" t="str">
        <f t="shared" si="843"/>
        <v>-</v>
      </c>
      <c r="O733" s="16" t="str">
        <f t="shared" si="843"/>
        <v>-</v>
      </c>
      <c r="P733" s="16" t="str">
        <f t="shared" si="839"/>
        <v>-</v>
      </c>
      <c r="Q733" s="16" t="str">
        <f t="shared" si="839"/>
        <v>-</v>
      </c>
      <c r="S733" s="3"/>
    </row>
    <row r="734" spans="2:19" x14ac:dyDescent="0.5">
      <c r="B734" s="5" t="str">
        <f t="shared" si="836"/>
        <v>SPS1</v>
      </c>
      <c r="C734" s="5" t="str">
        <f t="shared" si="833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844">G735</f>
        <v>0</v>
      </c>
      <c r="H734" s="17">
        <f t="shared" ref="H734" si="845">H735</f>
        <v>0</v>
      </c>
      <c r="I734" s="17">
        <f t="shared" ref="I734" si="846">I735</f>
        <v>0</v>
      </c>
      <c r="J734" s="17">
        <f t="shared" ref="J734" si="847">J735</f>
        <v>0</v>
      </c>
      <c r="K734" s="17">
        <f t="shared" ref="K734:O734" si="848">K735</f>
        <v>0</v>
      </c>
      <c r="L734" s="17">
        <f t="shared" si="848"/>
        <v>0</v>
      </c>
      <c r="M734" s="17">
        <f t="shared" si="848"/>
        <v>0</v>
      </c>
      <c r="N734" s="17">
        <f t="shared" si="848"/>
        <v>0</v>
      </c>
      <c r="O734" s="17">
        <f t="shared" si="848"/>
        <v>0</v>
      </c>
      <c r="P734" s="17">
        <f>P735</f>
        <v>0</v>
      </c>
      <c r="Q734" s="17">
        <f>Q735</f>
        <v>0</v>
      </c>
      <c r="S734" s="3"/>
    </row>
    <row r="735" spans="2:19" x14ac:dyDescent="0.5">
      <c r="B735" s="5" t="str">
        <f t="shared" si="836"/>
        <v>SPS1</v>
      </c>
      <c r="C735" s="5" t="str">
        <f t="shared" si="833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49">SUM(G739,G741)</f>
        <v>0</v>
      </c>
      <c r="H735" s="18">
        <f t="shared" ref="H735" si="850">SUM(H739,H741)</f>
        <v>0</v>
      </c>
      <c r="I735" s="18">
        <f t="shared" ref="I735" si="851">SUM(I739,I741)</f>
        <v>0</v>
      </c>
      <c r="J735" s="18">
        <f t="shared" ref="J735" si="852">SUM(J739,J741)</f>
        <v>0</v>
      </c>
      <c r="K735" s="18">
        <f t="shared" ref="K735" si="853">SUM(K739,K741)</f>
        <v>0</v>
      </c>
      <c r="L735" s="18">
        <f t="shared" ref="L735:O735" si="854">SUM(L739,L741)</f>
        <v>0</v>
      </c>
      <c r="M735" s="18">
        <f t="shared" si="854"/>
        <v>0</v>
      </c>
      <c r="N735" s="18">
        <f t="shared" si="854"/>
        <v>0</v>
      </c>
      <c r="O735" s="18">
        <f t="shared" si="854"/>
        <v>0</v>
      </c>
      <c r="P735" s="18">
        <f>SUM(P739,P741)</f>
        <v>0</v>
      </c>
      <c r="Q735" s="18">
        <f>SUM(Q739,Q741)</f>
        <v>0</v>
      </c>
      <c r="S735" s="3"/>
    </row>
    <row r="736" spans="2:19" x14ac:dyDescent="0.5">
      <c r="B736" s="5" t="str">
        <f t="shared" ref="B736:C738" si="855">B735</f>
        <v>SPS1</v>
      </c>
      <c r="C736" s="5" t="str">
        <f t="shared" si="855"/>
        <v>CH</v>
      </c>
      <c r="D736" t="s">
        <v>445</v>
      </c>
      <c r="E736" s="5" t="s">
        <v>442</v>
      </c>
      <c r="F736" s="18" cm="1">
        <f t="array" ref="F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#REF!)/SUMPRODUCT(("Var_fout"=[1]OUT_CO2util!$B$3:$B$1000)*1,("CO2_O"=[1]OUT_CO2util!$A$3:$A$1000)*1,[1]OUT_CO2util!#REF!)*F735,0)</f>
        <v>0</v>
      </c>
      <c r="G736" s="18" cm="1">
        <f t="array" ref="G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A$3:A$1000)/SUMPRODUCT(("Var_fout"=[1]OUT_CO2util!$B$3:$B$1000)*1,("CO2_O"=[1]OUT_CO2util!$A$3:$A$1000)*1,[1]OUT_CO2util!A$3:A$1000)*G735,0)</f>
        <v>0</v>
      </c>
      <c r="H736" s="18" cm="1">
        <f t="array" ref="H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B$3:B$1000)/SUMPRODUCT(("Var_fout"=[1]OUT_CO2util!$B$3:$B$1000)*1,("CO2_O"=[1]OUT_CO2util!$A$3:$A$1000)*1,[1]OUT_CO2util!B$3:B$1000)*H735,0)</f>
        <v>0</v>
      </c>
      <c r="I736" s="18" cm="1">
        <f t="array" ref="I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C$3:C$1000)/SUMPRODUCT(("Var_fout"=[1]OUT_CO2util!$B$3:$B$1000)*1,("CO2_O"=[1]OUT_CO2util!$A$3:$A$1000)*1,[1]OUT_CO2util!C$3:C$1000)*I735,0)</f>
        <v>0</v>
      </c>
      <c r="J736" s="18" cm="1">
        <f t="array" ref="J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D$3:D$1000)/SUMPRODUCT(("Var_fout"=[1]OUT_CO2util!$B$3:$B$1000)*1,("CO2_O"=[1]OUT_CO2util!$A$3:$A$1000)*1,[1]OUT_CO2util!D$3:D$1000)*J735,0)</f>
        <v>0</v>
      </c>
      <c r="K736" s="18" cm="1">
        <f t="array" ref="K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E$3:E$1000)/SUMPRODUCT(("Var_fout"=[1]OUT_CO2util!$B$3:$B$1000)*1,("CO2_O"=[1]OUT_CO2util!$A$3:$A$1000)*1,[1]OUT_CO2util!E$3:E$1000)*K735,0)</f>
        <v>0</v>
      </c>
      <c r="L736" s="18" cm="1">
        <f t="array" ref="L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F$3:F$1000)/SUMPRODUCT(("Var_fout"=[1]OUT_CO2util!$B$3:$B$1000)*1,("CO2_O"=[1]OUT_CO2util!$A$3:$A$1000)*1,[1]OUT_CO2util!F$3:F$1000)*L735,0)</f>
        <v>0</v>
      </c>
      <c r="M736" s="18" cm="1">
        <f t="array" ref="M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G$3:G$1000)/SUMPRODUCT(("Var_fout"=[1]OUT_CO2util!$B$3:$B$1000)*1,("CO2_O"=[1]OUT_CO2util!$A$3:$A$1000)*1,[1]OUT_CO2util!G$3:G$1000)*M735,0)</f>
        <v>0</v>
      </c>
      <c r="N736" s="18" cm="1">
        <f t="array" ref="N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H$3:H$1000)/SUMPRODUCT(("Var_fout"=[1]OUT_CO2util!$B$3:$B$1000)*1,("CO2_O"=[1]OUT_CO2util!$A$3:$A$1000)*1,[1]OUT_CO2util!H$3:H$1000)*N735,0)</f>
        <v>0</v>
      </c>
      <c r="O736" s="18" cm="1">
        <f t="array" ref="O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I$3:I$1000)/SUMPRODUCT(("Var_fout"=[1]OUT_CO2util!$B$3:$B$1000)*1,("CO2_O"=[1]OUT_CO2util!$A$3:$A$1000)*1,[1]OUT_CO2util!I$3:I$1000)*O735,0)</f>
        <v>0</v>
      </c>
      <c r="P736" s="18" cm="1">
        <f t="array" ref="P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J$3:J$1000)/SUMPRODUCT(("Var_fout"=[1]OUT_CO2util!$B$3:$B$1000)*1,("CO2_O"=[1]OUT_CO2util!$A$3:$A$1000)*1,[1]OUT_CO2util!J$3:J$1000)*P735,0)</f>
        <v>0</v>
      </c>
      <c r="Q736" s="18" cm="1">
        <f t="array" ref="Q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K$3:K$1000)/SUMPRODUCT(("Var_fout"=[1]OUT_CO2util!$B$3:$B$1000)*1,("CO2_O"=[1]OUT_CO2util!$A$3:$A$1000)*1,[1]OUT_CO2util!K$3:K$1000)*Q735,0)</f>
        <v>0</v>
      </c>
      <c r="S736" s="3"/>
    </row>
    <row r="737" spans="2:19" x14ac:dyDescent="0.5">
      <c r="B737" s="5" t="str">
        <f t="shared" si="855"/>
        <v>SPS1</v>
      </c>
      <c r="C737" s="5" t="str">
        <f t="shared" si="855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K735-K736-K738</f>
        <v>0</v>
      </c>
      <c r="L737" s="18">
        <f t="shared" ref="L737:O737" si="856">L735-L736-L738</f>
        <v>0</v>
      </c>
      <c r="M737" s="18">
        <f t="shared" si="856"/>
        <v>0</v>
      </c>
      <c r="N737" s="18">
        <f t="shared" si="856"/>
        <v>0</v>
      </c>
      <c r="O737" s="18">
        <f t="shared" si="856"/>
        <v>0</v>
      </c>
      <c r="P737" s="18">
        <f>P735-P736-P738</f>
        <v>0</v>
      </c>
      <c r="Q737" s="18">
        <f>Q735-Q736-Q738</f>
        <v>0</v>
      </c>
      <c r="S737" s="3"/>
    </row>
    <row r="738" spans="2:19" x14ac:dyDescent="0.5">
      <c r="B738" s="5" t="str">
        <f t="shared" si="855"/>
        <v>SPS1</v>
      </c>
      <c r="C738" s="5" t="str">
        <f t="shared" si="855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IF(SUMPRODUCT(("Var_fout"=[1]OUT_CO2util!$B$3:$B$1000)*1,("CO2_O"=[1]OUT_CO2util!$A$3:$A$1000)*1,[1]OUT_CO2util!D$3:D$1000)*J735=0,0,SUMPRODUCT(("SUP_DAC"=[1]OUT_CO2util!$C$3:$C$1000)*1,("Var_fout"=[1]OUT_CO2util!$B$3:$B$1000)*1,("CO2_O"=[1]OUT_CO2util!$A$3:$A$1000)*1,[1]OUT_CO2util!D$3:D$1000)/SUMPRODUCT(("Var_fout"=[1]OUT_CO2util!$B$3:$B$1000)*1,("CO2_O"=[1]OUT_CO2util!$A$3:$A$1000)*1,[1]OUT_CO2util!D$3:D$1000)*J735)</f>
        <v>0</v>
      </c>
      <c r="K738" s="18" cm="1">
        <f t="array" ref="K738">IF(SUMPRODUCT(("Var_fout"=[1]OUT_CO2util!$B$3:$B$1000)*1,("CO2_O"=[1]OUT_CO2util!$A$3:$A$1000)*1,[1]OUT_CO2util!E$3:E$1000)*K735=0,0,SUMPRODUCT(("SUP_DAC"=[1]OUT_CO2util!$C$3:$C$1000)*1,("Var_fout"=[1]OUT_CO2util!$B$3:$B$1000)*1,("CO2_O"=[1]OUT_CO2util!$A$3:$A$1000)*1,[1]OUT_CO2util!E$3:E$1000)/SUMPRODUCT(("Var_fout"=[1]OUT_CO2util!$B$3:$B$1000)*1,("CO2_O"=[1]OUT_CO2util!$A$3:$A$1000)*1,[1]OUT_CO2util!E$3:E$1000)*K735)</f>
        <v>0</v>
      </c>
      <c r="L738" s="18" cm="1">
        <f t="array" ref="L738">IF(SUMPRODUCT(("Var_fout"=[1]OUT_CO2util!$B$3:$B$1000)*1,("CO2_O"=[1]OUT_CO2util!$A$3:$A$1000)*1,[1]OUT_CO2util!F$3:F$1000)*L735=0,0,SUMPRODUCT(("SUP_DAC"=[1]OUT_CO2util!$C$3:$C$1000)*1,("Var_fout"=[1]OUT_CO2util!$B$3:$B$1000)*1,("CO2_O"=[1]OUT_CO2util!$A$3:$A$1000)*1,[1]OUT_CO2util!F$3:F$1000)/SUMPRODUCT(("Var_fout"=[1]OUT_CO2util!$B$3:$B$1000)*1,("CO2_O"=[1]OUT_CO2util!$A$3:$A$1000)*1,[1]OUT_CO2util!F$3:F$1000)*L735)</f>
        <v>0</v>
      </c>
      <c r="M738" s="18" cm="1">
        <f t="array" ref="M738">IF(SUMPRODUCT(("Var_fout"=[1]OUT_CO2util!$B$3:$B$1000)*1,("CO2_O"=[1]OUT_CO2util!$A$3:$A$1000)*1,[1]OUT_CO2util!G$3:G$1000)*M735=0,0,SUMPRODUCT(("SUP_DAC"=[1]OUT_CO2util!$C$3:$C$1000)*1,("Var_fout"=[1]OUT_CO2util!$B$3:$B$1000)*1,("CO2_O"=[1]OUT_CO2util!$A$3:$A$1000)*1,[1]OUT_CO2util!G$3:G$1000)/SUMPRODUCT(("Var_fout"=[1]OUT_CO2util!$B$3:$B$1000)*1,("CO2_O"=[1]OUT_CO2util!$A$3:$A$1000)*1,[1]OUT_CO2util!G$3:G$1000)*M735)</f>
        <v>0</v>
      </c>
      <c r="N738" s="18" cm="1">
        <f t="array" ref="N738">IF(SUMPRODUCT(("Var_fout"=[1]OUT_CO2util!$B$3:$B$1000)*1,("CO2_O"=[1]OUT_CO2util!$A$3:$A$1000)*1,[1]OUT_CO2util!H$3:H$1000)*N735=0,0,SUMPRODUCT(("SUP_DAC"=[1]OUT_CO2util!$C$3:$C$1000)*1,("Var_fout"=[1]OUT_CO2util!$B$3:$B$1000)*1,("CO2_O"=[1]OUT_CO2util!$A$3:$A$1000)*1,[1]OUT_CO2util!H$3:H$1000)/SUMPRODUCT(("Var_fout"=[1]OUT_CO2util!$B$3:$B$1000)*1,("CO2_O"=[1]OUT_CO2util!$A$3:$A$1000)*1,[1]OUT_CO2util!H$3:H$1000)*N735)</f>
        <v>0</v>
      </c>
      <c r="O738" s="18" cm="1">
        <f t="array" ref="O738">IF(SUMPRODUCT(("Var_fout"=[1]OUT_CO2util!$B$3:$B$1000)*1,("CO2_O"=[1]OUT_CO2util!$A$3:$A$1000)*1,[1]OUT_CO2util!I$3:I$1000)*O735=0,0,SUMPRODUCT(("SUP_DAC"=[1]OUT_CO2util!$C$3:$C$1000)*1,("Var_fout"=[1]OUT_CO2util!$B$3:$B$1000)*1,("CO2_O"=[1]OUT_CO2util!$A$3:$A$1000)*1,[1]OUT_CO2util!I$3:I$1000)/SUMPRODUCT(("Var_fout"=[1]OUT_CO2util!$B$3:$B$1000)*1,("CO2_O"=[1]OUT_CO2util!$A$3:$A$1000)*1,[1]OUT_CO2util!I$3:I$1000)*O735)</f>
        <v>0</v>
      </c>
      <c r="P738" s="18" cm="1">
        <f t="array" ref="P738">IF(SUMPRODUCT(("Var_fout"=[1]OUT_CO2util!$B$3:$B$1000)*1,("CO2_O"=[1]OUT_CO2util!$A$3:$A$1000)*1,[1]OUT_CO2util!J$3:J$1000)*P735=0,0,SUMPRODUCT(("SUP_DAC"=[1]OUT_CO2util!$C$3:$C$1000)*1,("Var_fout"=[1]OUT_CO2util!$B$3:$B$1000)*1,("CO2_O"=[1]OUT_CO2util!$A$3:$A$1000)*1,[1]OUT_CO2util!J$3:J$1000)/SUMPRODUCT(("Var_fout"=[1]OUT_CO2util!$B$3:$B$1000)*1,("CO2_O"=[1]OUT_CO2util!$A$3:$A$1000)*1,[1]OUT_CO2util!J$3:J$1000)*P735)</f>
        <v>0</v>
      </c>
      <c r="Q738" s="18" cm="1">
        <f t="array" ref="Q738">IF(SUMPRODUCT(("Var_fout"=[1]OUT_CO2util!$B$3:$B$1000)*1,("CO2_O"=[1]OUT_CO2util!$A$3:$A$1000)*1,[1]OUT_CO2util!K$3:K$1000)*Q735=0,0,SUMPRODUCT(("SUP_DAC"=[1]OUT_CO2util!$C$3:$C$1000)*1,("Var_fout"=[1]OUT_CO2util!$B$3:$B$1000)*1,("CO2_O"=[1]OUT_CO2util!$A$3:$A$1000)*1,[1]OUT_CO2util!K$3:K$1000)/SUMPRODUCT(("Var_fout"=[1]OUT_CO2util!$B$3:$B$1000)*1,("CO2_O"=[1]OUT_CO2util!$A$3:$A$1000)*1,[1]OUT_CO2util!K$3:K$1000)*Q735)</f>
        <v>0</v>
      </c>
      <c r="S738" s="3"/>
    </row>
    <row r="739" spans="2:19" x14ac:dyDescent="0.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57">G740</f>
        <v>0</v>
      </c>
      <c r="H739" s="18">
        <f t="shared" ref="H739" si="858">H740</f>
        <v>0</v>
      </c>
      <c r="I739" s="18">
        <f t="shared" ref="I739" si="859">I740</f>
        <v>0</v>
      </c>
      <c r="J739" s="18">
        <f t="shared" ref="J739" si="860">J740</f>
        <v>0</v>
      </c>
      <c r="K739" s="18">
        <f t="shared" ref="K739:O739" si="861">K740</f>
        <v>0</v>
      </c>
      <c r="L739" s="18">
        <f t="shared" si="861"/>
        <v>0</v>
      </c>
      <c r="M739" s="18">
        <f t="shared" si="861"/>
        <v>0</v>
      </c>
      <c r="N739" s="18">
        <f t="shared" si="861"/>
        <v>0</v>
      </c>
      <c r="O739" s="18">
        <f t="shared" si="861"/>
        <v>0</v>
      </c>
      <c r="P739" s="18">
        <f>P740</f>
        <v>0</v>
      </c>
      <c r="Q739" s="18">
        <f>Q740</f>
        <v>0</v>
      </c>
      <c r="S739" s="3"/>
    </row>
    <row r="740" spans="2:19" x14ac:dyDescent="0.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SUMPRODUCT(("SUP_H2NGA"=[1]OUT_SyntheticFuels!$C$4:$C$1000)*1,("CO2_M"=[1]OUT_SyntheticFuels!$A$4:$A$1000)*1,("Var_Fin"=[1]OUT_SyntheticFuels!$B$4:$B$1000)*1,[1]OUT_SyntheticFuels!I$4:I$1000)/1000</f>
        <v>0</v>
      </c>
      <c r="K740" s="10" cm="1">
        <f t="array" ref="K740">SUMPRODUCT(("SUP_H2NGA"=[1]OUT_SyntheticFuels!$C$4:$C$1000)*1,("CO2_M"=[1]OUT_SyntheticFuels!$A$4:$A$1000)*1,("Var_Fin"=[1]OUT_SyntheticFuels!$B$4:$B$1000)*1,[1]OUT_SyntheticFuels!J$4:J$1000)/1000</f>
        <v>0</v>
      </c>
      <c r="L740" s="10" cm="1">
        <f t="array" ref="L740">SUMPRODUCT(("SUP_H2NGA"=[1]OUT_SyntheticFuels!$C$4:$C$1000)*1,("CO2_M"=[1]OUT_SyntheticFuels!$A$4:$A$1000)*1,("Var_Fin"=[1]OUT_SyntheticFuels!$B$4:$B$1000)*1,[1]OUT_SyntheticFuels!K$4:K$1000)/1000</f>
        <v>0</v>
      </c>
      <c r="M740" s="10" cm="1">
        <f t="array" ref="M740">SUMPRODUCT(("SUP_H2NGA"=[1]OUT_SyntheticFuels!$C$4:$C$1000)*1,("CO2_M"=[1]OUT_SyntheticFuels!$A$4:$A$1000)*1,("Var_Fin"=[1]OUT_SyntheticFuels!$B$4:$B$1000)*1,[1]OUT_SyntheticFuels!L$4:L$1000)/1000</f>
        <v>0</v>
      </c>
      <c r="N740" s="10" cm="1">
        <f t="array" ref="N740">SUMPRODUCT(("SUP_H2NGA"=[1]OUT_SyntheticFuels!$C$4:$C$1000)*1,("CO2_M"=[1]OUT_SyntheticFuels!$A$4:$A$1000)*1,("Var_Fin"=[1]OUT_SyntheticFuels!$B$4:$B$1000)*1,[1]OUT_SyntheticFuels!M$4:M$1000)/1000</f>
        <v>0</v>
      </c>
      <c r="O740" s="10" cm="1">
        <f t="array" ref="O740">SUMPRODUCT(("SUP_H2NGA"=[1]OUT_SyntheticFuels!$C$4:$C$1000)*1,("CO2_M"=[1]OUT_SyntheticFuels!$A$4:$A$1000)*1,("Var_Fin"=[1]OUT_SyntheticFuels!$B$4:$B$1000)*1,[1]OUT_SyntheticFuels!N$4:N$1000)/1000</f>
        <v>0</v>
      </c>
      <c r="P740" s="10" cm="1">
        <f t="array" ref="P740">SUMPRODUCT(("SUP_H2NGA"=[1]OUT_SyntheticFuels!$C$4:$C$1000)*1,("CO2_M"=[1]OUT_SyntheticFuels!$A$4:$A$1000)*1,("Var_Fin"=[1]OUT_SyntheticFuels!$B$4:$B$1000)*1,[1]OUT_SyntheticFuels!O$4:O$1000)/1000</f>
        <v>0</v>
      </c>
      <c r="Q740" s="10" cm="1">
        <f t="array" ref="Q740">SUMPRODUCT(("SUP_H2NGA"=[1]OUT_SyntheticFuels!$C$4:$C$1000)*1,("CO2_M"=[1]OUT_SyntheticFuels!$A$4:$A$1000)*1,("Var_Fin"=[1]OUT_SyntheticFuels!$B$4:$B$1000)*1,[1]OUT_SyntheticFuels!P$4:P$1000)/1000</f>
        <v>0</v>
      </c>
      <c r="S740" s="3"/>
    </row>
    <row r="741" spans="2:19" x14ac:dyDescent="0.5">
      <c r="B741" s="5" t="str">
        <f t="shared" ref="B741:B744" si="862">B740</f>
        <v>SPS1</v>
      </c>
      <c r="C741" s="5" t="str">
        <f t="shared" ref="C741:C744" si="863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64">SUM(G742:G744)</f>
        <v>0</v>
      </c>
      <c r="H741" s="18">
        <f t="shared" ref="H741" si="865">SUM(H742:H744)</f>
        <v>0</v>
      </c>
      <c r="I741" s="18">
        <f t="shared" ref="I741" si="866">SUM(I742:I744)</f>
        <v>0</v>
      </c>
      <c r="J741" s="18">
        <f t="shared" ref="J741" si="867">SUM(J742:J744)</f>
        <v>0</v>
      </c>
      <c r="K741" s="18">
        <f t="shared" ref="K741" si="868">SUM(K742:K744)</f>
        <v>0</v>
      </c>
      <c r="L741" s="18">
        <f t="shared" ref="L741:O741" si="869">SUM(L742:L744)</f>
        <v>0</v>
      </c>
      <c r="M741" s="18">
        <f t="shared" si="869"/>
        <v>0</v>
      </c>
      <c r="N741" s="18">
        <f t="shared" si="869"/>
        <v>0</v>
      </c>
      <c r="O741" s="18">
        <f t="shared" si="869"/>
        <v>0</v>
      </c>
      <c r="P741" s="18">
        <f>SUM(P742:P744)</f>
        <v>0</v>
      </c>
      <c r="Q741" s="18">
        <f>SUM(Q742:Q744)</f>
        <v>0</v>
      </c>
      <c r="S741" s="3"/>
    </row>
    <row r="742" spans="2:19" x14ac:dyDescent="0.5">
      <c r="B742" s="5" t="str">
        <f t="shared" si="862"/>
        <v>SPS1</v>
      </c>
      <c r="C742" s="5" t="str">
        <f t="shared" si="863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SUMPRODUCT(("SUP_H2DSL"=[1]OUT_SyntheticFuels!$C$4:$C$1000)*1,("co2_m"=[1]OUT_SyntheticFuels!$A$4:$A$1000)*1,("Var_Fin"=[1]OUT_SyntheticFuels!$B$4:$B$1000)*1,[1]OUT_SyntheticFuels!I$4:I$1000)*IFERROR(J718/SUM(J718,J720),0)/1000</f>
        <v>0</v>
      </c>
      <c r="K742" s="10" cm="1">
        <f t="array" ref="K742">SUMPRODUCT(("SUP_H2DSL"=[1]OUT_SyntheticFuels!$C$4:$C$1000)*1,("co2_m"=[1]OUT_SyntheticFuels!$A$4:$A$1000)*1,("Var_Fin"=[1]OUT_SyntheticFuels!$B$4:$B$1000)*1,[1]OUT_SyntheticFuels!J$4:J$1000)*IFERROR(K718/SUM(K718,K720),0)/1000</f>
        <v>0</v>
      </c>
      <c r="L742" s="10" cm="1">
        <f t="array" ref="L742">SUMPRODUCT(("SUP_H2DSL"=[1]OUT_SyntheticFuels!$C$4:$C$1000)*1,("co2_m"=[1]OUT_SyntheticFuels!$A$4:$A$1000)*1,("Var_Fin"=[1]OUT_SyntheticFuels!$B$4:$B$1000)*1,[1]OUT_SyntheticFuels!K$4:K$1000)*IFERROR(L718/SUM(L718,L720),0)/1000</f>
        <v>0</v>
      </c>
      <c r="M742" s="10" cm="1">
        <f t="array" ref="M742">SUMPRODUCT(("SUP_H2DSL"=[1]OUT_SyntheticFuels!$C$4:$C$1000)*1,("co2_m"=[1]OUT_SyntheticFuels!$A$4:$A$1000)*1,("Var_Fin"=[1]OUT_SyntheticFuels!$B$4:$B$1000)*1,[1]OUT_SyntheticFuels!L$4:L$1000)*IFERROR(M718/SUM(M718,M720),0)/1000</f>
        <v>0</v>
      </c>
      <c r="N742" s="10" cm="1">
        <f t="array" ref="N742">SUMPRODUCT(("SUP_H2DSL"=[1]OUT_SyntheticFuels!$C$4:$C$1000)*1,("co2_m"=[1]OUT_SyntheticFuels!$A$4:$A$1000)*1,("Var_Fin"=[1]OUT_SyntheticFuels!$B$4:$B$1000)*1,[1]OUT_SyntheticFuels!M$4:M$1000)*IFERROR(N718/SUM(N718,N720),0)/1000</f>
        <v>0</v>
      </c>
      <c r="O742" s="10" cm="1">
        <f t="array" ref="O742">SUMPRODUCT(("SUP_H2DSL"=[1]OUT_SyntheticFuels!$C$4:$C$1000)*1,("co2_m"=[1]OUT_SyntheticFuels!$A$4:$A$1000)*1,("Var_Fin"=[1]OUT_SyntheticFuels!$B$4:$B$1000)*1,[1]OUT_SyntheticFuels!N$4:N$1000)*IFERROR(O718/SUM(O718,O720),0)/1000</f>
        <v>0</v>
      </c>
      <c r="P742" s="10" cm="1">
        <f t="array" ref="P742">SUMPRODUCT(("SUP_H2DSL"=[1]OUT_SyntheticFuels!$C$4:$C$1000)*1,("co2_m"=[1]OUT_SyntheticFuels!$A$4:$A$1000)*1,("Var_Fin"=[1]OUT_SyntheticFuels!$B$4:$B$1000)*1,[1]OUT_SyntheticFuels!O$4:O$1000)*IFERROR(P718/SUM(P718,P720),0)/1000</f>
        <v>0</v>
      </c>
      <c r="Q742" s="10" cm="1">
        <f t="array" ref="Q742">SUMPRODUCT(("SUP_H2DSL"=[1]OUT_SyntheticFuels!$C$4:$C$1000)*1,("co2_m"=[1]OUT_SyntheticFuels!$A$4:$A$1000)*1,("Var_Fin"=[1]OUT_SyntheticFuels!$B$4:$B$1000)*1,[1]OUT_SyntheticFuels!P$4:P$1000)*IFERROR(Q718/SUM(Q718,Q720),0)/1000</f>
        <v>0</v>
      </c>
      <c r="S742" s="3"/>
    </row>
    <row r="743" spans="2:19" x14ac:dyDescent="0.5">
      <c r="B743" s="5" t="str">
        <f t="shared" si="862"/>
        <v>SPS1</v>
      </c>
      <c r="C743" s="5" t="str">
        <f t="shared" si="863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SUMPRODUCT(("SUP_H2GSL"=[1]OUT_SyntheticFuels!$C$4:$C$1000)*1,("co2_m"=[1]OUT_SyntheticFuels!$A$4:$A$1000)*1,("Var_Fin"=[1]OUT_SyntheticFuels!$B$4:$B$1000)*1,[1]OUT_SyntheticFuels!I$4:I$1000)/1000</f>
        <v>0</v>
      </c>
      <c r="K743" s="10" cm="1">
        <f t="array" ref="K743">SUMPRODUCT(("SUP_H2GSL"=[1]OUT_SyntheticFuels!$C$4:$C$1000)*1,("co2_m"=[1]OUT_SyntheticFuels!$A$4:$A$1000)*1,("Var_Fin"=[1]OUT_SyntheticFuels!$B$4:$B$1000)*1,[1]OUT_SyntheticFuels!J$4:J$1000)/1000</f>
        <v>0</v>
      </c>
      <c r="L743" s="10" cm="1">
        <f t="array" ref="L743">SUMPRODUCT(("SUP_H2GSL"=[1]OUT_SyntheticFuels!$C$4:$C$1000)*1,("co2_m"=[1]OUT_SyntheticFuels!$A$4:$A$1000)*1,("Var_Fin"=[1]OUT_SyntheticFuels!$B$4:$B$1000)*1,[1]OUT_SyntheticFuels!K$4:K$1000)/1000</f>
        <v>0</v>
      </c>
      <c r="M743" s="10" cm="1">
        <f t="array" ref="M743">SUMPRODUCT(("SUP_H2GSL"=[1]OUT_SyntheticFuels!$C$4:$C$1000)*1,("co2_m"=[1]OUT_SyntheticFuels!$A$4:$A$1000)*1,("Var_Fin"=[1]OUT_SyntheticFuels!$B$4:$B$1000)*1,[1]OUT_SyntheticFuels!L$4:L$1000)/1000</f>
        <v>0</v>
      </c>
      <c r="N743" s="10" cm="1">
        <f t="array" ref="N743">SUMPRODUCT(("SUP_H2GSL"=[1]OUT_SyntheticFuels!$C$4:$C$1000)*1,("co2_m"=[1]OUT_SyntheticFuels!$A$4:$A$1000)*1,("Var_Fin"=[1]OUT_SyntheticFuels!$B$4:$B$1000)*1,[1]OUT_SyntheticFuels!M$4:M$1000)/1000</f>
        <v>0</v>
      </c>
      <c r="O743" s="10" cm="1">
        <f t="array" ref="O743">SUMPRODUCT(("SUP_H2GSL"=[1]OUT_SyntheticFuels!$C$4:$C$1000)*1,("co2_m"=[1]OUT_SyntheticFuels!$A$4:$A$1000)*1,("Var_Fin"=[1]OUT_SyntheticFuels!$B$4:$B$1000)*1,[1]OUT_SyntheticFuels!N$4:N$1000)/1000</f>
        <v>0</v>
      </c>
      <c r="P743" s="10" cm="1">
        <f t="array" ref="P743">SUMPRODUCT(("SUP_H2GSL"=[1]OUT_SyntheticFuels!$C$4:$C$1000)*1,("co2_m"=[1]OUT_SyntheticFuels!$A$4:$A$1000)*1,("Var_Fin"=[1]OUT_SyntheticFuels!$B$4:$B$1000)*1,[1]OUT_SyntheticFuels!O$4:O$1000)/1000</f>
        <v>0</v>
      </c>
      <c r="Q743" s="10" cm="1">
        <f t="array" ref="Q743">SUMPRODUCT(("SUP_H2GSL"=[1]OUT_SyntheticFuels!$C$4:$C$1000)*1,("co2_m"=[1]OUT_SyntheticFuels!$A$4:$A$1000)*1,("Var_Fin"=[1]OUT_SyntheticFuels!$B$4:$B$1000)*1,[1]OUT_SyntheticFuels!P$4:P$1000)/1000</f>
        <v>0</v>
      </c>
      <c r="S743" s="3"/>
    </row>
    <row r="744" spans="2:19" x14ac:dyDescent="0.5">
      <c r="B744" s="5" t="str">
        <f t="shared" si="862"/>
        <v>SPS1</v>
      </c>
      <c r="C744" s="5" t="str">
        <f t="shared" si="863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SUMPRODUCT(("SUP_H2DSL"=[1]OUT_SyntheticFuels!$C$4:$C$1000)*1,("co2_m"=[1]OUT_SyntheticFuels!$A$4:$A$1000)*1,("Var_Fin"=[1]OUT_SyntheticFuels!$B$4:$B$1000)*1,[1]OUT_SyntheticFuels!I$4:I$1000)/1000-J742</f>
        <v>0</v>
      </c>
      <c r="K744" s="10" cm="1">
        <f t="array" ref="K744">SUMPRODUCT(("SUP_H2DSL"=[1]OUT_SyntheticFuels!$C$4:$C$1000)*1,("co2_m"=[1]OUT_SyntheticFuels!$A$4:$A$1000)*1,("Var_Fin"=[1]OUT_SyntheticFuels!$B$4:$B$1000)*1,[1]OUT_SyntheticFuels!J$4:J$1000)/1000-K742</f>
        <v>0</v>
      </c>
      <c r="L744" s="10" cm="1">
        <f t="array" ref="L744">SUMPRODUCT(("SUP_H2DSL"=[1]OUT_SyntheticFuels!$C$4:$C$1000)*1,("co2_m"=[1]OUT_SyntheticFuels!$A$4:$A$1000)*1,("Var_Fin"=[1]OUT_SyntheticFuels!$B$4:$B$1000)*1,[1]OUT_SyntheticFuels!K$4:K$1000)/1000-L742</f>
        <v>0</v>
      </c>
      <c r="M744" s="10" cm="1">
        <f t="array" ref="M744">SUMPRODUCT(("SUP_H2DSL"=[1]OUT_SyntheticFuels!$C$4:$C$1000)*1,("co2_m"=[1]OUT_SyntheticFuels!$A$4:$A$1000)*1,("Var_Fin"=[1]OUT_SyntheticFuels!$B$4:$B$1000)*1,[1]OUT_SyntheticFuels!L$4:L$1000)/1000-M742</f>
        <v>0</v>
      </c>
      <c r="N744" s="10" cm="1">
        <f t="array" ref="N744">SUMPRODUCT(("SUP_H2DSL"=[1]OUT_SyntheticFuels!$C$4:$C$1000)*1,("co2_m"=[1]OUT_SyntheticFuels!$A$4:$A$1000)*1,("Var_Fin"=[1]OUT_SyntheticFuels!$B$4:$B$1000)*1,[1]OUT_SyntheticFuels!M$4:M$1000)/1000-N742</f>
        <v>0</v>
      </c>
      <c r="O744" s="10" cm="1">
        <f t="array" ref="O744">SUMPRODUCT(("SUP_H2DSL"=[1]OUT_SyntheticFuels!$C$4:$C$1000)*1,("co2_m"=[1]OUT_SyntheticFuels!$A$4:$A$1000)*1,("Var_Fin"=[1]OUT_SyntheticFuels!$B$4:$B$1000)*1,[1]OUT_SyntheticFuels!N$4:N$1000)/1000-O742</f>
        <v>0</v>
      </c>
      <c r="P744" s="10" cm="1">
        <f t="array" ref="P744">SUMPRODUCT(("SUP_H2DSL"=[1]OUT_SyntheticFuels!$C$4:$C$1000)*1,("co2_m"=[1]OUT_SyntheticFuels!$A$4:$A$1000)*1,("Var_Fin"=[1]OUT_SyntheticFuels!$B$4:$B$1000)*1,[1]OUT_SyntheticFuels!O$4:O$1000)/1000-P742</f>
        <v>0</v>
      </c>
      <c r="Q744" s="10" cm="1">
        <f t="array" ref="Q744">SUMPRODUCT(("SUP_H2DSL"=[1]OUT_SyntheticFuels!$C$4:$C$1000)*1,("co2_m"=[1]OUT_SyntheticFuels!$A$4:$A$1000)*1,("Var_Fin"=[1]OUT_SyntheticFuels!$B$4:$B$1000)*1,[1]OUT_SyntheticFuels!P$4:P$1000)/1000-Q742</f>
        <v>0</v>
      </c>
      <c r="S744" s="3"/>
    </row>
    <row r="745" spans="2:19" x14ac:dyDescent="0.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70">IFERROR(G$736/G$735,0)*G739</f>
        <v>0</v>
      </c>
      <c r="H745" s="18">
        <f t="shared" si="870"/>
        <v>0</v>
      </c>
      <c r="I745" s="18">
        <f t="shared" si="870"/>
        <v>0</v>
      </c>
      <c r="J745" s="18">
        <f t="shared" si="870"/>
        <v>0</v>
      </c>
      <c r="K745" s="18">
        <f t="shared" si="870"/>
        <v>0</v>
      </c>
      <c r="L745" s="18">
        <f t="shared" ref="L745:O745" si="871">IFERROR(L$736/L$735,0)*L739</f>
        <v>0</v>
      </c>
      <c r="M745" s="18">
        <f t="shared" si="871"/>
        <v>0</v>
      </c>
      <c r="N745" s="18">
        <f t="shared" si="871"/>
        <v>0</v>
      </c>
      <c r="O745" s="18">
        <f t="shared" si="871"/>
        <v>0</v>
      </c>
      <c r="P745" s="18">
        <f t="shared" ref="P745:Q750" si="872">IFERROR(P$736/P$735,0)*P739</f>
        <v>0</v>
      </c>
      <c r="Q745" s="18">
        <f t="shared" si="872"/>
        <v>0</v>
      </c>
      <c r="S745" s="3"/>
    </row>
    <row r="746" spans="2:19" x14ac:dyDescent="0.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73">IFERROR(F$736/F$735,0)*F740</f>
        <v>0</v>
      </c>
      <c r="G746" s="18">
        <f t="shared" si="873"/>
        <v>0</v>
      </c>
      <c r="H746" s="18">
        <f t="shared" si="873"/>
        <v>0</v>
      </c>
      <c r="I746" s="18">
        <f t="shared" si="873"/>
        <v>0</v>
      </c>
      <c r="J746" s="18">
        <f t="shared" si="873"/>
        <v>0</v>
      </c>
      <c r="K746" s="18">
        <f t="shared" si="873"/>
        <v>0</v>
      </c>
      <c r="L746" s="18">
        <f t="shared" ref="L746:O746" si="874">IFERROR(L$736/L$735,0)*L740</f>
        <v>0</v>
      </c>
      <c r="M746" s="18">
        <f t="shared" si="874"/>
        <v>0</v>
      </c>
      <c r="N746" s="18">
        <f t="shared" si="874"/>
        <v>0</v>
      </c>
      <c r="O746" s="18">
        <f t="shared" si="874"/>
        <v>0</v>
      </c>
      <c r="P746" s="18">
        <f t="shared" si="872"/>
        <v>0</v>
      </c>
      <c r="Q746" s="18">
        <f t="shared" si="872"/>
        <v>0</v>
      </c>
      <c r="S746" s="3"/>
    </row>
    <row r="747" spans="2:19" x14ac:dyDescent="0.5">
      <c r="B747" s="5" t="str">
        <f t="shared" ref="B747:B750" si="875">B746</f>
        <v>SPS1</v>
      </c>
      <c r="C747" s="5" t="str">
        <f t="shared" ref="C747:C750" si="876">C746</f>
        <v>CH</v>
      </c>
      <c r="D747" t="s">
        <v>934</v>
      </c>
      <c r="E747" s="5" t="s">
        <v>442</v>
      </c>
      <c r="F747" s="18">
        <f t="shared" ref="F747:K747" si="877">IFERROR(F$736/F$735,0)*F741</f>
        <v>0</v>
      </c>
      <c r="G747" s="18">
        <f t="shared" si="877"/>
        <v>0</v>
      </c>
      <c r="H747" s="18">
        <f t="shared" si="877"/>
        <v>0</v>
      </c>
      <c r="I747" s="18">
        <f t="shared" si="877"/>
        <v>0</v>
      </c>
      <c r="J747" s="18">
        <f t="shared" si="877"/>
        <v>0</v>
      </c>
      <c r="K747" s="18">
        <f t="shared" si="877"/>
        <v>0</v>
      </c>
      <c r="L747" s="18">
        <f t="shared" ref="L747:O747" si="878">IFERROR(L$736/L$735,0)*L741</f>
        <v>0</v>
      </c>
      <c r="M747" s="18">
        <f t="shared" si="878"/>
        <v>0</v>
      </c>
      <c r="N747" s="18">
        <f t="shared" si="878"/>
        <v>0</v>
      </c>
      <c r="O747" s="18">
        <f t="shared" si="878"/>
        <v>0</v>
      </c>
      <c r="P747" s="18">
        <f t="shared" si="872"/>
        <v>0</v>
      </c>
      <c r="Q747" s="18">
        <f t="shared" si="872"/>
        <v>0</v>
      </c>
      <c r="S747" s="3"/>
    </row>
    <row r="748" spans="2:19" x14ac:dyDescent="0.5">
      <c r="B748" s="5" t="str">
        <f t="shared" si="875"/>
        <v>SPS1</v>
      </c>
      <c r="C748" s="5" t="str">
        <f t="shared" si="876"/>
        <v>CH</v>
      </c>
      <c r="D748" t="s">
        <v>457</v>
      </c>
      <c r="E748" s="5" t="s">
        <v>442</v>
      </c>
      <c r="F748" s="18">
        <f t="shared" ref="F748:K748" si="879">IFERROR(F$736/F$735,0)*F742</f>
        <v>0</v>
      </c>
      <c r="G748" s="18">
        <f t="shared" si="879"/>
        <v>0</v>
      </c>
      <c r="H748" s="18">
        <f t="shared" si="879"/>
        <v>0</v>
      </c>
      <c r="I748" s="18">
        <f t="shared" si="879"/>
        <v>0</v>
      </c>
      <c r="J748" s="18">
        <f t="shared" si="879"/>
        <v>0</v>
      </c>
      <c r="K748" s="18">
        <f t="shared" si="879"/>
        <v>0</v>
      </c>
      <c r="L748" s="18">
        <f t="shared" ref="L748:O748" si="880">IFERROR(L$736/L$735,0)*L742</f>
        <v>0</v>
      </c>
      <c r="M748" s="18">
        <f t="shared" si="880"/>
        <v>0</v>
      </c>
      <c r="N748" s="18">
        <f t="shared" si="880"/>
        <v>0</v>
      </c>
      <c r="O748" s="18">
        <f t="shared" si="880"/>
        <v>0</v>
      </c>
      <c r="P748" s="18">
        <f t="shared" si="872"/>
        <v>0</v>
      </c>
      <c r="Q748" s="18">
        <f t="shared" si="872"/>
        <v>0</v>
      </c>
      <c r="S748" s="3"/>
    </row>
    <row r="749" spans="2:19" x14ac:dyDescent="0.5">
      <c r="B749" s="5" t="str">
        <f t="shared" si="875"/>
        <v>SPS1</v>
      </c>
      <c r="C749" s="5" t="str">
        <f t="shared" si="876"/>
        <v>CH</v>
      </c>
      <c r="D749" t="s">
        <v>458</v>
      </c>
      <c r="E749" s="5" t="s">
        <v>442</v>
      </c>
      <c r="F749" s="18">
        <f t="shared" ref="F749:K749" si="881">IFERROR(F$736/F$735,0)*F743</f>
        <v>0</v>
      </c>
      <c r="G749" s="18">
        <f t="shared" si="881"/>
        <v>0</v>
      </c>
      <c r="H749" s="18">
        <f t="shared" si="881"/>
        <v>0</v>
      </c>
      <c r="I749" s="18">
        <f t="shared" si="881"/>
        <v>0</v>
      </c>
      <c r="J749" s="18">
        <f t="shared" si="881"/>
        <v>0</v>
      </c>
      <c r="K749" s="18">
        <f t="shared" si="881"/>
        <v>0</v>
      </c>
      <c r="L749" s="18">
        <f t="shared" ref="L749:O749" si="882">IFERROR(L$736/L$735,0)*L743</f>
        <v>0</v>
      </c>
      <c r="M749" s="18">
        <f t="shared" si="882"/>
        <v>0</v>
      </c>
      <c r="N749" s="18">
        <f t="shared" si="882"/>
        <v>0</v>
      </c>
      <c r="O749" s="18">
        <f t="shared" si="882"/>
        <v>0</v>
      </c>
      <c r="P749" s="18">
        <f t="shared" si="872"/>
        <v>0</v>
      </c>
      <c r="Q749" s="18">
        <f t="shared" si="872"/>
        <v>0</v>
      </c>
      <c r="S749" s="3"/>
    </row>
    <row r="750" spans="2:19" x14ac:dyDescent="0.5">
      <c r="B750" s="5" t="str">
        <f t="shared" si="875"/>
        <v>SPS1</v>
      </c>
      <c r="C750" s="5" t="str">
        <f t="shared" si="876"/>
        <v>CH</v>
      </c>
      <c r="D750" t="s">
        <v>459</v>
      </c>
      <c r="E750" s="5" t="s">
        <v>442</v>
      </c>
      <c r="F750" s="18">
        <f t="shared" ref="F750:K750" si="883">IFERROR(F$736/F$735,0)*F744</f>
        <v>0</v>
      </c>
      <c r="G750" s="18">
        <f t="shared" si="883"/>
        <v>0</v>
      </c>
      <c r="H750" s="18">
        <f t="shared" si="883"/>
        <v>0</v>
      </c>
      <c r="I750" s="18">
        <f t="shared" si="883"/>
        <v>0</v>
      </c>
      <c r="J750" s="18">
        <f t="shared" si="883"/>
        <v>0</v>
      </c>
      <c r="K750" s="18">
        <f t="shared" si="883"/>
        <v>0</v>
      </c>
      <c r="L750" s="18">
        <f t="shared" ref="L750:O750" si="884">IFERROR(L$736/L$735,0)*L744</f>
        <v>0</v>
      </c>
      <c r="M750" s="18">
        <f t="shared" si="884"/>
        <v>0</v>
      </c>
      <c r="N750" s="18">
        <f t="shared" si="884"/>
        <v>0</v>
      </c>
      <c r="O750" s="18">
        <f t="shared" si="884"/>
        <v>0</v>
      </c>
      <c r="P750" s="18">
        <f t="shared" si="872"/>
        <v>0</v>
      </c>
      <c r="Q750" s="18">
        <f t="shared" si="872"/>
        <v>0</v>
      </c>
      <c r="S750" s="3"/>
    </row>
    <row r="751" spans="2:19" x14ac:dyDescent="0.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85">IFERROR(G$737/G$735,0)*G739</f>
        <v>0</v>
      </c>
      <c r="H751" s="18">
        <f t="shared" si="885"/>
        <v>0</v>
      </c>
      <c r="I751" s="18">
        <f t="shared" si="885"/>
        <v>0</v>
      </c>
      <c r="J751" s="18">
        <f t="shared" si="885"/>
        <v>0</v>
      </c>
      <c r="K751" s="18">
        <f t="shared" si="885"/>
        <v>0</v>
      </c>
      <c r="L751" s="18">
        <f t="shared" ref="L751:O751" si="886">IFERROR(L$737/L$735,0)*L739</f>
        <v>0</v>
      </c>
      <c r="M751" s="18">
        <f t="shared" si="886"/>
        <v>0</v>
      </c>
      <c r="N751" s="18">
        <f t="shared" si="886"/>
        <v>0</v>
      </c>
      <c r="O751" s="18">
        <f t="shared" si="886"/>
        <v>0</v>
      </c>
      <c r="P751" s="18">
        <f t="shared" ref="P751:Q756" si="887">IFERROR(P$737/P$735,0)*P739</f>
        <v>0</v>
      </c>
      <c r="Q751" s="18">
        <f t="shared" si="887"/>
        <v>0</v>
      </c>
      <c r="S751" s="3"/>
    </row>
    <row r="752" spans="2:19" x14ac:dyDescent="0.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88">IFERROR(F$737/F$735,0)*F740</f>
        <v>0</v>
      </c>
      <c r="G752" s="18">
        <f t="shared" si="888"/>
        <v>0</v>
      </c>
      <c r="H752" s="18">
        <f t="shared" si="888"/>
        <v>0</v>
      </c>
      <c r="I752" s="18">
        <f t="shared" si="888"/>
        <v>0</v>
      </c>
      <c r="J752" s="18">
        <f t="shared" si="888"/>
        <v>0</v>
      </c>
      <c r="K752" s="18">
        <f t="shared" si="888"/>
        <v>0</v>
      </c>
      <c r="L752" s="18">
        <f t="shared" ref="L752:O752" si="889">IFERROR(L$737/L$735,0)*L740</f>
        <v>0</v>
      </c>
      <c r="M752" s="18">
        <f t="shared" si="889"/>
        <v>0</v>
      </c>
      <c r="N752" s="18">
        <f t="shared" si="889"/>
        <v>0</v>
      </c>
      <c r="O752" s="18">
        <f t="shared" si="889"/>
        <v>0</v>
      </c>
      <c r="P752" s="18">
        <f t="shared" si="887"/>
        <v>0</v>
      </c>
      <c r="Q752" s="18">
        <f t="shared" si="887"/>
        <v>0</v>
      </c>
      <c r="S752" s="3"/>
    </row>
    <row r="753" spans="2:19" x14ac:dyDescent="0.5">
      <c r="B753" s="5" t="str">
        <f t="shared" ref="B753:B756" si="890">B752</f>
        <v>SPS1</v>
      </c>
      <c r="C753" s="5" t="str">
        <f t="shared" ref="C753:C756" si="891">C752</f>
        <v>CH</v>
      </c>
      <c r="D753" t="s">
        <v>936</v>
      </c>
      <c r="E753" s="5" t="s">
        <v>442</v>
      </c>
      <c r="F753" s="18">
        <f t="shared" ref="F753:K753" si="892">IFERROR(F$737/F$735,0)*F741</f>
        <v>0</v>
      </c>
      <c r="G753" s="18">
        <f t="shared" si="892"/>
        <v>0</v>
      </c>
      <c r="H753" s="18">
        <f t="shared" si="892"/>
        <v>0</v>
      </c>
      <c r="I753" s="18">
        <f t="shared" si="892"/>
        <v>0</v>
      </c>
      <c r="J753" s="18">
        <f t="shared" si="892"/>
        <v>0</v>
      </c>
      <c r="K753" s="18">
        <f t="shared" si="892"/>
        <v>0</v>
      </c>
      <c r="L753" s="18">
        <f t="shared" ref="L753:O753" si="893">IFERROR(L$737/L$735,0)*L741</f>
        <v>0</v>
      </c>
      <c r="M753" s="18">
        <f t="shared" si="893"/>
        <v>0</v>
      </c>
      <c r="N753" s="18">
        <f t="shared" si="893"/>
        <v>0</v>
      </c>
      <c r="O753" s="18">
        <f t="shared" si="893"/>
        <v>0</v>
      </c>
      <c r="P753" s="18">
        <f t="shared" si="887"/>
        <v>0</v>
      </c>
      <c r="Q753" s="18">
        <f t="shared" si="887"/>
        <v>0</v>
      </c>
      <c r="S753" s="3"/>
    </row>
    <row r="754" spans="2:19" x14ac:dyDescent="0.5">
      <c r="B754" s="5" t="str">
        <f t="shared" si="890"/>
        <v>SPS1</v>
      </c>
      <c r="C754" s="5" t="str">
        <f t="shared" si="891"/>
        <v>CH</v>
      </c>
      <c r="D754" t="s">
        <v>461</v>
      </c>
      <c r="E754" s="5" t="s">
        <v>442</v>
      </c>
      <c r="F754" s="18">
        <f t="shared" ref="F754:K754" si="894">IFERROR(F$737/F$735,0)*F742</f>
        <v>0</v>
      </c>
      <c r="G754" s="18">
        <f t="shared" si="894"/>
        <v>0</v>
      </c>
      <c r="H754" s="18">
        <f t="shared" si="894"/>
        <v>0</v>
      </c>
      <c r="I754" s="18">
        <f t="shared" si="894"/>
        <v>0</v>
      </c>
      <c r="J754" s="18">
        <f t="shared" si="894"/>
        <v>0</v>
      </c>
      <c r="K754" s="18">
        <f t="shared" si="894"/>
        <v>0</v>
      </c>
      <c r="L754" s="18">
        <f t="shared" ref="L754:O754" si="895">IFERROR(L$737/L$735,0)*L742</f>
        <v>0</v>
      </c>
      <c r="M754" s="18">
        <f t="shared" si="895"/>
        <v>0</v>
      </c>
      <c r="N754" s="18">
        <f t="shared" si="895"/>
        <v>0</v>
      </c>
      <c r="O754" s="18">
        <f t="shared" si="895"/>
        <v>0</v>
      </c>
      <c r="P754" s="18">
        <f t="shared" si="887"/>
        <v>0</v>
      </c>
      <c r="Q754" s="18">
        <f t="shared" si="887"/>
        <v>0</v>
      </c>
      <c r="S754" s="3"/>
    </row>
    <row r="755" spans="2:19" x14ac:dyDescent="0.5">
      <c r="B755" s="5" t="str">
        <f t="shared" si="890"/>
        <v>SPS1</v>
      </c>
      <c r="C755" s="5" t="str">
        <f t="shared" si="891"/>
        <v>CH</v>
      </c>
      <c r="D755" t="s">
        <v>462</v>
      </c>
      <c r="E755" s="5" t="s">
        <v>442</v>
      </c>
      <c r="F755" s="18">
        <f t="shared" ref="F755:K755" si="896">IFERROR(F$737/F$735,0)*F743</f>
        <v>0</v>
      </c>
      <c r="G755" s="18">
        <f t="shared" si="896"/>
        <v>0</v>
      </c>
      <c r="H755" s="18">
        <f t="shared" si="896"/>
        <v>0</v>
      </c>
      <c r="I755" s="18">
        <f t="shared" si="896"/>
        <v>0</v>
      </c>
      <c r="J755" s="18">
        <f t="shared" si="896"/>
        <v>0</v>
      </c>
      <c r="K755" s="18">
        <f t="shared" si="896"/>
        <v>0</v>
      </c>
      <c r="L755" s="18">
        <f t="shared" ref="L755:O755" si="897">IFERROR(L$737/L$735,0)*L743</f>
        <v>0</v>
      </c>
      <c r="M755" s="18">
        <f t="shared" si="897"/>
        <v>0</v>
      </c>
      <c r="N755" s="18">
        <f t="shared" si="897"/>
        <v>0</v>
      </c>
      <c r="O755" s="18">
        <f t="shared" si="897"/>
        <v>0</v>
      </c>
      <c r="P755" s="18">
        <f t="shared" si="887"/>
        <v>0</v>
      </c>
      <c r="Q755" s="18">
        <f t="shared" si="887"/>
        <v>0</v>
      </c>
      <c r="S755" s="3"/>
    </row>
    <row r="756" spans="2:19" x14ac:dyDescent="0.5">
      <c r="B756" s="5" t="str">
        <f t="shared" si="890"/>
        <v>SPS1</v>
      </c>
      <c r="C756" s="5" t="str">
        <f t="shared" si="891"/>
        <v>CH</v>
      </c>
      <c r="D756" t="s">
        <v>463</v>
      </c>
      <c r="E756" s="5" t="s">
        <v>442</v>
      </c>
      <c r="F756" s="18">
        <f t="shared" ref="F756:K756" si="898">IFERROR(F$737/F$735,0)*F744</f>
        <v>0</v>
      </c>
      <c r="G756" s="18">
        <f t="shared" si="898"/>
        <v>0</v>
      </c>
      <c r="H756" s="18">
        <f t="shared" si="898"/>
        <v>0</v>
      </c>
      <c r="I756" s="18">
        <f t="shared" si="898"/>
        <v>0</v>
      </c>
      <c r="J756" s="18">
        <f t="shared" si="898"/>
        <v>0</v>
      </c>
      <c r="K756" s="18">
        <f t="shared" si="898"/>
        <v>0</v>
      </c>
      <c r="L756" s="18">
        <f t="shared" ref="L756:O756" si="899">IFERROR(L$737/L$735,0)*L744</f>
        <v>0</v>
      </c>
      <c r="M756" s="18">
        <f t="shared" si="899"/>
        <v>0</v>
      </c>
      <c r="N756" s="18">
        <f t="shared" si="899"/>
        <v>0</v>
      </c>
      <c r="O756" s="18">
        <f t="shared" si="899"/>
        <v>0</v>
      </c>
      <c r="P756" s="18">
        <f t="shared" si="887"/>
        <v>0</v>
      </c>
      <c r="Q756" s="18">
        <f t="shared" si="887"/>
        <v>0</v>
      </c>
      <c r="S756" s="3"/>
    </row>
    <row r="757" spans="2:19" x14ac:dyDescent="0.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900">IFERROR(G$738/G$735,0)*G739</f>
        <v>0</v>
      </c>
      <c r="H757" s="18">
        <f t="shared" si="900"/>
        <v>0</v>
      </c>
      <c r="I757" s="18">
        <f t="shared" si="900"/>
        <v>0</v>
      </c>
      <c r="J757" s="18">
        <f t="shared" si="900"/>
        <v>0</v>
      </c>
      <c r="K757" s="18">
        <f t="shared" si="900"/>
        <v>0</v>
      </c>
      <c r="L757" s="18">
        <f t="shared" ref="L757:O757" si="901">IFERROR(L$738/L$735,0)*L739</f>
        <v>0</v>
      </c>
      <c r="M757" s="18">
        <f t="shared" si="901"/>
        <v>0</v>
      </c>
      <c r="N757" s="18">
        <f t="shared" si="901"/>
        <v>0</v>
      </c>
      <c r="O757" s="18">
        <f t="shared" si="901"/>
        <v>0</v>
      </c>
      <c r="P757" s="18">
        <f t="shared" ref="P757:Q762" si="902">IFERROR(P$738/P$735,0)*P739</f>
        <v>0</v>
      </c>
      <c r="Q757" s="18">
        <f t="shared" si="902"/>
        <v>0</v>
      </c>
      <c r="S757" s="3"/>
    </row>
    <row r="758" spans="2:19" x14ac:dyDescent="0.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903">IFERROR(F$738/F$735,0)*F740</f>
        <v>0</v>
      </c>
      <c r="G758" s="18">
        <f t="shared" si="903"/>
        <v>0</v>
      </c>
      <c r="H758" s="18">
        <f t="shared" si="903"/>
        <v>0</v>
      </c>
      <c r="I758" s="18">
        <f t="shared" si="903"/>
        <v>0</v>
      </c>
      <c r="J758" s="18">
        <f t="shared" si="903"/>
        <v>0</v>
      </c>
      <c r="K758" s="18">
        <f t="shared" si="903"/>
        <v>0</v>
      </c>
      <c r="L758" s="18">
        <f t="shared" ref="L758:O758" si="904">IFERROR(L$738/L$735,0)*L740</f>
        <v>0</v>
      </c>
      <c r="M758" s="18">
        <f t="shared" si="904"/>
        <v>0</v>
      </c>
      <c r="N758" s="18">
        <f t="shared" si="904"/>
        <v>0</v>
      </c>
      <c r="O758" s="18">
        <f t="shared" si="904"/>
        <v>0</v>
      </c>
      <c r="P758" s="18">
        <f t="shared" si="902"/>
        <v>0</v>
      </c>
      <c r="Q758" s="18">
        <f t="shared" si="902"/>
        <v>0</v>
      </c>
      <c r="S758" s="3"/>
    </row>
    <row r="759" spans="2:19" x14ac:dyDescent="0.5">
      <c r="B759" s="5" t="str">
        <f t="shared" ref="B759:B762" si="905">B758</f>
        <v>SPS1</v>
      </c>
      <c r="C759" s="5" t="str">
        <f t="shared" ref="C759:C762" si="906">C758</f>
        <v>CH</v>
      </c>
      <c r="D759" t="s">
        <v>938</v>
      </c>
      <c r="E759" s="5" t="s">
        <v>442</v>
      </c>
      <c r="F759" s="18">
        <f t="shared" ref="F759:K759" si="907">IFERROR(F$738/F$735,0)*F741</f>
        <v>0</v>
      </c>
      <c r="G759" s="18">
        <f t="shared" si="907"/>
        <v>0</v>
      </c>
      <c r="H759" s="18">
        <f t="shared" si="907"/>
        <v>0</v>
      </c>
      <c r="I759" s="18">
        <f t="shared" si="907"/>
        <v>0</v>
      </c>
      <c r="J759" s="18">
        <f t="shared" si="907"/>
        <v>0</v>
      </c>
      <c r="K759" s="18">
        <f t="shared" si="907"/>
        <v>0</v>
      </c>
      <c r="L759" s="18">
        <f t="shared" ref="L759:O759" si="908">IFERROR(L$738/L$735,0)*L741</f>
        <v>0</v>
      </c>
      <c r="M759" s="18">
        <f t="shared" si="908"/>
        <v>0</v>
      </c>
      <c r="N759" s="18">
        <f t="shared" si="908"/>
        <v>0</v>
      </c>
      <c r="O759" s="18">
        <f t="shared" si="908"/>
        <v>0</v>
      </c>
      <c r="P759" s="18">
        <f t="shared" si="902"/>
        <v>0</v>
      </c>
      <c r="Q759" s="18">
        <f t="shared" si="902"/>
        <v>0</v>
      </c>
      <c r="S759" s="3"/>
    </row>
    <row r="760" spans="2:19" x14ac:dyDescent="0.5">
      <c r="B760" s="5" t="str">
        <f t="shared" si="905"/>
        <v>SPS1</v>
      </c>
      <c r="C760" s="5" t="str">
        <f t="shared" si="906"/>
        <v>CH</v>
      </c>
      <c r="D760" t="s">
        <v>465</v>
      </c>
      <c r="E760" s="5" t="s">
        <v>442</v>
      </c>
      <c r="F760" s="18">
        <f t="shared" ref="F760:K760" si="909">IFERROR(F$738/F$735,0)*F742</f>
        <v>0</v>
      </c>
      <c r="G760" s="18">
        <f t="shared" si="909"/>
        <v>0</v>
      </c>
      <c r="H760" s="18">
        <f t="shared" si="909"/>
        <v>0</v>
      </c>
      <c r="I760" s="18">
        <f t="shared" si="909"/>
        <v>0</v>
      </c>
      <c r="J760" s="18">
        <f t="shared" si="909"/>
        <v>0</v>
      </c>
      <c r="K760" s="18">
        <f t="shared" si="909"/>
        <v>0</v>
      </c>
      <c r="L760" s="18">
        <f t="shared" ref="L760:O760" si="910">IFERROR(L$738/L$735,0)*L742</f>
        <v>0</v>
      </c>
      <c r="M760" s="18">
        <f t="shared" si="910"/>
        <v>0</v>
      </c>
      <c r="N760" s="18">
        <f t="shared" si="910"/>
        <v>0</v>
      </c>
      <c r="O760" s="18">
        <f t="shared" si="910"/>
        <v>0</v>
      </c>
      <c r="P760" s="18">
        <f t="shared" si="902"/>
        <v>0</v>
      </c>
      <c r="Q760" s="18">
        <f t="shared" si="902"/>
        <v>0</v>
      </c>
      <c r="S760" s="3"/>
    </row>
    <row r="761" spans="2:19" x14ac:dyDescent="0.5">
      <c r="B761" s="5" t="str">
        <f t="shared" si="905"/>
        <v>SPS1</v>
      </c>
      <c r="C761" s="5" t="str">
        <f t="shared" si="906"/>
        <v>CH</v>
      </c>
      <c r="D761" t="s">
        <v>466</v>
      </c>
      <c r="E761" s="5" t="s">
        <v>442</v>
      </c>
      <c r="F761" s="18">
        <f t="shared" ref="F761:K761" si="911">IFERROR(F$738/F$735,0)*F743</f>
        <v>0</v>
      </c>
      <c r="G761" s="18">
        <f t="shared" si="911"/>
        <v>0</v>
      </c>
      <c r="H761" s="18">
        <f t="shared" si="911"/>
        <v>0</v>
      </c>
      <c r="I761" s="18">
        <f t="shared" si="911"/>
        <v>0</v>
      </c>
      <c r="J761" s="18">
        <f t="shared" si="911"/>
        <v>0</v>
      </c>
      <c r="K761" s="18">
        <f t="shared" si="911"/>
        <v>0</v>
      </c>
      <c r="L761" s="18">
        <f t="shared" ref="L761:O761" si="912">IFERROR(L$738/L$735,0)*L743</f>
        <v>0</v>
      </c>
      <c r="M761" s="18">
        <f t="shared" si="912"/>
        <v>0</v>
      </c>
      <c r="N761" s="18">
        <f t="shared" si="912"/>
        <v>0</v>
      </c>
      <c r="O761" s="18">
        <f t="shared" si="912"/>
        <v>0</v>
      </c>
      <c r="P761" s="18">
        <f t="shared" si="902"/>
        <v>0</v>
      </c>
      <c r="Q761" s="18">
        <f t="shared" si="902"/>
        <v>0</v>
      </c>
      <c r="S761" s="3"/>
    </row>
    <row r="762" spans="2:19" x14ac:dyDescent="0.5">
      <c r="B762" s="5" t="str">
        <f t="shared" si="905"/>
        <v>SPS1</v>
      </c>
      <c r="C762" s="5" t="str">
        <f t="shared" si="906"/>
        <v>CH</v>
      </c>
      <c r="D762" t="s">
        <v>467</v>
      </c>
      <c r="E762" s="5" t="s">
        <v>442</v>
      </c>
      <c r="F762" s="18">
        <f t="shared" ref="F762:K762" si="913">IFERROR(F$738/F$735,0)*F744</f>
        <v>0</v>
      </c>
      <c r="G762" s="18">
        <f t="shared" si="913"/>
        <v>0</v>
      </c>
      <c r="H762" s="18">
        <f t="shared" si="913"/>
        <v>0</v>
      </c>
      <c r="I762" s="18">
        <f t="shared" si="913"/>
        <v>0</v>
      </c>
      <c r="J762" s="18">
        <f t="shared" si="913"/>
        <v>0</v>
      </c>
      <c r="K762" s="18">
        <f t="shared" si="913"/>
        <v>0</v>
      </c>
      <c r="L762" s="18">
        <f t="shared" ref="L762:O762" si="914">IFERROR(L$738/L$735,0)*L744</f>
        <v>0</v>
      </c>
      <c r="M762" s="18">
        <f t="shared" si="914"/>
        <v>0</v>
      </c>
      <c r="N762" s="18">
        <f t="shared" si="914"/>
        <v>0</v>
      </c>
      <c r="O762" s="18">
        <f t="shared" si="914"/>
        <v>0</v>
      </c>
      <c r="P762" s="18">
        <f t="shared" si="902"/>
        <v>0</v>
      </c>
      <c r="Q762" s="18">
        <f t="shared" si="902"/>
        <v>0</v>
      </c>
      <c r="S762" s="3"/>
    </row>
    <row r="763" spans="2:19" x14ac:dyDescent="0.5">
      <c r="B763" s="9" t="str">
        <f t="shared" ref="B763" si="915">B762</f>
        <v>SPS1</v>
      </c>
      <c r="C763" s="9" t="str">
        <f t="shared" ref="C763:C777" si="916">C762</f>
        <v>CH</v>
      </c>
      <c r="D763" s="2" t="s">
        <v>496</v>
      </c>
      <c r="E763" s="9" t="s">
        <v>8</v>
      </c>
      <c r="F763" s="17">
        <f t="shared" ref="F763:K763" si="917">F764+F768+F778+F789+F791+F803+F805+F807+F811+F813+F815</f>
        <v>142.21765212884654</v>
      </c>
      <c r="G763" s="17">
        <f t="shared" si="917"/>
        <v>141.12846220110805</v>
      </c>
      <c r="H763" s="17">
        <f t="shared" si="917"/>
        <v>142.97155579276304</v>
      </c>
      <c r="I763" s="17">
        <f t="shared" si="917"/>
        <v>144.1532227492207</v>
      </c>
      <c r="J763" s="17">
        <f t="shared" si="917"/>
        <v>145.41202518010138</v>
      </c>
      <c r="K763" s="17">
        <f t="shared" si="917"/>
        <v>146.33822874211648</v>
      </c>
      <c r="L763" s="17">
        <f t="shared" ref="L763:O763" si="918">L764+L768+L778+L789+L791+L803+L805+L807+L811+L813+L815</f>
        <v>146.41668065616361</v>
      </c>
      <c r="M763" s="17">
        <f t="shared" si="918"/>
        <v>146.84010152110523</v>
      </c>
      <c r="N763" s="17">
        <f t="shared" si="918"/>
        <v>146.66978964968771</v>
      </c>
      <c r="O763" s="17">
        <f t="shared" si="918"/>
        <v>149.78565953504105</v>
      </c>
      <c r="P763" s="17">
        <f>P764+P768+P778+P789+P791+P803+P805+P807+P811+P813+P815</f>
        <v>144.46645280706417</v>
      </c>
      <c r="Q763" s="17">
        <f>Q764+Q768+Q778+Q789+Q791+Q803+Q805+Q807+Q811+Q813+Q815</f>
        <v>144.11775093781441</v>
      </c>
      <c r="S763" s="3"/>
    </row>
    <row r="764" spans="2:19" x14ac:dyDescent="0.5">
      <c r="B764" s="5" t="str">
        <f>B763</f>
        <v>SPS1</v>
      </c>
      <c r="C764" s="5" t="str">
        <f t="shared" si="916"/>
        <v>CH</v>
      </c>
      <c r="D764" t="s">
        <v>939</v>
      </c>
      <c r="E764" t="s">
        <v>8</v>
      </c>
      <c r="F764" s="18">
        <f>[1]Industry!B$11</f>
        <v>60.070072860875321</v>
      </c>
      <c r="G764" s="18">
        <f>[1]Industry!C$11</f>
        <v>62.576420613067924</v>
      </c>
      <c r="H764" s="18">
        <f>[1]Industry!D$11</f>
        <v>64.886891961603482</v>
      </c>
      <c r="I764" s="18">
        <f>[1]Industry!E$11</f>
        <v>67.323782654904377</v>
      </c>
      <c r="J764" s="18">
        <f>[1]Industry!F$11</f>
        <v>69.292916745289716</v>
      </c>
      <c r="K764" s="18">
        <f>[1]Industry!G$11</f>
        <v>70.256820419412364</v>
      </c>
      <c r="L764" s="18">
        <f>[1]Industry!H$11</f>
        <v>71.140513724590306</v>
      </c>
      <c r="M764" s="18">
        <f>[1]Industry!I$11</f>
        <v>72.025015892764287</v>
      </c>
      <c r="N764" s="18">
        <f>[1]Industry!J$11</f>
        <v>72.720335295267077</v>
      </c>
      <c r="O764" s="18">
        <f>[1]Industry!K$11</f>
        <v>74.842920363123952</v>
      </c>
      <c r="P764" s="18">
        <f>[1]Industry!L$11</f>
        <v>73.370280109111718</v>
      </c>
      <c r="Q764" s="18">
        <f>[1]Industry!M$11</f>
        <v>73.486107716156738</v>
      </c>
      <c r="S764" s="3"/>
    </row>
    <row r="765" spans="2:19" x14ac:dyDescent="0.5">
      <c r="B765" s="5" t="str">
        <f t="shared" ref="B765:B777" si="919">B764</f>
        <v>SPS1</v>
      </c>
      <c r="C765" s="5" t="str">
        <f t="shared" si="916"/>
        <v>CH</v>
      </c>
      <c r="D765" t="s">
        <v>758</v>
      </c>
      <c r="E765" t="s">
        <v>8</v>
      </c>
      <c r="F765" s="1">
        <f t="shared" ref="F765:J765" si="920">F764-F766-F767</f>
        <v>11.646972668370793</v>
      </c>
      <c r="G765" s="1">
        <f t="shared" si="920"/>
        <v>12.258981152019217</v>
      </c>
      <c r="H765" s="1">
        <f t="shared" si="920"/>
        <v>12.249529066775395</v>
      </c>
      <c r="I765" s="1">
        <f t="shared" si="920"/>
        <v>12.525540152571523</v>
      </c>
      <c r="J765" s="1">
        <f t="shared" si="920"/>
        <v>12.84331655679847</v>
      </c>
      <c r="K765" s="1">
        <f>K764-K766-K767</f>
        <v>13.105039502408374</v>
      </c>
      <c r="L765" s="1">
        <f t="shared" ref="L765:O765" si="921">L764-L766-L767</f>
        <v>13.345122195871923</v>
      </c>
      <c r="M765" s="1">
        <f t="shared" si="921"/>
        <v>13.585041360130589</v>
      </c>
      <c r="N765" s="1">
        <f t="shared" si="921"/>
        <v>13.585067766755131</v>
      </c>
      <c r="O765" s="1">
        <f t="shared" si="921"/>
        <v>13.81877511960726</v>
      </c>
      <c r="P765" s="1">
        <f>P764-P766-P767</f>
        <v>13.818786730276969</v>
      </c>
      <c r="Q765" s="1">
        <f>Q764-Q766-Q767</f>
        <v>13.818937438147969</v>
      </c>
      <c r="S765" s="3"/>
    </row>
    <row r="766" spans="2:19" x14ac:dyDescent="0.5">
      <c r="B766" s="5" t="str">
        <f t="shared" si="919"/>
        <v>SPS1</v>
      </c>
      <c r="C766" s="5" t="str">
        <f t="shared" si="916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0.35970254033353199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0.45106785993653731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1.121237869900187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1.8127838831640182</v>
      </c>
      <c r="J766" s="1" cm="1">
        <f t="array" ref="J766">SUMPRODUCT(([1]OUT_FinalEnergyCons!$B$4:$B$10000="Var_Fin")*1, ([1]OUT_FinalEnergyCons!$C$4:$C$10000="ITOT_ELC")*1, (ISNUMBER(SEARCH("ITOT-SWHELCHP",[1]OUT_FinalEnergyCons!$A$4:$A$10000)))*1,[1]OUT_FinalEnergyCons!H$4:H$10000)</f>
        <v>2.4982877574735234</v>
      </c>
      <c r="K766" s="1" cm="1">
        <f t="array" ref="K766">SUMPRODUCT(([1]OUT_FinalEnergyCons!$B$4:$B$10000="Var_Fin")*1, ([1]OUT_FinalEnergyCons!$C$4:$C$10000="ITOT_ELC")*1, (ISNUMBER(SEARCH("ITOT-SWHELCHP",[1]OUT_FinalEnergyCons!$A$4:$A$10000)))*1,[1]OUT_FinalEnergyCons!I$4:I$10000)</f>
        <v>2.6574252498184898</v>
      </c>
      <c r="L766" s="1" cm="1">
        <f t="array" ref="L766">SUMPRODUCT(([1]OUT_FinalEnergyCons!$B$4:$B$10000="Var_Fin")*1, ([1]OUT_FinalEnergyCons!$C$4:$C$10000="ITOT_ELC")*1, (ISNUMBER(SEARCH("ITOT-SWHELCHP",[1]OUT_FinalEnergyCons!$A$4:$A$10000)))*1,[1]OUT_FinalEnergyCons!J$4:J$10000)</f>
        <v>2.6093197416386911</v>
      </c>
      <c r="M766" s="1" cm="1">
        <f t="array" ref="M766">SUMPRODUCT(([1]OUT_FinalEnergyCons!$B$4:$B$10000="Var_Fin")*1, ([1]OUT_FinalEnergyCons!$C$4:$C$10000="ITOT_ELC")*1, (ISNUMBER(SEARCH("ITOT-SWHELCHP",[1]OUT_FinalEnergyCons!$A$4:$A$10000)))*1,[1]OUT_FinalEnergyCons!K$4:K$10000)</f>
        <v>2.5629130143613992</v>
      </c>
      <c r="N766" s="1" cm="1">
        <f t="array" ref="N766">SUMPRODUCT(([1]OUT_FinalEnergyCons!$B$4:$B$10000="Var_Fin")*1, ([1]OUT_FinalEnergyCons!$C$4:$C$10000="ITOT_ELC")*1, (ISNUMBER(SEARCH("ITOT-SWHELCHP",[1]OUT_FinalEnergyCons!$A$4:$A$10000)))*1,[1]OUT_FinalEnergyCons!L$4:L$10000)</f>
        <v>2.5630276252584419</v>
      </c>
      <c r="O766" s="1" cm="1">
        <f t="array" ref="O766">SUMPRODUCT(([1]OUT_FinalEnergyCons!$B$4:$B$10000="Var_Fin")*1, ([1]OUT_FinalEnergyCons!$C$4:$C$10000="ITOT_ELC")*1, (ISNUMBER(SEARCH("ITOT-SWHELCHP",[1]OUT_FinalEnergyCons!$A$4:$A$10000)))*1,[1]OUT_FinalEnergyCons!M$4:M$10000)</f>
        <v>2.8887132195402132</v>
      </c>
      <c r="P766" s="1" cm="1">
        <f t="array" ref="P766">SUMPRODUCT(([1]OUT_FinalEnergyCons!$B$4:$B$10000="Var_Fin")*1, ([1]OUT_FinalEnergyCons!$C$4:$C$10000="ITOT_ELC")*1, (ISNUMBER(SEARCH("ITOT-SWHELCHP",[1]OUT_FinalEnergyCons!$A$4:$A$10000)))*1,[1]OUT_FinalEnergyCons!N$4:N$10000)</f>
        <v>2.8887390973713085</v>
      </c>
      <c r="Q766" s="1" cm="1">
        <f t="array" ref="Q766">SUMPRODUCT(([1]OUT_FinalEnergyCons!$B$4:$B$10000="Var_Fin")*1, ([1]OUT_FinalEnergyCons!$C$4:$C$10000="ITOT_ELC")*1, (ISNUMBER(SEARCH("ITOT-SWHELCHP",[1]OUT_FinalEnergyCons!$A$4:$A$10000)))*1,[1]OUT_FinalEnergyCons!O$4:O$10000)</f>
        <v>2.8894229874538917</v>
      </c>
      <c r="S766" s="3"/>
    </row>
    <row r="767" spans="2:19" x14ac:dyDescent="0.5">
      <c r="B767" s="5" t="str">
        <f t="shared" si="919"/>
        <v>SPS1</v>
      </c>
      <c r="C767" s="5" t="str">
        <f t="shared" si="916"/>
        <v>CH</v>
      </c>
      <c r="D767" t="s">
        <v>468</v>
      </c>
      <c r="E767" t="s">
        <v>8</v>
      </c>
      <c r="F767" s="1">
        <f>[1]Industry!B$11-[1]Industry!B$33</f>
        <v>48.063397652170998</v>
      </c>
      <c r="G767" s="1">
        <f>[1]Industry!C$11-[1]Industry!C$33</f>
        <v>49.866371601112171</v>
      </c>
      <c r="H767" s="1">
        <f>[1]Industry!D$11-[1]Industry!D$33</f>
        <v>51.516125024927902</v>
      </c>
      <c r="I767" s="1">
        <f>[1]Industry!E$11-[1]Industry!E$33</f>
        <v>52.985458619168838</v>
      </c>
      <c r="J767" s="1">
        <f>[1]Industry!F$11-[1]Industry!F$33</f>
        <v>53.951312431017726</v>
      </c>
      <c r="K767" s="1">
        <f>[1]Industry!G$11-[1]Industry!G$33</f>
        <v>54.494355667185502</v>
      </c>
      <c r="L767" s="1">
        <f>[1]Industry!H$11-[1]Industry!H$33</f>
        <v>55.186071787079698</v>
      </c>
      <c r="M767" s="1">
        <f>[1]Industry!I$11-[1]Industry!I$33</f>
        <v>55.877061518272299</v>
      </c>
      <c r="N767" s="1">
        <f>[1]Industry!J$11-[1]Industry!J$33</f>
        <v>56.572239903253504</v>
      </c>
      <c r="O767" s="1">
        <f>[1]Industry!K$11-[1]Industry!K$33</f>
        <v>58.135432023976485</v>
      </c>
      <c r="P767" s="1">
        <f>[1]Industry!L$11-[1]Industry!L$33</f>
        <v>56.662754281463435</v>
      </c>
      <c r="Q767" s="1">
        <f>[1]Industry!M$11-[1]Industry!M$33</f>
        <v>56.777747290554871</v>
      </c>
      <c r="S767" s="3"/>
    </row>
    <row r="768" spans="2:19" x14ac:dyDescent="0.5">
      <c r="B768" s="5" t="str">
        <f t="shared" si="919"/>
        <v>SPS1</v>
      </c>
      <c r="C768" s="5" t="str">
        <f t="shared" si="916"/>
        <v>CH</v>
      </c>
      <c r="D768" t="s">
        <v>469</v>
      </c>
      <c r="E768" t="s">
        <v>8</v>
      </c>
      <c r="F768" s="1">
        <f>SUM(F771,F776)</f>
        <v>11.627819228202938</v>
      </c>
      <c r="G768" s="1">
        <f t="shared" ref="G768:K768" si="922">SUM(G771,G776)</f>
        <v>10.351228391192274</v>
      </c>
      <c r="H768" s="1">
        <f t="shared" si="922"/>
        <v>8.0101119286386506</v>
      </c>
      <c r="I768" s="1">
        <f t="shared" si="922"/>
        <v>6.5071179134802923</v>
      </c>
      <c r="J768" s="1">
        <f t="shared" si="922"/>
        <v>4.9596090479981809</v>
      </c>
      <c r="K768" s="1">
        <f t="shared" si="922"/>
        <v>3.3888284019905801</v>
      </c>
      <c r="L768" s="1">
        <f t="shared" ref="L768:O768" si="923">SUM(L771,L776)</f>
        <v>1.8196995322445899</v>
      </c>
      <c r="M768" s="1">
        <f t="shared" si="923"/>
        <v>0.25984928509420385</v>
      </c>
      <c r="N768" s="1">
        <f t="shared" si="923"/>
        <v>0.25970094074299799</v>
      </c>
      <c r="O768" s="1">
        <f t="shared" si="923"/>
        <v>0.25965959554509166</v>
      </c>
      <c r="P768" s="1">
        <f>SUM(P771,P776)</f>
        <v>0.25020711170089588</v>
      </c>
      <c r="Q768" s="1">
        <f>SUM(Q771,Q776)</f>
        <v>0.2480692342356558</v>
      </c>
      <c r="S768" s="3"/>
    </row>
    <row r="769" spans="2:19" x14ac:dyDescent="0.5">
      <c r="B769" s="5" t="str">
        <f t="shared" si="919"/>
        <v>SPS1</v>
      </c>
      <c r="C769" s="5" t="str">
        <f t="shared" si="916"/>
        <v>CH</v>
      </c>
      <c r="D769" t="s">
        <v>470</v>
      </c>
      <c r="E769" t="s">
        <v>8</v>
      </c>
      <c r="F769" s="1">
        <f>SUM(F773,F777)</f>
        <v>8.8978151043858027</v>
      </c>
      <c r="G769" s="1">
        <f t="shared" ref="G769:K769" si="924">SUM(G773,G777)</f>
        <v>8.1051999591609381</v>
      </c>
      <c r="H769" s="1">
        <f t="shared" si="924"/>
        <v>8.0014620798114322</v>
      </c>
      <c r="I769" s="1">
        <f t="shared" si="924"/>
        <v>6.504577377958296</v>
      </c>
      <c r="J769" s="1">
        <f t="shared" si="924"/>
        <v>4.9558448537438764</v>
      </c>
      <c r="K769" s="1">
        <f t="shared" si="924"/>
        <v>3.3852989543420744</v>
      </c>
      <c r="L769" s="1">
        <f t="shared" ref="L769:O769" si="925">SUM(L773,L777)</f>
        <v>1.8153016694510249</v>
      </c>
      <c r="M769" s="1">
        <f t="shared" si="925"/>
        <v>0.25984928509420385</v>
      </c>
      <c r="N769" s="1">
        <f t="shared" si="925"/>
        <v>0.25970094074299799</v>
      </c>
      <c r="O769" s="1">
        <f t="shared" si="925"/>
        <v>0.25965959554509166</v>
      </c>
      <c r="P769" s="1">
        <f>SUM(P773,P777)</f>
        <v>0.25020711170089588</v>
      </c>
      <c r="Q769" s="1">
        <f>SUM(Q773,Q777)</f>
        <v>0.2480692342356558</v>
      </c>
      <c r="S769" s="3"/>
    </row>
    <row r="770" spans="2:19" x14ac:dyDescent="0.5">
      <c r="B770" s="5" t="str">
        <f t="shared" si="919"/>
        <v>SPS1</v>
      </c>
      <c r="C770" s="5" t="str">
        <f t="shared" si="916"/>
        <v>CH</v>
      </c>
      <c r="D770" t="s">
        <v>471</v>
      </c>
      <c r="E770" t="s">
        <v>8</v>
      </c>
      <c r="F770" s="1">
        <f>F775</f>
        <v>2.7300041238171344</v>
      </c>
      <c r="G770" s="1">
        <f t="shared" ref="G770:K770" si="926">G775</f>
        <v>2.246028432031336</v>
      </c>
      <c r="H770" s="1">
        <f t="shared" si="926"/>
        <v>8.6498488272189859E-3</v>
      </c>
      <c r="I770" s="1">
        <f t="shared" si="926"/>
        <v>2.5405355219965745E-3</v>
      </c>
      <c r="J770" s="1">
        <f t="shared" si="926"/>
        <v>3.7641942543044549E-3</v>
      </c>
      <c r="K770" s="1">
        <f t="shared" si="926"/>
        <v>3.5294476485058265E-3</v>
      </c>
      <c r="L770" s="1">
        <f t="shared" ref="L770:O770" si="927">L775</f>
        <v>4.3978627935651283E-3</v>
      </c>
      <c r="M770" s="1">
        <f t="shared" si="927"/>
        <v>0</v>
      </c>
      <c r="N770" s="1">
        <f t="shared" si="927"/>
        <v>0</v>
      </c>
      <c r="O770" s="1">
        <f t="shared" si="927"/>
        <v>0</v>
      </c>
      <c r="P770" s="1">
        <f>P775</f>
        <v>0</v>
      </c>
      <c r="Q770" s="1">
        <f>Q775</f>
        <v>0</v>
      </c>
      <c r="S770" s="3"/>
    </row>
    <row r="771" spans="2:19" x14ac:dyDescent="0.5">
      <c r="B771" s="5" t="str">
        <f t="shared" si="919"/>
        <v>SPS1</v>
      </c>
      <c r="C771" s="5" t="str">
        <f t="shared" si="916"/>
        <v>CH</v>
      </c>
      <c r="D771" t="s">
        <v>940</v>
      </c>
      <c r="E771" t="s">
        <v>8</v>
      </c>
      <c r="F771" s="1">
        <f>SUM(F772,F774)</f>
        <v>11.627819228202938</v>
      </c>
      <c r="G771" s="1">
        <f t="shared" ref="G771:K771" si="928">SUM(G772,G774)</f>
        <v>10.351228391192274</v>
      </c>
      <c r="H771" s="1">
        <f t="shared" si="928"/>
        <v>8.0097203159682415</v>
      </c>
      <c r="I771" s="1">
        <f t="shared" si="928"/>
        <v>6.5055014963767661</v>
      </c>
      <c r="J771" s="1">
        <f t="shared" si="928"/>
        <v>4.9579670115723431</v>
      </c>
      <c r="K771" s="1">
        <f t="shared" si="928"/>
        <v>3.3870204402611277</v>
      </c>
      <c r="L771" s="1">
        <f t="shared" ref="L771:O771" si="929">SUM(L772,L774)</f>
        <v>1.8179301435339421</v>
      </c>
      <c r="M771" s="1">
        <f t="shared" si="929"/>
        <v>0.25855221336326289</v>
      </c>
      <c r="N771" s="1">
        <f t="shared" si="929"/>
        <v>0.25836841142855721</v>
      </c>
      <c r="O771" s="1">
        <f t="shared" si="929"/>
        <v>0.25821749541663824</v>
      </c>
      <c r="P771" s="1">
        <f>SUM(P772,P774)</f>
        <v>0.24871705903210647</v>
      </c>
      <c r="Q771" s="1">
        <f>SUM(Q772,Q774)</f>
        <v>0.24498680868643566</v>
      </c>
      <c r="S771" s="3"/>
    </row>
    <row r="772" spans="2:19" x14ac:dyDescent="0.5">
      <c r="B772" s="5" t="str">
        <f t="shared" si="919"/>
        <v>SPS1</v>
      </c>
      <c r="C772" s="5" t="str">
        <f t="shared" si="916"/>
        <v>CH</v>
      </c>
      <c r="D772" t="s">
        <v>525</v>
      </c>
      <c r="E772" t="s">
        <v>8</v>
      </c>
      <c r="F772" s="1">
        <f>[1]Industry!B$34</f>
        <v>8.8978151043858027</v>
      </c>
      <c r="G772" s="1">
        <f>[1]Industry!C$34</f>
        <v>8.1051999591609381</v>
      </c>
      <c r="H772" s="1">
        <f>[1]Industry!D$34</f>
        <v>8.0010704671410231</v>
      </c>
      <c r="I772" s="1">
        <f>[1]Industry!E$34</f>
        <v>6.5029609608547698</v>
      </c>
      <c r="J772" s="1">
        <f>[1]Industry!F$34</f>
        <v>4.9542028173180386</v>
      </c>
      <c r="K772" s="1">
        <f>[1]Industry!G$34</f>
        <v>3.383490992612622</v>
      </c>
      <c r="L772" s="1">
        <f>[1]Industry!H$34</f>
        <v>1.8135322807403771</v>
      </c>
      <c r="M772" s="1">
        <f>[1]Industry!I$34</f>
        <v>0.25855221336326289</v>
      </c>
      <c r="N772" s="1">
        <f>[1]Industry!J$34</f>
        <v>0.25836841142855721</v>
      </c>
      <c r="O772" s="1">
        <f>[1]Industry!K$34</f>
        <v>0.25821749541663824</v>
      </c>
      <c r="P772" s="1">
        <f>[1]Industry!L$34</f>
        <v>0.24871705903210647</v>
      </c>
      <c r="Q772" s="1">
        <f>[1]Industry!M$34</f>
        <v>0.24498680868643566</v>
      </c>
      <c r="S772" s="3"/>
    </row>
    <row r="773" spans="2:19" x14ac:dyDescent="0.5">
      <c r="B773" s="5" t="str">
        <f t="shared" si="919"/>
        <v>SPS1</v>
      </c>
      <c r="C773" s="5" t="str">
        <f t="shared" si="916"/>
        <v>CH</v>
      </c>
      <c r="D773" t="s">
        <v>526</v>
      </c>
      <c r="E773" t="s">
        <v>8</v>
      </c>
      <c r="F773" s="1">
        <f>F772</f>
        <v>8.8978151043858027</v>
      </c>
      <c r="G773" s="1">
        <f t="shared" ref="G773:K773" si="930">G772</f>
        <v>8.1051999591609381</v>
      </c>
      <c r="H773" s="1">
        <f t="shared" si="930"/>
        <v>8.0010704671410231</v>
      </c>
      <c r="I773" s="1">
        <f t="shared" si="930"/>
        <v>6.5029609608547698</v>
      </c>
      <c r="J773" s="1">
        <f t="shared" si="930"/>
        <v>4.9542028173180386</v>
      </c>
      <c r="K773" s="1">
        <f t="shared" si="930"/>
        <v>3.383490992612622</v>
      </c>
      <c r="L773" s="1">
        <f t="shared" ref="L773:O773" si="931">L772</f>
        <v>1.8135322807403771</v>
      </c>
      <c r="M773" s="1">
        <f t="shared" si="931"/>
        <v>0.25855221336326289</v>
      </c>
      <c r="N773" s="1">
        <f t="shared" si="931"/>
        <v>0.25836841142855721</v>
      </c>
      <c r="O773" s="1">
        <f t="shared" si="931"/>
        <v>0.25821749541663824</v>
      </c>
      <c r="P773" s="1">
        <f>P772</f>
        <v>0.24871705903210647</v>
      </c>
      <c r="Q773" s="1">
        <f>Q772</f>
        <v>0.24498680868643566</v>
      </c>
      <c r="S773" s="3"/>
    </row>
    <row r="774" spans="2:19" x14ac:dyDescent="0.5">
      <c r="B774" s="5" t="str">
        <f t="shared" si="919"/>
        <v>SPS1</v>
      </c>
      <c r="C774" s="5" t="str">
        <f t="shared" si="916"/>
        <v>CH</v>
      </c>
      <c r="D774" t="s">
        <v>527</v>
      </c>
      <c r="E774" t="s">
        <v>8</v>
      </c>
      <c r="F774" s="1">
        <f>[1]Industry!B$35</f>
        <v>2.7300041238171344</v>
      </c>
      <c r="G774" s="1">
        <f>[1]Industry!C$35</f>
        <v>2.246028432031336</v>
      </c>
      <c r="H774" s="1">
        <f>[1]Industry!D$35</f>
        <v>8.6498488272189859E-3</v>
      </c>
      <c r="I774" s="1">
        <f>[1]Industry!E$35</f>
        <v>2.5405355219965745E-3</v>
      </c>
      <c r="J774" s="1">
        <f>[1]Industry!F$35</f>
        <v>3.7641942543044549E-3</v>
      </c>
      <c r="K774" s="1">
        <f>[1]Industry!G$35</f>
        <v>3.5294476485058265E-3</v>
      </c>
      <c r="L774" s="1">
        <f>[1]Industry!H$35</f>
        <v>4.3978627935651283E-3</v>
      </c>
      <c r="M774" s="1">
        <f>[1]Industry!I$35</f>
        <v>0</v>
      </c>
      <c r="N774" s="1">
        <f>[1]Industry!J$35</f>
        <v>0</v>
      </c>
      <c r="O774" s="1">
        <f>[1]Industry!K$35</f>
        <v>0</v>
      </c>
      <c r="P774" s="1">
        <f>[1]Industry!L$35</f>
        <v>0</v>
      </c>
      <c r="Q774" s="1">
        <f>[1]Industry!M$35</f>
        <v>0</v>
      </c>
      <c r="S774" s="3"/>
    </row>
    <row r="775" spans="2:19" x14ac:dyDescent="0.5">
      <c r="B775" s="5" t="str">
        <f t="shared" si="919"/>
        <v>SPS1</v>
      </c>
      <c r="C775" s="5" t="str">
        <f t="shared" si="916"/>
        <v>CH</v>
      </c>
      <c r="D775" t="s">
        <v>943</v>
      </c>
      <c r="E775" t="s">
        <v>8</v>
      </c>
      <c r="F775" s="1">
        <f>F774</f>
        <v>2.7300041238171344</v>
      </c>
      <c r="G775" s="1">
        <f t="shared" ref="G775:K775" si="932">G774</f>
        <v>2.246028432031336</v>
      </c>
      <c r="H775" s="1">
        <f t="shared" si="932"/>
        <v>8.6498488272189859E-3</v>
      </c>
      <c r="I775" s="1">
        <f t="shared" si="932"/>
        <v>2.5405355219965745E-3</v>
      </c>
      <c r="J775" s="1">
        <f t="shared" si="932"/>
        <v>3.7641942543044549E-3</v>
      </c>
      <c r="K775" s="1">
        <f t="shared" si="932"/>
        <v>3.5294476485058265E-3</v>
      </c>
      <c r="L775" s="1">
        <f t="shared" ref="L775:O775" si="933">L774</f>
        <v>4.3978627935651283E-3</v>
      </c>
      <c r="M775" s="1">
        <f t="shared" si="933"/>
        <v>0</v>
      </c>
      <c r="N775" s="1">
        <f t="shared" si="933"/>
        <v>0</v>
      </c>
      <c r="O775" s="1">
        <f t="shared" si="933"/>
        <v>0</v>
      </c>
      <c r="P775" s="1">
        <f>P774</f>
        <v>0</v>
      </c>
      <c r="Q775" s="1">
        <f>Q774</f>
        <v>0</v>
      </c>
      <c r="S775" s="3"/>
    </row>
    <row r="776" spans="2:19" x14ac:dyDescent="0.5">
      <c r="B776" s="5" t="str">
        <f t="shared" si="919"/>
        <v>SPS1</v>
      </c>
      <c r="C776" s="5" t="str">
        <f t="shared" si="916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3.9161267040930988E-4</v>
      </c>
      <c r="I776" s="1">
        <f>[1]Industry!E$36</f>
        <v>1.6164171035260237E-3</v>
      </c>
      <c r="J776" s="1">
        <f>[1]Industry!F$36</f>
        <v>1.6420364258377595E-3</v>
      </c>
      <c r="K776" s="1">
        <f>[1]Industry!G$36</f>
        <v>1.8079617294525453E-3</v>
      </c>
      <c r="L776" s="1">
        <f>[1]Industry!H$36</f>
        <v>1.7693887106476937E-3</v>
      </c>
      <c r="M776" s="1">
        <f>[1]Industry!I$36</f>
        <v>1.2970717309409687E-3</v>
      </c>
      <c r="N776" s="1">
        <f>[1]Industry!J$36</f>
        <v>1.3325293144407914E-3</v>
      </c>
      <c r="O776" s="1">
        <f>[1]Industry!K$36</f>
        <v>1.4421001284534404E-3</v>
      </c>
      <c r="P776" s="1">
        <f>[1]Industry!L$36</f>
        <v>1.4900526687894136E-3</v>
      </c>
      <c r="Q776" s="1">
        <f>[1]Industry!M$36</f>
        <v>3.082425549220153E-3</v>
      </c>
      <c r="S776" s="3"/>
    </row>
    <row r="777" spans="2:19" x14ac:dyDescent="0.5">
      <c r="B777" s="5" t="str">
        <f t="shared" si="919"/>
        <v>SPS1</v>
      </c>
      <c r="C777" s="5" t="str">
        <f t="shared" si="916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934">G776</f>
        <v>0</v>
      </c>
      <c r="H777" s="1">
        <f t="shared" si="934"/>
        <v>3.9161267040930988E-4</v>
      </c>
      <c r="I777" s="1">
        <f t="shared" si="934"/>
        <v>1.6164171035260237E-3</v>
      </c>
      <c r="J777" s="1">
        <f t="shared" si="934"/>
        <v>1.6420364258377595E-3</v>
      </c>
      <c r="K777" s="1">
        <f t="shared" si="934"/>
        <v>1.8079617294525453E-3</v>
      </c>
      <c r="L777" s="1">
        <f t="shared" ref="L777:O777" si="935">L776</f>
        <v>1.7693887106476937E-3</v>
      </c>
      <c r="M777" s="1">
        <f t="shared" si="935"/>
        <v>1.2970717309409687E-3</v>
      </c>
      <c r="N777" s="1">
        <f t="shared" si="935"/>
        <v>1.3325293144407914E-3</v>
      </c>
      <c r="O777" s="1">
        <f t="shared" si="935"/>
        <v>1.4421001284534404E-3</v>
      </c>
      <c r="P777" s="1">
        <f>P776</f>
        <v>1.4900526687894136E-3</v>
      </c>
      <c r="Q777" s="1">
        <f>Q776</f>
        <v>3.082425549220153E-3</v>
      </c>
      <c r="S777" s="3"/>
    </row>
    <row r="778" spans="2:19" x14ac:dyDescent="0.5">
      <c r="B778" s="5" t="str">
        <f t="shared" ref="B778:B779" si="936">B777</f>
        <v>SPS1</v>
      </c>
      <c r="C778" s="5" t="str">
        <f t="shared" ref="C778:C779" si="937">C777</f>
        <v>CH</v>
      </c>
      <c r="D778" t="s">
        <v>472</v>
      </c>
      <c r="E778" t="s">
        <v>8</v>
      </c>
      <c r="F778" s="1">
        <f>SUM([1]Industry!B$37:B$39)</f>
        <v>35.989104372383174</v>
      </c>
      <c r="G778" s="1">
        <f>SUM([1]Industry!C$37:C$39)</f>
        <v>30.634653426306041</v>
      </c>
      <c r="H778" s="1">
        <f>SUM([1]Industry!D$37:D$39)</f>
        <v>34.59415410129666</v>
      </c>
      <c r="I778" s="1">
        <f>SUM([1]Industry!E$37:E$39)</f>
        <v>31.249247118080977</v>
      </c>
      <c r="J778" s="1">
        <f>SUM([1]Industry!F$37:F$39)</f>
        <v>30.069186176282557</v>
      </c>
      <c r="K778" s="1">
        <f>SUM([1]Industry!G$37:G$39)</f>
        <v>30.503505600824493</v>
      </c>
      <c r="L778" s="1">
        <f>SUM([1]Industry!H$37:H$39)</f>
        <v>26.552189911199076</v>
      </c>
      <c r="M778" s="1">
        <f>SUM([1]Industry!I$37:I$39)</f>
        <v>24.507191725423308</v>
      </c>
      <c r="N778" s="1">
        <f>SUM([1]Industry!J$37:J$39)</f>
        <v>23.442369615242562</v>
      </c>
      <c r="O778" s="1">
        <f>SUM([1]Industry!K$37:K$39)</f>
        <v>21.376326392760287</v>
      </c>
      <c r="P778" s="1">
        <f>SUM([1]Industry!L$37:L$39)</f>
        <v>19.965303118061449</v>
      </c>
      <c r="Q778" s="1">
        <f>SUM([1]Industry!M$37:M$39)</f>
        <v>18.489397490327192</v>
      </c>
      <c r="S778" s="3"/>
    </row>
    <row r="779" spans="2:19" x14ac:dyDescent="0.5">
      <c r="B779" s="5" t="str">
        <f t="shared" si="936"/>
        <v>SPS1</v>
      </c>
      <c r="C779" s="5" t="str">
        <f t="shared" si="937"/>
        <v>CH</v>
      </c>
      <c r="D779" t="s">
        <v>678</v>
      </c>
      <c r="E779" t="s">
        <v>8</v>
      </c>
      <c r="F779" s="1">
        <f>SUM([1]Industry!B$37:B$38)-F780</f>
        <v>35.443944509239579</v>
      </c>
      <c r="G779" s="1">
        <f>SUM([1]Industry!C$37:C$38)-G780</f>
        <v>29.962648920134605</v>
      </c>
      <c r="H779" s="1">
        <f>SUM([1]Industry!D$37:D$38)-H780</f>
        <v>33.530674883566128</v>
      </c>
      <c r="I779" s="1">
        <f>SUM([1]Industry!E$37:E$38)-I780</f>
        <v>28.91778381505458</v>
      </c>
      <c r="J779" s="1">
        <f>SUM([1]Industry!F$37:F$38)-J780</f>
        <v>26.251213257605649</v>
      </c>
      <c r="K779" s="1">
        <f>SUM([1]Industry!G$37:G$38)-K780</f>
        <v>23.185277466521224</v>
      </c>
      <c r="L779" s="1">
        <f>SUM([1]Industry!H$37:H$38)-L780</f>
        <v>19.195757223030085</v>
      </c>
      <c r="M779" s="1">
        <f>SUM([1]Industry!I$37:I$38)-M780</f>
        <v>17.151301931314357</v>
      </c>
      <c r="N779" s="1">
        <f>SUM([1]Industry!J$37:J$38)-N780</f>
        <v>17.598811910720329</v>
      </c>
      <c r="O779" s="1">
        <f>SUM([1]Industry!K$37:K$38)-O780</f>
        <v>15.235308586499631</v>
      </c>
      <c r="P779" s="1">
        <f>SUM([1]Industry!L$37:L$38)-P780</f>
        <v>13.824120687242203</v>
      </c>
      <c r="Q779" s="1">
        <f>SUM([1]Industry!M$37:M$38)-Q780</f>
        <v>12.336066501730631</v>
      </c>
      <c r="S779" s="3"/>
    </row>
    <row r="780" spans="2:19" x14ac:dyDescent="0.5">
      <c r="B780" s="5" t="str">
        <f t="shared" ref="B780" si="938">B779</f>
        <v>SPS1</v>
      </c>
      <c r="C780" s="5" t="str">
        <f t="shared" ref="C780" si="939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0.10842735590224628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0.11993768941332929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0.12031527513948885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0.11815878976490242</v>
      </c>
      <c r="J780" s="1" cm="1">
        <f t="array" ref="J780">SUMPRODUCT(([1]OUT_FinalEnergyCons!$B$4:$B$10000="Var_Fin")*1,  ([1]OUT_FinalEnergyCons!$C$4:$C$10000="Inga")*1,(ISNUMBER(SEARCH("ITOT-SWHNGAHP",[1]OUT_FinalEnergyCons!$A$4:$A$10000)))*1,[1]OUT_FinalEnergyCons!L$4:L$10000)</f>
        <v>0.11807964982699132</v>
      </c>
      <c r="K780" s="1" cm="1">
        <f t="array" ref="K780">SUMPRODUCT(([1]OUT_FinalEnergyCons!$B$4:$B$10000="Var_Fin")*1,  ([1]OUT_FinalEnergyCons!$C$4:$C$10000="Inga")*1,(ISNUMBER(SEARCH("ITOT-SWHNGAHP",[1]OUT_FinalEnergyCons!$A$4:$A$10000)))*1,[1]OUT_FinalEnergyCons!M$4:M$10000)</f>
        <v>1.5779885358299108</v>
      </c>
      <c r="L780" s="1" cm="1">
        <f t="array" ref="L780">SUMPRODUCT(([1]OUT_FinalEnergyCons!$B$4:$B$10000="Var_Fin")*1,  ([1]OUT_FinalEnergyCons!$C$4:$C$10000="Inga")*1,(ISNUMBER(SEARCH("ITOT-SWHNGAHP",[1]OUT_FinalEnergyCons!$A$4:$A$10000)))*1,[1]OUT_FinalEnergyCons!N$4:N$10000)</f>
        <v>1.5779420931047075</v>
      </c>
      <c r="M780" s="1" cm="1">
        <f t="array" ref="M780">SUMPRODUCT(([1]OUT_FinalEnergyCons!$B$4:$B$10000="Var_Fin")*1,  ([1]OUT_FinalEnergyCons!$C$4:$C$10000="Inga")*1,(ISNUMBER(SEARCH("ITOT-SWHNGAHP",[1]OUT_FinalEnergyCons!$A$4:$A$10000)))*1,[1]OUT_FinalEnergyCons!O$4:O$10000)</f>
        <v>1.5768349260080807</v>
      </c>
      <c r="N780" s="1" cm="1">
        <f t="array" ref="N780">SUMPRODUCT(([1]OUT_FinalEnergyCons!$B$4:$B$10000="Var_Fin")*1,  ([1]OUT_FinalEnergyCons!$C$4:$C$10000="Inga")*1,(ISNUMBER(SEARCH("ITOT-SWHNGAHP",[1]OUT_FinalEnergyCons!$A$4:$A$10000)))*1,[1]OUT_FinalEnergyCons!P$4:P$10000)</f>
        <v>0</v>
      </c>
      <c r="O780" s="1" cm="1">
        <f t="array" ref="O780">SUMPRODUCT(([1]OUT_FinalEnergyCons!$B$4:$B$10000="Var_Fin")*1,  ([1]OUT_FinalEnergyCons!$C$4:$C$10000="Inga")*1,(ISNUMBER(SEARCH("ITOT-SWHNGAHP",[1]OUT_FinalEnergyCons!$A$4:$A$10000)))*1,[1]OUT_FinalEnergyCons!Q$4:Q$10000)</f>
        <v>0</v>
      </c>
      <c r="P780" s="1" cm="1">
        <f t="array" ref="P780">SUMPRODUCT(([1]OUT_FinalEnergyCons!$B$4:$B$10000="Var_Fin")*1,  ([1]OUT_FinalEnergyCons!$C$4:$C$10000="Inga")*1,(ISNUMBER(SEARCH("ITOT-SWHNGAHP",[1]OUT_FinalEnergyCons!$A$4:$A$10000)))*1,[1]OUT_FinalEnergyCons!R$4:R$10000)</f>
        <v>0</v>
      </c>
      <c r="Q780" s="1" cm="1">
        <f t="array" ref="Q780">SUMPRODUCT(([1]OUT_FinalEnergyCons!$B$4:$B$10000="Var_Fin")*1,  ([1]OUT_FinalEnergyCons!$C$4:$C$10000="Inga")*1,(ISNUMBER(SEARCH("ITOT-SWHNGAHP",[1]OUT_FinalEnergyCons!$A$4:$A$10000)))*1,[1]OUT_FinalEnergyCons!S$4:S$10000)</f>
        <v>0</v>
      </c>
      <c r="S780" s="3"/>
    </row>
    <row r="781" spans="2:19" x14ac:dyDescent="0.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940">F778-F779</f>
        <v>0.54515986314359566</v>
      </c>
      <c r="G781" s="1">
        <f t="shared" si="940"/>
        <v>0.67200450617143659</v>
      </c>
      <c r="H781" s="1">
        <f t="shared" si="940"/>
        <v>1.0634792177305314</v>
      </c>
      <c r="I781" s="1">
        <f t="shared" si="940"/>
        <v>2.3314633030263963</v>
      </c>
      <c r="J781" s="1">
        <f t="shared" si="940"/>
        <v>3.817972918676908</v>
      </c>
      <c r="K781" s="1">
        <f t="shared" si="940"/>
        <v>7.3182281343032685</v>
      </c>
      <c r="L781" s="1">
        <f t="shared" ref="L781:O781" si="941">L778-L779</f>
        <v>7.3564326881689901</v>
      </c>
      <c r="M781" s="1">
        <f t="shared" si="941"/>
        <v>7.3558897941089505</v>
      </c>
      <c r="N781" s="1">
        <f t="shared" si="941"/>
        <v>5.8435577045222331</v>
      </c>
      <c r="O781" s="1">
        <f t="shared" si="941"/>
        <v>6.1410178062606562</v>
      </c>
      <c r="P781" s="1">
        <f>P778-P779</f>
        <v>6.1411824308192458</v>
      </c>
      <c r="Q781" s="1">
        <f>Q778-Q779</f>
        <v>6.1533309885965615</v>
      </c>
      <c r="S781" s="3"/>
    </row>
    <row r="782" spans="2:19" x14ac:dyDescent="0.5">
      <c r="B782" s="5" t="str">
        <f t="shared" ref="B782:B790" si="942">B781</f>
        <v>SPS1</v>
      </c>
      <c r="C782" s="5" t="str">
        <f t="shared" ref="C782:C790" si="943">C781</f>
        <v>CH</v>
      </c>
      <c r="D782" t="s">
        <v>944</v>
      </c>
      <c r="E782" t="s">
        <v>8</v>
      </c>
      <c r="F782" s="1">
        <f>[1]Industry!B$37</f>
        <v>35.246013540978936</v>
      </c>
      <c r="G782" s="1">
        <f>[1]Industry!C$37</f>
        <v>30.082277098111128</v>
      </c>
      <c r="H782" s="1">
        <f>[1]Industry!D$37</f>
        <v>30.895837561245063</v>
      </c>
      <c r="I782" s="1">
        <f>[1]Industry!E$37</f>
        <v>26.451327116409225</v>
      </c>
      <c r="J782" s="1">
        <f>[1]Industry!F$37</f>
        <v>23.756881346988152</v>
      </c>
      <c r="K782" s="1">
        <f>[1]Industry!G$37</f>
        <v>22.051861187239481</v>
      </c>
      <c r="L782" s="1">
        <f>[1]Industry!H$37</f>
        <v>18.056830239289848</v>
      </c>
      <c r="M782" s="1">
        <f>[1]Industry!I$37</f>
        <v>16.012001060274152</v>
      </c>
      <c r="N782" s="1">
        <f>[1]Industry!J$37</f>
        <v>14.875170519028059</v>
      </c>
      <c r="O782" s="1">
        <f>[1]Industry!K$37</f>
        <v>12.543702768341291</v>
      </c>
      <c r="P782" s="1">
        <f>[1]Industry!L$37</f>
        <v>11.164316077080166</v>
      </c>
      <c r="Q782" s="1">
        <f>[1]Industry!M$37</f>
        <v>9.6990332135059436</v>
      </c>
      <c r="S782" s="3"/>
    </row>
    <row r="783" spans="2:19" x14ac:dyDescent="0.5">
      <c r="B783" s="5" t="str">
        <f t="shared" si="942"/>
        <v>SPS1</v>
      </c>
      <c r="C783" s="5" t="str">
        <f t="shared" si="943"/>
        <v>CH</v>
      </c>
      <c r="D783" t="s">
        <v>679</v>
      </c>
      <c r="E783" t="s">
        <v>8</v>
      </c>
      <c r="F783" s="1">
        <f>[1]Industry!B$37*F779/SUM(F779:F780)</f>
        <v>35.138520514385959</v>
      </c>
      <c r="G783" s="1">
        <f>[1]Industry!C$37*G779/SUM(G779:G780)</f>
        <v>29.962340642703605</v>
      </c>
      <c r="H783" s="1">
        <f>[1]Industry!D$37*H779/SUM(H779:H780)</f>
        <v>30.785373019806169</v>
      </c>
      <c r="I783" s="1">
        <f>[1]Industry!E$37*I779/SUM(I779:I780)</f>
        <v>26.343686154230451</v>
      </c>
      <c r="J783" s="1">
        <f>[1]Industry!F$37*J779/SUM(J779:J780)</f>
        <v>23.650499873647885</v>
      </c>
      <c r="K783" s="1">
        <f>[1]Industry!G$37*K779/SUM(K779:K780)</f>
        <v>20.646651383982004</v>
      </c>
      <c r="L783" s="1">
        <f>[1]Industry!H$37*L779/SUM(L779:L780)</f>
        <v>16.685257845320937</v>
      </c>
      <c r="M783" s="1">
        <f>[1]Industry!I$37*M779/SUM(M779:M780)</f>
        <v>14.663854007555075</v>
      </c>
      <c r="N783" s="1">
        <f>[1]Industry!J$37*N779/SUM(N779:N780)</f>
        <v>14.87517051902806</v>
      </c>
      <c r="O783" s="1">
        <f>[1]Industry!K$37*O779/SUM(O779:O780)</f>
        <v>12.543702768341291</v>
      </c>
      <c r="P783" s="1">
        <f>[1]Industry!L$37*P779/SUM(P779:P780)</f>
        <v>11.164316077080166</v>
      </c>
      <c r="Q783" s="1">
        <f>[1]Industry!M$37*Q779/SUM(Q779:Q780)</f>
        <v>9.6990332135059436</v>
      </c>
      <c r="S783" s="3"/>
    </row>
    <row r="784" spans="2:19" x14ac:dyDescent="0.5">
      <c r="B784" s="5" t="str">
        <f t="shared" ref="B784" si="944">B783</f>
        <v>SPS1</v>
      </c>
      <c r="C784" s="5" t="str">
        <f t="shared" ref="C784" si="945">C783</f>
        <v>CH</v>
      </c>
      <c r="D784" t="s">
        <v>723</v>
      </c>
      <c r="E784" t="s">
        <v>8</v>
      </c>
      <c r="F784" s="1">
        <f>F782-F783</f>
        <v>0.10749302659297655</v>
      </c>
      <c r="G784" s="1">
        <f t="shared" ref="G784:K784" si="946">G782-G783</f>
        <v>0.1199364554075224</v>
      </c>
      <c r="H784" s="1">
        <f t="shared" si="946"/>
        <v>0.11046454143889406</v>
      </c>
      <c r="I784" s="1">
        <f t="shared" si="946"/>
        <v>0.10764096217877395</v>
      </c>
      <c r="J784" s="1">
        <f t="shared" si="946"/>
        <v>0.10638147334026726</v>
      </c>
      <c r="K784" s="1">
        <f t="shared" si="946"/>
        <v>1.4052098032574776</v>
      </c>
      <c r="L784" s="1">
        <f t="shared" ref="L784:O784" si="947">L782-L783</f>
        <v>1.3715723939689113</v>
      </c>
      <c r="M784" s="1">
        <f t="shared" si="947"/>
        <v>1.3481470527190762</v>
      </c>
      <c r="N784" s="1">
        <f t="shared" si="947"/>
        <v>0</v>
      </c>
      <c r="O784" s="1">
        <f t="shared" si="947"/>
        <v>0</v>
      </c>
      <c r="P784" s="1">
        <f>P782-P783</f>
        <v>0</v>
      </c>
      <c r="Q784" s="1">
        <f>Q782-Q783</f>
        <v>0</v>
      </c>
      <c r="S784" s="3"/>
    </row>
    <row r="785" spans="2:19" x14ac:dyDescent="0.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0.74309083140423815</v>
      </c>
      <c r="G785" s="1">
        <f t="shared" ref="G785:K785" si="948">SUM(G786:G788)</f>
        <v>0.552376328194915</v>
      </c>
      <c r="H785" s="1">
        <f t="shared" si="948"/>
        <v>3.6983165400516014</v>
      </c>
      <c r="I785" s="1">
        <f t="shared" si="948"/>
        <v>4.7979200016717529</v>
      </c>
      <c r="J785" s="1">
        <f t="shared" si="948"/>
        <v>6.3123048292944048</v>
      </c>
      <c r="K785" s="1">
        <f t="shared" si="948"/>
        <v>8.4516444135850097</v>
      </c>
      <c r="L785" s="1">
        <f t="shared" ref="L785:O785" si="949">SUM(L786:L788)</f>
        <v>8.4953596719092257</v>
      </c>
      <c r="M785" s="1">
        <f t="shared" si="949"/>
        <v>8.4951906651491562</v>
      </c>
      <c r="N785" s="1">
        <f t="shared" si="949"/>
        <v>8.5671990962145035</v>
      </c>
      <c r="O785" s="1">
        <f t="shared" si="949"/>
        <v>8.8326236244189982</v>
      </c>
      <c r="P785" s="1">
        <f>SUM(P786:P788)</f>
        <v>8.8009870409812798</v>
      </c>
      <c r="Q785" s="1">
        <f>SUM(Q786:Q788)</f>
        <v>8.7903642768212489</v>
      </c>
      <c r="S785" s="3"/>
    </row>
    <row r="786" spans="2:19" x14ac:dyDescent="0.5">
      <c r="B786" s="5" t="str">
        <f t="shared" si="942"/>
        <v>SPS1</v>
      </c>
      <c r="C786" s="5" t="str">
        <f t="shared" si="943"/>
        <v>CH</v>
      </c>
      <c r="D786" t="s">
        <v>680</v>
      </c>
      <c r="E786" t="s">
        <v>8</v>
      </c>
      <c r="F786" s="1">
        <f>[1]Industry!B$38*F779/SUM(F779:F780)</f>
        <v>0.30542399485361943</v>
      </c>
      <c r="G786" s="1">
        <f>[1]Industry!C$38*G779/SUM(G779:G780)</f>
        <v>3.082774310013122E-4</v>
      </c>
      <c r="H786" s="1">
        <f>[1]Industry!D$38*H779/SUM(H779:H780)</f>
        <v>2.7453018637599613</v>
      </c>
      <c r="I786" s="1">
        <f>[1]Industry!E$38*I779/SUM(I779:I780)</f>
        <v>2.5740976608241311</v>
      </c>
      <c r="J786" s="1">
        <f>[1]Industry!F$38*J779/SUM(J779:J780)</f>
        <v>2.6007133839577659</v>
      </c>
      <c r="K786" s="1">
        <f>[1]Industry!G$38*K779/SUM(K779:K780)</f>
        <v>2.5386260825392211</v>
      </c>
      <c r="L786" s="1">
        <f>[1]Industry!H$38*L779/SUM(L779:L780)</f>
        <v>2.5104993777091495</v>
      </c>
      <c r="M786" s="1">
        <f>[1]Industry!I$38*M779/SUM(M779:M780)</f>
        <v>2.4874479237592784</v>
      </c>
      <c r="N786" s="1">
        <f>[1]Industry!J$38*N779/SUM(N779:N780)</f>
        <v>2.7236413916922717</v>
      </c>
      <c r="O786" s="1">
        <f>[1]Industry!K$38*O779/SUM(O779:O780)</f>
        <v>2.6916058181583411</v>
      </c>
      <c r="P786" s="1">
        <f>[1]Industry!L$38*P779/SUM(P779:P780)</f>
        <v>2.6598046101620367</v>
      </c>
      <c r="Q786" s="1">
        <f>[1]Industry!M$38*Q779/SUM(Q779:Q780)</f>
        <v>2.6370332882246865</v>
      </c>
      <c r="S786" s="3"/>
    </row>
    <row r="787" spans="2:19" x14ac:dyDescent="0.5">
      <c r="B787" s="5" t="str">
        <f t="shared" ref="B787" si="950">B786</f>
        <v>SPS1</v>
      </c>
      <c r="C787" s="5" t="str">
        <f t="shared" ref="C787" si="951">C786</f>
        <v>CH</v>
      </c>
      <c r="D787" t="s">
        <v>724</v>
      </c>
      <c r="E787" t="s">
        <v>8</v>
      </c>
      <c r="F787" s="1">
        <f>[1]Industry!B$38-F786</f>
        <v>9.3432930926878877E-4</v>
      </c>
      <c r="G787" s="1">
        <f>[1]Industry!C$38-G786</f>
        <v>1.2340058074013487E-6</v>
      </c>
      <c r="H787" s="1">
        <f>[1]Industry!D$38-H786</f>
        <v>9.8507337005950824E-3</v>
      </c>
      <c r="I787" s="1">
        <f>[1]Industry!E$38-I786</f>
        <v>1.0517827586126849E-2</v>
      </c>
      <c r="J787" s="1">
        <f>[1]Industry!F$38-J786</f>
        <v>1.1698176486724332E-2</v>
      </c>
      <c r="K787" s="1">
        <f>[1]Industry!G$38-K786</f>
        <v>0.17277873257243126</v>
      </c>
      <c r="L787" s="1">
        <f>[1]Industry!H$38-L786</f>
        <v>0.20636969913579284</v>
      </c>
      <c r="M787" s="1">
        <f>[1]Industry!I$38-M786</f>
        <v>0.22868787328900719</v>
      </c>
      <c r="N787" s="1">
        <f>[1]Industry!J$38-N786</f>
        <v>0</v>
      </c>
      <c r="O787" s="1">
        <f>[1]Industry!K$38-O786</f>
        <v>0</v>
      </c>
      <c r="P787" s="1">
        <f>[1]Industry!L$38-P786</f>
        <v>0</v>
      </c>
      <c r="Q787" s="1">
        <f>[1]Industry!M$38-Q786</f>
        <v>0</v>
      </c>
      <c r="S787" s="3"/>
    </row>
    <row r="788" spans="2:19" x14ac:dyDescent="0.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0.43673250724134999</v>
      </c>
      <c r="G788" s="1">
        <f>[1]Industry!C$39</f>
        <v>0.55206681675810632</v>
      </c>
      <c r="H788" s="1">
        <f>[1]Industry!D$39</f>
        <v>0.94316394259104497</v>
      </c>
      <c r="I788" s="1">
        <f>[1]Industry!E$39</f>
        <v>2.213304513261495</v>
      </c>
      <c r="J788" s="1">
        <f>[1]Industry!F$39</f>
        <v>3.6998932688499142</v>
      </c>
      <c r="K788" s="1">
        <f>[1]Industry!G$39</f>
        <v>5.7402395984733579</v>
      </c>
      <c r="L788" s="1">
        <f>[1]Industry!H$39</f>
        <v>5.7784905950642838</v>
      </c>
      <c r="M788" s="1">
        <f>[1]Industry!I$39</f>
        <v>5.7790548681008715</v>
      </c>
      <c r="N788" s="1">
        <f>[1]Industry!J$39</f>
        <v>5.8435577045222322</v>
      </c>
      <c r="O788" s="1">
        <f>[1]Industry!K$39</f>
        <v>6.1410178062606571</v>
      </c>
      <c r="P788" s="1">
        <f>[1]Industry!L$39</f>
        <v>6.141182430819244</v>
      </c>
      <c r="Q788" s="1">
        <f>[1]Industry!M$39</f>
        <v>6.1533309885965624</v>
      </c>
      <c r="S788" s="3"/>
    </row>
    <row r="789" spans="2:19" x14ac:dyDescent="0.5">
      <c r="B789" s="5" t="str">
        <f t="shared" si="942"/>
        <v>SPS1</v>
      </c>
      <c r="C789" s="5" t="str">
        <f t="shared" si="943"/>
        <v>CH</v>
      </c>
      <c r="D789" t="s">
        <v>946</v>
      </c>
      <c r="E789" t="s">
        <v>8</v>
      </c>
      <c r="F789" s="1">
        <f>[1]Industry!B$18</f>
        <v>3.5600046665558427</v>
      </c>
      <c r="G789" s="1">
        <f>[1]Industry!C$18</f>
        <v>3.4647169319511666</v>
      </c>
      <c r="H789" s="1">
        <f>[1]Industry!D$18</f>
        <v>3.2337699067947607</v>
      </c>
      <c r="I789" s="1">
        <f>[1]Industry!E$18</f>
        <v>3.6007281934830235E-3</v>
      </c>
      <c r="J789" s="1">
        <f>[1]Industry!F$18</f>
        <v>3.9038377100870949E-3</v>
      </c>
      <c r="K789" s="1">
        <f>[1]Industry!G$18</f>
        <v>3.6506334394136881E-3</v>
      </c>
      <c r="L789" s="1">
        <f>[1]Industry!H$18</f>
        <v>5.6072647622365124E-3</v>
      </c>
      <c r="M789" s="1">
        <f>[1]Industry!I$18</f>
        <v>1.2070446445515892E-2</v>
      </c>
      <c r="N789" s="1">
        <f>[1]Industry!J$18</f>
        <v>7.5510906371049312E-3</v>
      </c>
      <c r="O789" s="1">
        <f>[1]Industry!K$18</f>
        <v>1.1397405697162728E-2</v>
      </c>
      <c r="P789" s="1">
        <f>[1]Industry!L$18</f>
        <v>6.4781681295358901E-3</v>
      </c>
      <c r="Q789" s="1">
        <f>[1]Industry!M$18</f>
        <v>1.2024115243862548E-2</v>
      </c>
      <c r="S789" s="3"/>
    </row>
    <row r="790" spans="2:19" x14ac:dyDescent="0.5">
      <c r="B790" s="5" t="str">
        <f t="shared" si="942"/>
        <v>SPS1</v>
      </c>
      <c r="C790" s="5" t="str">
        <f t="shared" si="943"/>
        <v>CH</v>
      </c>
      <c r="D790" t="s">
        <v>947</v>
      </c>
      <c r="E790" t="s">
        <v>8</v>
      </c>
      <c r="F790" s="1">
        <f>F789</f>
        <v>3.5600046665558427</v>
      </c>
      <c r="G790" s="1">
        <f t="shared" ref="G790:K790" si="952">G789</f>
        <v>3.4647169319511666</v>
      </c>
      <c r="H790" s="1">
        <f t="shared" si="952"/>
        <v>3.2337699067947607</v>
      </c>
      <c r="I790" s="1">
        <f t="shared" si="952"/>
        <v>3.6007281934830235E-3</v>
      </c>
      <c r="J790" s="1">
        <f t="shared" si="952"/>
        <v>3.9038377100870949E-3</v>
      </c>
      <c r="K790" s="1">
        <f t="shared" si="952"/>
        <v>3.6506334394136881E-3</v>
      </c>
      <c r="L790" s="1">
        <f t="shared" ref="L790:O790" si="953">L789</f>
        <v>5.6072647622365124E-3</v>
      </c>
      <c r="M790" s="1">
        <f t="shared" si="953"/>
        <v>1.2070446445515892E-2</v>
      </c>
      <c r="N790" s="1">
        <f t="shared" si="953"/>
        <v>7.5510906371049312E-3</v>
      </c>
      <c r="O790" s="1">
        <f t="shared" si="953"/>
        <v>1.1397405697162728E-2</v>
      </c>
      <c r="P790" s="1">
        <f>P789</f>
        <v>6.4781681295358901E-3</v>
      </c>
      <c r="Q790" s="1">
        <f>Q789</f>
        <v>1.2024115243862548E-2</v>
      </c>
      <c r="S790" s="3"/>
    </row>
    <row r="791" spans="2:19" x14ac:dyDescent="0.5">
      <c r="B791" s="5" t="str">
        <f t="shared" ref="B791:B792" si="954">B790</f>
        <v>SPS1</v>
      </c>
      <c r="C791" s="5" t="str">
        <f t="shared" ref="C791:C792" si="955">C790</f>
        <v>CH</v>
      </c>
      <c r="D791" t="s">
        <v>948</v>
      </c>
      <c r="E791" t="s">
        <v>8</v>
      </c>
      <c r="F791" s="1">
        <f>[1]Industry!B$19</f>
        <v>12.728689269813852</v>
      </c>
      <c r="G791" s="1">
        <f>[1]Industry!C$19</f>
        <v>13.638450832197567</v>
      </c>
      <c r="H791" s="1">
        <f>[1]Industry!D$19</f>
        <v>13.52310683142516</v>
      </c>
      <c r="I791" s="1">
        <f>[1]Industry!E$19</f>
        <v>17.062216841660778</v>
      </c>
      <c r="J791" s="1">
        <f>[1]Industry!F$19</f>
        <v>16.520860053521375</v>
      </c>
      <c r="K791" s="1">
        <f>[1]Industry!G$19</f>
        <v>15.987497917121901</v>
      </c>
      <c r="L791" s="1">
        <f>[1]Industry!H$19</f>
        <v>19.740394958171557</v>
      </c>
      <c r="M791" s="1">
        <f>[1]Industry!I$19</f>
        <v>21.794957611727039</v>
      </c>
      <c r="N791" s="1">
        <f>[1]Industry!J$19</f>
        <v>22.071232403806334</v>
      </c>
      <c r="O791" s="1">
        <f>[1]Industry!K$19</f>
        <v>22.244668235937855</v>
      </c>
      <c r="P791" s="1">
        <f>[1]Industry!L$19</f>
        <v>21.941975225019078</v>
      </c>
      <c r="Q791" s="1">
        <f>[1]Industry!M$19</f>
        <v>21.882536817153664</v>
      </c>
      <c r="S791" s="3"/>
    </row>
    <row r="792" spans="2:19" x14ac:dyDescent="0.5">
      <c r="B792" s="5" t="str">
        <f t="shared" si="954"/>
        <v>SPS1</v>
      </c>
      <c r="C792" s="5" t="str">
        <f t="shared" si="955"/>
        <v>CH</v>
      </c>
      <c r="D792" t="s">
        <v>949</v>
      </c>
      <c r="E792" t="s">
        <v>8</v>
      </c>
      <c r="F792" s="1">
        <f>SUM(F793:F801)</f>
        <v>4.3060745984664939</v>
      </c>
      <c r="G792" s="1">
        <f t="shared" ref="G792:K792" si="956">SUM(G793:G801)</f>
        <v>5.8482671417337251</v>
      </c>
      <c r="H792" s="1">
        <f t="shared" si="956"/>
        <v>6.0921329024419331</v>
      </c>
      <c r="I792" s="1">
        <f t="shared" si="956"/>
        <v>8.4988415160657329</v>
      </c>
      <c r="J792" s="1">
        <f t="shared" si="956"/>
        <v>9.1580900845686415</v>
      </c>
      <c r="K792" s="1">
        <f t="shared" si="956"/>
        <v>8.7466424287928763</v>
      </c>
      <c r="L792" s="1">
        <f t="shared" ref="L792:O792" si="957">SUM(L793:L801)</f>
        <v>10.904846408145886</v>
      </c>
      <c r="M792" s="1">
        <f t="shared" si="957"/>
        <v>12.60950677934669</v>
      </c>
      <c r="N792" s="1">
        <f t="shared" si="957"/>
        <v>12.976745676603652</v>
      </c>
      <c r="O792" s="1">
        <f t="shared" si="957"/>
        <v>12.907860572221317</v>
      </c>
      <c r="P792" s="1">
        <f>SUM(P793:P801)</f>
        <v>12.952422382018964</v>
      </c>
      <c r="Q792" s="1">
        <f>SUM(Q793:Q801)</f>
        <v>12.966818867682067</v>
      </c>
      <c r="S792" s="3"/>
    </row>
    <row r="793" spans="2:19" x14ac:dyDescent="0.5">
      <c r="B793" s="5" t="str">
        <f t="shared" ref="B793:B802" si="958">B792</f>
        <v>SPS1</v>
      </c>
      <c r="C793" s="5" t="str">
        <f t="shared" ref="C793:C810" si="959">C792</f>
        <v>CH</v>
      </c>
      <c r="D793" t="s">
        <v>481</v>
      </c>
      <c r="E793" t="s">
        <v>8</v>
      </c>
      <c r="F793" s="1">
        <f>F235</f>
        <v>0.92940645986895043</v>
      </c>
      <c r="G793" s="1">
        <f t="shared" ref="G793:K793" si="960">G235</f>
        <v>2.070938405665474</v>
      </c>
      <c r="H793" s="1">
        <f t="shared" si="960"/>
        <v>3.1825931444956441E-2</v>
      </c>
      <c r="I793" s="1">
        <f t="shared" si="960"/>
        <v>1.2716385977451705</v>
      </c>
      <c r="J793" s="1">
        <f t="shared" si="960"/>
        <v>0.81108173455037502</v>
      </c>
      <c r="K793" s="1">
        <f t="shared" si="960"/>
        <v>4.6991661308867429E-2</v>
      </c>
      <c r="L793" s="1">
        <f t="shared" ref="L793:O793" si="961">L235</f>
        <v>5.3931849249623243E-2</v>
      </c>
      <c r="M793" s="1">
        <f t="shared" si="961"/>
        <v>6.3963276671859429E-2</v>
      </c>
      <c r="N793" s="1">
        <f t="shared" si="961"/>
        <v>6.0216959654553613E-2</v>
      </c>
      <c r="O793" s="1">
        <f t="shared" si="961"/>
        <v>6.2038837165488324E-2</v>
      </c>
      <c r="P793" s="1">
        <f>P235</f>
        <v>6.1069706407903691E-2</v>
      </c>
      <c r="Q793" s="1">
        <f>Q235</f>
        <v>6.293054288507581E-2</v>
      </c>
      <c r="S793" s="3"/>
    </row>
    <row r="794" spans="2:19" x14ac:dyDescent="0.5">
      <c r="B794" s="5" t="str">
        <f t="shared" si="958"/>
        <v>SPS1</v>
      </c>
      <c r="C794" s="5" t="str">
        <f t="shared" si="959"/>
        <v>CH</v>
      </c>
      <c r="D794" t="s">
        <v>482</v>
      </c>
      <c r="E794" t="s">
        <v>8</v>
      </c>
      <c r="F794" s="1">
        <f>F241</f>
        <v>0.78134727045094454</v>
      </c>
      <c r="G794" s="1">
        <f t="shared" ref="G794:K794" si="962">G241</f>
        <v>0.10333603635958771</v>
      </c>
      <c r="H794" s="1">
        <f t="shared" si="962"/>
        <v>6.9666938199874767E-2</v>
      </c>
      <c r="I794" s="1">
        <f t="shared" si="962"/>
        <v>0.80500840253847661</v>
      </c>
      <c r="J794" s="1">
        <f t="shared" si="962"/>
        <v>0.9095224686544946</v>
      </c>
      <c r="K794" s="1">
        <f t="shared" si="962"/>
        <v>0.19279417155459841</v>
      </c>
      <c r="L794" s="1">
        <f t="shared" ref="L794:O794" si="963">L241</f>
        <v>0.13474520310264684</v>
      </c>
      <c r="M794" s="1">
        <f t="shared" si="963"/>
        <v>8.1055980660473079E-2</v>
      </c>
      <c r="N794" s="1">
        <f t="shared" si="963"/>
        <v>4.94375653705664E-2</v>
      </c>
      <c r="O794" s="1">
        <f t="shared" si="963"/>
        <v>7.4471834287385866E-2</v>
      </c>
      <c r="P794" s="1">
        <f t="shared" ref="P794:Q796" si="964">P241</f>
        <v>0.12179887965406964</v>
      </c>
      <c r="Q794" s="1">
        <f t="shared" si="964"/>
        <v>0.12484346010384159</v>
      </c>
      <c r="S794" s="3"/>
    </row>
    <row r="795" spans="2:19" x14ac:dyDescent="0.5">
      <c r="B795" s="5" t="str">
        <f t="shared" si="958"/>
        <v>SPS1</v>
      </c>
      <c r="C795" s="5" t="str">
        <f t="shared" si="959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65">G242</f>
        <v>0</v>
      </c>
      <c r="H795" s="1">
        <f t="shared" si="965"/>
        <v>0</v>
      </c>
      <c r="I795" s="1">
        <f t="shared" si="965"/>
        <v>0</v>
      </c>
      <c r="J795" s="1">
        <f t="shared" si="965"/>
        <v>0</v>
      </c>
      <c r="K795" s="1">
        <f t="shared" si="965"/>
        <v>0</v>
      </c>
      <c r="L795" s="1">
        <f t="shared" ref="L795:O795" si="966">L242</f>
        <v>0</v>
      </c>
      <c r="M795" s="1">
        <f t="shared" si="966"/>
        <v>0</v>
      </c>
      <c r="N795" s="1">
        <f t="shared" si="966"/>
        <v>0</v>
      </c>
      <c r="O795" s="1">
        <f t="shared" si="966"/>
        <v>0</v>
      </c>
      <c r="P795" s="1">
        <f t="shared" si="964"/>
        <v>0</v>
      </c>
      <c r="Q795" s="1">
        <f t="shared" si="964"/>
        <v>0</v>
      </c>
      <c r="S795" s="3"/>
    </row>
    <row r="796" spans="2:19" x14ac:dyDescent="0.5">
      <c r="B796" s="5" t="str">
        <f t="shared" si="958"/>
        <v>SPS1</v>
      </c>
      <c r="C796" s="5" t="str">
        <f t="shared" si="959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67">G243</f>
        <v>0</v>
      </c>
      <c r="H796" s="1">
        <f t="shared" si="967"/>
        <v>0</v>
      </c>
      <c r="I796" s="1">
        <f t="shared" si="967"/>
        <v>1.9074846283914813E-3</v>
      </c>
      <c r="J796" s="1">
        <f t="shared" si="967"/>
        <v>2.4543926101007825E-3</v>
      </c>
      <c r="K796" s="1">
        <f t="shared" si="967"/>
        <v>3.9704245591842364E-3</v>
      </c>
      <c r="L796" s="1">
        <f t="shared" ref="L796:O796" si="968">L243</f>
        <v>6.6019712959163313E-3</v>
      </c>
      <c r="M796" s="1">
        <f t="shared" si="968"/>
        <v>9.87411287579084E-3</v>
      </c>
      <c r="N796" s="1">
        <f t="shared" si="968"/>
        <v>8.6915483847669166E-3</v>
      </c>
      <c r="O796" s="1">
        <f t="shared" si="968"/>
        <v>1.2678662096345933E-2</v>
      </c>
      <c r="P796" s="1">
        <f t="shared" si="964"/>
        <v>1.3530148980451231E-2</v>
      </c>
      <c r="Q796" s="1">
        <f t="shared" si="964"/>
        <v>2.2299123954686213E-2</v>
      </c>
      <c r="S796" s="3"/>
    </row>
    <row r="797" spans="2:19" x14ac:dyDescent="0.5">
      <c r="B797" s="5" t="str">
        <f t="shared" si="958"/>
        <v>SPS1</v>
      </c>
      <c r="C797" s="5" t="str">
        <f t="shared" si="959"/>
        <v>CH</v>
      </c>
      <c r="D797" t="s">
        <v>485</v>
      </c>
      <c r="E797" t="s">
        <v>8</v>
      </c>
      <c r="F797" s="1">
        <f>F274</f>
        <v>1.9348727378798576</v>
      </c>
      <c r="G797" s="1">
        <f t="shared" ref="G797:K797" si="969">G274</f>
        <v>1.8587804687164697</v>
      </c>
      <c r="H797" s="1">
        <f t="shared" si="969"/>
        <v>2.5503198741922724</v>
      </c>
      <c r="I797" s="1">
        <f t="shared" si="969"/>
        <v>2.2433473932518968</v>
      </c>
      <c r="J797" s="1">
        <f t="shared" si="969"/>
        <v>1.9426896969541281</v>
      </c>
      <c r="K797" s="1">
        <f t="shared" si="969"/>
        <v>1.6589384644381573</v>
      </c>
      <c r="L797" s="1">
        <f t="shared" ref="L797:O797" si="970">L274</f>
        <v>1.3779709305886723</v>
      </c>
      <c r="M797" s="1">
        <f t="shared" si="970"/>
        <v>1.0997974320142716</v>
      </c>
      <c r="N797" s="1">
        <f t="shared" si="970"/>
        <v>1.0997813472972522</v>
      </c>
      <c r="O797" s="1">
        <f t="shared" si="970"/>
        <v>1.0997967160463289</v>
      </c>
      <c r="P797" s="1">
        <f>P274</f>
        <v>1.0997877645375256</v>
      </c>
      <c r="Q797" s="1">
        <f>Q274</f>
        <v>1.0998350200247728</v>
      </c>
      <c r="S797" s="3"/>
    </row>
    <row r="798" spans="2:19" x14ac:dyDescent="0.5">
      <c r="B798" s="5" t="str">
        <f t="shared" si="958"/>
        <v>SPS1</v>
      </c>
      <c r="C798" s="5" t="str">
        <f t="shared" si="959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71">G275</f>
        <v>0</v>
      </c>
      <c r="H798" s="1">
        <f t="shared" si="971"/>
        <v>0</v>
      </c>
      <c r="I798" s="1">
        <f t="shared" si="971"/>
        <v>0</v>
      </c>
      <c r="J798" s="1">
        <f t="shared" si="971"/>
        <v>0</v>
      </c>
      <c r="K798" s="1">
        <f t="shared" si="971"/>
        <v>0</v>
      </c>
      <c r="L798" s="1">
        <f t="shared" ref="L798:O798" si="972">L275</f>
        <v>0</v>
      </c>
      <c r="M798" s="1">
        <f t="shared" si="972"/>
        <v>0</v>
      </c>
      <c r="N798" s="1">
        <f t="shared" si="972"/>
        <v>0</v>
      </c>
      <c r="O798" s="1">
        <f t="shared" si="972"/>
        <v>0</v>
      </c>
      <c r="P798" s="1">
        <f>P275</f>
        <v>0</v>
      </c>
      <c r="Q798" s="1">
        <f>Q275</f>
        <v>0</v>
      </c>
      <c r="S798" s="3"/>
    </row>
    <row r="799" spans="2:19" x14ac:dyDescent="0.5">
      <c r="B799" s="5" t="str">
        <f t="shared" si="958"/>
        <v>SPS1</v>
      </c>
      <c r="C799" s="5" t="str">
        <f t="shared" si="959"/>
        <v>CH</v>
      </c>
      <c r="D799" t="s">
        <v>487</v>
      </c>
      <c r="E799" t="s">
        <v>8</v>
      </c>
      <c r="F799" s="1">
        <f>F283</f>
        <v>0.66044813026674132</v>
      </c>
      <c r="G799" s="1">
        <f t="shared" ref="G799:K799" si="973">G283</f>
        <v>1.8152122309921928</v>
      </c>
      <c r="H799" s="1">
        <f t="shared" si="973"/>
        <v>3.4403201586048295</v>
      </c>
      <c r="I799" s="1">
        <f t="shared" si="973"/>
        <v>4.1733094220825375</v>
      </c>
      <c r="J799" s="1">
        <f t="shared" si="973"/>
        <v>5.4824854848400051</v>
      </c>
      <c r="K799" s="1">
        <f t="shared" si="973"/>
        <v>6.8294087685458775</v>
      </c>
      <c r="L799" s="1">
        <f t="shared" ref="L799:O799" si="974">L283</f>
        <v>9.3185163448749631</v>
      </c>
      <c r="M799" s="1">
        <f t="shared" si="974"/>
        <v>11.323551793869488</v>
      </c>
      <c r="N799" s="1">
        <f t="shared" si="974"/>
        <v>11.730523577682733</v>
      </c>
      <c r="O799" s="1">
        <f t="shared" si="974"/>
        <v>11.584816653177928</v>
      </c>
      <c r="P799" s="1">
        <f>P283</f>
        <v>11.584954435195908</v>
      </c>
      <c r="Q799" s="1">
        <f>Q283</f>
        <v>11.565399500589573</v>
      </c>
      <c r="S799" s="3"/>
    </row>
    <row r="800" spans="2:19" x14ac:dyDescent="0.5">
      <c r="B800" s="5" t="str">
        <f t="shared" si="958"/>
        <v>SPS1</v>
      </c>
      <c r="C800" s="5" t="str">
        <f t="shared" si="959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75">G284</f>
        <v>0</v>
      </c>
      <c r="H800" s="1">
        <f t="shared" si="975"/>
        <v>0</v>
      </c>
      <c r="I800" s="1">
        <f t="shared" si="975"/>
        <v>0</v>
      </c>
      <c r="J800" s="1">
        <f t="shared" si="975"/>
        <v>0</v>
      </c>
      <c r="K800" s="1">
        <f t="shared" si="975"/>
        <v>0</v>
      </c>
      <c r="L800" s="1">
        <f t="shared" ref="L800:O800" si="976">L284</f>
        <v>0</v>
      </c>
      <c r="M800" s="1">
        <f t="shared" si="976"/>
        <v>0</v>
      </c>
      <c r="N800" s="1">
        <f t="shared" si="976"/>
        <v>0</v>
      </c>
      <c r="O800" s="1">
        <f t="shared" si="976"/>
        <v>0</v>
      </c>
      <c r="P800" s="1">
        <f>P284</f>
        <v>0</v>
      </c>
      <c r="Q800" s="1">
        <f>Q284</f>
        <v>0</v>
      </c>
      <c r="S800" s="3"/>
    </row>
    <row r="801" spans="2:19" x14ac:dyDescent="0.5">
      <c r="B801" s="5" t="str">
        <f t="shared" si="958"/>
        <v>SPS1</v>
      </c>
      <c r="C801" s="5" t="str">
        <f t="shared" si="959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77">G289</f>
        <v>0</v>
      </c>
      <c r="H801" s="1">
        <f t="shared" si="977"/>
        <v>0</v>
      </c>
      <c r="I801" s="1">
        <f t="shared" si="977"/>
        <v>3.6302158192602282E-3</v>
      </c>
      <c r="J801" s="1">
        <f t="shared" si="977"/>
        <v>9.8563069595377847E-3</v>
      </c>
      <c r="K801" s="1">
        <f t="shared" si="977"/>
        <v>1.4538938386191051E-2</v>
      </c>
      <c r="L801" s="1">
        <f t="shared" ref="L801:O801" si="978">L289</f>
        <v>1.3080109034063526E-2</v>
      </c>
      <c r="M801" s="1">
        <f t="shared" si="978"/>
        <v>3.1264183254807537E-2</v>
      </c>
      <c r="N801" s="1">
        <f t="shared" si="978"/>
        <v>2.8094678213779315E-2</v>
      </c>
      <c r="O801" s="1">
        <f t="shared" si="978"/>
        <v>7.4057869447839153E-2</v>
      </c>
      <c r="P801" s="1">
        <f>P289</f>
        <v>7.1281447243107934E-2</v>
      </c>
      <c r="Q801" s="1">
        <f>Q289</f>
        <v>9.1511220124117207E-2</v>
      </c>
      <c r="S801" s="3"/>
    </row>
    <row r="802" spans="2:19" x14ac:dyDescent="0.5">
      <c r="B802" s="5" t="str">
        <f t="shared" si="958"/>
        <v>SPS1</v>
      </c>
      <c r="C802" s="5" t="str">
        <f t="shared" si="959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7.1200251353564621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7.6289168031731593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7.3930076227438173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7.8105899621730286</v>
      </c>
      <c r="J802" s="1" cm="1">
        <f t="array" ref="J802">SUMPRODUCT(([1]OUT_FinalEnergyCons!$B$4:$B$10000="Var_Fin")*1, ([1]OUT_FinalEnergyCons!$C$4:$C$10000="ITOT_LTH_DH")*1, (ISNUMBER(SEARCH("ITOT-SWHLTHDH",[1]OUT_FinalEnergyCons!$A$4:$A$10000)))*1,[1]OUT_FinalEnergyCons!H$4:H$10000)</f>
        <v>7.3798266406560584</v>
      </c>
      <c r="K802" s="1" cm="1">
        <f t="array" ref="K802">SUMPRODUCT(([1]OUT_FinalEnergyCons!$B$4:$B$10000="Var_Fin")*1, ([1]OUT_FinalEnergyCons!$C$4:$C$10000="ITOT_LTH_DH")*1, (ISNUMBER(SEARCH("ITOT-SWHLTHDH",[1]OUT_FinalEnergyCons!$A$4:$A$10000)))*1,[1]OUT_FinalEnergyCons!I$4:I$10000)</f>
        <v>7.2754691167952323</v>
      </c>
      <c r="L802" s="1" cm="1">
        <f t="array" ref="L802">SUMPRODUCT(([1]OUT_FinalEnergyCons!$B$4:$B$10000="Var_Fin")*1, ([1]OUT_FinalEnergyCons!$C$4:$C$10000="ITOT_LTH_DH")*1, (ISNUMBER(SEARCH("ITOT-SWHLTHDH",[1]OUT_FinalEnergyCons!$A$4:$A$10000)))*1,[1]OUT_FinalEnergyCons!J$4:J$10000)</f>
        <v>8.8814536349795929</v>
      </c>
      <c r="M802" s="1" cm="1">
        <f t="array" ref="M802">SUMPRODUCT(([1]OUT_FinalEnergyCons!$B$4:$B$10000="Var_Fin")*1, ([1]OUT_FinalEnergyCons!$C$4:$C$10000="ITOT_LTH_DH")*1, (ISNUMBER(SEARCH("ITOT-SWHLTHDH",[1]OUT_FinalEnergyCons!$A$4:$A$10000)))*1,[1]OUT_FinalEnergyCons!K$4:K$10000)</f>
        <v>9.2265677920740412</v>
      </c>
      <c r="N802" s="1" cm="1">
        <f t="array" ref="N802">SUMPRODUCT(([1]OUT_FinalEnergyCons!$B$4:$B$10000="Var_Fin")*1, ([1]OUT_FinalEnergyCons!$C$4:$C$10000="ITOT_LTH_DH")*1, (ISNUMBER(SEARCH("ITOT-SWHLTHDH",[1]OUT_FinalEnergyCons!$A$4:$A$10000)))*1,[1]OUT_FinalEnergyCons!L$4:L$10000)</f>
        <v>9.1450093626187385</v>
      </c>
      <c r="O802" s="1" cm="1">
        <f t="array" ref="O802">SUMPRODUCT(([1]OUT_FinalEnergyCons!$B$4:$B$10000="Var_Fin")*1, ([1]OUT_FinalEnergyCons!$C$4:$C$10000="ITOT_LTH_DH")*1, (ISNUMBER(SEARCH("ITOT-SWHLTHDH",[1]OUT_FinalEnergyCons!$A$4:$A$10000)))*1,[1]OUT_FinalEnergyCons!M$4:M$10000)</f>
        <v>9.385315469046402</v>
      </c>
      <c r="P802" s="1" cm="1">
        <f t="array" ref="P802">SUMPRODUCT(([1]OUT_FinalEnergyCons!$B$4:$B$10000="Var_Fin")*1, ([1]OUT_FinalEnergyCons!$C$4:$C$10000="ITOT_LTH_DH")*1, (ISNUMBER(SEARCH("ITOT-SWHLTHDH",[1]OUT_FinalEnergyCons!$A$4:$A$10000)))*1,[1]OUT_FinalEnergyCons!N$4:N$10000)</f>
        <v>9.0427894829380051</v>
      </c>
      <c r="Q802" s="1" cm="1">
        <f t="array" ref="Q802">SUMPRODUCT(([1]OUT_FinalEnergyCons!$B$4:$B$10000="Var_Fin")*1, ([1]OUT_FinalEnergyCons!$C$4:$C$10000="ITOT_LTH_DH")*1, (ISNUMBER(SEARCH("ITOT-SWHLTHDH",[1]OUT_FinalEnergyCons!$A$4:$A$10000)))*1,[1]OUT_FinalEnergyCons!O$4:O$10000)</f>
        <v>8.9636582647404826</v>
      </c>
      <c r="S802" s="3"/>
    </row>
    <row r="803" spans="2:19" x14ac:dyDescent="0.5">
      <c r="B803" s="5" t="str">
        <f>B802</f>
        <v>SPS1</v>
      </c>
      <c r="C803" s="5" t="str">
        <f t="shared" si="959"/>
        <v>CH</v>
      </c>
      <c r="D803" t="s">
        <v>951</v>
      </c>
      <c r="E803" t="s">
        <v>8</v>
      </c>
      <c r="F803" s="1">
        <f>F804</f>
        <v>9.0019050993849046</v>
      </c>
      <c r="G803" s="1">
        <f t="shared" ref="G803:O803" si="979">G804</f>
        <v>10.609941860620445</v>
      </c>
      <c r="H803" s="1">
        <f t="shared" si="979"/>
        <v>9.8540334875770927</v>
      </c>
      <c r="I803" s="1">
        <f t="shared" si="979"/>
        <v>11.555164965706197</v>
      </c>
      <c r="J803" s="1">
        <f t="shared" si="979"/>
        <v>12.464026543433</v>
      </c>
      <c r="K803" s="1">
        <f t="shared" si="979"/>
        <v>13.570543741769953</v>
      </c>
      <c r="L803" s="1">
        <f t="shared" si="979"/>
        <v>14.510217322361219</v>
      </c>
      <c r="M803" s="1">
        <f t="shared" si="979"/>
        <v>15.457950103223688</v>
      </c>
      <c r="N803" s="1">
        <f t="shared" si="979"/>
        <v>15.344163586057643</v>
      </c>
      <c r="O803" s="1">
        <f t="shared" si="979"/>
        <v>15.770841181424487</v>
      </c>
      <c r="P803" s="1">
        <f>P804</f>
        <v>13.647101873915112</v>
      </c>
      <c r="Q803" s="1">
        <f>Q804</f>
        <v>14.706156891203447</v>
      </c>
      <c r="S803" s="3"/>
    </row>
    <row r="804" spans="2:19" x14ac:dyDescent="0.5">
      <c r="B804" s="5" t="str">
        <f t="shared" ref="B804:B806" si="980">B803</f>
        <v>SPS1</v>
      </c>
      <c r="C804" s="5" t="str">
        <f t="shared" si="959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9.0019050993849046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10.609941860620445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9.8540334875770927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11.555164965706197</v>
      </c>
      <c r="J804" s="1" cm="1">
        <f t="array" ref="J804">SUMPRODUCT(([1]OUT_FinalEnergyCons!$B$4:$B$10000="Var_Fin")*1, ([1]OUT_FinalEnergyCons!$C$4:$C$10000="iWOD")*1, (ISNUMBER(SEARCH("ITOT-SWHWOD*BR",[1]OUT_FinalEnergyCons!$A$4:$A$10000)))*1,[1]OUT_FinalEnergyCons!H$4:H$10000)</f>
        <v>12.464026543433</v>
      </c>
      <c r="K804" s="1" cm="1">
        <f t="array" ref="K804">SUMPRODUCT(([1]OUT_FinalEnergyCons!$B$4:$B$10000="Var_Fin")*1, ([1]OUT_FinalEnergyCons!$C$4:$C$10000="iWOD")*1, (ISNUMBER(SEARCH("ITOT-SWHWOD*BR",[1]OUT_FinalEnergyCons!$A$4:$A$10000)))*1,[1]OUT_FinalEnergyCons!I$4:I$10000)</f>
        <v>13.570543741769953</v>
      </c>
      <c r="L804" s="1" cm="1">
        <f t="array" ref="L804">SUMPRODUCT(([1]OUT_FinalEnergyCons!$B$4:$B$10000="Var_Fin")*1, ([1]OUT_FinalEnergyCons!$C$4:$C$10000="iWOD")*1, (ISNUMBER(SEARCH("ITOT-SWHWOD*BR",[1]OUT_FinalEnergyCons!$A$4:$A$10000)))*1,[1]OUT_FinalEnergyCons!J$4:J$10000)</f>
        <v>14.510217322361219</v>
      </c>
      <c r="M804" s="1" cm="1">
        <f t="array" ref="M804">SUMPRODUCT(([1]OUT_FinalEnergyCons!$B$4:$B$10000="Var_Fin")*1, ([1]OUT_FinalEnergyCons!$C$4:$C$10000="iWOD")*1, (ISNUMBER(SEARCH("ITOT-SWHWOD*BR",[1]OUT_FinalEnergyCons!$A$4:$A$10000)))*1,[1]OUT_FinalEnergyCons!K$4:K$10000)</f>
        <v>15.457950103223688</v>
      </c>
      <c r="N804" s="1" cm="1">
        <f t="array" ref="N804">SUMPRODUCT(([1]OUT_FinalEnergyCons!$B$4:$B$10000="Var_Fin")*1, ([1]OUT_FinalEnergyCons!$C$4:$C$10000="iWOD")*1, (ISNUMBER(SEARCH("ITOT-SWHWOD*BR",[1]OUT_FinalEnergyCons!$A$4:$A$10000)))*1,[1]OUT_FinalEnergyCons!L$4:L$10000)</f>
        <v>15.344163586057643</v>
      </c>
      <c r="O804" s="1" cm="1">
        <f t="array" ref="O804">SUMPRODUCT(([1]OUT_FinalEnergyCons!$B$4:$B$10000="Var_Fin")*1, ([1]OUT_FinalEnergyCons!$C$4:$C$10000="iWOD")*1, (ISNUMBER(SEARCH("ITOT-SWHWOD*BR",[1]OUT_FinalEnergyCons!$A$4:$A$10000)))*1,[1]OUT_FinalEnergyCons!M$4:M$10000)</f>
        <v>15.770841181424487</v>
      </c>
      <c r="P804" s="1" cm="1">
        <f t="array" ref="P804">SUMPRODUCT(([1]OUT_FinalEnergyCons!$B$4:$B$10000="Var_Fin")*1, ([1]OUT_FinalEnergyCons!$C$4:$C$10000="iWOD")*1, (ISNUMBER(SEARCH("ITOT-SWHWOD*BR",[1]OUT_FinalEnergyCons!$A$4:$A$10000)))*1,[1]OUT_FinalEnergyCons!N$4:N$10000)</f>
        <v>13.647101873915112</v>
      </c>
      <c r="Q804" s="1" cm="1">
        <f t="array" ref="Q804">SUMPRODUCT(([1]OUT_FinalEnergyCons!$B$4:$B$10000="Var_Fin")*1, ([1]OUT_FinalEnergyCons!$C$4:$C$10000="iWOD")*1, (ISNUMBER(SEARCH("ITOT-SWHWOD*BR",[1]OUT_FinalEnergyCons!$A$4:$A$10000)))*1,[1]OUT_FinalEnergyCons!O$4:O$10000)</f>
        <v>14.706156891203447</v>
      </c>
      <c r="S804" s="3"/>
    </row>
    <row r="805" spans="2:19" x14ac:dyDescent="0.5">
      <c r="B805" s="5" t="str">
        <f t="shared" si="980"/>
        <v>SPS1</v>
      </c>
      <c r="C805" s="5" t="str">
        <f t="shared" si="959"/>
        <v>CH</v>
      </c>
      <c r="D805" t="s">
        <v>953</v>
      </c>
      <c r="E805" t="s">
        <v>8</v>
      </c>
      <c r="F805" s="1">
        <f>F806</f>
        <v>0.62579209085372056</v>
      </c>
      <c r="G805" s="1">
        <f t="shared" ref="G805:O805" si="981">G806</f>
        <v>0.73757457342511135</v>
      </c>
      <c r="H805" s="1">
        <f t="shared" si="981"/>
        <v>0.73633690485592784</v>
      </c>
      <c r="I805" s="1">
        <f t="shared" si="981"/>
        <v>0.73429242770664949</v>
      </c>
      <c r="J805" s="1">
        <f t="shared" si="981"/>
        <v>0.73479989224596232</v>
      </c>
      <c r="K805" s="1">
        <f t="shared" si="981"/>
        <v>0.73278407171022075</v>
      </c>
      <c r="L805" s="1">
        <f t="shared" si="981"/>
        <v>0.73078997830004389</v>
      </c>
      <c r="M805" s="1">
        <f t="shared" si="981"/>
        <v>0.7288268925957414</v>
      </c>
      <c r="N805" s="1">
        <f t="shared" si="981"/>
        <v>0.72888580187402752</v>
      </c>
      <c r="O805" s="1">
        <f t="shared" si="981"/>
        <v>0.72902255660785265</v>
      </c>
      <c r="P805" s="1">
        <f>P806</f>
        <v>0.72922609345179878</v>
      </c>
      <c r="Q805" s="1">
        <f>Q806</f>
        <v>0.72996121510081835</v>
      </c>
      <c r="S805" s="3"/>
    </row>
    <row r="806" spans="2:19" x14ac:dyDescent="0.5">
      <c r="B806" s="5" t="str">
        <f t="shared" si="980"/>
        <v>SPS1</v>
      </c>
      <c r="C806" s="5" t="str">
        <f t="shared" si="959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0.62579209085372056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0.73757457342511135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0.73633690485592784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0.73429242770664949</v>
      </c>
      <c r="J806" s="1" cm="1">
        <f t="array" ref="J806">SUMPRODUCT(([1]OUT_FinalEnergyCons!$B$4:$B$10000="Var_Fin")*1, ([1]OUT_FinalEnergyCons!$C$4:$C$10000="IPLT")*1, (ISNUMBER(SEARCH("ITOT-SWHPLT*BR",[1]OUT_FinalEnergyCons!$A$4:$A$10000)))*1,[1]OUT_FinalEnergyCons!H$4:H$10000)</f>
        <v>0.73479989224596232</v>
      </c>
      <c r="K806" s="1" cm="1">
        <f t="array" ref="K806">SUMPRODUCT(([1]OUT_FinalEnergyCons!$B$4:$B$10000="Var_Fin")*1, ([1]OUT_FinalEnergyCons!$C$4:$C$10000="IPLT")*1, (ISNUMBER(SEARCH("ITOT-SWHPLT*BR",[1]OUT_FinalEnergyCons!$A$4:$A$10000)))*1,[1]OUT_FinalEnergyCons!I$4:I$10000)</f>
        <v>0.73278407171022075</v>
      </c>
      <c r="L806" s="1" cm="1">
        <f t="array" ref="L806">SUMPRODUCT(([1]OUT_FinalEnergyCons!$B$4:$B$10000="Var_Fin")*1, ([1]OUT_FinalEnergyCons!$C$4:$C$10000="IPLT")*1, (ISNUMBER(SEARCH("ITOT-SWHPLT*BR",[1]OUT_FinalEnergyCons!$A$4:$A$10000)))*1,[1]OUT_FinalEnergyCons!J$4:J$10000)</f>
        <v>0.73078997830004389</v>
      </c>
      <c r="M806" s="1" cm="1">
        <f t="array" ref="M806">SUMPRODUCT(([1]OUT_FinalEnergyCons!$B$4:$B$10000="Var_Fin")*1, ([1]OUT_FinalEnergyCons!$C$4:$C$10000="IPLT")*1, (ISNUMBER(SEARCH("ITOT-SWHPLT*BR",[1]OUT_FinalEnergyCons!$A$4:$A$10000)))*1,[1]OUT_FinalEnergyCons!K$4:K$10000)</f>
        <v>0.7288268925957414</v>
      </c>
      <c r="N806" s="1" cm="1">
        <f t="array" ref="N806">SUMPRODUCT(([1]OUT_FinalEnergyCons!$B$4:$B$10000="Var_Fin")*1, ([1]OUT_FinalEnergyCons!$C$4:$C$10000="IPLT")*1, (ISNUMBER(SEARCH("ITOT-SWHPLT*BR",[1]OUT_FinalEnergyCons!$A$4:$A$10000)))*1,[1]OUT_FinalEnergyCons!L$4:L$10000)</f>
        <v>0.72888580187402752</v>
      </c>
      <c r="O806" s="1" cm="1">
        <f t="array" ref="O806">SUMPRODUCT(([1]OUT_FinalEnergyCons!$B$4:$B$10000="Var_Fin")*1, ([1]OUT_FinalEnergyCons!$C$4:$C$10000="IPLT")*1, (ISNUMBER(SEARCH("ITOT-SWHPLT*BR",[1]OUT_FinalEnergyCons!$A$4:$A$10000)))*1,[1]OUT_FinalEnergyCons!M$4:M$10000)</f>
        <v>0.72902255660785265</v>
      </c>
      <c r="P806" s="1" cm="1">
        <f t="array" ref="P806">SUMPRODUCT(([1]OUT_FinalEnergyCons!$B$4:$B$10000="Var_Fin")*1, ([1]OUT_FinalEnergyCons!$C$4:$C$10000="IPLT")*1, (ISNUMBER(SEARCH("ITOT-SWHPLT*BR",[1]OUT_FinalEnergyCons!$A$4:$A$10000)))*1,[1]OUT_FinalEnergyCons!N$4:N$10000)</f>
        <v>0.72922609345179878</v>
      </c>
      <c r="Q806" s="1" cm="1">
        <f t="array" ref="Q806">SUMPRODUCT(([1]OUT_FinalEnergyCons!$B$4:$B$10000="Var_Fin")*1, ([1]OUT_FinalEnergyCons!$C$4:$C$10000="IPLT")*1, (ISNUMBER(SEARCH("ITOT-SWHPLT*BR",[1]OUT_FinalEnergyCons!$A$4:$A$10000)))*1,[1]OUT_FinalEnergyCons!O$4:O$10000)</f>
        <v>0.72996121510081835</v>
      </c>
      <c r="S806" s="3"/>
    </row>
    <row r="807" spans="2:19" x14ac:dyDescent="0.5">
      <c r="B807" s="5" t="str">
        <f>B806</f>
        <v>SPS1</v>
      </c>
      <c r="C807" s="5" t="str">
        <f t="shared" si="959"/>
        <v>CH</v>
      </c>
      <c r="D807" t="s">
        <v>492</v>
      </c>
      <c r="E807" t="s">
        <v>8</v>
      </c>
      <c r="F807" s="1">
        <f>[1]Industry!B$21</f>
        <v>7.7980455360462626</v>
      </c>
      <c r="G807" s="1">
        <f>[1]Industry!C$21</f>
        <v>8.0802332994917769</v>
      </c>
      <c r="H807" s="1">
        <f>[1]Industry!D$21</f>
        <v>5.6083585759144521</v>
      </c>
      <c r="I807" s="1">
        <f>[1]Industry!E$21</f>
        <v>5.545646985186667</v>
      </c>
      <c r="J807" s="1">
        <f>[1]Industry!F$21</f>
        <v>5.4829952731623397</v>
      </c>
      <c r="K807" s="1">
        <f>[1]Industry!G$21</f>
        <v>5.4553743912573998</v>
      </c>
      <c r="L807" s="1">
        <f>[1]Industry!H$21</f>
        <v>5.427692654791791</v>
      </c>
      <c r="M807" s="1">
        <f>[1]Industry!I$21</f>
        <v>5.3999684389889211</v>
      </c>
      <c r="N807" s="1">
        <f>[1]Industry!J$21</f>
        <v>5.4000153458107985</v>
      </c>
      <c r="O807" s="1">
        <f>[1]Industry!K$21</f>
        <v>5.4000639550875755</v>
      </c>
      <c r="P807" s="1">
        <f>[1]Industry!L$21</f>
        <v>5.3999851591891881</v>
      </c>
      <c r="Q807" s="1">
        <f>[1]Industry!M$21</f>
        <v>5.4001196825141236</v>
      </c>
      <c r="S807" s="3"/>
    </row>
    <row r="808" spans="2:19" x14ac:dyDescent="0.5">
      <c r="B808" s="5" t="str">
        <f t="shared" ref="B808:B810" si="982">B807</f>
        <v>SPS1</v>
      </c>
      <c r="C808" s="5" t="str">
        <f t="shared" si="959"/>
        <v>CH</v>
      </c>
      <c r="D808" t="s">
        <v>495</v>
      </c>
      <c r="E808" t="s">
        <v>8</v>
      </c>
      <c r="F808" s="1">
        <f>F807</f>
        <v>7.7980455360462626</v>
      </c>
      <c r="G808" s="1">
        <f t="shared" ref="G808:K808" si="983">G807</f>
        <v>8.0802332994917769</v>
      </c>
      <c r="H808" s="1">
        <f t="shared" si="983"/>
        <v>5.6083585759144521</v>
      </c>
      <c r="I808" s="1">
        <f t="shared" si="983"/>
        <v>5.545646985186667</v>
      </c>
      <c r="J808" s="1">
        <f t="shared" si="983"/>
        <v>5.4829952731623397</v>
      </c>
      <c r="K808" s="1">
        <f t="shared" si="983"/>
        <v>5.4553743912573998</v>
      </c>
      <c r="L808" s="1">
        <f t="shared" ref="L808:O808" si="984">L807</f>
        <v>5.427692654791791</v>
      </c>
      <c r="M808" s="1">
        <f t="shared" si="984"/>
        <v>5.3999684389889211</v>
      </c>
      <c r="N808" s="1">
        <f t="shared" si="984"/>
        <v>5.4000153458107985</v>
      </c>
      <c r="O808" s="1">
        <f t="shared" si="984"/>
        <v>5.4000639550875755</v>
      </c>
      <c r="P808" s="1">
        <f>P807</f>
        <v>5.3999851591891881</v>
      </c>
      <c r="Q808" s="1">
        <f>Q807</f>
        <v>5.4001196825141236</v>
      </c>
      <c r="S808" s="3"/>
    </row>
    <row r="809" spans="2:19" x14ac:dyDescent="0.5">
      <c r="B809" s="5" t="str">
        <f t="shared" si="982"/>
        <v>SPS1</v>
      </c>
      <c r="C809" s="5" t="str">
        <f t="shared" si="959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S809" s="3"/>
    </row>
    <row r="810" spans="2:19" x14ac:dyDescent="0.5">
      <c r="B810" s="5" t="str">
        <f t="shared" si="982"/>
        <v>SPS1</v>
      </c>
      <c r="C810" s="5" t="str">
        <f t="shared" si="959"/>
        <v>CH</v>
      </c>
      <c r="D810" t="s">
        <v>494</v>
      </c>
      <c r="E810" t="s">
        <v>8</v>
      </c>
      <c r="F810" s="1">
        <f>F808</f>
        <v>7.7980455360462626</v>
      </c>
      <c r="G810" s="1">
        <f t="shared" ref="G810:K810" si="985">G808</f>
        <v>8.0802332994917769</v>
      </c>
      <c r="H810" s="1">
        <f t="shared" si="985"/>
        <v>5.6083585759144521</v>
      </c>
      <c r="I810" s="1">
        <f t="shared" si="985"/>
        <v>5.545646985186667</v>
      </c>
      <c r="J810" s="1">
        <f t="shared" si="985"/>
        <v>5.4829952731623397</v>
      </c>
      <c r="K810" s="1">
        <f t="shared" si="985"/>
        <v>5.4553743912573998</v>
      </c>
      <c r="L810" s="1">
        <f t="shared" ref="L810:O810" si="986">L808</f>
        <v>5.427692654791791</v>
      </c>
      <c r="M810" s="1">
        <f t="shared" si="986"/>
        <v>5.3999684389889211</v>
      </c>
      <c r="N810" s="1">
        <f t="shared" si="986"/>
        <v>5.4000153458107985</v>
      </c>
      <c r="O810" s="1">
        <f t="shared" si="986"/>
        <v>5.4000639550875755</v>
      </c>
      <c r="P810" s="1">
        <f>P808</f>
        <v>5.3999851591891881</v>
      </c>
      <c r="Q810" s="1">
        <f>Q808</f>
        <v>5.4001196825141236</v>
      </c>
      <c r="S810" s="3"/>
    </row>
    <row r="811" spans="2:19" x14ac:dyDescent="0.5">
      <c r="B811" s="5" t="str">
        <f>B810</f>
        <v>SPS1</v>
      </c>
      <c r="C811" s="5" t="str">
        <f t="shared" ref="C811:C812" si="987">C810</f>
        <v>CH</v>
      </c>
      <c r="D811" t="s">
        <v>955</v>
      </c>
      <c r="E811" t="s">
        <v>8</v>
      </c>
      <c r="F811" s="1">
        <f>[1]Industry!B$22</f>
        <v>6.768514679096807E-2</v>
      </c>
      <c r="G811" s="1">
        <f>[1]Industry!C$22</f>
        <v>8.5501988905615459E-2</v>
      </c>
      <c r="H811" s="1">
        <f>[1]Industry!D$22</f>
        <v>8.5514814167454281E-2</v>
      </c>
      <c r="I811" s="1">
        <f>[1]Industry!E$22</f>
        <v>8.5513018404928559E-2</v>
      </c>
      <c r="J811" s="1">
        <f>[1]Industry!F$22</f>
        <v>8.5515781993019874E-2</v>
      </c>
      <c r="K811" s="1">
        <f>[1]Industry!G$22</f>
        <v>8.5517851935914227E-2</v>
      </c>
      <c r="L811" s="1">
        <f>[1]Industry!H$22</f>
        <v>8.5521506078016632E-2</v>
      </c>
      <c r="M811" s="1">
        <f>[1]Industry!I$22</f>
        <v>8.5524694309731544E-2</v>
      </c>
      <c r="N811" s="1">
        <f>[1]Industry!J$22</f>
        <v>8.552622439100839E-2</v>
      </c>
      <c r="O811" s="1">
        <f>[1]Industry!K$22</f>
        <v>8.5558189151522704E-2</v>
      </c>
      <c r="P811" s="1">
        <f>[1]Industry!L$22</f>
        <v>8.5576263525398377E-2</v>
      </c>
      <c r="Q811" s="1">
        <f>[1]Industry!M$22</f>
        <v>8.570370853114255E-2</v>
      </c>
      <c r="S811" s="3"/>
    </row>
    <row r="812" spans="2:19" x14ac:dyDescent="0.5">
      <c r="B812" s="5" t="str">
        <f t="shared" ref="B812" si="988">B811</f>
        <v>SPS1</v>
      </c>
      <c r="C812" s="5" t="str">
        <f t="shared" si="987"/>
        <v>CH</v>
      </c>
      <c r="D812" t="s">
        <v>956</v>
      </c>
      <c r="E812" t="s">
        <v>8</v>
      </c>
      <c r="F812" s="1">
        <f>F811</f>
        <v>6.768514679096807E-2</v>
      </c>
      <c r="G812" s="1">
        <f t="shared" ref="G812:K812" si="989">G811</f>
        <v>8.5501988905615459E-2</v>
      </c>
      <c r="H812" s="1">
        <f t="shared" si="989"/>
        <v>8.5514814167454281E-2</v>
      </c>
      <c r="I812" s="1">
        <f t="shared" si="989"/>
        <v>8.5513018404928559E-2</v>
      </c>
      <c r="J812" s="1">
        <f t="shared" si="989"/>
        <v>8.5515781993019874E-2</v>
      </c>
      <c r="K812" s="1">
        <f t="shared" si="989"/>
        <v>8.5517851935914227E-2</v>
      </c>
      <c r="L812" s="1">
        <f t="shared" ref="L812:O812" si="990">L811</f>
        <v>8.5521506078016632E-2</v>
      </c>
      <c r="M812" s="1">
        <f t="shared" si="990"/>
        <v>8.5524694309731544E-2</v>
      </c>
      <c r="N812" s="1">
        <f t="shared" si="990"/>
        <v>8.552622439100839E-2</v>
      </c>
      <c r="O812" s="1">
        <f t="shared" si="990"/>
        <v>8.5558189151522704E-2</v>
      </c>
      <c r="P812" s="1">
        <f>P811</f>
        <v>8.5576263525398377E-2</v>
      </c>
      <c r="Q812" s="1">
        <f>Q811</f>
        <v>8.570370853114255E-2</v>
      </c>
      <c r="S812" s="3"/>
    </row>
    <row r="813" spans="2:19" x14ac:dyDescent="0.5">
      <c r="B813" s="5" t="str">
        <f>B812</f>
        <v>SPS1</v>
      </c>
      <c r="C813" s="5" t="str">
        <f t="shared" ref="C813:C814" si="991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8.9390900395731523E-3</v>
      </c>
      <c r="J813" s="1">
        <f>[1]Industry!F$23</f>
        <v>3.5198355207414135E-2</v>
      </c>
      <c r="K813" s="1">
        <f>[1]Industry!G$23</f>
        <v>5.1614901296348437E-2</v>
      </c>
      <c r="L813" s="1">
        <f>[1]Industry!H$23</f>
        <v>4.8880449241988894E-2</v>
      </c>
      <c r="M813" s="1">
        <f>[1]Industry!I$23</f>
        <v>0.16491898204717459</v>
      </c>
      <c r="N813" s="1">
        <f>[1]Industry!J$23</f>
        <v>0.20598582473834834</v>
      </c>
      <c r="O813" s="1">
        <f>[1]Industry!K$23</f>
        <v>0.30193947011770539</v>
      </c>
      <c r="P813" s="1">
        <f>[1]Industry!L$23</f>
        <v>0.30704378708947155</v>
      </c>
      <c r="Q813" s="1">
        <f>[1]Industry!M$23</f>
        <v>0.31390732050523495</v>
      </c>
      <c r="S813" s="3"/>
    </row>
    <row r="814" spans="2:19" x14ac:dyDescent="0.5">
      <c r="B814" s="5" t="str">
        <f t="shared" ref="B814" si="992">B813</f>
        <v>SPS1</v>
      </c>
      <c r="C814" s="5" t="str">
        <f t="shared" si="991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93">G813</f>
        <v>0</v>
      </c>
      <c r="H814" s="1">
        <f t="shared" si="993"/>
        <v>0</v>
      </c>
      <c r="I814" s="1">
        <f t="shared" si="993"/>
        <v>8.9390900395731523E-3</v>
      </c>
      <c r="J814" s="1">
        <f t="shared" si="993"/>
        <v>3.5198355207414135E-2</v>
      </c>
      <c r="K814" s="1">
        <f t="shared" si="993"/>
        <v>5.1614901296348437E-2</v>
      </c>
      <c r="L814" s="1">
        <f t="shared" ref="L814:O814" si="994">L813</f>
        <v>4.8880449241988894E-2</v>
      </c>
      <c r="M814" s="1">
        <f t="shared" si="994"/>
        <v>0.16491898204717459</v>
      </c>
      <c r="N814" s="1">
        <f t="shared" si="994"/>
        <v>0.20598582473834834</v>
      </c>
      <c r="O814" s="1">
        <f t="shared" si="994"/>
        <v>0.30193947011770539</v>
      </c>
      <c r="P814" s="1">
        <f>P813</f>
        <v>0.30704378708947155</v>
      </c>
      <c r="Q814" s="1">
        <f>Q813</f>
        <v>0.31390732050523495</v>
      </c>
      <c r="S814" s="3"/>
    </row>
    <row r="815" spans="2:19" x14ac:dyDescent="0.5">
      <c r="B815" s="5" t="str">
        <f>B814</f>
        <v>SPS1</v>
      </c>
      <c r="C815" s="5" t="str">
        <f t="shared" ref="C815:C816" si="995">C814</f>
        <v>CH</v>
      </c>
      <c r="D815" t="s">
        <v>959</v>
      </c>
      <c r="E815" t="s">
        <v>8</v>
      </c>
      <c r="F815" s="1">
        <f>[1]Industry!B$24</f>
        <v>0.74853385793953964</v>
      </c>
      <c r="G815" s="1">
        <f>[1]Industry!C$24</f>
        <v>0.94974028395011023</v>
      </c>
      <c r="H815" s="1">
        <f>[1]Industry!D$24</f>
        <v>2.4392772804894234</v>
      </c>
      <c r="I815" s="1">
        <f>[1]Industry!E$24</f>
        <v>4.0777010058567704</v>
      </c>
      <c r="J815" s="1">
        <f>[1]Industry!F$24</f>
        <v>5.7630134732577067</v>
      </c>
      <c r="K815" s="1">
        <f>[1]Industry!G$24</f>
        <v>6.3020908113578633</v>
      </c>
      <c r="L815" s="1">
        <f>[1]Industry!H$24</f>
        <v>6.3551733544227771</v>
      </c>
      <c r="M815" s="1">
        <f>[1]Industry!I$24</f>
        <v>6.4038274484856261</v>
      </c>
      <c r="N815" s="1">
        <f>[1]Industry!J$24</f>
        <v>6.4040235211198349</v>
      </c>
      <c r="O815" s="1">
        <f>[1]Industry!K$24</f>
        <v>8.7632621895875804</v>
      </c>
      <c r="P815" s="1">
        <f>[1]Industry!L$24</f>
        <v>8.7632758978705176</v>
      </c>
      <c r="Q815" s="1">
        <f>[1]Industry!M$24</f>
        <v>8.7637667468425402</v>
      </c>
      <c r="S815" s="3"/>
    </row>
    <row r="816" spans="2:19" x14ac:dyDescent="0.5">
      <c r="B816" s="5" t="str">
        <f t="shared" ref="B816" si="996">B815</f>
        <v>SPS1</v>
      </c>
      <c r="C816" s="5" t="str">
        <f t="shared" si="995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0.74853385793953964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0.94974028395011023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2.4021102101288774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3.9949526799296553</v>
      </c>
      <c r="J816" s="1" cm="1">
        <f t="array" ref="J816">SUMPRODUCT(([1]OUT_FinalEnergyCons!$B$4:$B$10000="Var_FOut")*1, ([1]OUT_FinalEnergyCons!$C$4:$C$10000="ITOT-SWHAelch")*1, (ISNUMBER(SEARCH("ITOT-SWHELCHP",[1]OUT_FinalEnergyCons!$A$4:$A$10000)))*1,[1]OUT_FinalEnergyCons!H$4:H$10000)-J766</f>
        <v>5.6590212366924746</v>
      </c>
      <c r="K816" s="1" cm="1">
        <f t="array" ref="K816">SUMPRODUCT(([1]OUT_FinalEnergyCons!$B$4:$B$10000="Var_FOut")*1, ([1]OUT_FinalEnergyCons!$C$4:$C$10000="ITOT-SWHAelch")*1, (ISNUMBER(SEARCH("ITOT-SWHELCHP",[1]OUT_FinalEnergyCons!$A$4:$A$10000)))*1,[1]OUT_FinalEnergyCons!I$4:I$10000)-K766</f>
        <v>6.1826410428234926</v>
      </c>
      <c r="L816" s="1" cm="1">
        <f t="array" ref="L816">SUMPRODUCT(([1]OUT_FinalEnergyCons!$B$4:$B$10000="Var_FOut")*1, ([1]OUT_FinalEnergyCons!$C$4:$C$10000="ITOT-SWHAelch")*1, (ISNUMBER(SEARCH("ITOT-SWHELCHP",[1]OUT_FinalEnergyCons!$A$4:$A$10000)))*1,[1]OUT_FinalEnergyCons!J$4:J$10000)-L766</f>
        <v>6.230915609641194</v>
      </c>
      <c r="M816" s="1" cm="1">
        <f t="array" ref="M816">SUMPRODUCT(([1]OUT_FinalEnergyCons!$B$4:$B$10000="Var_FOut")*1, ([1]OUT_FinalEnergyCons!$C$4:$C$10000="ITOT-SWHAelch")*1, (ISNUMBER(SEARCH("ITOT-SWHELCHP",[1]OUT_FinalEnergyCons!$A$4:$A$10000)))*1,[1]OUT_FinalEnergyCons!K$4:K$10000)-M766</f>
        <v>6.2774443619964995</v>
      </c>
      <c r="N816" s="1" cm="1">
        <f t="array" ref="N816">SUMPRODUCT(([1]OUT_FinalEnergyCons!$B$4:$B$10000="Var_FOut")*1, ([1]OUT_FinalEnergyCons!$C$4:$C$10000="ITOT-SWHAelch")*1, (ISNUMBER(SEARCH("ITOT-SWHELCHP",[1]OUT_FinalEnergyCons!$A$4:$A$10000)))*1,[1]OUT_FinalEnergyCons!L$4:L$10000)-N766</f>
        <v>6.2777250830063203</v>
      </c>
      <c r="O816" s="1" cm="1">
        <f t="array" ref="O816">SUMPRODUCT(([1]OUT_FinalEnergyCons!$B$4:$B$10000="Var_FOut")*1, ([1]OUT_FinalEnergyCons!$C$4:$C$10000="ITOT-SWHAelch")*1, (ISNUMBER(SEARCH("ITOT-SWHELCHP",[1]OUT_FinalEnergyCons!$A$4:$A$10000)))*1,[1]OUT_FinalEnergyCons!M$4:M$10000)-O766</f>
        <v>7.0754397093519241</v>
      </c>
      <c r="P816" s="1" cm="1">
        <f t="array" ref="P816">SUMPRODUCT(([1]OUT_FinalEnergyCons!$B$4:$B$10000="Var_FOut")*1, ([1]OUT_FinalEnergyCons!$C$4:$C$10000="ITOT-SWHAelch")*1, (ISNUMBER(SEARCH("ITOT-SWHELCHP",[1]OUT_FinalEnergyCons!$A$4:$A$10000)))*1,[1]OUT_FinalEnergyCons!N$4:N$10000)-P766</f>
        <v>7.0755030929486278</v>
      </c>
      <c r="Q816" s="1" cm="1">
        <f t="array" ref="Q816">SUMPRODUCT(([1]OUT_FinalEnergyCons!$B$4:$B$10000="Var_FOut")*1, ([1]OUT_FinalEnergyCons!$C$4:$C$10000="ITOT-SWHAelch")*1, (ISNUMBER(SEARCH("ITOT-SWHELCHP",[1]OUT_FinalEnergyCons!$A$4:$A$10000)))*1,[1]OUT_FinalEnergyCons!O$4:O$10000)-Q766</f>
        <v>7.0771781720165139</v>
      </c>
      <c r="S816" s="3"/>
    </row>
    <row r="817" spans="2:19" x14ac:dyDescent="0.5">
      <c r="B817" s="5" t="str">
        <f t="shared" ref="B817:B818" si="997">B816</f>
        <v>SPS1</v>
      </c>
      <c r="C817" s="5" t="str">
        <f t="shared" ref="C817:C825" si="998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99">G815-G816</f>
        <v>0</v>
      </c>
      <c r="H817" s="1">
        <f t="shared" si="999"/>
        <v>3.7167070360546006E-2</v>
      </c>
      <c r="I817" s="1">
        <f t="shared" si="999"/>
        <v>8.2748325927115118E-2</v>
      </c>
      <c r="J817" s="1">
        <f t="shared" si="999"/>
        <v>0.10399223656523215</v>
      </c>
      <c r="K817" s="1">
        <f t="shared" si="999"/>
        <v>0.11944976853437073</v>
      </c>
      <c r="L817" s="1">
        <f t="shared" ref="L817:O817" si="1000">L815-L816</f>
        <v>0.12425774478158313</v>
      </c>
      <c r="M817" s="1">
        <f t="shared" si="1000"/>
        <v>0.12638308648912666</v>
      </c>
      <c r="N817" s="1">
        <f t="shared" si="1000"/>
        <v>0.1262984381135146</v>
      </c>
      <c r="O817" s="1">
        <f t="shared" si="1000"/>
        <v>1.6878224802356563</v>
      </c>
      <c r="P817" s="1">
        <f>P815-P816</f>
        <v>1.6877728049218899</v>
      </c>
      <c r="Q817" s="1">
        <f>Q815-Q816</f>
        <v>1.6865885748260263</v>
      </c>
      <c r="S817" s="3"/>
    </row>
    <row r="818" spans="2:19" x14ac:dyDescent="0.5">
      <c r="B818" s="9" t="str">
        <f t="shared" si="997"/>
        <v>SPS1</v>
      </c>
      <c r="C818" s="9" t="str">
        <f t="shared" si="998"/>
        <v>CH</v>
      </c>
      <c r="D818" s="2" t="s">
        <v>684</v>
      </c>
      <c r="E818" s="9" t="s">
        <v>8</v>
      </c>
      <c r="F818" s="17">
        <f>[1]Industry!B$71</f>
        <v>72.708461258281019</v>
      </c>
      <c r="G818" s="17">
        <f>[1]Industry!C$71</f>
        <v>74.352971525748757</v>
      </c>
      <c r="H818" s="17">
        <f>[1]Industry!D$71</f>
        <v>76.167406928408909</v>
      </c>
      <c r="I818" s="17">
        <f>[1]Industry!E$71</f>
        <v>77.049920844726017</v>
      </c>
      <c r="J818" s="17">
        <f>[1]Industry!F$71</f>
        <v>77.583319199267336</v>
      </c>
      <c r="K818" s="17">
        <f>[1]Industry!G$71</f>
        <v>77.747967929543947</v>
      </c>
      <c r="L818" s="17">
        <f>[1]Industry!H$71</f>
        <v>77.800228385384415</v>
      </c>
      <c r="M818" s="17">
        <f>[1]Industry!I$71</f>
        <v>77.908263940846211</v>
      </c>
      <c r="N818" s="17">
        <f>[1]Industry!J$71</f>
        <v>77.258175683387691</v>
      </c>
      <c r="O818" s="17">
        <f>[1]Industry!K$71</f>
        <v>79.199375537244435</v>
      </c>
      <c r="P818" s="17">
        <f>[1]Industry!L$71</f>
        <v>76.479897141398752</v>
      </c>
      <c r="Q818" s="17">
        <f>[1]Industry!M$71</f>
        <v>75.865756415601794</v>
      </c>
      <c r="S818" s="3"/>
    </row>
    <row r="819" spans="2:19" x14ac:dyDescent="0.5">
      <c r="B819" s="5" t="str">
        <f>B818</f>
        <v>SPS1</v>
      </c>
      <c r="C819" s="5" t="str">
        <f t="shared" si="998"/>
        <v>CH</v>
      </c>
      <c r="D819" t="s">
        <v>2031</v>
      </c>
      <c r="E819" t="s">
        <v>8</v>
      </c>
      <c r="F819" s="18">
        <f>SUM(F820:F822)</f>
        <v>58.985552926768115</v>
      </c>
      <c r="G819" s="18">
        <f t="shared" ref="G819:K819" si="1001">SUM(G820:G822)</f>
        <v>61.602264391010984</v>
      </c>
      <c r="H819" s="18">
        <f t="shared" si="1001"/>
        <v>65.374801181888358</v>
      </c>
      <c r="I819" s="18">
        <f t="shared" si="1001"/>
        <v>69.375644805847628</v>
      </c>
      <c r="J819" s="18">
        <f t="shared" si="1001"/>
        <v>72.97421881156211</v>
      </c>
      <c r="K819" s="18">
        <f t="shared" si="1001"/>
        <v>74.436236029249613</v>
      </c>
      <c r="L819" s="18">
        <f t="shared" ref="L819:O819" si="1002">SUM(L820:L822)</f>
        <v>75.346730946473414</v>
      </c>
      <c r="M819" s="18">
        <f t="shared" si="1002"/>
        <v>76.257534731970452</v>
      </c>
      <c r="N819" s="18">
        <f t="shared" si="1002"/>
        <v>76.952703747488798</v>
      </c>
      <c r="O819" s="18">
        <f t="shared" si="1002"/>
        <v>79.838660204844047</v>
      </c>
      <c r="P819" s="18">
        <f>SUM(P820:P822)</f>
        <v>78.366044587340156</v>
      </c>
      <c r="Q819" s="18">
        <f>SUM(Q820:Q822)</f>
        <v>78.485838287218911</v>
      </c>
      <c r="S819" s="3"/>
    </row>
    <row r="820" spans="2:19" x14ac:dyDescent="0.5">
      <c r="B820" s="5" t="str">
        <f t="shared" ref="B820:B825" si="1003">B819</f>
        <v>SPS1</v>
      </c>
      <c r="C820" s="5" t="str">
        <f t="shared" si="998"/>
        <v>CH</v>
      </c>
      <c r="D820" t="s">
        <v>2032</v>
      </c>
      <c r="E820" t="s">
        <v>8</v>
      </c>
      <c r="F820" s="1">
        <f>[1]Industry!B$55</f>
        <v>9.8139188763240437</v>
      </c>
      <c r="G820" s="1">
        <f>[1]Industry!C$55</f>
        <v>10.335085644226197</v>
      </c>
      <c r="H820" s="1">
        <f>[1]Industry!D$55</f>
        <v>10.335329075145419</v>
      </c>
      <c r="I820" s="1">
        <f>[1]Industry!E$55</f>
        <v>10.582203951236183</v>
      </c>
      <c r="J820" s="1">
        <f>[1]Industry!F$55</f>
        <v>10.865027723224022</v>
      </c>
      <c r="K820" s="1">
        <f>[1]Industry!G$55</f>
        <v>11.101079591317156</v>
      </c>
      <c r="L820" s="1">
        <f>[1]Industry!H$55</f>
        <v>11.319361018206957</v>
      </c>
      <c r="M820" s="1">
        <f>[1]Industry!I$55</f>
        <v>11.538040064225129</v>
      </c>
      <c r="N820" s="1">
        <f>[1]Industry!J$55</f>
        <v>11.538062491885348</v>
      </c>
      <c r="O820" s="1">
        <f>[1]Industry!K$55</f>
        <v>11.736554695849161</v>
      </c>
      <c r="P820" s="1">
        <f>[1]Industry!L$55</f>
        <v>11.736564557016958</v>
      </c>
      <c r="Q820" s="1">
        <f>[1]Industry!M$55</f>
        <v>11.736692556145373</v>
      </c>
      <c r="S820" s="3"/>
    </row>
    <row r="821" spans="2:19" x14ac:dyDescent="0.5">
      <c r="B821" s="5" t="str">
        <f t="shared" si="1003"/>
        <v>SPS1</v>
      </c>
      <c r="C821" s="5" t="str">
        <f t="shared" si="998"/>
        <v>CH</v>
      </c>
      <c r="D821" t="s">
        <v>2033</v>
      </c>
      <c r="E821" t="s">
        <v>8</v>
      </c>
      <c r="F821" s="1">
        <f>[1]Industry!B$56</f>
        <v>1.1082363982730716</v>
      </c>
      <c r="G821" s="1">
        <f>[1]Industry!C$56</f>
        <v>1.4008081438866475</v>
      </c>
      <c r="H821" s="1">
        <f>[1]Industry!D$56</f>
        <v>3.5233480800290642</v>
      </c>
      <c r="I821" s="1">
        <f>[1]Industry!E$56</f>
        <v>5.8077365630936733</v>
      </c>
      <c r="J821" s="1">
        <f>[1]Industry!F$56</f>
        <v>8.157308994165998</v>
      </c>
      <c r="K821" s="1">
        <f>[1]Industry!G$56</f>
        <v>8.840066292641982</v>
      </c>
      <c r="L821" s="1">
        <f>[1]Industry!H$56</f>
        <v>8.840235351279885</v>
      </c>
      <c r="M821" s="1">
        <f>[1]Industry!I$56</f>
        <v>8.8403573763578986</v>
      </c>
      <c r="N821" s="1">
        <f>[1]Industry!J$56</f>
        <v>8.8407527082647626</v>
      </c>
      <c r="O821" s="1">
        <f>[1]Industry!K$56</f>
        <v>9.9641529288921369</v>
      </c>
      <c r="P821" s="1">
        <f>[1]Industry!L$56</f>
        <v>9.9642421903199363</v>
      </c>
      <c r="Q821" s="1">
        <f>[1]Industry!M$56</f>
        <v>9.9666011594704056</v>
      </c>
      <c r="S821" s="3"/>
    </row>
    <row r="822" spans="2:19" x14ac:dyDescent="0.5">
      <c r="B822" s="5" t="str">
        <f t="shared" si="1003"/>
        <v>SPS1</v>
      </c>
      <c r="C822" s="5" t="str">
        <f t="shared" si="998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49.866370602898137</v>
      </c>
      <c r="H822" s="1">
        <f>[1]Industry!D$3-([1]Industry!D$6-[1]Industry!D$70)</f>
        <v>51.516124026713868</v>
      </c>
      <c r="I822" s="1">
        <f>[1]Industry!E$3-([1]Industry!E$6-[1]Industry!E$70)</f>
        <v>52.985704291517763</v>
      </c>
      <c r="J822" s="1">
        <f>[1]Industry!F$3-([1]Industry!F$6-[1]Industry!F$70)</f>
        <v>53.951882094172085</v>
      </c>
      <c r="K822" s="1">
        <f>[1]Industry!G$3-([1]Industry!G$6-[1]Industry!G$70)</f>
        <v>54.495090145290476</v>
      </c>
      <c r="L822" s="1">
        <f>[1]Industry!H$3-([1]Industry!H$6-[1]Industry!H$70)</f>
        <v>55.187134576986573</v>
      </c>
      <c r="M822" s="1">
        <f>[1]Industry!I$3-([1]Industry!I$6-[1]Industry!I$70)</f>
        <v>55.879137291387416</v>
      </c>
      <c r="N822" s="1">
        <f>[1]Industry!J$3-([1]Industry!J$6-[1]Industry!J$70)</f>
        <v>56.57388854733869</v>
      </c>
      <c r="O822" s="1">
        <f>[1]Industry!K$3-([1]Industry!K$6-[1]Industry!K$70)</f>
        <v>58.137952580102741</v>
      </c>
      <c r="P822" s="1">
        <f>[1]Industry!L$3-([1]Industry!L$6-[1]Industry!L$70)</f>
        <v>56.665237840003265</v>
      </c>
      <c r="Q822" s="1">
        <f>[1]Industry!M$3-([1]Industry!M$6-[1]Industry!M$70)</f>
        <v>56.782544571603125</v>
      </c>
      <c r="S822" s="3"/>
    </row>
    <row r="823" spans="2:19" x14ac:dyDescent="0.5">
      <c r="B823" s="5" t="str">
        <f t="shared" si="1003"/>
        <v>SPS1</v>
      </c>
      <c r="C823" s="5" t="str">
        <f t="shared" si="998"/>
        <v>CH</v>
      </c>
      <c r="D823" t="s">
        <v>2035</v>
      </c>
      <c r="E823" t="s">
        <v>8</v>
      </c>
      <c r="F823" s="1">
        <f>SUM(F824:F825)</f>
        <v>8.763538341581274</v>
      </c>
      <c r="G823" s="1">
        <f t="shared" ref="G823:K823" si="1004">SUM(G824:G825)</f>
        <v>7.8368459921335827</v>
      </c>
      <c r="H823" s="1">
        <f t="shared" si="1004"/>
        <v>6.2519050661480664</v>
      </c>
      <c r="I823" s="1">
        <f t="shared" si="1004"/>
        <v>5.099723244271444</v>
      </c>
      <c r="J823" s="1">
        <f t="shared" si="1004"/>
        <v>3.902358580483452</v>
      </c>
      <c r="K823" s="1">
        <f t="shared" si="1004"/>
        <v>2.6770100403509747</v>
      </c>
      <c r="L823" s="1">
        <f t="shared" ref="L823:O823" si="1005">SUM(L824:L825)</f>
        <v>1.4430026316503122</v>
      </c>
      <c r="M823" s="1">
        <f t="shared" si="1005"/>
        <v>0.20692537410071793</v>
      </c>
      <c r="N823" s="1">
        <f t="shared" si="1005"/>
        <v>0.20680724327592886</v>
      </c>
      <c r="O823" s="1">
        <f t="shared" si="1005"/>
        <v>0.20677431891925452</v>
      </c>
      <c r="P823" s="1">
        <f>SUM(P824:P825)</f>
        <v>0.19924703726853876</v>
      </c>
      <c r="Q823" s="1">
        <f>SUM(Q824:Q825)</f>
        <v>0.19754458465599486</v>
      </c>
      <c r="S823" s="3"/>
    </row>
    <row r="824" spans="2:19" x14ac:dyDescent="0.5">
      <c r="B824" s="5" t="str">
        <f t="shared" si="1003"/>
        <v>SPS1</v>
      </c>
      <c r="C824" s="5" t="str">
        <f t="shared" si="998"/>
        <v>CH</v>
      </c>
      <c r="D824" t="s">
        <v>2036</v>
      </c>
      <c r="E824" t="s">
        <v>8</v>
      </c>
      <c r="F824" s="1">
        <f>[1]Industry!B$57</f>
        <v>6.9177143033654129</v>
      </c>
      <c r="G824" s="1">
        <f>[1]Industry!C$57</f>
        <v>6.3116803853627035</v>
      </c>
      <c r="H824" s="1">
        <f>[1]Industry!D$57</f>
        <v>6.245993435090214</v>
      </c>
      <c r="I824" s="1">
        <f>[1]Industry!E$57</f>
        <v>5.0979683693596245</v>
      </c>
      <c r="J824" s="1">
        <f>[1]Industry!F$57</f>
        <v>3.8997309376318068</v>
      </c>
      <c r="K824" s="1">
        <f>[1]Industry!G$57</f>
        <v>2.6745204562159097</v>
      </c>
      <c r="L824" s="1">
        <f>[1]Industry!H$57</f>
        <v>1.4398683298106232</v>
      </c>
      <c r="M824" s="1">
        <f>[1]Industry!I$57</f>
        <v>0.20692537410071793</v>
      </c>
      <c r="N824" s="1">
        <f>[1]Industry!J$57</f>
        <v>0.20680724327592886</v>
      </c>
      <c r="O824" s="1">
        <f>[1]Industry!K$57</f>
        <v>0.20677431891925452</v>
      </c>
      <c r="P824" s="1">
        <f>[1]Industry!L$57</f>
        <v>0.19924703726853876</v>
      </c>
      <c r="Q824" s="1">
        <f>[1]Industry!M$57</f>
        <v>0.19754458465599486</v>
      </c>
      <c r="S824" s="3"/>
    </row>
    <row r="825" spans="2:19" x14ac:dyDescent="0.5">
      <c r="B825" s="5" t="str">
        <f t="shared" si="1003"/>
        <v>SPS1</v>
      </c>
      <c r="C825" s="5" t="str">
        <f t="shared" si="998"/>
        <v>CH</v>
      </c>
      <c r="D825" t="s">
        <v>2037</v>
      </c>
      <c r="E825" t="s">
        <v>8</v>
      </c>
      <c r="F825" s="1">
        <f>[1]Industry!B$58</f>
        <v>1.8458240382158615</v>
      </c>
      <c r="G825" s="1">
        <f>[1]Industry!C$58</f>
        <v>1.5251656067708788</v>
      </c>
      <c r="H825" s="1">
        <f>[1]Industry!D$58</f>
        <v>5.9116310578524664E-3</v>
      </c>
      <c r="I825" s="1">
        <f>[1]Industry!E$58</f>
        <v>1.7548749118191324E-3</v>
      </c>
      <c r="J825" s="1">
        <f>[1]Industry!F$58</f>
        <v>2.6276428516454021E-3</v>
      </c>
      <c r="K825" s="1">
        <f>[1]Industry!G$58</f>
        <v>2.4895841350647961E-3</v>
      </c>
      <c r="L825" s="1">
        <f>[1]Industry!H$58</f>
        <v>3.1343018396889463E-3</v>
      </c>
      <c r="M825" s="1">
        <f>[1]Industry!I$58</f>
        <v>0</v>
      </c>
      <c r="N825" s="1">
        <f>[1]Industry!J$58</f>
        <v>0</v>
      </c>
      <c r="O825" s="1">
        <f>[1]Industry!K$58</f>
        <v>0</v>
      </c>
      <c r="P825" s="1">
        <f>[1]Industry!L$58</f>
        <v>0</v>
      </c>
      <c r="Q825" s="1">
        <f>[1]Industry!M$58</f>
        <v>0</v>
      </c>
      <c r="S825" s="3"/>
    </row>
    <row r="826" spans="2:19" x14ac:dyDescent="0.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28.930294592405335</v>
      </c>
      <c r="G826" s="1">
        <f t="shared" ref="G826:K826" si="1006">SUM(G827:G829)</f>
        <v>24.63029884164877</v>
      </c>
      <c r="H826" s="1">
        <f t="shared" si="1006"/>
        <v>27.864305375140979</v>
      </c>
      <c r="I826" s="1">
        <f t="shared" si="1006"/>
        <v>25.155598183856704</v>
      </c>
      <c r="J826" s="1">
        <f t="shared" si="1006"/>
        <v>24.140264239618691</v>
      </c>
      <c r="K826" s="1">
        <f t="shared" si="1006"/>
        <v>24.361727233032084</v>
      </c>
      <c r="L826" s="1">
        <f t="shared" ref="L826:O826" si="1007">SUM(L827:L829)</f>
        <v>21.214267100463196</v>
      </c>
      <c r="M826" s="1">
        <f t="shared" si="1007"/>
        <v>19.674706042050996</v>
      </c>
      <c r="N826" s="1">
        <f t="shared" si="1007"/>
        <v>18.81304335446697</v>
      </c>
      <c r="O826" s="1">
        <f t="shared" si="1007"/>
        <v>18.980625573832413</v>
      </c>
      <c r="P826" s="1">
        <f>SUM(P827:P829)</f>
        <v>17.833891942066437</v>
      </c>
      <c r="Q826" s="1">
        <f>SUM(Q827:Q829)</f>
        <v>16.625073244445154</v>
      </c>
      <c r="S826" s="3"/>
    </row>
    <row r="827" spans="2:19" x14ac:dyDescent="0.5">
      <c r="B827" s="5" t="str">
        <f t="shared" ref="B827:B856" si="1008">B826</f>
        <v>SPS1</v>
      </c>
      <c r="C827" s="5" t="str">
        <f t="shared" ref="C827:C856" si="1009">C826</f>
        <v>CH</v>
      </c>
      <c r="D827" t="s">
        <v>2039</v>
      </c>
      <c r="E827" t="s">
        <v>8</v>
      </c>
      <c r="F827" s="1">
        <f>[1]Industry!B$59</f>
        <v>28.619777779756735</v>
      </c>
      <c r="G827" s="1">
        <f>[1]Industry!C$59</f>
        <v>24.237779334933755</v>
      </c>
      <c r="H827" s="1">
        <f>[1]Industry!D$59</f>
        <v>27.11457216520742</v>
      </c>
      <c r="I827" s="1">
        <f>[1]Industry!E$59</f>
        <v>23.409466923510994</v>
      </c>
      <c r="J827" s="1">
        <f>[1]Industry!F$59</f>
        <v>21.297220532998921</v>
      </c>
      <c r="K827" s="1">
        <f>[1]Industry!G$59</f>
        <v>20.041029420569835</v>
      </c>
      <c r="L827" s="1">
        <f>[1]Industry!H$59</f>
        <v>16.835184059773631</v>
      </c>
      <c r="M827" s="1">
        <f>[1]Industry!I$59</f>
        <v>15.269244660764345</v>
      </c>
      <c r="N827" s="1">
        <f>[1]Industry!J$59</f>
        <v>14.361303719270456</v>
      </c>
      <c r="O827" s="1">
        <f>[1]Industry!K$59</f>
        <v>11.293281737259171</v>
      </c>
      <c r="P827" s="1">
        <f>[1]Industry!L$59</f>
        <v>10.146525693849979</v>
      </c>
      <c r="Q827" s="1">
        <f>[1]Industry!M$59</f>
        <v>8.9312514318215168</v>
      </c>
      <c r="S827" s="3"/>
    </row>
    <row r="828" spans="2:19" x14ac:dyDescent="0.5">
      <c r="B828" s="5" t="str">
        <f t="shared" si="1008"/>
        <v>SPS1</v>
      </c>
      <c r="C828" s="5" t="str">
        <f t="shared" si="1009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7.9143646751326319E-2</v>
      </c>
      <c r="I828" s="1">
        <f>[1]Industry!E$60</f>
        <v>0.17247175141678481</v>
      </c>
      <c r="J828" s="1">
        <f>[1]Industry!F$60</f>
        <v>0.21241959246747905</v>
      </c>
      <c r="K828" s="1">
        <f>[1]Industry!G$60</f>
        <v>0.23938745794770061</v>
      </c>
      <c r="L828" s="1">
        <f>[1]Industry!H$60</f>
        <v>0.24457301992107142</v>
      </c>
      <c r="M828" s="1">
        <f>[1]Industry!I$60</f>
        <v>0.24454187625402868</v>
      </c>
      <c r="N828" s="1">
        <f>[1]Industry!J$60</f>
        <v>0.24437808794050636</v>
      </c>
      <c r="O828" s="1">
        <f>[1]Industry!K$60</f>
        <v>3.2658110160655682</v>
      </c>
      <c r="P828" s="1">
        <f>[1]Industry!L$60</f>
        <v>3.2657148980265971</v>
      </c>
      <c r="Q828" s="1">
        <f>[1]Industry!M$60</f>
        <v>3.2634235008341062</v>
      </c>
      <c r="S828" s="3"/>
    </row>
    <row r="829" spans="2:19" x14ac:dyDescent="0.5">
      <c r="B829" s="5" t="str">
        <f t="shared" si="1008"/>
        <v>SPS1</v>
      </c>
      <c r="C829" s="5" t="str">
        <f t="shared" si="1009"/>
        <v>CH</v>
      </c>
      <c r="D829" t="s">
        <v>2041</v>
      </c>
      <c r="E829" t="s">
        <v>8</v>
      </c>
      <c r="F829" s="1">
        <f>[1]Industry!B$68</f>
        <v>0.31051681264859937</v>
      </c>
      <c r="G829" s="1">
        <f>[1]Industry!C$68</f>
        <v>0.39251950671501346</v>
      </c>
      <c r="H829" s="1">
        <f>[1]Industry!D$68</f>
        <v>0.67058956318223317</v>
      </c>
      <c r="I829" s="1">
        <f>[1]Industry!E$68</f>
        <v>1.5736595089289216</v>
      </c>
      <c r="J829" s="1">
        <f>[1]Industry!F$68</f>
        <v>2.6306241141522912</v>
      </c>
      <c r="K829" s="1">
        <f>[1]Industry!G$68</f>
        <v>4.0813103545145513</v>
      </c>
      <c r="L829" s="1">
        <f>[1]Industry!H$68</f>
        <v>4.1345100207684951</v>
      </c>
      <c r="M829" s="1">
        <f>[1]Industry!I$68</f>
        <v>4.1609195050326226</v>
      </c>
      <c r="N829" s="1">
        <f>[1]Industry!J$68</f>
        <v>4.20736154725601</v>
      </c>
      <c r="O829" s="1">
        <f>[1]Industry!K$68</f>
        <v>4.4215328205076734</v>
      </c>
      <c r="P829" s="1">
        <f>[1]Industry!L$68</f>
        <v>4.42165135018986</v>
      </c>
      <c r="Q829" s="1">
        <f>[1]Industry!M$68</f>
        <v>4.4303983117895296</v>
      </c>
      <c r="S829" s="3"/>
    </row>
    <row r="830" spans="2:19" x14ac:dyDescent="0.5">
      <c r="B830" s="5" t="str">
        <f t="shared" si="1008"/>
        <v>SPS1</v>
      </c>
      <c r="C830" s="5" t="str">
        <f t="shared" si="1009"/>
        <v>CH</v>
      </c>
      <c r="D830" t="s">
        <v>2042</v>
      </c>
      <c r="E830" t="s">
        <v>8</v>
      </c>
      <c r="F830" s="1">
        <f>F831</f>
        <v>2.3674031032596359</v>
      </c>
      <c r="G830" s="1">
        <f t="shared" ref="G830:O830" si="1010">G831</f>
        <v>2.3075014766794775</v>
      </c>
      <c r="H830" s="1">
        <f t="shared" si="1010"/>
        <v>2.1585414127855018</v>
      </c>
      <c r="I830" s="1">
        <f t="shared" si="1010"/>
        <v>2.4124878896336264E-3</v>
      </c>
      <c r="J830" s="1">
        <f t="shared" si="1010"/>
        <v>2.6253308600335725E-3</v>
      </c>
      <c r="K830" s="1">
        <f t="shared" si="1010"/>
        <v>2.4641775716042402E-3</v>
      </c>
      <c r="L830" s="1">
        <f t="shared" si="1010"/>
        <v>3.7989218764152379E-3</v>
      </c>
      <c r="M830" s="1">
        <f t="shared" si="1010"/>
        <v>8.2079035829508134E-3</v>
      </c>
      <c r="N830" s="1">
        <f t="shared" si="1010"/>
        <v>5.134741633231351E-3</v>
      </c>
      <c r="O830" s="1">
        <f t="shared" si="1010"/>
        <v>7.7502358740706564E-3</v>
      </c>
      <c r="P830" s="1">
        <f>P831</f>
        <v>4.4051543280844057E-3</v>
      </c>
      <c r="Q830" s="1">
        <f>Q831</f>
        <v>8.1763983658265371E-3</v>
      </c>
      <c r="S830" s="3"/>
    </row>
    <row r="831" spans="2:19" x14ac:dyDescent="0.5">
      <c r="B831" s="5" t="str">
        <f t="shared" si="1008"/>
        <v>SPS1</v>
      </c>
      <c r="C831" s="5" t="str">
        <f t="shared" si="1009"/>
        <v>CH</v>
      </c>
      <c r="D831" t="s">
        <v>2043</v>
      </c>
      <c r="E831" t="s">
        <v>8</v>
      </c>
      <c r="F831" s="1">
        <f>[1]Industry!B$61</f>
        <v>2.3674031032596359</v>
      </c>
      <c r="G831" s="1">
        <f>[1]Industry!C$61</f>
        <v>2.3075014766794775</v>
      </c>
      <c r="H831" s="1">
        <f>[1]Industry!D$61</f>
        <v>2.1585414127855018</v>
      </c>
      <c r="I831" s="1">
        <f>[1]Industry!E$61</f>
        <v>2.4124878896336264E-3</v>
      </c>
      <c r="J831" s="1">
        <f>[1]Industry!F$61</f>
        <v>2.6253308600335725E-3</v>
      </c>
      <c r="K831" s="1">
        <f>[1]Industry!G$61</f>
        <v>2.4641775716042402E-3</v>
      </c>
      <c r="L831" s="1">
        <f>[1]Industry!H$61</f>
        <v>3.7989218764152379E-3</v>
      </c>
      <c r="M831" s="1">
        <f>[1]Industry!I$61</f>
        <v>8.2079035829508134E-3</v>
      </c>
      <c r="N831" s="1">
        <f>[1]Industry!J$61</f>
        <v>5.134741633231351E-3</v>
      </c>
      <c r="O831" s="1">
        <f>[1]Industry!K$61</f>
        <v>7.7502358740706564E-3</v>
      </c>
      <c r="P831" s="1">
        <f>[1]Industry!L$61</f>
        <v>4.4051543280844057E-3</v>
      </c>
      <c r="Q831" s="1">
        <f>[1]Industry!M$61</f>
        <v>8.1763983658265371E-3</v>
      </c>
      <c r="S831" s="3"/>
    </row>
    <row r="832" spans="2:19" x14ac:dyDescent="0.5">
      <c r="B832" s="5" t="str">
        <f t="shared" si="1008"/>
        <v>SPS1</v>
      </c>
      <c r="C832" s="5" t="str">
        <f t="shared" si="1009"/>
        <v>CH</v>
      </c>
      <c r="D832" t="s">
        <v>2044</v>
      </c>
      <c r="E832" t="s">
        <v>8</v>
      </c>
      <c r="F832" s="1">
        <f>F833+F843</f>
        <v>11.767371080972548</v>
      </c>
      <c r="G832" s="1">
        <f t="shared" ref="G832:K832" si="1011">G833+G843</f>
        <v>12.635429570339967</v>
      </c>
      <c r="H832" s="1">
        <f t="shared" si="1011"/>
        <v>12.568734078267855</v>
      </c>
      <c r="I832" s="1">
        <f t="shared" si="1011"/>
        <v>15.942539081655998</v>
      </c>
      <c r="J832" s="1">
        <f t="shared" si="1011"/>
        <v>15.518490334174698</v>
      </c>
      <c r="K832" s="1">
        <f t="shared" si="1011"/>
        <v>15.099481583176038</v>
      </c>
      <c r="L832" s="1">
        <f t="shared" ref="L832:O832" si="1012">L833+L843</f>
        <v>18.699603837283661</v>
      </c>
      <c r="M832" s="1">
        <f t="shared" si="1012"/>
        <v>20.708245018182929</v>
      </c>
      <c r="N832" s="1">
        <f t="shared" si="1012"/>
        <v>20.970585528899687</v>
      </c>
      <c r="O832" s="1">
        <f t="shared" si="1012"/>
        <v>21.135455012977566</v>
      </c>
      <c r="P832" s="1">
        <f>P833+P843</f>
        <v>20.847754254989198</v>
      </c>
      <c r="Q832" s="1">
        <f>Q833+Q843</f>
        <v>20.793031262369411</v>
      </c>
      <c r="S832" s="3"/>
    </row>
    <row r="833" spans="2:19" x14ac:dyDescent="0.5">
      <c r="B833" s="5" t="str">
        <f t="shared" si="1008"/>
        <v>SPS1</v>
      </c>
      <c r="C833" s="5" t="str">
        <f t="shared" si="1009"/>
        <v>CH</v>
      </c>
      <c r="D833" t="s">
        <v>2045</v>
      </c>
      <c r="E833" t="s">
        <v>8</v>
      </c>
      <c r="F833" s="1">
        <f>[1]Industry!B$62</f>
        <v>5.1850768558880045</v>
      </c>
      <c r="G833" s="1">
        <f>[1]Industry!C$62</f>
        <v>5.5675710466350843</v>
      </c>
      <c r="H833" s="1">
        <f>[1]Industry!D$62</f>
        <v>5.697476754991829</v>
      </c>
      <c r="I833" s="1">
        <f>[1]Industry!E$62</f>
        <v>8.6445052518026628</v>
      </c>
      <c r="J833" s="1">
        <f>[1]Industry!F$62</f>
        <v>8.5864197264767927</v>
      </c>
      <c r="K833" s="1">
        <f>[1]Industry!G$62</f>
        <v>8.2294213949103572</v>
      </c>
      <c r="L833" s="1">
        <f>[1]Industry!H$62</f>
        <v>10.287635920266153</v>
      </c>
      <c r="M833" s="1">
        <f>[1]Industry!I$62</f>
        <v>11.943005615712595</v>
      </c>
      <c r="N833" s="1">
        <f>[1]Industry!J$62</f>
        <v>12.282826634411878</v>
      </c>
      <c r="O833" s="1">
        <f>[1]Industry!K$62</f>
        <v>12.219405317383492</v>
      </c>
      <c r="P833" s="1">
        <f>[1]Industry!L$62</f>
        <v>12.2571042461981</v>
      </c>
      <c r="Q833" s="1">
        <f>[1]Industry!M$62</f>
        <v>12.277555910865946</v>
      </c>
      <c r="S833" s="3"/>
    </row>
    <row r="834" spans="2:19" x14ac:dyDescent="0.5">
      <c r="B834" s="5" t="str">
        <f t="shared" si="1008"/>
        <v>SPS1</v>
      </c>
      <c r="C834" s="5" t="str">
        <f t="shared" si="1009"/>
        <v>CH</v>
      </c>
      <c r="D834" t="s">
        <v>2046</v>
      </c>
      <c r="E834" t="s">
        <v>8</v>
      </c>
      <c r="F834" s="1">
        <f>IFERROR(F793/F$792,0)*F$833</f>
        <v>1.1191269019109624</v>
      </c>
      <c r="G834" s="1">
        <f t="shared" ref="G834:K834" si="1013">IFERROR(G793/G$792,0)*G$833</f>
        <v>1.9715407021112252</v>
      </c>
      <c r="H834" s="1">
        <f t="shared" si="1013"/>
        <v>2.976420697272061E-2</v>
      </c>
      <c r="I834" s="1">
        <f t="shared" si="1013"/>
        <v>1.2934335245366257</v>
      </c>
      <c r="J834" s="1">
        <f t="shared" si="1013"/>
        <v>0.76045203104773584</v>
      </c>
      <c r="K834" s="1">
        <f t="shared" si="1013"/>
        <v>4.4212872094160284E-2</v>
      </c>
      <c r="L834" s="1">
        <f t="shared" ref="L834:O834" si="1014">IFERROR(L793/L$792,0)*L$833</f>
        <v>5.087932546875177E-2</v>
      </c>
      <c r="M834" s="1">
        <f t="shared" si="1014"/>
        <v>6.0582367404141614E-2</v>
      </c>
      <c r="N834" s="1">
        <f t="shared" si="1014"/>
        <v>5.6996915430174169E-2</v>
      </c>
      <c r="O834" s="1">
        <f t="shared" si="1014"/>
        <v>5.8729926040237572E-2</v>
      </c>
      <c r="P834" s="1">
        <f t="shared" ref="P834:Q842" si="1015">IFERROR(P793/P$792,0)*P$833</f>
        <v>5.7791333207719946E-2</v>
      </c>
      <c r="Q834" s="1">
        <f t="shared" si="1015"/>
        <v>5.9585413096063425E-2</v>
      </c>
      <c r="S834" s="3"/>
    </row>
    <row r="835" spans="2:19" x14ac:dyDescent="0.5">
      <c r="B835" s="5" t="str">
        <f t="shared" si="1008"/>
        <v>SPS1</v>
      </c>
      <c r="C835" s="5" t="str">
        <f t="shared" si="1009"/>
        <v>CH</v>
      </c>
      <c r="D835" t="s">
        <v>2047</v>
      </c>
      <c r="E835" t="s">
        <v>8</v>
      </c>
      <c r="F835" s="1">
        <f t="shared" ref="F835:K842" si="1016">IFERROR(F794/F$792,0)*F$833</f>
        <v>0.94084427842221974</v>
      </c>
      <c r="G835" s="1">
        <f t="shared" si="1016"/>
        <v>9.8376272862787439E-2</v>
      </c>
      <c r="H835" s="1">
        <f t="shared" si="1016"/>
        <v>6.5153824997175869E-2</v>
      </c>
      <c r="I835" s="1">
        <f t="shared" si="1016"/>
        <v>0.81880563960798902</v>
      </c>
      <c r="J835" s="1">
        <f t="shared" si="1016"/>
        <v>0.85274785401902531</v>
      </c>
      <c r="K835" s="1">
        <f t="shared" si="1016"/>
        <v>0.18139354536577235</v>
      </c>
      <c r="L835" s="1">
        <f t="shared" ref="L835:O835" si="1017">IFERROR(L794/L$792,0)*L$833</f>
        <v>0.12711867179411659</v>
      </c>
      <c r="M835" s="1">
        <f t="shared" si="1017"/>
        <v>7.6771601709331658E-2</v>
      </c>
      <c r="N835" s="1">
        <f t="shared" si="1017"/>
        <v>4.6793938927914606E-2</v>
      </c>
      <c r="O835" s="1">
        <f t="shared" si="1017"/>
        <v>7.0499795283269218E-2</v>
      </c>
      <c r="P835" s="1">
        <f t="shared" si="1015"/>
        <v>0.11526041391782976</v>
      </c>
      <c r="Q835" s="1">
        <f t="shared" si="1015"/>
        <v>0.11820729333630878</v>
      </c>
      <c r="S835" s="3"/>
    </row>
    <row r="836" spans="2:19" x14ac:dyDescent="0.5">
      <c r="B836" s="5" t="str">
        <f t="shared" si="1008"/>
        <v>SPS1</v>
      </c>
      <c r="C836" s="5" t="str">
        <f t="shared" si="1009"/>
        <v>CH</v>
      </c>
      <c r="D836" t="s">
        <v>2048</v>
      </c>
      <c r="E836" t="s">
        <v>8</v>
      </c>
      <c r="F836" s="1">
        <f t="shared" si="1016"/>
        <v>0</v>
      </c>
      <c r="G836" s="1">
        <f t="shared" si="1016"/>
        <v>0</v>
      </c>
      <c r="H836" s="1">
        <f t="shared" si="1016"/>
        <v>0</v>
      </c>
      <c r="I836" s="1">
        <f t="shared" si="1016"/>
        <v>0</v>
      </c>
      <c r="J836" s="1">
        <f t="shared" si="1016"/>
        <v>0</v>
      </c>
      <c r="K836" s="1">
        <f t="shared" si="1016"/>
        <v>0</v>
      </c>
      <c r="L836" s="1">
        <f t="shared" ref="L836:O836" si="1018">IFERROR(L795/L$792,0)*L$833</f>
        <v>0</v>
      </c>
      <c r="M836" s="1">
        <f t="shared" si="1018"/>
        <v>0</v>
      </c>
      <c r="N836" s="1">
        <f t="shared" si="1018"/>
        <v>0</v>
      </c>
      <c r="O836" s="1">
        <f t="shared" si="1018"/>
        <v>0</v>
      </c>
      <c r="P836" s="1">
        <f t="shared" si="1015"/>
        <v>0</v>
      </c>
      <c r="Q836" s="1">
        <f t="shared" si="1015"/>
        <v>0</v>
      </c>
      <c r="S836" s="3"/>
    </row>
    <row r="837" spans="2:19" x14ac:dyDescent="0.5">
      <c r="B837" s="5" t="str">
        <f t="shared" si="1008"/>
        <v>SPS1</v>
      </c>
      <c r="C837" s="5" t="str">
        <f t="shared" si="1009"/>
        <v>CH</v>
      </c>
      <c r="D837" t="s">
        <v>2049</v>
      </c>
      <c r="E837" t="s">
        <v>8</v>
      </c>
      <c r="F837" s="1">
        <f t="shared" si="1016"/>
        <v>0</v>
      </c>
      <c r="G837" s="1">
        <f t="shared" si="1016"/>
        <v>0</v>
      </c>
      <c r="H837" s="1">
        <f t="shared" si="1016"/>
        <v>0</v>
      </c>
      <c r="I837" s="1">
        <f t="shared" si="1016"/>
        <v>1.9401774767411107E-3</v>
      </c>
      <c r="J837" s="1">
        <f t="shared" si="1016"/>
        <v>2.3011834268150092E-3</v>
      </c>
      <c r="K837" s="1">
        <f t="shared" si="1016"/>
        <v>3.7356387985712659E-3</v>
      </c>
      <c r="L837" s="1">
        <f t="shared" ref="L837:O837" si="1019">IFERROR(L796/L$792,0)*L$833</f>
        <v>6.2283020325439795E-3</v>
      </c>
      <c r="M837" s="1">
        <f t="shared" si="1019"/>
        <v>9.3521965283292329E-3</v>
      </c>
      <c r="N837" s="1">
        <f t="shared" si="1019"/>
        <v>8.2267761621599121E-3</v>
      </c>
      <c r="O837" s="1">
        <f t="shared" si="1019"/>
        <v>1.2002431399887428E-2</v>
      </c>
      <c r="P837" s="1">
        <f t="shared" si="1015"/>
        <v>1.2803817048941176E-2</v>
      </c>
      <c r="Q837" s="1">
        <f t="shared" si="1015"/>
        <v>2.1113793900471942E-2</v>
      </c>
      <c r="S837" s="3"/>
    </row>
    <row r="838" spans="2:19" x14ac:dyDescent="0.5">
      <c r="B838" s="5" t="str">
        <f t="shared" si="1008"/>
        <v>SPS1</v>
      </c>
      <c r="C838" s="5" t="str">
        <f t="shared" si="1009"/>
        <v>CH</v>
      </c>
      <c r="D838" t="s">
        <v>2050</v>
      </c>
      <c r="E838" t="s">
        <v>8</v>
      </c>
      <c r="F838" s="1">
        <f t="shared" si="1016"/>
        <v>2.329839770040754</v>
      </c>
      <c r="G838" s="1">
        <f t="shared" si="1016"/>
        <v>1.7695655941955941</v>
      </c>
      <c r="H838" s="1">
        <f t="shared" si="1016"/>
        <v>2.3851068966633813</v>
      </c>
      <c r="I838" s="1">
        <f t="shared" si="1016"/>
        <v>2.2817966761616981</v>
      </c>
      <c r="J838" s="1">
        <f t="shared" si="1016"/>
        <v>1.8214222596977034</v>
      </c>
      <c r="K838" s="1">
        <f t="shared" si="1016"/>
        <v>1.5608393510115437</v>
      </c>
      <c r="L838" s="1">
        <f t="shared" ref="L838:O838" si="1020">IFERROR(L797/L$792,0)*L$833</f>
        <v>1.2999782584757111</v>
      </c>
      <c r="M838" s="1">
        <f t="shared" si="1020"/>
        <v>1.0416653986979549</v>
      </c>
      <c r="N838" s="1">
        <f t="shared" si="1020"/>
        <v>1.040971593437868</v>
      </c>
      <c r="O838" s="1">
        <f t="shared" si="1020"/>
        <v>1.0411378217873573</v>
      </c>
      <c r="P838" s="1">
        <f t="shared" si="1015"/>
        <v>1.0407484315322635</v>
      </c>
      <c r="Q838" s="1">
        <f t="shared" si="1015"/>
        <v>1.0413722971589829</v>
      </c>
      <c r="S838" s="3"/>
    </row>
    <row r="839" spans="2:19" x14ac:dyDescent="0.5">
      <c r="B839" s="5" t="str">
        <f t="shared" si="1008"/>
        <v>SPS1</v>
      </c>
      <c r="C839" s="5" t="str">
        <f t="shared" si="1009"/>
        <v>CH</v>
      </c>
      <c r="D839" t="s">
        <v>2051</v>
      </c>
      <c r="E839" t="s">
        <v>8</v>
      </c>
      <c r="F839" s="1">
        <f t="shared" si="1016"/>
        <v>0</v>
      </c>
      <c r="G839" s="1">
        <f t="shared" si="1016"/>
        <v>0</v>
      </c>
      <c r="H839" s="1">
        <f t="shared" si="1016"/>
        <v>0</v>
      </c>
      <c r="I839" s="1">
        <f t="shared" si="1016"/>
        <v>0</v>
      </c>
      <c r="J839" s="1">
        <f t="shared" si="1016"/>
        <v>0</v>
      </c>
      <c r="K839" s="1">
        <f t="shared" si="1016"/>
        <v>0</v>
      </c>
      <c r="L839" s="1">
        <f t="shared" ref="L839:O839" si="1021">IFERROR(L798/L$792,0)*L$833</f>
        <v>0</v>
      </c>
      <c r="M839" s="1">
        <f t="shared" si="1021"/>
        <v>0</v>
      </c>
      <c r="N839" s="1">
        <f t="shared" si="1021"/>
        <v>0</v>
      </c>
      <c r="O839" s="1">
        <f t="shared" si="1021"/>
        <v>0</v>
      </c>
      <c r="P839" s="1">
        <f t="shared" si="1015"/>
        <v>0</v>
      </c>
      <c r="Q839" s="1">
        <f t="shared" si="1015"/>
        <v>0</v>
      </c>
      <c r="S839" s="3"/>
    </row>
    <row r="840" spans="2:19" x14ac:dyDescent="0.5">
      <c r="B840" s="5" t="str">
        <f t="shared" si="1008"/>
        <v>SPS1</v>
      </c>
      <c r="C840" s="5" t="str">
        <f t="shared" si="1009"/>
        <v>CH</v>
      </c>
      <c r="D840" t="s">
        <v>2052</v>
      </c>
      <c r="E840" t="s">
        <v>8</v>
      </c>
      <c r="F840" s="1">
        <f t="shared" si="1016"/>
        <v>0.79526590551406873</v>
      </c>
      <c r="G840" s="1">
        <f t="shared" si="1016"/>
        <v>1.7280884774654768</v>
      </c>
      <c r="H840" s="1">
        <f t="shared" si="1016"/>
        <v>3.217451826358551</v>
      </c>
      <c r="I840" s="1">
        <f t="shared" si="1016"/>
        <v>4.2448367990382714</v>
      </c>
      <c r="J840" s="1">
        <f t="shared" si="1016"/>
        <v>5.1402553460872831</v>
      </c>
      <c r="K840" s="1">
        <f t="shared" si="1016"/>
        <v>6.425560789983761</v>
      </c>
      <c r="L840" s="1">
        <f t="shared" ref="L840:O840" si="1022">IFERROR(L799/L$792,0)*L$833</f>
        <v>8.7910915830517062</v>
      </c>
      <c r="M840" s="1">
        <f t="shared" si="1022"/>
        <v>10.725022400202278</v>
      </c>
      <c r="N840" s="1">
        <f t="shared" si="1022"/>
        <v>11.103245068240289</v>
      </c>
      <c r="O840" s="1">
        <f t="shared" si="1022"/>
        <v>10.966927433148914</v>
      </c>
      <c r="P840" s="1">
        <f t="shared" si="1015"/>
        <v>10.963045368006078</v>
      </c>
      <c r="Q840" s="1">
        <f t="shared" si="1015"/>
        <v>10.950630254725876</v>
      </c>
      <c r="S840" s="3"/>
    </row>
    <row r="841" spans="2:19" x14ac:dyDescent="0.5">
      <c r="B841" s="5" t="str">
        <f t="shared" si="1008"/>
        <v>SPS1</v>
      </c>
      <c r="C841" s="5" t="str">
        <f t="shared" si="1009"/>
        <v>CH</v>
      </c>
      <c r="D841" t="s">
        <v>2053</v>
      </c>
      <c r="E841" t="s">
        <v>8</v>
      </c>
      <c r="F841" s="1">
        <f t="shared" si="1016"/>
        <v>0</v>
      </c>
      <c r="G841" s="1">
        <f t="shared" si="1016"/>
        <v>0</v>
      </c>
      <c r="H841" s="1">
        <f t="shared" si="1016"/>
        <v>0</v>
      </c>
      <c r="I841" s="1">
        <f t="shared" si="1016"/>
        <v>0</v>
      </c>
      <c r="J841" s="1">
        <f t="shared" si="1016"/>
        <v>0</v>
      </c>
      <c r="K841" s="1">
        <f t="shared" si="1016"/>
        <v>0</v>
      </c>
      <c r="L841" s="1">
        <f t="shared" ref="L841:O841" si="1023">IFERROR(L800/L$792,0)*L$833</f>
        <v>0</v>
      </c>
      <c r="M841" s="1">
        <f t="shared" si="1023"/>
        <v>0</v>
      </c>
      <c r="N841" s="1">
        <f t="shared" si="1023"/>
        <v>0</v>
      </c>
      <c r="O841" s="1">
        <f t="shared" si="1023"/>
        <v>0</v>
      </c>
      <c r="P841" s="1">
        <f t="shared" si="1015"/>
        <v>0</v>
      </c>
      <c r="Q841" s="1">
        <f t="shared" si="1015"/>
        <v>0</v>
      </c>
      <c r="S841" s="3"/>
    </row>
    <row r="842" spans="2:19" x14ac:dyDescent="0.5">
      <c r="B842" s="5" t="str">
        <f t="shared" si="1008"/>
        <v>SPS1</v>
      </c>
      <c r="C842" s="5" t="str">
        <f t="shared" si="1009"/>
        <v>CH</v>
      </c>
      <c r="D842" t="s">
        <v>2054</v>
      </c>
      <c r="E842" t="s">
        <v>8</v>
      </c>
      <c r="F842" s="1">
        <f t="shared" si="1016"/>
        <v>0</v>
      </c>
      <c r="G842" s="1">
        <f t="shared" si="1016"/>
        <v>0</v>
      </c>
      <c r="H842" s="1">
        <f t="shared" si="1016"/>
        <v>0</v>
      </c>
      <c r="I842" s="1">
        <f t="shared" si="1016"/>
        <v>3.6924349813383947E-3</v>
      </c>
      <c r="J842" s="1">
        <f t="shared" si="1016"/>
        <v>9.2410521982293804E-3</v>
      </c>
      <c r="K842" s="1">
        <f t="shared" si="1016"/>
        <v>1.3679197656547688E-2</v>
      </c>
      <c r="L842" s="1">
        <f t="shared" ref="L842:O842" si="1024">IFERROR(L801/L$792,0)*L$833</f>
        <v>1.2339779443322676E-2</v>
      </c>
      <c r="M842" s="1">
        <f t="shared" si="1024"/>
        <v>2.9611651170560666E-2</v>
      </c>
      <c r="N842" s="1">
        <f t="shared" si="1024"/>
        <v>2.6592342213472165E-2</v>
      </c>
      <c r="O842" s="1">
        <f t="shared" si="1024"/>
        <v>7.0107909723825468E-2</v>
      </c>
      <c r="P842" s="1">
        <f t="shared" si="1015"/>
        <v>6.7454882485267986E-2</v>
      </c>
      <c r="Q842" s="1">
        <f t="shared" si="1015"/>
        <v>8.6646858648242342E-2</v>
      </c>
      <c r="S842" s="3"/>
    </row>
    <row r="843" spans="2:19" x14ac:dyDescent="0.5">
      <c r="B843" s="5" t="str">
        <f t="shared" si="1008"/>
        <v>SPS1</v>
      </c>
      <c r="C843" s="5" t="str">
        <f t="shared" si="1009"/>
        <v>CH</v>
      </c>
      <c r="D843" t="s">
        <v>2055</v>
      </c>
      <c r="E843" t="s">
        <v>8</v>
      </c>
      <c r="F843" s="1">
        <f>[1]Industry!B$63</f>
        <v>6.5822942250845431</v>
      </c>
      <c r="G843" s="1">
        <f>[1]Industry!C$63</f>
        <v>7.0678585237048832</v>
      </c>
      <c r="H843" s="1">
        <f>[1]Industry!D$63</f>
        <v>6.8712573232760272</v>
      </c>
      <c r="I843" s="1">
        <f>[1]Industry!E$63</f>
        <v>7.2980338298533338</v>
      </c>
      <c r="J843" s="1">
        <f>[1]Industry!F$63</f>
        <v>6.9320706076979057</v>
      </c>
      <c r="K843" s="1">
        <f>[1]Industry!G$63</f>
        <v>6.8700601882656809</v>
      </c>
      <c r="L843" s="1">
        <f>[1]Industry!H$63</f>
        <v>8.4119679170175097</v>
      </c>
      <c r="M843" s="1">
        <f>[1]Industry!I$63</f>
        <v>8.7652394024703337</v>
      </c>
      <c r="N843" s="1">
        <f>[1]Industry!J$63</f>
        <v>8.6877588944878088</v>
      </c>
      <c r="O843" s="1">
        <f>[1]Industry!K$63</f>
        <v>8.916049695594074</v>
      </c>
      <c r="P843" s="1">
        <f>[1]Industry!L$63</f>
        <v>8.5906500087910977</v>
      </c>
      <c r="Q843" s="1">
        <f>[1]Industry!M$63</f>
        <v>8.5154753515034631</v>
      </c>
      <c r="S843" s="3"/>
    </row>
    <row r="844" spans="2:19" x14ac:dyDescent="0.5">
      <c r="B844" s="5" t="str">
        <f t="shared" si="1008"/>
        <v>SPS1</v>
      </c>
      <c r="C844" s="5" t="str">
        <f t="shared" si="1009"/>
        <v>CH</v>
      </c>
      <c r="D844" t="s">
        <v>2056</v>
      </c>
      <c r="E844" t="s">
        <v>8</v>
      </c>
      <c r="F844" s="1">
        <f>F845</f>
        <v>5.3111240086370923</v>
      </c>
      <c r="G844" s="1">
        <f t="shared" ref="G844:O844" si="1025">G845</f>
        <v>6.2669389923398109</v>
      </c>
      <c r="H844" s="1">
        <f t="shared" si="1025"/>
        <v>5.8303031468164441</v>
      </c>
      <c r="I844" s="1">
        <f t="shared" si="1025"/>
        <v>6.8560645463190113</v>
      </c>
      <c r="J844" s="1">
        <f t="shared" si="1025"/>
        <v>7.4160957933426319</v>
      </c>
      <c r="K844" s="1">
        <f t="shared" si="1025"/>
        <v>8.0970910992560778</v>
      </c>
      <c r="L844" s="1">
        <f t="shared" si="1025"/>
        <v>8.6819466978794608</v>
      </c>
      <c r="M844" s="1">
        <f t="shared" si="1025"/>
        <v>9.2747700619342108</v>
      </c>
      <c r="N844" s="1">
        <f t="shared" si="1025"/>
        <v>9.2064981516345856</v>
      </c>
      <c r="O844" s="1">
        <f t="shared" si="1025"/>
        <v>9.4625047088546985</v>
      </c>
      <c r="P844" s="1">
        <f>P845</f>
        <v>8.1882611243490633</v>
      </c>
      <c r="Q844" s="1">
        <f>Q845</f>
        <v>8.8236941347220768</v>
      </c>
      <c r="S844" s="3"/>
    </row>
    <row r="845" spans="2:19" x14ac:dyDescent="0.5">
      <c r="B845" s="5" t="str">
        <f t="shared" si="1008"/>
        <v>SPS1</v>
      </c>
      <c r="C845" s="5" t="str">
        <f t="shared" si="1009"/>
        <v>CH</v>
      </c>
      <c r="D845" t="s">
        <v>2057</v>
      </c>
      <c r="E845" t="s">
        <v>8</v>
      </c>
      <c r="F845" s="1">
        <f>[1]Industry!B$64</f>
        <v>5.3111240086370923</v>
      </c>
      <c r="G845" s="1">
        <f>[1]Industry!C$64</f>
        <v>6.2669389923398109</v>
      </c>
      <c r="H845" s="1">
        <f>[1]Industry!D$64</f>
        <v>5.8303031468164441</v>
      </c>
      <c r="I845" s="1">
        <f>[1]Industry!E$64</f>
        <v>6.8560645463190113</v>
      </c>
      <c r="J845" s="1">
        <f>[1]Industry!F$64</f>
        <v>7.4160957933426319</v>
      </c>
      <c r="K845" s="1">
        <f>[1]Industry!G$64</f>
        <v>8.0970910992560778</v>
      </c>
      <c r="L845" s="1">
        <f>[1]Industry!H$64</f>
        <v>8.6819466978794608</v>
      </c>
      <c r="M845" s="1">
        <f>[1]Industry!I$64</f>
        <v>9.2747700619342108</v>
      </c>
      <c r="N845" s="1">
        <f>[1]Industry!J$64</f>
        <v>9.2064981516345856</v>
      </c>
      <c r="O845" s="1">
        <f>[1]Industry!K$64</f>
        <v>9.4625047088546985</v>
      </c>
      <c r="P845" s="1">
        <f>[1]Industry!L$64</f>
        <v>8.1882611243490633</v>
      </c>
      <c r="Q845" s="1">
        <f>[1]Industry!M$64</f>
        <v>8.8236941347220768</v>
      </c>
      <c r="S845" s="3"/>
    </row>
    <row r="846" spans="2:19" x14ac:dyDescent="0.5">
      <c r="B846" s="5" t="str">
        <f t="shared" si="1008"/>
        <v>SPS1</v>
      </c>
      <c r="C846" s="5" t="str">
        <f t="shared" si="1009"/>
        <v>CH</v>
      </c>
      <c r="D846" t="s">
        <v>2058</v>
      </c>
      <c r="E846" t="s">
        <v>8</v>
      </c>
      <c r="F846" s="1">
        <f>F847</f>
        <v>0.46152166700461911</v>
      </c>
      <c r="G846" s="1">
        <f t="shared" ref="G846:O846" si="1026">G847</f>
        <v>0.54457589337887347</v>
      </c>
      <c r="H846" s="1">
        <f t="shared" si="1026"/>
        <v>0.54458250254969676</v>
      </c>
      <c r="I846" s="1">
        <f t="shared" si="1026"/>
        <v>0.54460021721576457</v>
      </c>
      <c r="J846" s="1">
        <f t="shared" si="1026"/>
        <v>0.54650741985793416</v>
      </c>
      <c r="K846" s="1">
        <f t="shared" si="1026"/>
        <v>0.54653478681720558</v>
      </c>
      <c r="L846" s="1">
        <f t="shared" si="1026"/>
        <v>0.54657000460357452</v>
      </c>
      <c r="M846" s="1">
        <f t="shared" si="1026"/>
        <v>0.54662016944680625</v>
      </c>
      <c r="N846" s="1">
        <f t="shared" si="1026"/>
        <v>0.54666435140552039</v>
      </c>
      <c r="O846" s="1">
        <f t="shared" si="1026"/>
        <v>0.54676691745588923</v>
      </c>
      <c r="P846" s="1">
        <f>P847</f>
        <v>0.54691957008884895</v>
      </c>
      <c r="Q846" s="1">
        <f>Q847</f>
        <v>0.54747091132561332</v>
      </c>
      <c r="S846" s="3"/>
    </row>
    <row r="847" spans="2:19" x14ac:dyDescent="0.5">
      <c r="B847" s="5" t="str">
        <f t="shared" si="1008"/>
        <v>SPS1</v>
      </c>
      <c r="C847" s="5" t="str">
        <f t="shared" si="1009"/>
        <v>CH</v>
      </c>
      <c r="D847" t="s">
        <v>2059</v>
      </c>
      <c r="E847" t="s">
        <v>8</v>
      </c>
      <c r="F847" s="1">
        <f>[1]Industry!B$65</f>
        <v>0.46152166700461911</v>
      </c>
      <c r="G847" s="1">
        <f>[1]Industry!C$65</f>
        <v>0.54457589337887347</v>
      </c>
      <c r="H847" s="1">
        <f>[1]Industry!D$65</f>
        <v>0.54458250254969676</v>
      </c>
      <c r="I847" s="1">
        <f>[1]Industry!E$65</f>
        <v>0.54460021721576457</v>
      </c>
      <c r="J847" s="1">
        <f>[1]Industry!F$65</f>
        <v>0.54650741985793416</v>
      </c>
      <c r="K847" s="1">
        <f>[1]Industry!G$65</f>
        <v>0.54653478681720558</v>
      </c>
      <c r="L847" s="1">
        <f>[1]Industry!H$65</f>
        <v>0.54657000460357452</v>
      </c>
      <c r="M847" s="1">
        <f>[1]Industry!I$65</f>
        <v>0.54662016944680625</v>
      </c>
      <c r="N847" s="1">
        <f>[1]Industry!J$65</f>
        <v>0.54666435140552039</v>
      </c>
      <c r="O847" s="1">
        <f>[1]Industry!K$65</f>
        <v>0.54676691745588923</v>
      </c>
      <c r="P847" s="1">
        <f>[1]Industry!L$65</f>
        <v>0.54691957008884895</v>
      </c>
      <c r="Q847" s="1">
        <f>[1]Industry!M$65</f>
        <v>0.54747091132561332</v>
      </c>
      <c r="S847" s="3"/>
    </row>
    <row r="848" spans="2:19" x14ac:dyDescent="0.5">
      <c r="B848" s="5" t="str">
        <f t="shared" si="1008"/>
        <v>SPS1</v>
      </c>
      <c r="C848" s="5" t="str">
        <f t="shared" si="1009"/>
        <v>CH</v>
      </c>
      <c r="D848" t="s">
        <v>2060</v>
      </c>
      <c r="E848" t="s">
        <v>8</v>
      </c>
      <c r="F848" s="1">
        <f>F849</f>
        <v>4.1173680430324273</v>
      </c>
      <c r="G848" s="1">
        <f t="shared" ref="G848:O848" si="1027">G849</f>
        <v>4.2663631821316548</v>
      </c>
      <c r="H848" s="1">
        <f t="shared" si="1027"/>
        <v>2.9612133280828283</v>
      </c>
      <c r="I848" s="1">
        <f t="shared" si="1027"/>
        <v>2.9281016081785611</v>
      </c>
      <c r="J848" s="1">
        <f t="shared" si="1027"/>
        <v>2.8950215042297165</v>
      </c>
      <c r="K848" s="1">
        <f t="shared" si="1027"/>
        <v>2.8804376785839056</v>
      </c>
      <c r="L848" s="1">
        <f t="shared" si="1027"/>
        <v>2.9092432629684004</v>
      </c>
      <c r="M848" s="1">
        <f t="shared" si="1027"/>
        <v>2.9375828308099736</v>
      </c>
      <c r="N848" s="1">
        <f t="shared" si="1027"/>
        <v>2.9376083481210737</v>
      </c>
      <c r="O848" s="1">
        <f t="shared" si="1027"/>
        <v>2.93763479156764</v>
      </c>
      <c r="P848" s="1">
        <f>P849</f>
        <v>2.937591926598917</v>
      </c>
      <c r="Q848" s="1">
        <f>Q849</f>
        <v>2.9376651072876836</v>
      </c>
      <c r="S848" s="3"/>
    </row>
    <row r="849" spans="2:19" x14ac:dyDescent="0.5">
      <c r="B849" s="5" t="str">
        <f t="shared" si="1008"/>
        <v>SPS1</v>
      </c>
      <c r="C849" s="5" t="str">
        <f t="shared" si="1009"/>
        <v>CH</v>
      </c>
      <c r="D849" t="s">
        <v>2061</v>
      </c>
      <c r="E849" t="s">
        <v>8</v>
      </c>
      <c r="F849" s="1">
        <f>[1]Industry!B$66</f>
        <v>4.1173680430324273</v>
      </c>
      <c r="G849" s="1">
        <f>[1]Industry!C$66</f>
        <v>4.2663631821316548</v>
      </c>
      <c r="H849" s="1">
        <f>[1]Industry!D$66</f>
        <v>2.9612133280828283</v>
      </c>
      <c r="I849" s="1">
        <f>[1]Industry!E$66</f>
        <v>2.9281016081785611</v>
      </c>
      <c r="J849" s="1">
        <f>[1]Industry!F$66</f>
        <v>2.8950215042297165</v>
      </c>
      <c r="K849" s="1">
        <f>[1]Industry!G$66</f>
        <v>2.8804376785839056</v>
      </c>
      <c r="L849" s="1">
        <f>[1]Industry!H$66</f>
        <v>2.9092432629684004</v>
      </c>
      <c r="M849" s="1">
        <f>[1]Industry!I$66</f>
        <v>2.9375828308099736</v>
      </c>
      <c r="N849" s="1">
        <f>[1]Industry!J$66</f>
        <v>2.9376083481210737</v>
      </c>
      <c r="O849" s="1">
        <f>[1]Industry!K$66</f>
        <v>2.93763479156764</v>
      </c>
      <c r="P849" s="1">
        <f>[1]Industry!L$66</f>
        <v>2.937591926598917</v>
      </c>
      <c r="Q849" s="1">
        <f>[1]Industry!M$66</f>
        <v>2.9376651072876836</v>
      </c>
      <c r="S849" s="3"/>
    </row>
    <row r="850" spans="2:19" x14ac:dyDescent="0.5">
      <c r="B850" s="5" t="str">
        <f t="shared" si="1008"/>
        <v>SPS1</v>
      </c>
      <c r="C850" s="5" t="str">
        <f t="shared" si="1009"/>
        <v>CH</v>
      </c>
      <c r="D850" t="s">
        <v>2062</v>
      </c>
      <c r="E850" t="s">
        <v>8</v>
      </c>
      <c r="F850" s="1">
        <f>F851</f>
        <v>6.768514679096807E-2</v>
      </c>
      <c r="G850" s="1">
        <f t="shared" ref="G850:O850" si="1028">G851</f>
        <v>8.5501988905615459E-2</v>
      </c>
      <c r="H850" s="1">
        <f t="shared" si="1028"/>
        <v>8.5514814167454281E-2</v>
      </c>
      <c r="I850" s="1">
        <f t="shared" si="1028"/>
        <v>8.5513018404928559E-2</v>
      </c>
      <c r="J850" s="1">
        <f t="shared" si="1028"/>
        <v>8.5515781993019874E-2</v>
      </c>
      <c r="K850" s="1">
        <f t="shared" si="1028"/>
        <v>8.5517851935914227E-2</v>
      </c>
      <c r="L850" s="1">
        <f t="shared" si="1028"/>
        <v>8.5521506078016632E-2</v>
      </c>
      <c r="M850" s="1">
        <f t="shared" si="1028"/>
        <v>8.5524694309731544E-2</v>
      </c>
      <c r="N850" s="1">
        <f t="shared" si="1028"/>
        <v>8.552622439100839E-2</v>
      </c>
      <c r="O850" s="1">
        <f t="shared" si="1028"/>
        <v>8.5558189151522704E-2</v>
      </c>
      <c r="P850" s="1">
        <f>P851</f>
        <v>8.5576263525398377E-2</v>
      </c>
      <c r="Q850" s="1">
        <f>Q851</f>
        <v>8.570370853114255E-2</v>
      </c>
      <c r="S850" s="3"/>
    </row>
    <row r="851" spans="2:19" x14ac:dyDescent="0.5">
      <c r="B851" s="5" t="str">
        <f t="shared" si="1008"/>
        <v>SPS1</v>
      </c>
      <c r="C851" s="5" t="str">
        <f t="shared" si="1009"/>
        <v>CH</v>
      </c>
      <c r="D851" t="s">
        <v>2063</v>
      </c>
      <c r="E851" t="s">
        <v>8</v>
      </c>
      <c r="F851" s="1">
        <f>[1]Industry!B$67</f>
        <v>6.768514679096807E-2</v>
      </c>
      <c r="G851" s="1">
        <f>[1]Industry!C$67</f>
        <v>8.5501988905615459E-2</v>
      </c>
      <c r="H851" s="1">
        <f>[1]Industry!D$67</f>
        <v>8.5514814167454281E-2</v>
      </c>
      <c r="I851" s="1">
        <f>[1]Industry!E$67</f>
        <v>8.5513018404928559E-2</v>
      </c>
      <c r="J851" s="1">
        <f>[1]Industry!F$67</f>
        <v>8.5515781993019874E-2</v>
      </c>
      <c r="K851" s="1">
        <f>[1]Industry!G$67</f>
        <v>8.5517851935914227E-2</v>
      </c>
      <c r="L851" s="1">
        <f>[1]Industry!H$67</f>
        <v>8.5521506078016632E-2</v>
      </c>
      <c r="M851" s="1">
        <f>[1]Industry!I$67</f>
        <v>8.5524694309731544E-2</v>
      </c>
      <c r="N851" s="1">
        <f>[1]Industry!J$67</f>
        <v>8.552622439100839E-2</v>
      </c>
      <c r="O851" s="1">
        <f>[1]Industry!K$67</f>
        <v>8.5558189151522704E-2</v>
      </c>
      <c r="P851" s="1">
        <f>[1]Industry!L$67</f>
        <v>8.5576263525398377E-2</v>
      </c>
      <c r="Q851" s="1">
        <f>[1]Industry!M$67</f>
        <v>8.570370853114255E-2</v>
      </c>
      <c r="S851" s="3"/>
    </row>
    <row r="852" spans="2:19" x14ac:dyDescent="0.5">
      <c r="B852" s="5" t="str">
        <f t="shared" si="1008"/>
        <v>SPS1</v>
      </c>
      <c r="C852" s="5" t="str">
        <f t="shared" si="1009"/>
        <v>CH</v>
      </c>
      <c r="D852" t="s">
        <v>2064</v>
      </c>
      <c r="E852" t="s">
        <v>8</v>
      </c>
      <c r="F852" s="1">
        <f>F853</f>
        <v>0</v>
      </c>
      <c r="G852" s="1">
        <f t="shared" ref="G852:O852" si="1029">G853</f>
        <v>0</v>
      </c>
      <c r="H852" s="1">
        <f t="shared" si="1029"/>
        <v>0</v>
      </c>
      <c r="I852" s="1">
        <f t="shared" si="1029"/>
        <v>1.5376733791177296E-3</v>
      </c>
      <c r="J852" s="1">
        <f t="shared" si="1029"/>
        <v>1.0120552773732474E-2</v>
      </c>
      <c r="K852" s="1">
        <f t="shared" si="1029"/>
        <v>1.2434391503042213E-2</v>
      </c>
      <c r="L852" s="1">
        <f t="shared" si="1029"/>
        <v>1.249484051507915E-2</v>
      </c>
      <c r="M852" s="1">
        <f t="shared" si="1029"/>
        <v>4.2862631186893839E-2</v>
      </c>
      <c r="N852" s="1">
        <f t="shared" si="1029"/>
        <v>6.3253612697448947E-2</v>
      </c>
      <c r="O852" s="1">
        <f t="shared" si="1029"/>
        <v>9.1192831175575362E-2</v>
      </c>
      <c r="P852" s="1">
        <f>P853</f>
        <v>9.1262823032486617E-2</v>
      </c>
      <c r="Q852" s="1">
        <f>Q853</f>
        <v>9.9439815963269021E-2</v>
      </c>
      <c r="S852" s="3"/>
    </row>
    <row r="853" spans="2:19" x14ac:dyDescent="0.5">
      <c r="B853" s="5" t="str">
        <f t="shared" si="1008"/>
        <v>SPS1</v>
      </c>
      <c r="C853" s="5" t="str">
        <f t="shared" si="1009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1.5376733791177296E-3</v>
      </c>
      <c r="J853" s="1">
        <f>[1]Industry!F$69</f>
        <v>1.0120552773732474E-2</v>
      </c>
      <c r="K853" s="1">
        <f>[1]Industry!G$69</f>
        <v>1.2434391503042213E-2</v>
      </c>
      <c r="L853" s="1">
        <f>[1]Industry!H$69</f>
        <v>1.249484051507915E-2</v>
      </c>
      <c r="M853" s="1">
        <f>[1]Industry!I$69</f>
        <v>4.2862631186893839E-2</v>
      </c>
      <c r="N853" s="1">
        <f>[1]Industry!J$69</f>
        <v>6.3253612697448947E-2</v>
      </c>
      <c r="O853" s="1">
        <f>[1]Industry!K$69</f>
        <v>9.1192831175575362E-2</v>
      </c>
      <c r="P853" s="1">
        <f>[1]Industry!L$69</f>
        <v>9.1262823032486617E-2</v>
      </c>
      <c r="Q853" s="1">
        <f>[1]Industry!M$69</f>
        <v>9.9439815963269021E-2</v>
      </c>
      <c r="S853" s="3"/>
    </row>
    <row r="854" spans="2:19" x14ac:dyDescent="0.5">
      <c r="B854" s="5" t="str">
        <f t="shared" si="1008"/>
        <v>SPS1</v>
      </c>
      <c r="C854" s="5" t="str">
        <f t="shared" si="1009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1030">SUM(G855:G856)</f>
        <v>4.8942210558368675</v>
      </c>
      <c r="H854" s="1">
        <f t="shared" si="1030"/>
        <v>4.8942310403007516</v>
      </c>
      <c r="I854" s="1">
        <f t="shared" si="1030"/>
        <v>4.8950787893252103</v>
      </c>
      <c r="J854" s="1">
        <f t="shared" si="1030"/>
        <v>4.8971445396214612</v>
      </c>
      <c r="K854" s="1">
        <f t="shared" si="1030"/>
        <v>4.8979290268047961</v>
      </c>
      <c r="L854" s="1">
        <f t="shared" ref="L854:O854" si="1031">SUM(L855:L856)</f>
        <v>4.8980026414214954</v>
      </c>
      <c r="M854" s="1">
        <f t="shared" si="1031"/>
        <v>4.8983301397371912</v>
      </c>
      <c r="N854" s="1">
        <f t="shared" si="1031"/>
        <v>4.8982198014260208</v>
      </c>
      <c r="O854" s="1">
        <f t="shared" si="1031"/>
        <v>4.8990811370245533</v>
      </c>
      <c r="P854" s="1">
        <f>SUM(P855:P856)</f>
        <v>4.8991383394135548</v>
      </c>
      <c r="Q854" s="1">
        <f>SUM(Q855:Q856)</f>
        <v>4.9027504233881443</v>
      </c>
      <c r="S854" s="3"/>
    </row>
    <row r="855" spans="2:19" x14ac:dyDescent="0.5">
      <c r="B855" s="5" t="str">
        <f t="shared" si="1008"/>
        <v>SPS1</v>
      </c>
      <c r="C855" s="5" t="str">
        <f t="shared" si="1009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0.85059925575872253</v>
      </c>
      <c r="H855" s="1">
        <f>[1]Industry!D$6-H856</f>
        <v>0.8506009910251624</v>
      </c>
      <c r="I855" s="1">
        <f>[1]Industry!E$6-I856</f>
        <v>0.85118852010021229</v>
      </c>
      <c r="J855" s="1">
        <f>[1]Industry!F$6-J856</f>
        <v>0.85316159507805445</v>
      </c>
      <c r="K855" s="1">
        <f>[1]Industry!G$6-K856</f>
        <v>0.85380582344682932</v>
      </c>
      <c r="L855" s="1">
        <f>[1]Industry!H$6-L856</f>
        <v>0.85381942884203799</v>
      </c>
      <c r="M855" s="1">
        <f>[1]Industry!I$6-M856</f>
        <v>0.85390836507921897</v>
      </c>
      <c r="N855" s="1">
        <f>[1]Industry!J$6-N856</f>
        <v>0.85398087471391193</v>
      </c>
      <c r="O855" s="1">
        <f>[1]Industry!K$6-O856</f>
        <v>0.85467580433006241</v>
      </c>
      <c r="P855" s="1">
        <f>[1]Industry!L$6-P856</f>
        <v>0.85495804159867106</v>
      </c>
      <c r="Q855" s="1">
        <f>[1]Industry!M$6-Q856</f>
        <v>0.85808689106827796</v>
      </c>
      <c r="S855" s="3"/>
    </row>
    <row r="856" spans="2:19" x14ac:dyDescent="0.5">
      <c r="B856" s="5" t="str">
        <f t="shared" si="1008"/>
        <v>SPS1</v>
      </c>
      <c r="C856" s="5" t="str">
        <f t="shared" si="1009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4.043621800078145</v>
      </c>
      <c r="H856" s="1">
        <f>[1]Industry!D$70</f>
        <v>4.0436300492755892</v>
      </c>
      <c r="I856" s="1">
        <f>[1]Industry!E$70</f>
        <v>4.0438902692249981</v>
      </c>
      <c r="J856" s="1">
        <f>[1]Industry!F$70</f>
        <v>4.0439829445434068</v>
      </c>
      <c r="K856" s="1">
        <f>[1]Industry!G$70</f>
        <v>4.0441232033579668</v>
      </c>
      <c r="L856" s="1">
        <f>[1]Industry!H$70</f>
        <v>4.0441832125794575</v>
      </c>
      <c r="M856" s="1">
        <f>[1]Industry!I$70</f>
        <v>4.0444217746579723</v>
      </c>
      <c r="N856" s="1">
        <f>[1]Industry!J$70</f>
        <v>4.0442389267121088</v>
      </c>
      <c r="O856" s="1">
        <f>[1]Industry!K$70</f>
        <v>4.0444053326944909</v>
      </c>
      <c r="P856" s="1">
        <f>[1]Industry!L$70</f>
        <v>4.0441802978148838</v>
      </c>
      <c r="Q856" s="1">
        <f>[1]Industry!M$70</f>
        <v>4.0446635323198663</v>
      </c>
      <c r="S856" s="3"/>
    </row>
    <row r="857" spans="2:19" x14ac:dyDescent="0.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M857" s="1" t="s">
        <v>292</v>
      </c>
      <c r="N857" s="1" t="s">
        <v>292</v>
      </c>
      <c r="O857" s="1" t="s">
        <v>292</v>
      </c>
      <c r="P857" s="1" t="s">
        <v>292</v>
      </c>
      <c r="Q857" s="1" t="s">
        <v>292</v>
      </c>
      <c r="S857" s="3"/>
    </row>
    <row r="858" spans="2:19" x14ac:dyDescent="0.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0.84261542941328449</v>
      </c>
      <c r="G858" s="4">
        <f t="shared" ref="G858:K858" si="1032">IFERROR(G820/G765,"-")</f>
        <v>0.84306236513985267</v>
      </c>
      <c r="H858" s="4">
        <f t="shared" si="1032"/>
        <v>0.84373276872970626</v>
      </c>
      <c r="I858" s="4">
        <f t="shared" si="1032"/>
        <v>0.84485010804612937</v>
      </c>
      <c r="J858" s="4">
        <f t="shared" si="1032"/>
        <v>0.84596744736255358</v>
      </c>
      <c r="K858" s="4">
        <f t="shared" si="1032"/>
        <v>0.84708478667897635</v>
      </c>
      <c r="L858" s="4">
        <f t="shared" ref="L858:O858" si="1033">IFERROR(L820/L765,"-")</f>
        <v>0.84820212599539935</v>
      </c>
      <c r="M858" s="4">
        <f t="shared" si="1033"/>
        <v>0.84931946531182423</v>
      </c>
      <c r="N858" s="4">
        <f t="shared" si="1033"/>
        <v>0.8493194653118229</v>
      </c>
      <c r="O858" s="4">
        <f t="shared" si="1033"/>
        <v>0.84931946531182301</v>
      </c>
      <c r="P858" s="4">
        <f t="shared" ref="P858:Q860" si="1034">IFERROR(P820/P765,"-")</f>
        <v>0.84931946531182356</v>
      </c>
      <c r="Q858" s="4">
        <f t="shared" si="1034"/>
        <v>0.84931946531182345</v>
      </c>
      <c r="S858" s="3"/>
    </row>
    <row r="859" spans="2:19" x14ac:dyDescent="0.5">
      <c r="B859" s="5" t="str">
        <f t="shared" ref="B859:B881" si="1035">B858</f>
        <v>SPS1</v>
      </c>
      <c r="C859" s="5" t="str">
        <f t="shared" ref="C859:C881" si="1036">C858</f>
        <v>CH</v>
      </c>
      <c r="D859" t="s">
        <v>2070</v>
      </c>
      <c r="E859" t="s">
        <v>240</v>
      </c>
      <c r="F859" s="4">
        <f t="shared" ref="F859:K859" si="1037">IFERROR(F821/F766,"-")</f>
        <v>3.0809801822513294</v>
      </c>
      <c r="G859" s="4">
        <f t="shared" si="1037"/>
        <v>3.10553747740691</v>
      </c>
      <c r="H859" s="4">
        <f t="shared" si="1037"/>
        <v>3.1423734201402898</v>
      </c>
      <c r="I859" s="4">
        <f t="shared" si="1037"/>
        <v>3.2037666580292501</v>
      </c>
      <c r="J859" s="4">
        <f t="shared" si="1037"/>
        <v>3.265159895918214</v>
      </c>
      <c r="K859" s="4">
        <f t="shared" si="1037"/>
        <v>3.3265531338071637</v>
      </c>
      <c r="L859" s="4">
        <f t="shared" ref="L859:O859" si="1038">IFERROR(L821/L766,"-")</f>
        <v>3.3879463716961293</v>
      </c>
      <c r="M859" s="4">
        <f t="shared" si="1038"/>
        <v>3.4493396095850914</v>
      </c>
      <c r="N859" s="4">
        <f t="shared" si="1038"/>
        <v>3.4493396095850932</v>
      </c>
      <c r="O859" s="4">
        <f t="shared" si="1038"/>
        <v>3.4493396095850932</v>
      </c>
      <c r="P859" s="4">
        <f t="shared" si="1034"/>
        <v>3.4493396095850906</v>
      </c>
      <c r="Q859" s="4">
        <f t="shared" si="1034"/>
        <v>3.449339609585095</v>
      </c>
      <c r="S859" s="3"/>
    </row>
    <row r="860" spans="2:19" x14ac:dyDescent="0.5">
      <c r="B860" s="5" t="str">
        <f t="shared" si="1035"/>
        <v>SPS1</v>
      </c>
      <c r="C860" s="5" t="str">
        <f t="shared" si="1036"/>
        <v>CH</v>
      </c>
      <c r="D860" t="s">
        <v>2071</v>
      </c>
      <c r="E860" t="s">
        <v>240</v>
      </c>
      <c r="F860" s="4">
        <f t="shared" ref="F860:K860" si="1039">IFERROR(F822/F767,"-")</f>
        <v>1</v>
      </c>
      <c r="G860" s="4">
        <f t="shared" si="1039"/>
        <v>0.99999997998222045</v>
      </c>
      <c r="H860" s="4">
        <f t="shared" si="1039"/>
        <v>0.99999998062327022</v>
      </c>
      <c r="I860" s="4">
        <f t="shared" si="1039"/>
        <v>1.0000046365994619</v>
      </c>
      <c r="J860" s="4">
        <f t="shared" si="1039"/>
        <v>1.0000105588377499</v>
      </c>
      <c r="K860" s="4">
        <f t="shared" si="1039"/>
        <v>1.0000134780583416</v>
      </c>
      <c r="L860" s="4">
        <f t="shared" ref="L860:O860" si="1040">IFERROR(L822/L767,"-")</f>
        <v>1.0000192582996481</v>
      </c>
      <c r="M860" s="4">
        <f t="shared" si="1040"/>
        <v>1.0000371489312199</v>
      </c>
      <c r="N860" s="4">
        <f t="shared" si="1040"/>
        <v>1.000029142280525</v>
      </c>
      <c r="O860" s="4">
        <f t="shared" si="1040"/>
        <v>1.0000433566250133</v>
      </c>
      <c r="P860" s="4">
        <f t="shared" si="1034"/>
        <v>1.0000438305297956</v>
      </c>
      <c r="Q860" s="4">
        <f t="shared" si="1034"/>
        <v>1.0000844922751815</v>
      </c>
      <c r="S860" s="3"/>
    </row>
    <row r="861" spans="2:19" x14ac:dyDescent="0.5">
      <c r="B861" s="5" t="str">
        <f t="shared" si="1035"/>
        <v>SPS1</v>
      </c>
      <c r="C861" s="5" t="str">
        <f t="shared" si="1036"/>
        <v>CH</v>
      </c>
      <c r="D861" t="s">
        <v>2072</v>
      </c>
      <c r="E861" t="s">
        <v>240</v>
      </c>
      <c r="F861" s="4">
        <f>IFERROR(F824/F769,"-")</f>
        <v>0.77746213224363558</v>
      </c>
      <c r="G861" s="4">
        <f t="shared" ref="G861:K862" si="1041">IFERROR(G824/G769,"-")</f>
        <v>0.77871988564932304</v>
      </c>
      <c r="H861" s="4">
        <f t="shared" si="1041"/>
        <v>0.78060651575785645</v>
      </c>
      <c r="I861" s="4">
        <f t="shared" si="1041"/>
        <v>0.78375089927207719</v>
      </c>
      <c r="J861" s="4">
        <f t="shared" si="1041"/>
        <v>0.78689528278629794</v>
      </c>
      <c r="K861" s="4">
        <f t="shared" si="1041"/>
        <v>0.79003966630051936</v>
      </c>
      <c r="L861" s="4">
        <f t="shared" ref="L861:O861" si="1042">IFERROR(L824/L769,"-")</f>
        <v>0.79318404981474044</v>
      </c>
      <c r="M861" s="4">
        <f t="shared" si="1042"/>
        <v>0.79632843332896119</v>
      </c>
      <c r="N861" s="4">
        <f t="shared" si="1042"/>
        <v>0.79632843332896075</v>
      </c>
      <c r="O861" s="4">
        <f t="shared" si="1042"/>
        <v>0.79632843332896108</v>
      </c>
      <c r="P861" s="4">
        <f>IFERROR(P824/P769,"-")</f>
        <v>0.79632843332896097</v>
      </c>
      <c r="Q861" s="4">
        <f>IFERROR(Q824/Q769,"-")</f>
        <v>0.79632843332896108</v>
      </c>
      <c r="S861" s="3"/>
    </row>
    <row r="862" spans="2:19" x14ac:dyDescent="0.5">
      <c r="B862" s="5" t="str">
        <f t="shared" si="1035"/>
        <v>SPS1</v>
      </c>
      <c r="C862" s="5" t="str">
        <f t="shared" si="1036"/>
        <v>CH</v>
      </c>
      <c r="D862" t="s">
        <v>2073</v>
      </c>
      <c r="E862" t="s">
        <v>240</v>
      </c>
      <c r="F862" s="4">
        <f>IFERROR(F825/F770,"-")</f>
        <v>0.67612500000000053</v>
      </c>
      <c r="G862" s="4">
        <f t="shared" si="1041"/>
        <v>0.67905000000000004</v>
      </c>
      <c r="H862" s="4">
        <f t="shared" si="1041"/>
        <v>0.68343749999999892</v>
      </c>
      <c r="I862" s="4">
        <f t="shared" si="1041"/>
        <v>0.69074999999999942</v>
      </c>
      <c r="J862" s="4">
        <f t="shared" si="1041"/>
        <v>0.69806249999999959</v>
      </c>
      <c r="K862" s="4">
        <f t="shared" si="1041"/>
        <v>0.70537499999999964</v>
      </c>
      <c r="L862" s="4">
        <f t="shared" ref="L862:O862" si="1043">IFERROR(L825/L770,"-")</f>
        <v>0.71268749999999981</v>
      </c>
      <c r="M862" s="4" t="str">
        <f t="shared" si="1043"/>
        <v>-</v>
      </c>
      <c r="N862" s="4" t="str">
        <f t="shared" si="1043"/>
        <v>-</v>
      </c>
      <c r="O862" s="4" t="str">
        <f t="shared" si="1043"/>
        <v>-</v>
      </c>
      <c r="P862" s="4" t="str">
        <f>IFERROR(P825/P770,"-")</f>
        <v>-</v>
      </c>
      <c r="Q862" s="4" t="str">
        <f>IFERROR(Q825/Q770,"-")</f>
        <v>-</v>
      </c>
      <c r="S862" s="3"/>
    </row>
    <row r="863" spans="2:19" x14ac:dyDescent="0.5">
      <c r="B863" s="5" t="str">
        <f t="shared" si="1035"/>
        <v>SPS1</v>
      </c>
      <c r="C863" s="5" t="str">
        <f t="shared" si="1036"/>
        <v>CH</v>
      </c>
      <c r="D863" t="s">
        <v>2074</v>
      </c>
      <c r="E863" t="s">
        <v>240</v>
      </c>
      <c r="F863" s="4">
        <f>IFERROR(F827/F779,"-")</f>
        <v>0.80746593461955374</v>
      </c>
      <c r="G863" s="4">
        <f t="shared" ref="G863:K865" si="1044">IFERROR(G827/G779,"-")</f>
        <v>0.80893312869431266</v>
      </c>
      <c r="H863" s="4">
        <f t="shared" si="1044"/>
        <v>0.80864975904486391</v>
      </c>
      <c r="I863" s="4">
        <f t="shared" si="1044"/>
        <v>0.80951801400922152</v>
      </c>
      <c r="J863" s="4">
        <f t="shared" si="1044"/>
        <v>0.81128518990750154</v>
      </c>
      <c r="K863" s="4">
        <f t="shared" si="1044"/>
        <v>0.86438600743546934</v>
      </c>
      <c r="L863" s="4">
        <f t="shared" ref="L863:O863" si="1045">IFERROR(L827/L779,"-")</f>
        <v>0.87702630660360925</v>
      </c>
      <c r="M863" s="4">
        <f t="shared" si="1045"/>
        <v>0.89026738156164076</v>
      </c>
      <c r="N863" s="4">
        <f t="shared" si="1045"/>
        <v>0.81603825258921359</v>
      </c>
      <c r="O863" s="4">
        <f t="shared" si="1045"/>
        <v>0.74125717067958941</v>
      </c>
      <c r="P863" s="4">
        <f t="shared" ref="P863:Q865" si="1046">IFERROR(P827/P779,"-")</f>
        <v>0.73397259206611609</v>
      </c>
      <c r="Q863" s="4">
        <f t="shared" si="1046"/>
        <v>0.72399507821788645</v>
      </c>
      <c r="S863" s="3"/>
    </row>
    <row r="864" spans="2:19" x14ac:dyDescent="0.5">
      <c r="B864" s="5" t="str">
        <f t="shared" si="1035"/>
        <v>SPS1</v>
      </c>
      <c r="C864" s="5" t="str">
        <f t="shared" si="1036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1044"/>
        <v>0</v>
      </c>
      <c r="H864" s="4">
        <f t="shared" si="1044"/>
        <v>0.6578021507208478</v>
      </c>
      <c r="I864" s="4">
        <f t="shared" si="1044"/>
        <v>1.4596607815630773</v>
      </c>
      <c r="J864" s="4">
        <f t="shared" si="1044"/>
        <v>1.7989517480676249</v>
      </c>
      <c r="K864" s="4">
        <f t="shared" si="1044"/>
        <v>0.15170418067822</v>
      </c>
      <c r="L864" s="4">
        <f t="shared" ref="L864:O864" si="1047">IFERROR(L828/L780,"-")</f>
        <v>0.15499492724720812</v>
      </c>
      <c r="M864" s="4">
        <f t="shared" si="1047"/>
        <v>0.155084005446982</v>
      </c>
      <c r="N864" s="4" t="str">
        <f t="shared" si="1047"/>
        <v>-</v>
      </c>
      <c r="O864" s="4" t="str">
        <f t="shared" si="1047"/>
        <v>-</v>
      </c>
      <c r="P864" s="4" t="str">
        <f t="shared" si="1046"/>
        <v>-</v>
      </c>
      <c r="Q864" s="4" t="str">
        <f t="shared" si="1046"/>
        <v>-</v>
      </c>
      <c r="S864" s="3"/>
    </row>
    <row r="865" spans="2:19" x14ac:dyDescent="0.5">
      <c r="B865" s="5" t="str">
        <f t="shared" si="1035"/>
        <v>SPS1</v>
      </c>
      <c r="C865" s="5" t="str">
        <f t="shared" si="1036"/>
        <v>CH</v>
      </c>
      <c r="D865" t="s">
        <v>2076</v>
      </c>
      <c r="E865" t="s">
        <v>240</v>
      </c>
      <c r="F865" s="4">
        <f>IFERROR(F829/F781,"-")</f>
        <v>0.56958854391451952</v>
      </c>
      <c r="G865" s="4">
        <f t="shared" si="1044"/>
        <v>0.58410249203727349</v>
      </c>
      <c r="H865" s="4">
        <f t="shared" si="1044"/>
        <v>0.6305619818441528</v>
      </c>
      <c r="I865" s="4">
        <f t="shared" si="1044"/>
        <v>0.67496644999138766</v>
      </c>
      <c r="J865" s="4">
        <f t="shared" si="1044"/>
        <v>0.68901067927530402</v>
      </c>
      <c r="K865" s="4">
        <f t="shared" si="1044"/>
        <v>0.55769105302742961</v>
      </c>
      <c r="L865" s="4">
        <f t="shared" ref="L865:O865" si="1048">IFERROR(L829/L781,"-")</f>
        <v>0.56202648702513602</v>
      </c>
      <c r="M865" s="4">
        <f t="shared" si="1048"/>
        <v>0.5656582169522093</v>
      </c>
      <c r="N865" s="4">
        <f t="shared" si="1048"/>
        <v>0.72000000000000042</v>
      </c>
      <c r="O865" s="4">
        <f t="shared" si="1048"/>
        <v>0.7200000000000002</v>
      </c>
      <c r="P865" s="4">
        <f t="shared" si="1046"/>
        <v>0.72000000000000053</v>
      </c>
      <c r="Q865" s="4">
        <f t="shared" si="1046"/>
        <v>0.72000000000000086</v>
      </c>
      <c r="S865" s="3"/>
    </row>
    <row r="866" spans="2:19" x14ac:dyDescent="0.5">
      <c r="B866" s="5" t="str">
        <f t="shared" si="1035"/>
        <v>SPS1</v>
      </c>
      <c r="C866" s="5" t="str">
        <f t="shared" si="1036"/>
        <v>CH</v>
      </c>
      <c r="D866" t="s">
        <v>2077</v>
      </c>
      <c r="E866" t="s">
        <v>240</v>
      </c>
      <c r="F866" s="4">
        <f>IFERROR(F831/F790,"-")</f>
        <v>0.66500000000000015</v>
      </c>
      <c r="G866" s="4">
        <f t="shared" ref="G866:K866" si="1049">IFERROR(G831/G790,"-")</f>
        <v>0.66600000000000015</v>
      </c>
      <c r="H866" s="4">
        <f t="shared" si="1049"/>
        <v>0.66749999999999965</v>
      </c>
      <c r="I866" s="4">
        <f t="shared" si="1049"/>
        <v>0.67000000000000015</v>
      </c>
      <c r="J866" s="4">
        <f t="shared" si="1049"/>
        <v>0.67250000000000032</v>
      </c>
      <c r="K866" s="4">
        <f t="shared" si="1049"/>
        <v>0.67500000000000016</v>
      </c>
      <c r="L866" s="4">
        <f t="shared" ref="L866:O866" si="1050">IFERROR(L831/L790,"-")</f>
        <v>0.6775000000000001</v>
      </c>
      <c r="M866" s="4">
        <f t="shared" si="1050"/>
        <v>0.6800000000000006</v>
      </c>
      <c r="N866" s="4">
        <f t="shared" si="1050"/>
        <v>0.67999999999999972</v>
      </c>
      <c r="O866" s="4">
        <f t="shared" si="1050"/>
        <v>0.68000000000000016</v>
      </c>
      <c r="P866" s="4">
        <f>IFERROR(P831/P790,"-")</f>
        <v>0.68</v>
      </c>
      <c r="Q866" s="4">
        <f>IFERROR(Q831/Q790,"-")</f>
        <v>0.68000000000000038</v>
      </c>
      <c r="S866" s="3"/>
    </row>
    <row r="867" spans="2:19" x14ac:dyDescent="0.5">
      <c r="B867" s="5" t="str">
        <f t="shared" si="1035"/>
        <v>SPS1</v>
      </c>
      <c r="C867" s="5" t="str">
        <f t="shared" si="1036"/>
        <v>CH</v>
      </c>
      <c r="D867" t="s">
        <v>2078</v>
      </c>
      <c r="E867" t="s">
        <v>240</v>
      </c>
      <c r="F867" s="4">
        <f>IFERROR(F834/F793,"-")</f>
        <v>1.2041307546633184</v>
      </c>
      <c r="G867" s="4">
        <f t="shared" ref="G867:K867" si="1051">IFERROR(G834/G793,"-")</f>
        <v>0.95200354424722333</v>
      </c>
      <c r="H867" s="4">
        <f t="shared" si="1051"/>
        <v>0.93521872326654054</v>
      </c>
      <c r="I867" s="4">
        <f t="shared" si="1051"/>
        <v>1.0171392460327182</v>
      </c>
      <c r="J867" s="4">
        <f t="shared" si="1051"/>
        <v>0.93757755680356203</v>
      </c>
      <c r="K867" s="4">
        <f t="shared" si="1051"/>
        <v>0.94086633378542028</v>
      </c>
      <c r="L867" s="4">
        <f t="shared" ref="L867:O867" si="1052">IFERROR(L834/L793,"-")</f>
        <v>0.94340035019487489</v>
      </c>
      <c r="M867" s="4">
        <f t="shared" si="1052"/>
        <v>0.94714296321837366</v>
      </c>
      <c r="N867" s="4">
        <f t="shared" si="1052"/>
        <v>0.94652595808802276</v>
      </c>
      <c r="O867" s="4">
        <f t="shared" si="1052"/>
        <v>0.94666387578438571</v>
      </c>
      <c r="P867" s="4">
        <f t="shared" ref="P867:Q876" si="1053">IFERROR(P834/P793,"-")</f>
        <v>0.94631752151735482</v>
      </c>
      <c r="Q867" s="4">
        <f t="shared" si="1053"/>
        <v>0.94684409770433275</v>
      </c>
      <c r="S867" s="3"/>
    </row>
    <row r="868" spans="2:19" x14ac:dyDescent="0.5">
      <c r="B868" s="5" t="str">
        <f t="shared" si="1035"/>
        <v>SPS1</v>
      </c>
      <c r="C868" s="5" t="str">
        <f t="shared" si="1036"/>
        <v>CH</v>
      </c>
      <c r="D868" t="s">
        <v>2079</v>
      </c>
      <c r="E868" t="s">
        <v>240</v>
      </c>
      <c r="F868" s="4">
        <f t="shared" ref="F868:K876" si="1054">IFERROR(F835/F794,"-")</f>
        <v>1.2041307546633184</v>
      </c>
      <c r="G868" s="4">
        <f t="shared" si="1054"/>
        <v>0.95200354424722333</v>
      </c>
      <c r="H868" s="4">
        <f t="shared" si="1054"/>
        <v>0.93521872326654065</v>
      </c>
      <c r="I868" s="4">
        <f t="shared" si="1054"/>
        <v>1.0171392460327182</v>
      </c>
      <c r="J868" s="4">
        <f t="shared" si="1054"/>
        <v>0.93757755680356192</v>
      </c>
      <c r="K868" s="4">
        <f t="shared" si="1054"/>
        <v>0.94086633378542017</v>
      </c>
      <c r="L868" s="4">
        <f t="shared" ref="L868:O868" si="1055">IFERROR(L835/L794,"-")</f>
        <v>0.943400350194875</v>
      </c>
      <c r="M868" s="4">
        <f t="shared" si="1055"/>
        <v>0.94714296321837366</v>
      </c>
      <c r="N868" s="4">
        <f t="shared" si="1055"/>
        <v>0.94652595808802253</v>
      </c>
      <c r="O868" s="4">
        <f t="shared" si="1055"/>
        <v>0.94666387578438582</v>
      </c>
      <c r="P868" s="4">
        <f t="shared" si="1053"/>
        <v>0.94631752151735482</v>
      </c>
      <c r="Q868" s="4">
        <f t="shared" si="1053"/>
        <v>0.94684409770433298</v>
      </c>
      <c r="S868" s="3"/>
    </row>
    <row r="869" spans="2:19" x14ac:dyDescent="0.5">
      <c r="B869" s="5" t="str">
        <f t="shared" si="1035"/>
        <v>SPS1</v>
      </c>
      <c r="C869" s="5" t="str">
        <f t="shared" si="1036"/>
        <v>CH</v>
      </c>
      <c r="D869" t="s">
        <v>2080</v>
      </c>
      <c r="E869" t="s">
        <v>240</v>
      </c>
      <c r="F869" s="4" t="str">
        <f t="shared" si="1054"/>
        <v>-</v>
      </c>
      <c r="G869" s="4" t="str">
        <f t="shared" si="1054"/>
        <v>-</v>
      </c>
      <c r="H869" s="4" t="str">
        <f t="shared" si="1054"/>
        <v>-</v>
      </c>
      <c r="I869" s="4" t="str">
        <f t="shared" si="1054"/>
        <v>-</v>
      </c>
      <c r="J869" s="4" t="str">
        <f t="shared" si="1054"/>
        <v>-</v>
      </c>
      <c r="K869" s="4" t="str">
        <f t="shared" si="1054"/>
        <v>-</v>
      </c>
      <c r="L869" s="4" t="str">
        <f t="shared" ref="L869:O869" si="1056">IFERROR(L836/L795,"-")</f>
        <v>-</v>
      </c>
      <c r="M869" s="4" t="str">
        <f t="shared" si="1056"/>
        <v>-</v>
      </c>
      <c r="N869" s="4" t="str">
        <f t="shared" si="1056"/>
        <v>-</v>
      </c>
      <c r="O869" s="4" t="str">
        <f t="shared" si="1056"/>
        <v>-</v>
      </c>
      <c r="P869" s="4" t="str">
        <f t="shared" si="1053"/>
        <v>-</v>
      </c>
      <c r="Q869" s="4" t="str">
        <f t="shared" si="1053"/>
        <v>-</v>
      </c>
      <c r="S869" s="3"/>
    </row>
    <row r="870" spans="2:19" x14ac:dyDescent="0.5">
      <c r="B870" s="5" t="str">
        <f t="shared" si="1035"/>
        <v>SPS1</v>
      </c>
      <c r="C870" s="5" t="str">
        <f t="shared" si="1036"/>
        <v>CH</v>
      </c>
      <c r="D870" t="s">
        <v>2081</v>
      </c>
      <c r="E870" t="s">
        <v>240</v>
      </c>
      <c r="F870" s="4" t="str">
        <f t="shared" si="1054"/>
        <v>-</v>
      </c>
      <c r="G870" s="4" t="str">
        <f t="shared" si="1054"/>
        <v>-</v>
      </c>
      <c r="H870" s="4" t="str">
        <f t="shared" si="1054"/>
        <v>-</v>
      </c>
      <c r="I870" s="4">
        <f t="shared" si="1054"/>
        <v>1.017139246032718</v>
      </c>
      <c r="J870" s="4">
        <f t="shared" si="1054"/>
        <v>0.93757755680356203</v>
      </c>
      <c r="K870" s="4">
        <f t="shared" si="1054"/>
        <v>0.94086633378542028</v>
      </c>
      <c r="L870" s="4">
        <f t="shared" ref="L870:O870" si="1057">IFERROR(L837/L796,"-")</f>
        <v>0.943400350194875</v>
      </c>
      <c r="M870" s="4">
        <f t="shared" si="1057"/>
        <v>0.94714296321837366</v>
      </c>
      <c r="N870" s="4">
        <f t="shared" si="1057"/>
        <v>0.94652595808802276</v>
      </c>
      <c r="O870" s="4">
        <f t="shared" si="1057"/>
        <v>0.94666387578438582</v>
      </c>
      <c r="P870" s="4">
        <f t="shared" si="1053"/>
        <v>0.94631752151735493</v>
      </c>
      <c r="Q870" s="4">
        <f t="shared" si="1053"/>
        <v>0.94684409770433287</v>
      </c>
      <c r="S870" s="3"/>
    </row>
    <row r="871" spans="2:19" x14ac:dyDescent="0.5">
      <c r="B871" s="5" t="str">
        <f t="shared" si="1035"/>
        <v>SPS1</v>
      </c>
      <c r="C871" s="5" t="str">
        <f t="shared" si="1036"/>
        <v>CH</v>
      </c>
      <c r="D871" t="s">
        <v>2082</v>
      </c>
      <c r="E871" t="s">
        <v>240</v>
      </c>
      <c r="F871" s="4">
        <f t="shared" si="1054"/>
        <v>1.2041307546633184</v>
      </c>
      <c r="G871" s="4">
        <f t="shared" si="1054"/>
        <v>0.95200354424722322</v>
      </c>
      <c r="H871" s="4">
        <f t="shared" si="1054"/>
        <v>0.93521872326654054</v>
      </c>
      <c r="I871" s="4">
        <f t="shared" si="1054"/>
        <v>1.0171392460327182</v>
      </c>
      <c r="J871" s="4">
        <f t="shared" si="1054"/>
        <v>0.93757755680356192</v>
      </c>
      <c r="K871" s="4">
        <f t="shared" si="1054"/>
        <v>0.94086633378542017</v>
      </c>
      <c r="L871" s="4">
        <f t="shared" ref="L871:O871" si="1058">IFERROR(L838/L797,"-")</f>
        <v>0.943400350194875</v>
      </c>
      <c r="M871" s="4">
        <f t="shared" si="1058"/>
        <v>0.94714296321837355</v>
      </c>
      <c r="N871" s="4">
        <f t="shared" si="1058"/>
        <v>0.94652595808802265</v>
      </c>
      <c r="O871" s="4">
        <f t="shared" si="1058"/>
        <v>0.94666387578438571</v>
      </c>
      <c r="P871" s="4">
        <f t="shared" si="1053"/>
        <v>0.94631752151735493</v>
      </c>
      <c r="Q871" s="4">
        <f t="shared" si="1053"/>
        <v>0.94684409770433287</v>
      </c>
      <c r="S871" s="3"/>
    </row>
    <row r="872" spans="2:19" x14ac:dyDescent="0.5">
      <c r="B872" s="5" t="str">
        <f t="shared" si="1035"/>
        <v>SPS1</v>
      </c>
      <c r="C872" s="5" t="str">
        <f t="shared" si="1036"/>
        <v>CH</v>
      </c>
      <c r="D872" t="s">
        <v>2083</v>
      </c>
      <c r="E872" t="s">
        <v>240</v>
      </c>
      <c r="F872" s="4" t="str">
        <f t="shared" si="1054"/>
        <v>-</v>
      </c>
      <c r="G872" s="4" t="str">
        <f t="shared" si="1054"/>
        <v>-</v>
      </c>
      <c r="H872" s="4" t="str">
        <f t="shared" si="1054"/>
        <v>-</v>
      </c>
      <c r="I872" s="4" t="str">
        <f t="shared" si="1054"/>
        <v>-</v>
      </c>
      <c r="J872" s="4" t="str">
        <f t="shared" si="1054"/>
        <v>-</v>
      </c>
      <c r="K872" s="4" t="str">
        <f t="shared" si="1054"/>
        <v>-</v>
      </c>
      <c r="L872" s="4" t="str">
        <f t="shared" ref="L872:O872" si="1059">IFERROR(L839/L798,"-")</f>
        <v>-</v>
      </c>
      <c r="M872" s="4" t="str">
        <f t="shared" si="1059"/>
        <v>-</v>
      </c>
      <c r="N872" s="4" t="str">
        <f t="shared" si="1059"/>
        <v>-</v>
      </c>
      <c r="O872" s="4" t="str">
        <f t="shared" si="1059"/>
        <v>-</v>
      </c>
      <c r="P872" s="4" t="str">
        <f t="shared" si="1053"/>
        <v>-</v>
      </c>
      <c r="Q872" s="4" t="str">
        <f t="shared" si="1053"/>
        <v>-</v>
      </c>
      <c r="S872" s="3"/>
    </row>
    <row r="873" spans="2:19" x14ac:dyDescent="0.5">
      <c r="B873" s="5" t="str">
        <f t="shared" si="1035"/>
        <v>SPS1</v>
      </c>
      <c r="C873" s="5" t="str">
        <f t="shared" si="1036"/>
        <v>CH</v>
      </c>
      <c r="D873" t="s">
        <v>2084</v>
      </c>
      <c r="E873" t="s">
        <v>240</v>
      </c>
      <c r="F873" s="4">
        <f t="shared" si="1054"/>
        <v>1.2041307546633182</v>
      </c>
      <c r="G873" s="4">
        <f t="shared" si="1054"/>
        <v>0.95200354424722322</v>
      </c>
      <c r="H873" s="4">
        <f t="shared" si="1054"/>
        <v>0.93521872326654054</v>
      </c>
      <c r="I873" s="4">
        <f t="shared" si="1054"/>
        <v>1.0171392460327182</v>
      </c>
      <c r="J873" s="4">
        <f t="shared" si="1054"/>
        <v>0.93757755680356181</v>
      </c>
      <c r="K873" s="4">
        <f t="shared" si="1054"/>
        <v>0.94086633378542017</v>
      </c>
      <c r="L873" s="4">
        <f t="shared" ref="L873:O873" si="1060">IFERROR(L840/L799,"-")</f>
        <v>0.94340035019487489</v>
      </c>
      <c r="M873" s="4">
        <f t="shared" si="1060"/>
        <v>0.94714296321837366</v>
      </c>
      <c r="N873" s="4">
        <f t="shared" si="1060"/>
        <v>0.94652595808802276</v>
      </c>
      <c r="O873" s="4">
        <f t="shared" si="1060"/>
        <v>0.94666387578438582</v>
      </c>
      <c r="P873" s="4">
        <f t="shared" si="1053"/>
        <v>0.94631752151735482</v>
      </c>
      <c r="Q873" s="4">
        <f t="shared" si="1053"/>
        <v>0.94684409770433287</v>
      </c>
      <c r="S873" s="3"/>
    </row>
    <row r="874" spans="2:19" x14ac:dyDescent="0.5">
      <c r="B874" s="5" t="str">
        <f t="shared" si="1035"/>
        <v>SPS1</v>
      </c>
      <c r="C874" s="5" t="str">
        <f t="shared" si="1036"/>
        <v>CH</v>
      </c>
      <c r="D874" t="s">
        <v>2085</v>
      </c>
      <c r="E874" t="s">
        <v>240</v>
      </c>
      <c r="F874" s="4" t="str">
        <f t="shared" si="1054"/>
        <v>-</v>
      </c>
      <c r="G874" s="4" t="str">
        <f t="shared" si="1054"/>
        <v>-</v>
      </c>
      <c r="H874" s="4" t="str">
        <f t="shared" si="1054"/>
        <v>-</v>
      </c>
      <c r="I874" s="4" t="str">
        <f t="shared" si="1054"/>
        <v>-</v>
      </c>
      <c r="J874" s="4" t="str">
        <f t="shared" si="1054"/>
        <v>-</v>
      </c>
      <c r="K874" s="4" t="str">
        <f t="shared" si="1054"/>
        <v>-</v>
      </c>
      <c r="L874" s="4" t="str">
        <f t="shared" ref="L874:O874" si="1061">IFERROR(L841/L800,"-")</f>
        <v>-</v>
      </c>
      <c r="M874" s="4" t="str">
        <f t="shared" si="1061"/>
        <v>-</v>
      </c>
      <c r="N874" s="4" t="str">
        <f t="shared" si="1061"/>
        <v>-</v>
      </c>
      <c r="O874" s="4" t="str">
        <f t="shared" si="1061"/>
        <v>-</v>
      </c>
      <c r="P874" s="4" t="str">
        <f t="shared" si="1053"/>
        <v>-</v>
      </c>
      <c r="Q874" s="4" t="str">
        <f t="shared" si="1053"/>
        <v>-</v>
      </c>
      <c r="S874" s="3"/>
    </row>
    <row r="875" spans="2:19" x14ac:dyDescent="0.5">
      <c r="B875" s="5" t="str">
        <f t="shared" si="1035"/>
        <v>SPS1</v>
      </c>
      <c r="C875" s="5" t="str">
        <f t="shared" si="1036"/>
        <v>CH</v>
      </c>
      <c r="D875" t="s">
        <v>2086</v>
      </c>
      <c r="E875" t="s">
        <v>240</v>
      </c>
      <c r="F875" s="4" t="str">
        <f t="shared" si="1054"/>
        <v>-</v>
      </c>
      <c r="G875" s="4" t="str">
        <f t="shared" si="1054"/>
        <v>-</v>
      </c>
      <c r="H875" s="4" t="str">
        <f t="shared" si="1054"/>
        <v>-</v>
      </c>
      <c r="I875" s="4">
        <f t="shared" si="1054"/>
        <v>1.0171392460327182</v>
      </c>
      <c r="J875" s="4">
        <f t="shared" si="1054"/>
        <v>0.93757755680356192</v>
      </c>
      <c r="K875" s="4">
        <f t="shared" si="1054"/>
        <v>0.94086633378542028</v>
      </c>
      <c r="L875" s="4">
        <f t="shared" ref="L875:O875" si="1062">IFERROR(L842/L801,"-")</f>
        <v>0.94340035019487478</v>
      </c>
      <c r="M875" s="4">
        <f t="shared" si="1062"/>
        <v>0.94714296321837355</v>
      </c>
      <c r="N875" s="4">
        <f t="shared" si="1062"/>
        <v>0.94652595808802276</v>
      </c>
      <c r="O875" s="4">
        <f t="shared" si="1062"/>
        <v>0.94666387578438582</v>
      </c>
      <c r="P875" s="4">
        <f t="shared" si="1053"/>
        <v>0.94631752151735482</v>
      </c>
      <c r="Q875" s="4">
        <f t="shared" si="1053"/>
        <v>0.94684409770433287</v>
      </c>
      <c r="S875" s="3"/>
    </row>
    <row r="876" spans="2:19" x14ac:dyDescent="0.5">
      <c r="B876" s="5" t="str">
        <f t="shared" si="1035"/>
        <v>SPS1</v>
      </c>
      <c r="C876" s="5" t="str">
        <f t="shared" si="1036"/>
        <v>CH</v>
      </c>
      <c r="D876" t="s">
        <v>2087</v>
      </c>
      <c r="E876" t="s">
        <v>240</v>
      </c>
      <c r="F876" s="4">
        <f t="shared" si="1054"/>
        <v>0.92447626236575109</v>
      </c>
      <c r="G876" s="4">
        <f t="shared" si="1054"/>
        <v>0.9264563641282717</v>
      </c>
      <c r="H876" s="4">
        <f t="shared" si="1054"/>
        <v>0.92942651677205368</v>
      </c>
      <c r="I876" s="4">
        <f t="shared" si="1054"/>
        <v>0.93437677117835882</v>
      </c>
      <c r="J876" s="4">
        <f t="shared" si="1054"/>
        <v>0.9393270255846623</v>
      </c>
      <c r="K876" s="4">
        <f>IFERROR(K843/K802,"-")</f>
        <v>0.94427727999096644</v>
      </c>
      <c r="L876" s="4">
        <f t="shared" ref="L876:O876" si="1063">IFERROR(L843/L802,"-")</f>
        <v>0.94713863999548287</v>
      </c>
      <c r="M876" s="4">
        <f t="shared" si="1063"/>
        <v>0.9499999999999994</v>
      </c>
      <c r="N876" s="4">
        <f t="shared" si="1063"/>
        <v>0.95000000000000073</v>
      </c>
      <c r="O876" s="4">
        <f t="shared" si="1063"/>
        <v>0.94999999999999918</v>
      </c>
      <c r="P876" s="4">
        <f t="shared" si="1053"/>
        <v>0.94999999999999918</v>
      </c>
      <c r="Q876" s="4">
        <f t="shared" si="1053"/>
        <v>0.95000000000000051</v>
      </c>
      <c r="S876" s="3"/>
    </row>
    <row r="877" spans="2:19" x14ac:dyDescent="0.5">
      <c r="B877" s="5" t="str">
        <f t="shared" si="1035"/>
        <v>SPS1</v>
      </c>
      <c r="C877" s="5" t="str">
        <f t="shared" si="1036"/>
        <v>CH</v>
      </c>
      <c r="D877" t="s">
        <v>2088</v>
      </c>
      <c r="E877" t="s">
        <v>240</v>
      </c>
      <c r="F877" s="4">
        <f>IFERROR(F845/F804,"-")</f>
        <v>0.58999999999999986</v>
      </c>
      <c r="G877" s="4">
        <f t="shared" ref="G877:K877" si="1064">IFERROR(G845/G804,"-")</f>
        <v>0.59066666666666678</v>
      </c>
      <c r="H877" s="4">
        <f t="shared" si="1064"/>
        <v>0.59166666666666645</v>
      </c>
      <c r="I877" s="4">
        <f t="shared" si="1064"/>
        <v>0.59333333333333338</v>
      </c>
      <c r="J877" s="4">
        <f t="shared" si="1064"/>
        <v>0.59499999999999975</v>
      </c>
      <c r="K877" s="4">
        <f t="shared" si="1064"/>
        <v>0.59666666666666712</v>
      </c>
      <c r="L877" s="4">
        <f t="shared" ref="L877:O877" si="1065">IFERROR(L845/L804,"-")</f>
        <v>0.59833333333333316</v>
      </c>
      <c r="M877" s="4">
        <f t="shared" si="1065"/>
        <v>0.59999999999999987</v>
      </c>
      <c r="N877" s="4">
        <f t="shared" si="1065"/>
        <v>0.6</v>
      </c>
      <c r="O877" s="4">
        <f t="shared" si="1065"/>
        <v>0.60000000000000042</v>
      </c>
      <c r="P877" s="4">
        <f>IFERROR(P845/P804,"-")</f>
        <v>0.59999999999999976</v>
      </c>
      <c r="Q877" s="4">
        <f>IFERROR(Q845/Q804,"-")</f>
        <v>0.60000000000000053</v>
      </c>
      <c r="S877" s="3"/>
    </row>
    <row r="878" spans="2:19" x14ac:dyDescent="0.5">
      <c r="B878" s="5" t="str">
        <f t="shared" si="1035"/>
        <v>SPS1</v>
      </c>
      <c r="C878" s="5" t="str">
        <f t="shared" si="1036"/>
        <v>CH</v>
      </c>
      <c r="D878" t="s">
        <v>2089</v>
      </c>
      <c r="E878" t="s">
        <v>240</v>
      </c>
      <c r="F878" s="4">
        <f>IFERROR(F847/F806,"-")</f>
        <v>0.73750000000000027</v>
      </c>
      <c r="G878" s="4">
        <f t="shared" ref="G878:K878" si="1066">IFERROR(G847/G806,"-")</f>
        <v>0.73833333333333273</v>
      </c>
      <c r="H878" s="4">
        <f t="shared" si="1066"/>
        <v>0.73958333333333348</v>
      </c>
      <c r="I878" s="4">
        <f t="shared" si="1066"/>
        <v>0.74166666666666603</v>
      </c>
      <c r="J878" s="4">
        <f t="shared" si="1066"/>
        <v>0.74374999999999958</v>
      </c>
      <c r="K878" s="4">
        <f t="shared" si="1066"/>
        <v>0.74583333333333235</v>
      </c>
      <c r="L878" s="4">
        <f t="shared" ref="L878:O878" si="1067">IFERROR(L847/L806,"-")</f>
        <v>0.74791666666666667</v>
      </c>
      <c r="M878" s="4">
        <f t="shared" si="1067"/>
        <v>0.75000000000000022</v>
      </c>
      <c r="N878" s="4">
        <f t="shared" si="1067"/>
        <v>0.74999999999999967</v>
      </c>
      <c r="O878" s="4">
        <f t="shared" si="1067"/>
        <v>0.74999999999999967</v>
      </c>
      <c r="P878" s="4">
        <f>IFERROR(P847/P806,"-")</f>
        <v>0.74999999999999978</v>
      </c>
      <c r="Q878" s="4">
        <f>IFERROR(Q847/Q806,"-")</f>
        <v>0.74999999999999944</v>
      </c>
      <c r="S878" s="3"/>
    </row>
    <row r="879" spans="2:19" x14ac:dyDescent="0.5">
      <c r="B879" s="5" t="str">
        <f t="shared" si="1035"/>
        <v>SPS1</v>
      </c>
      <c r="C879" s="5" t="str">
        <f t="shared" si="1036"/>
        <v>CH</v>
      </c>
      <c r="D879" t="s">
        <v>2090</v>
      </c>
      <c r="E879" t="s">
        <v>240</v>
      </c>
      <c r="F879" s="4">
        <f>IFERROR(F849/F808,"-")</f>
        <v>0.52800000000000014</v>
      </c>
      <c r="G879" s="4">
        <f t="shared" ref="G879:K879" si="1068">IFERROR(G849/G808,"-")</f>
        <v>0.52799999999999958</v>
      </c>
      <c r="H879" s="4">
        <f t="shared" si="1068"/>
        <v>0.52799999999999958</v>
      </c>
      <c r="I879" s="4">
        <f t="shared" si="1068"/>
        <v>0.52800000000000014</v>
      </c>
      <c r="J879" s="4">
        <f t="shared" si="1068"/>
        <v>0.52800000000000025</v>
      </c>
      <c r="K879" s="4">
        <f t="shared" si="1068"/>
        <v>0.52799999999999969</v>
      </c>
      <c r="L879" s="4">
        <f t="shared" ref="L879:O879" si="1069">IFERROR(L849/L808,"-")</f>
        <v>0.53600000000000003</v>
      </c>
      <c r="M879" s="4">
        <f t="shared" si="1069"/>
        <v>0.54400000000000015</v>
      </c>
      <c r="N879" s="4">
        <f t="shared" si="1069"/>
        <v>0.54399999999999993</v>
      </c>
      <c r="O879" s="4">
        <f t="shared" si="1069"/>
        <v>0.54399999999999982</v>
      </c>
      <c r="P879" s="4">
        <f>IFERROR(P849/P808,"-")</f>
        <v>0.54399999999999971</v>
      </c>
      <c r="Q879" s="4">
        <f>IFERROR(Q849/Q808,"-")</f>
        <v>0.54400000000000004</v>
      </c>
      <c r="S879" s="3"/>
    </row>
    <row r="880" spans="2:19" x14ac:dyDescent="0.5">
      <c r="B880" s="5" t="str">
        <f t="shared" si="1035"/>
        <v>SPS1</v>
      </c>
      <c r="C880" s="5" t="str">
        <f t="shared" si="1036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70">IFERROR(G851/G812,"-")</f>
        <v>1</v>
      </c>
      <c r="H880" s="4">
        <f t="shared" si="1070"/>
        <v>1</v>
      </c>
      <c r="I880" s="4">
        <f t="shared" si="1070"/>
        <v>1</v>
      </c>
      <c r="J880" s="4">
        <f t="shared" si="1070"/>
        <v>1</v>
      </c>
      <c r="K880" s="4">
        <f t="shared" si="1070"/>
        <v>1</v>
      </c>
      <c r="L880" s="4">
        <f t="shared" ref="L880:O880" si="1071">IFERROR(L851/L812,"-")</f>
        <v>1</v>
      </c>
      <c r="M880" s="4">
        <f t="shared" si="1071"/>
        <v>1</v>
      </c>
      <c r="N880" s="4">
        <f t="shared" si="1071"/>
        <v>1</v>
      </c>
      <c r="O880" s="4">
        <f t="shared" si="1071"/>
        <v>1</v>
      </c>
      <c r="P880" s="4">
        <f>IFERROR(P851/P812,"-")</f>
        <v>1</v>
      </c>
      <c r="Q880" s="4">
        <f>IFERROR(Q851/Q812,"-")</f>
        <v>1</v>
      </c>
      <c r="S880" s="3"/>
    </row>
    <row r="881" spans="2:19" x14ac:dyDescent="0.5">
      <c r="B881" s="5" t="str">
        <f t="shared" si="1035"/>
        <v>SPS1</v>
      </c>
      <c r="C881" s="5" t="str">
        <f t="shared" si="1036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72">IFERROR(G853/G814,"-")</f>
        <v>-</v>
      </c>
      <c r="H881" s="4" t="str">
        <f t="shared" si="1072"/>
        <v>-</v>
      </c>
      <c r="I881" s="4">
        <f t="shared" si="1072"/>
        <v>0.17201676818451139</v>
      </c>
      <c r="J881" s="4">
        <f t="shared" si="1072"/>
        <v>0.28752913919116008</v>
      </c>
      <c r="K881" s="4">
        <f t="shared" si="1072"/>
        <v>0.24090700923072192</v>
      </c>
      <c r="L881" s="4">
        <f t="shared" ref="L881:O881" si="1073">IFERROR(L853/L814,"-")</f>
        <v>0.25562041079495501</v>
      </c>
      <c r="M881" s="4">
        <f t="shared" si="1073"/>
        <v>0.25990113845496032</v>
      </c>
      <c r="N881" s="4">
        <f t="shared" si="1073"/>
        <v>0.30707750291941827</v>
      </c>
      <c r="O881" s="4">
        <f t="shared" si="1073"/>
        <v>0.30202355174043843</v>
      </c>
      <c r="P881" s="4">
        <f>IFERROR(P853/P814,"-")</f>
        <v>0.2972306454971288</v>
      </c>
      <c r="Q881" s="4">
        <f>IFERROR(Q853/Q814,"-")</f>
        <v>0.31678081225764432</v>
      </c>
      <c r="S881" s="3"/>
    </row>
    <row r="882" spans="2:19" x14ac:dyDescent="0.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74">F883+F887+F894+F905+F913+F915+F917+F919+F923</f>
        <v>140.1011753367508</v>
      </c>
      <c r="G882" s="17">
        <f t="shared" si="1074"/>
        <v>139.66495179573135</v>
      </c>
      <c r="H882" s="17">
        <f t="shared" si="1074"/>
        <v>141.58365689154908</v>
      </c>
      <c r="I882" s="17">
        <f t="shared" si="1074"/>
        <v>139.73507119091744</v>
      </c>
      <c r="J882" s="17">
        <f t="shared" si="1074"/>
        <v>135.82110543060043</v>
      </c>
      <c r="K882" s="17">
        <f t="shared" si="1074"/>
        <v>132.4841064070761</v>
      </c>
      <c r="L882" s="17">
        <f t="shared" ref="L882:O882" si="1075">L883+L887+L894+L905+L913+L915+L917+L919+L923</f>
        <v>128.06387844468631</v>
      </c>
      <c r="M882" s="17">
        <f t="shared" si="1075"/>
        <v>123.57532374635568</v>
      </c>
      <c r="N882" s="17">
        <f t="shared" si="1075"/>
        <v>122.92321680219371</v>
      </c>
      <c r="O882" s="17">
        <f t="shared" si="1075"/>
        <v>122.19817264505048</v>
      </c>
      <c r="P882" s="17">
        <f>P883+P887+P894+P905+P913+P915+P917+P919+P923</f>
        <v>121.35339577466057</v>
      </c>
      <c r="Q882" s="17">
        <f>Q883+Q887+Q894+Q905+Q913+Q915+Q917+Q919+Q923</f>
        <v>119.25481649417564</v>
      </c>
      <c r="S882" s="3"/>
    </row>
    <row r="883" spans="2:19" x14ac:dyDescent="0.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60.950028078853997</v>
      </c>
      <c r="G883" s="1">
        <f>[1]Services!C$11</f>
        <v>60.52697175826416</v>
      </c>
      <c r="H883" s="1">
        <f>[1]Services!D$11</f>
        <v>65.448473923713891</v>
      </c>
      <c r="I883" s="1">
        <f>[1]Services!E$11</f>
        <v>65.719398100981294</v>
      </c>
      <c r="J883" s="1">
        <f>[1]Services!F$11</f>
        <v>65.65877209754629</v>
      </c>
      <c r="K883" s="1">
        <f>[1]Services!G$11</f>
        <v>65.770861436029776</v>
      </c>
      <c r="L883" s="1">
        <f>[1]Services!H$11</f>
        <v>65.010815519478527</v>
      </c>
      <c r="M883" s="1">
        <f>[1]Services!I$11</f>
        <v>64.293910937324853</v>
      </c>
      <c r="N883" s="1">
        <f>[1]Services!J$11</f>
        <v>65.467747511493982</v>
      </c>
      <c r="O883" s="1">
        <f>[1]Services!K$11</f>
        <v>66.427547367592226</v>
      </c>
      <c r="P883" s="1">
        <f>[1]Services!L$11</f>
        <v>67.387953706683561</v>
      </c>
      <c r="Q883" s="1">
        <f>[1]Services!M$11</f>
        <v>68.286289479538439</v>
      </c>
      <c r="S883" s="3"/>
    </row>
    <row r="884" spans="2:19" x14ac:dyDescent="0.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2.6236168738097607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0.39987238587427149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2.4486384985905141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2.1209112365246394</v>
      </c>
      <c r="J884" s="1" cm="1">
        <f t="array" ref="J884">SUMPRODUCT(([1]OUT_FinalEnergyCons!$B$4:$B$10000="Var_Fin")*1, ISNUMBER(SEARCH("SCOM_ELC",[1]OUT_FinalEnergyCons!$C$4:$C$10000))*1, (ISNUMBER(SEARCH("SCOM-SHELCBR",[1]OUT_FinalEnergyCons!$A$4:$A$10000)))*1,[1]OUT_FinalEnergyCons!H$4:H$10000)</f>
        <v>1.7718666734048951</v>
      </c>
      <c r="K884" s="1" cm="1">
        <f t="array" ref="K884">SUMPRODUCT(([1]OUT_FinalEnergyCons!$B$4:$B$10000="Var_Fin")*1, ISNUMBER(SEARCH("SCOM_ELC",[1]OUT_FinalEnergyCons!$C$4:$C$10000))*1, (ISNUMBER(SEARCH("SCOM-SHELCBR",[1]OUT_FinalEnergyCons!$A$4:$A$10000)))*1,[1]OUT_FinalEnergyCons!I$4:I$10000)</f>
        <v>1.4452826016147089</v>
      </c>
      <c r="L884" s="1" cm="1">
        <f t="array" ref="L884">SUMPRODUCT(([1]OUT_FinalEnergyCons!$B$4:$B$10000="Var_Fin")*1, ISNUMBER(SEARCH("SCOM_ELC",[1]OUT_FinalEnergyCons!$C$4:$C$10000))*1, (ISNUMBER(SEARCH("SCOM-SHELCBR",[1]OUT_FinalEnergyCons!$A$4:$A$10000)))*1,[1]OUT_FinalEnergyCons!J$4:J$10000)</f>
        <v>1.1349436061381484</v>
      </c>
      <c r="M884" s="1" cm="1">
        <f t="array" ref="M884">SUMPRODUCT(([1]OUT_FinalEnergyCons!$B$4:$B$10000="Var_Fin")*1, ISNUMBER(SEARCH("SCOM_ELC",[1]OUT_FinalEnergyCons!$C$4:$C$10000))*1, (ISNUMBER(SEARCH("SCOM-SHELCBR",[1]OUT_FinalEnergyCons!$A$4:$A$10000)))*1,[1]OUT_FinalEnergyCons!K$4:K$10000)</f>
        <v>0.85297237817841232</v>
      </c>
      <c r="N884" s="1" cm="1">
        <f t="array" ref="N884">SUMPRODUCT(([1]OUT_FinalEnergyCons!$B$4:$B$10000="Var_Fin")*1, ISNUMBER(SEARCH("SCOM_ELC",[1]OUT_FinalEnergyCons!$C$4:$C$10000))*1, (ISNUMBER(SEARCH("SCOM-SHELCBR",[1]OUT_FinalEnergyCons!$A$4:$A$10000)))*1,[1]OUT_FinalEnergyCons!L$4:L$10000)</f>
        <v>0.83242366238407695</v>
      </c>
      <c r="O884" s="1" cm="1">
        <f t="array" ref="O884">SUMPRODUCT(([1]OUT_FinalEnergyCons!$B$4:$B$10000="Var_Fin")*1, ISNUMBER(SEARCH("SCOM_ELC",[1]OUT_FinalEnergyCons!$C$4:$C$10000))*1, (ISNUMBER(SEARCH("SCOM-SHELCBR",[1]OUT_FinalEnergyCons!$A$4:$A$10000)))*1,[1]OUT_FinalEnergyCons!M$4:M$10000)</f>
        <v>0.81301939805300305</v>
      </c>
      <c r="P884" s="1" cm="1">
        <f t="array" ref="P884">SUMPRODUCT(([1]OUT_FinalEnergyCons!$B$4:$B$10000="Var_Fin")*1, ISNUMBER(SEARCH("SCOM_ELC",[1]OUT_FinalEnergyCons!$C$4:$C$10000))*1, (ISNUMBER(SEARCH("SCOM-SHELCBR",[1]OUT_FinalEnergyCons!$A$4:$A$10000)))*1,[1]OUT_FinalEnergyCons!N$4:N$10000)</f>
        <v>0.79537079831380653</v>
      </c>
      <c r="Q884" s="1" cm="1">
        <f t="array" ref="Q884">SUMPRODUCT(([1]OUT_FinalEnergyCons!$B$4:$B$10000="Var_Fin")*1, ISNUMBER(SEARCH("SCOM_ELC",[1]OUT_FinalEnergyCons!$C$4:$C$10000))*1, (ISNUMBER(SEARCH("SCOM-SHELCBR",[1]OUT_FinalEnergyCons!$A$4:$A$10000)))*1,[1]OUT_FinalEnergyCons!O$4:O$10000)</f>
        <v>0.76037205306015176</v>
      </c>
      <c r="S884" s="3"/>
    </row>
    <row r="885" spans="2:19" x14ac:dyDescent="0.5">
      <c r="B885" s="5" t="str">
        <f t="shared" ref="B885:B924" si="1076">B884</f>
        <v>SPS1</v>
      </c>
      <c r="C885" s="5" t="str">
        <f t="shared" ref="C885:C924" si="1077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1.3316366301317961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1.4252048469915946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1.4615529526402338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1.5283888362492664</v>
      </c>
      <c r="J885" s="1" cm="1">
        <f t="array" ref="J885">SUMPRODUCT(([1]OUT_FinalEnergyCons!$B$4:$B$10000="Var_Fin")*1, ISNUMBER(SEARCH("SCOM_ELC",[1]OUT_FinalEnergyCons!$C$4:$C$10000))*1,(ISNUMBER(SEARCH("SCOM-SHELCHP",[1]OUT_FinalEnergyCons!$A$4:$A$10000)))*1,[1]OUT_FinalEnergyCons!H$4:H$10000)</f>
        <v>1.5942882460260754</v>
      </c>
      <c r="K885" s="1" cm="1">
        <f t="array" ref="K885">SUMPRODUCT(([1]OUT_FinalEnergyCons!$B$4:$B$10000="Var_Fin")*1, ISNUMBER(SEARCH("SCOM_ELC",[1]OUT_FinalEnergyCons!$C$4:$C$10000))*1,(ISNUMBER(SEARCH("SCOM-SHELCHP",[1]OUT_FinalEnergyCons!$A$4:$A$10000)))*1,[1]OUT_FinalEnergyCons!I$4:I$10000)</f>
        <v>1.6673656409182189</v>
      </c>
      <c r="L885" s="1" cm="1">
        <f t="array" ref="L885">SUMPRODUCT(([1]OUT_FinalEnergyCons!$B$4:$B$10000="Var_Fin")*1, ISNUMBER(SEARCH("SCOM_ELC",[1]OUT_FinalEnergyCons!$C$4:$C$10000))*1,(ISNUMBER(SEARCH("SCOM-SHELCHP",[1]OUT_FinalEnergyCons!$A$4:$A$10000)))*1,[1]OUT_FinalEnergyCons!J$4:J$10000)</f>
        <v>1.7401752911866466</v>
      </c>
      <c r="M885" s="1" cm="1">
        <f t="array" ref="M885">SUMPRODUCT(([1]OUT_FinalEnergyCons!$B$4:$B$10000="Var_Fin")*1, ISNUMBER(SEARCH("SCOM_ELC",[1]OUT_FinalEnergyCons!$C$4:$C$10000))*1,(ISNUMBER(SEARCH("SCOM-SHELCHP",[1]OUT_FinalEnergyCons!$A$4:$A$10000)))*1,[1]OUT_FinalEnergyCons!K$4:K$10000)</f>
        <v>1.8279366469571532</v>
      </c>
      <c r="N885" s="1" cm="1">
        <f t="array" ref="N885">SUMPRODUCT(([1]OUT_FinalEnergyCons!$B$4:$B$10000="Var_Fin")*1, ISNUMBER(SEARCH("SCOM_ELC",[1]OUT_FinalEnergyCons!$C$4:$C$10000))*1,(ISNUMBER(SEARCH("SCOM-SHELCHP",[1]OUT_FinalEnergyCons!$A$4:$A$10000)))*1,[1]OUT_FinalEnergyCons!L$4:L$10000)</f>
        <v>1.974571394990327</v>
      </c>
      <c r="O885" s="1" cm="1">
        <f t="array" ref="O885">SUMPRODUCT(([1]OUT_FinalEnergyCons!$B$4:$B$10000="Var_Fin")*1, ISNUMBER(SEARCH("SCOM_ELC",[1]OUT_FinalEnergyCons!$C$4:$C$10000))*1,(ISNUMBER(SEARCH("SCOM-SHELCHP",[1]OUT_FinalEnergyCons!$A$4:$A$10000)))*1,[1]OUT_FinalEnergyCons!M$4:M$10000)</f>
        <v>2.0990376919505565</v>
      </c>
      <c r="P885" s="1" cm="1">
        <f t="array" ref="P885">SUMPRODUCT(([1]OUT_FinalEnergyCons!$B$4:$B$10000="Var_Fin")*1, ISNUMBER(SEARCH("SCOM_ELC",[1]OUT_FinalEnergyCons!$C$4:$C$10000))*1,(ISNUMBER(SEARCH("SCOM-SHELCHP",[1]OUT_FinalEnergyCons!$A$4:$A$10000)))*1,[1]OUT_FinalEnergyCons!N$4:N$10000)</f>
        <v>2.2670362578736527</v>
      </c>
      <c r="Q885" s="1" cm="1">
        <f t="array" ref="Q885">SUMPRODUCT(([1]OUT_FinalEnergyCons!$B$4:$B$10000="Var_Fin")*1, ISNUMBER(SEARCH("SCOM_ELC",[1]OUT_FinalEnergyCons!$C$4:$C$10000))*1,(ISNUMBER(SEARCH("SCOM-SHELCHP",[1]OUT_FinalEnergyCons!$A$4:$A$10000)))*1,[1]OUT_FinalEnergyCons!O$4:O$10000)</f>
        <v>2.4264225612491184</v>
      </c>
      <c r="S885" s="3"/>
    </row>
    <row r="886" spans="2:19" x14ac:dyDescent="0.5">
      <c r="B886" s="5" t="str">
        <f t="shared" si="1076"/>
        <v>SPS1</v>
      </c>
      <c r="C886" s="5" t="str">
        <f t="shared" si="1077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58.701894525398295</v>
      </c>
      <c r="H886" s="1">
        <f>[1]Services!D$11-[1]Services!D$28</f>
        <v>61.538282472483147</v>
      </c>
      <c r="I886" s="1">
        <f>[1]Services!E$11-[1]Services!E$28</f>
        <v>62.07009802820739</v>
      </c>
      <c r="J886" s="1">
        <f>[1]Services!F$11-[1]Services!F$28</f>
        <v>62.292617178115322</v>
      </c>
      <c r="K886" s="1">
        <f>[1]Services!G$11-[1]Services!G$28</f>
        <v>62.658213193496849</v>
      </c>
      <c r="L886" s="1">
        <f>[1]Services!H$11-[1]Services!H$28</f>
        <v>62.135696622153731</v>
      </c>
      <c r="M886" s="1">
        <f>[1]Services!I$11-[1]Services!I$28</f>
        <v>61.61300191218929</v>
      </c>
      <c r="N886" s="1">
        <f>[1]Services!J$11-[1]Services!J$28</f>
        <v>62.660752454119582</v>
      </c>
      <c r="O886" s="1">
        <f>[1]Services!K$11-[1]Services!K$28</f>
        <v>63.515490277588668</v>
      </c>
      <c r="P886" s="1">
        <f>[1]Services!L$11-[1]Services!L$28</f>
        <v>64.325546650496108</v>
      </c>
      <c r="Q886" s="1">
        <f>[1]Services!M$11-[1]Services!M$28</f>
        <v>65.099494865229175</v>
      </c>
      <c r="S886" s="3"/>
    </row>
    <row r="887" spans="2:19" x14ac:dyDescent="0.5">
      <c r="B887" s="5" t="str">
        <f t="shared" si="1076"/>
        <v>SPS1</v>
      </c>
      <c r="C887" s="5" t="str">
        <f t="shared" si="1077"/>
        <v>CH</v>
      </c>
      <c r="D887" t="s">
        <v>499</v>
      </c>
      <c r="E887" t="s">
        <v>8</v>
      </c>
      <c r="F887" s="1">
        <f>F888</f>
        <v>30.256635401172776</v>
      </c>
      <c r="G887" s="1">
        <f t="shared" ref="G887:O887" si="1078">G888</f>
        <v>26.872849362577064</v>
      </c>
      <c r="H887" s="1">
        <f t="shared" si="1078"/>
        <v>25.420544260016154</v>
      </c>
      <c r="I887" s="1">
        <f t="shared" si="1078"/>
        <v>21.542320800924575</v>
      </c>
      <c r="J887" s="1">
        <f t="shared" si="1078"/>
        <v>16.976441614788762</v>
      </c>
      <c r="K887" s="1">
        <f t="shared" si="1078"/>
        <v>14.329797370281272</v>
      </c>
      <c r="L887" s="1">
        <f t="shared" si="1078"/>
        <v>12.901431594580515</v>
      </c>
      <c r="M887" s="1">
        <f t="shared" si="1078"/>
        <v>10.725100313837938</v>
      </c>
      <c r="N887" s="1">
        <f t="shared" si="1078"/>
        <v>8.8714655587649904</v>
      </c>
      <c r="O887" s="1">
        <f t="shared" si="1078"/>
        <v>7.3802866729451795</v>
      </c>
      <c r="P887" s="1">
        <f>P888</f>
        <v>4.0629323292930861</v>
      </c>
      <c r="Q887" s="1">
        <f>Q888</f>
        <v>1.3726714091776095</v>
      </c>
      <c r="S887" s="3"/>
    </row>
    <row r="888" spans="2:19" x14ac:dyDescent="0.5">
      <c r="B888" s="5" t="str">
        <f t="shared" si="1076"/>
        <v>SPS1</v>
      </c>
      <c r="C888" s="5" t="str">
        <f t="shared" si="1077"/>
        <v>CH</v>
      </c>
      <c r="D888" t="s">
        <v>500</v>
      </c>
      <c r="E888" t="s">
        <v>8</v>
      </c>
      <c r="F888" s="1">
        <f>SUM(F891,F893)</f>
        <v>30.256635401172776</v>
      </c>
      <c r="G888" s="1">
        <f t="shared" ref="G888:K888" si="1079">SUM(G891,G893)</f>
        <v>26.872849362577064</v>
      </c>
      <c r="H888" s="1">
        <f t="shared" si="1079"/>
        <v>25.420544260016154</v>
      </c>
      <c r="I888" s="1">
        <f t="shared" si="1079"/>
        <v>21.542320800924575</v>
      </c>
      <c r="J888" s="1">
        <f t="shared" si="1079"/>
        <v>16.976441614788762</v>
      </c>
      <c r="K888" s="1">
        <f t="shared" si="1079"/>
        <v>14.329797370281272</v>
      </c>
      <c r="L888" s="1">
        <f t="shared" ref="L888:O888" si="1080">SUM(L891,L893)</f>
        <v>12.901431594580515</v>
      </c>
      <c r="M888" s="1">
        <f t="shared" si="1080"/>
        <v>10.725100313837938</v>
      </c>
      <c r="N888" s="1">
        <f t="shared" si="1080"/>
        <v>8.8714655587649904</v>
      </c>
      <c r="O888" s="1">
        <f t="shared" si="1080"/>
        <v>7.3802866729451795</v>
      </c>
      <c r="P888" s="1">
        <f>SUM(P891,P893)</f>
        <v>4.0629323292930861</v>
      </c>
      <c r="Q888" s="1">
        <f>SUM(Q891,Q893)</f>
        <v>1.3726714091776095</v>
      </c>
      <c r="S888" s="3"/>
    </row>
    <row r="889" spans="2:19" x14ac:dyDescent="0.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30.256635401172776</v>
      </c>
      <c r="G889" s="1">
        <f t="shared" ref="G889:O889" si="1081">G890</f>
        <v>26.872849362577064</v>
      </c>
      <c r="H889" s="1">
        <f t="shared" si="1081"/>
        <v>25.420290126334454</v>
      </c>
      <c r="I889" s="1">
        <f t="shared" si="1081"/>
        <v>21.541750993604623</v>
      </c>
      <c r="J889" s="1">
        <f t="shared" si="1081"/>
        <v>16.975266895532283</v>
      </c>
      <c r="K889" s="1">
        <f t="shared" si="1081"/>
        <v>14.329202453881948</v>
      </c>
      <c r="L889" s="1">
        <f t="shared" si="1081"/>
        <v>12.900832932944599</v>
      </c>
      <c r="M889" s="1">
        <f t="shared" si="1081"/>
        <v>10.723864787609026</v>
      </c>
      <c r="N889" s="1">
        <f t="shared" si="1081"/>
        <v>8.8708578303166341</v>
      </c>
      <c r="O889" s="1">
        <f t="shared" si="1081"/>
        <v>7.3790543579305927</v>
      </c>
      <c r="P889" s="1">
        <f>P890</f>
        <v>4.0619884045971366</v>
      </c>
      <c r="Q889" s="1">
        <f>Q890</f>
        <v>1.3705939213325922</v>
      </c>
      <c r="S889" s="3"/>
    </row>
    <row r="890" spans="2:19" x14ac:dyDescent="0.5">
      <c r="B890" s="5" t="str">
        <f t="shared" si="1076"/>
        <v>SPS1</v>
      </c>
      <c r="C890" s="5" t="str">
        <f t="shared" si="1077"/>
        <v>CH</v>
      </c>
      <c r="D890" t="s">
        <v>528</v>
      </c>
      <c r="E890" t="s">
        <v>8</v>
      </c>
      <c r="F890" s="1">
        <f>[1]Services!B$12</f>
        <v>30.256635401172776</v>
      </c>
      <c r="G890" s="1">
        <f>[1]Services!C$12</f>
        <v>26.872849362577064</v>
      </c>
      <c r="H890" s="1">
        <f>[1]Services!D$12</f>
        <v>25.420290126334454</v>
      </c>
      <c r="I890" s="1">
        <f>[1]Services!E$12</f>
        <v>21.541750993604623</v>
      </c>
      <c r="J890" s="1">
        <f>[1]Services!F$12</f>
        <v>16.975266895532283</v>
      </c>
      <c r="K890" s="1">
        <f>[1]Services!G$12</f>
        <v>14.329202453881948</v>
      </c>
      <c r="L890" s="1">
        <f>[1]Services!H$12</f>
        <v>12.900832932944599</v>
      </c>
      <c r="M890" s="1">
        <f>[1]Services!I$12</f>
        <v>10.723864787609026</v>
      </c>
      <c r="N890" s="1">
        <f>[1]Services!J$12</f>
        <v>8.8708578303166341</v>
      </c>
      <c r="O890" s="1">
        <f>[1]Services!K$12</f>
        <v>7.3790543579305927</v>
      </c>
      <c r="P890" s="1">
        <f>[1]Services!L$12</f>
        <v>4.0619884045971366</v>
      </c>
      <c r="Q890" s="1">
        <f>[1]Services!M$12</f>
        <v>1.3705939213325922</v>
      </c>
      <c r="S890" s="3"/>
    </row>
    <row r="891" spans="2:19" x14ac:dyDescent="0.5">
      <c r="B891" s="5" t="str">
        <f>B890</f>
        <v>SPS1</v>
      </c>
      <c r="C891" s="5" t="str">
        <f t="shared" si="1077"/>
        <v>CH</v>
      </c>
      <c r="D891" t="s">
        <v>529</v>
      </c>
      <c r="E891" t="s">
        <v>8</v>
      </c>
      <c r="F891" s="1">
        <f>F890</f>
        <v>30.256635401172776</v>
      </c>
      <c r="G891" s="1">
        <f t="shared" ref="G891:K891" si="1082">G890</f>
        <v>26.872849362577064</v>
      </c>
      <c r="H891" s="1">
        <f t="shared" si="1082"/>
        <v>25.420290126334454</v>
      </c>
      <c r="I891" s="1">
        <f t="shared" si="1082"/>
        <v>21.541750993604623</v>
      </c>
      <c r="J891" s="1">
        <f t="shared" si="1082"/>
        <v>16.975266895532283</v>
      </c>
      <c r="K891" s="1">
        <f t="shared" si="1082"/>
        <v>14.329202453881948</v>
      </c>
      <c r="L891" s="1">
        <f t="shared" ref="L891:O891" si="1083">L890</f>
        <v>12.900832932944599</v>
      </c>
      <c r="M891" s="1">
        <f t="shared" si="1083"/>
        <v>10.723864787609026</v>
      </c>
      <c r="N891" s="1">
        <f t="shared" si="1083"/>
        <v>8.8708578303166341</v>
      </c>
      <c r="O891" s="1">
        <f t="shared" si="1083"/>
        <v>7.3790543579305927</v>
      </c>
      <c r="P891" s="1">
        <f>P890</f>
        <v>4.0619884045971366</v>
      </c>
      <c r="Q891" s="1">
        <f>Q890</f>
        <v>1.3705939213325922</v>
      </c>
      <c r="S891" s="3"/>
    </row>
    <row r="892" spans="2:19" x14ac:dyDescent="0.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O892" si="1084">G893</f>
        <v>0</v>
      </c>
      <c r="H892">
        <f t="shared" si="1084"/>
        <v>2.5413368170012395E-4</v>
      </c>
      <c r="I892">
        <f t="shared" si="1084"/>
        <v>5.6980731995106909E-4</v>
      </c>
      <c r="J892">
        <f t="shared" si="1084"/>
        <v>1.1747192564773026E-3</v>
      </c>
      <c r="K892">
        <f t="shared" si="1084"/>
        <v>5.9491639932375464E-4</v>
      </c>
      <c r="L892">
        <f t="shared" si="1084"/>
        <v>5.9866163591538709E-4</v>
      </c>
      <c r="M892">
        <f t="shared" si="1084"/>
        <v>1.2355262289127837E-3</v>
      </c>
      <c r="N892">
        <f t="shared" si="1084"/>
        <v>6.0772844835658144E-4</v>
      </c>
      <c r="O892">
        <f t="shared" si="1084"/>
        <v>1.2323150145866818E-3</v>
      </c>
      <c r="P892">
        <f>P893</f>
        <v>9.4392469594914181E-4</v>
      </c>
      <c r="Q892">
        <f>Q893</f>
        <v>2.0774878450174152E-3</v>
      </c>
      <c r="S892" s="3"/>
    </row>
    <row r="893" spans="2:19" x14ac:dyDescent="0.5">
      <c r="B893" s="5" t="str">
        <f t="shared" si="1076"/>
        <v>SPS1</v>
      </c>
      <c r="C893" s="5" t="str">
        <f t="shared" si="1077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2.5413368170012395E-4</v>
      </c>
      <c r="I893">
        <f>[1]Services!E$13</f>
        <v>5.6980731995106909E-4</v>
      </c>
      <c r="J893">
        <f>[1]Services!F$13</f>
        <v>1.1747192564773026E-3</v>
      </c>
      <c r="K893">
        <f>[1]Services!G$13</f>
        <v>5.9491639932375464E-4</v>
      </c>
      <c r="L893">
        <f>[1]Services!H$13</f>
        <v>5.9866163591538709E-4</v>
      </c>
      <c r="M893">
        <f>[1]Services!I$13</f>
        <v>1.2355262289127837E-3</v>
      </c>
      <c r="N893">
        <f>[1]Services!J$13</f>
        <v>6.0772844835658144E-4</v>
      </c>
      <c r="O893">
        <f>[1]Services!K$13</f>
        <v>1.2323150145866818E-3</v>
      </c>
      <c r="P893">
        <f>[1]Services!L$13</f>
        <v>9.4392469594914181E-4</v>
      </c>
      <c r="Q893">
        <f>[1]Services!M$13</f>
        <v>2.0774878450174152E-3</v>
      </c>
      <c r="S893" s="3"/>
    </row>
    <row r="894" spans="2:19" x14ac:dyDescent="0.5">
      <c r="B894" s="5" t="str">
        <f t="shared" si="1076"/>
        <v>SPS1</v>
      </c>
      <c r="C894" s="5" t="str">
        <f t="shared" si="1077"/>
        <v>CH</v>
      </c>
      <c r="D894" t="s">
        <v>501</v>
      </c>
      <c r="E894" t="s">
        <v>8</v>
      </c>
      <c r="F894" s="1">
        <f>SUM(F895:F897)</f>
        <v>26.950980300475454</v>
      </c>
      <c r="G894" s="1">
        <f t="shared" ref="G894:K894" si="1085">SUM(G895:G897)</f>
        <v>28.287010487183839</v>
      </c>
      <c r="H894" s="1">
        <f t="shared" si="1085"/>
        <v>27.155632374624311</v>
      </c>
      <c r="I894" s="1">
        <f t="shared" si="1085"/>
        <v>28.06836479606919</v>
      </c>
      <c r="J894" s="1">
        <f t="shared" si="1085"/>
        <v>28.539229804581165</v>
      </c>
      <c r="K894" s="1">
        <f t="shared" si="1085"/>
        <v>28.850117390721749</v>
      </c>
      <c r="L894" s="1">
        <f t="shared" ref="L894:O894" si="1086">SUM(L895:L897)</f>
        <v>27.226706648251923</v>
      </c>
      <c r="M894" s="1">
        <f t="shared" si="1086"/>
        <v>25.711216834378309</v>
      </c>
      <c r="N894" s="1">
        <f t="shared" si="1086"/>
        <v>25.476357650259573</v>
      </c>
      <c r="O894" s="1">
        <f t="shared" si="1086"/>
        <v>24.880013658865856</v>
      </c>
      <c r="P894" s="1">
        <f>SUM(P895:P897)</f>
        <v>25.395370240340036</v>
      </c>
      <c r="Q894" s="1">
        <f>SUM(Q895:Q897)</f>
        <v>24.541807296842588</v>
      </c>
      <c r="S894" s="3"/>
    </row>
    <row r="895" spans="2:19" x14ac:dyDescent="0.5">
      <c r="B895" s="5" t="str">
        <f t="shared" si="1076"/>
        <v>SPS1</v>
      </c>
      <c r="C895" s="5" t="str">
        <f t="shared" si="1077"/>
        <v>CH</v>
      </c>
      <c r="D895" t="s">
        <v>681</v>
      </c>
      <c r="E895" t="s">
        <v>8</v>
      </c>
      <c r="F895" s="1">
        <f>SUM([1]Services!B$14:B$15)-F896</f>
        <v>25.548693840010504</v>
      </c>
      <c r="G895" s="1">
        <f>SUM([1]Services!C$14:C$15)</f>
        <v>26.749781517029927</v>
      </c>
      <c r="H895" s="1">
        <f>SUM([1]Services!D$14:D$15)</f>
        <v>25.53265955978852</v>
      </c>
      <c r="I895" s="1">
        <f>SUM([1]Services!E$14:E$15)</f>
        <v>26.446399782449287</v>
      </c>
      <c r="J895" s="1">
        <f>SUM([1]Services!F$14:F$15)</f>
        <v>26.752459712396558</v>
      </c>
      <c r="K895" s="1">
        <f>SUM([1]Services!G$14:G$15)</f>
        <v>26.922397972322834</v>
      </c>
      <c r="L895" s="1">
        <f>SUM([1]Services!H$14:H$15)</f>
        <v>25.182062715460916</v>
      </c>
      <c r="M895" s="1">
        <f>SUM([1]Services!I$14:I$15)</f>
        <v>23.501571967880366</v>
      </c>
      <c r="N895" s="1">
        <f>SUM([1]Services!J$14:J$15)</f>
        <v>22.94738576077161</v>
      </c>
      <c r="O895" s="1">
        <f>SUM([1]Services!K$14:K$15)</f>
        <v>22.312698265797152</v>
      </c>
      <c r="P895" s="1">
        <f>SUM([1]Services!L$14:L$15)</f>
        <v>21.826596914139394</v>
      </c>
      <c r="Q895" s="1">
        <f>SUM([1]Services!M$14:M$15)</f>
        <v>20.803782823389916</v>
      </c>
      <c r="S895" s="3"/>
    </row>
    <row r="896" spans="2:19" x14ac:dyDescent="0.5">
      <c r="B896" s="5" t="str">
        <f t="shared" ref="B896" si="1087">B895</f>
        <v>SPS1</v>
      </c>
      <c r="C896" s="5" t="str">
        <f t="shared" ref="C896" si="1088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2.7693379226210084E-3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2.7684426462402183E-3</v>
      </c>
      <c r="J896" s="1" cm="1">
        <f t="array" ref="J896">SUMPRODUCT(([1]OUT_FinalEnergyCons!$B$4:$B$10000="Var_Fin")*1, ([1]OUT_FinalEnergyCons!$C$4:$C$10000="SNGA")*1,(ISNUMBER(SEARCH("SCOM-SHngahp",[1]OUT_FinalEnergyCons!$A$4:$A$10000)))*1,[1]OUT_FinalEnergyCons!H$4:H$10000)</f>
        <v>1.1531032116332787E-2</v>
      </c>
      <c r="K896" s="1" cm="1">
        <f t="array" ref="K896">SUMPRODUCT(([1]OUT_FinalEnergyCons!$B$4:$B$10000="Var_Fin")*1, ([1]OUT_FinalEnergyCons!$C$4:$C$10000="SNGA")*1,(ISNUMBER(SEARCH("SCOM-SHngahp",[1]OUT_FinalEnergyCons!$A$4:$A$10000)))*1,[1]OUT_FinalEnergyCons!I$4:I$10000)</f>
        <v>1.6135306511507075E-2</v>
      </c>
      <c r="L896" s="1" cm="1">
        <f t="array" ref="L896">SUMPRODUCT(([1]OUT_FinalEnergyCons!$B$4:$B$10000="Var_Fin")*1, ([1]OUT_FinalEnergyCons!$C$4:$C$10000="SNGA")*1,(ISNUMBER(SEARCH("SCOM-SHngahp",[1]OUT_FinalEnergyCons!$A$4:$A$10000)))*1,[1]OUT_FinalEnergyCons!J$4:J$10000)</f>
        <v>2.9440611265100051E-2</v>
      </c>
      <c r="M896" s="1" cm="1">
        <f t="array" ref="M896">SUMPRODUCT(([1]OUT_FinalEnergyCons!$B$4:$B$10000="Var_Fin")*1, ([1]OUT_FinalEnergyCons!$C$4:$C$10000="SNGA")*1,(ISNUMBER(SEARCH("SCOM-SHngahp",[1]OUT_FinalEnergyCons!$A$4:$A$10000)))*1,[1]OUT_FinalEnergyCons!K$4:K$10000)</f>
        <v>2.6539043622420579E-2</v>
      </c>
      <c r="N896" s="1" cm="1">
        <f t="array" ref="N896">SUMPRODUCT(([1]OUT_FinalEnergyCons!$B$4:$B$10000="Var_Fin")*1, ([1]OUT_FinalEnergyCons!$C$4:$C$10000="SNGA")*1,(ISNUMBER(SEARCH("SCOM-SHngahp",[1]OUT_FinalEnergyCons!$A$4:$A$10000)))*1,[1]OUT_FinalEnergyCons!L$4:L$10000)</f>
        <v>1.9633117710124555E-2</v>
      </c>
      <c r="O896" s="1" cm="1">
        <f t="array" ref="O896">SUMPRODUCT(([1]OUT_FinalEnergyCons!$B$4:$B$10000="Var_Fin")*1, ([1]OUT_FinalEnergyCons!$C$4:$C$10000="SNGA")*1,(ISNUMBER(SEARCH("SCOM-SHngahp",[1]OUT_FinalEnergyCons!$A$4:$A$10000)))*1,[1]OUT_FinalEnergyCons!M$4:M$10000)</f>
        <v>6.8080365266034629E-2</v>
      </c>
      <c r="P896" s="1" cm="1">
        <f t="array" ref="P896">SUMPRODUCT(([1]OUT_FinalEnergyCons!$B$4:$B$10000="Var_Fin")*1, ([1]OUT_FinalEnergyCons!$C$4:$C$10000="SNGA")*1,(ISNUMBER(SEARCH("SCOM-SHngahp",[1]OUT_FinalEnergyCons!$A$4:$A$10000)))*1,[1]OUT_FinalEnergyCons!N$4:N$10000)</f>
        <v>6.3680582253043433E-2</v>
      </c>
      <c r="Q896" s="1" cm="1">
        <f t="array" ref="Q896">SUMPRODUCT(([1]OUT_FinalEnergyCons!$B$4:$B$10000="Var_Fin")*1, ([1]OUT_FinalEnergyCons!$C$4:$C$10000="SNGA")*1,(ISNUMBER(SEARCH("SCOM-SHngahp",[1]OUT_FinalEnergyCons!$A$4:$A$10000)))*1,[1]OUT_FinalEnergyCons!O$4:O$10000)</f>
        <v>9.5923813760532023E-2</v>
      </c>
      <c r="S896" s="3"/>
    </row>
    <row r="897" spans="2:19" x14ac:dyDescent="0.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1.4022864604649508</v>
      </c>
      <c r="G897" s="1">
        <f>[1]Services!C$16</f>
        <v>1.5372289701539132</v>
      </c>
      <c r="H897" s="1">
        <f>[1]Services!D$16</f>
        <v>1.6202034769131697</v>
      </c>
      <c r="I897" s="1">
        <f>[1]Services!E$16</f>
        <v>1.6191965709736642</v>
      </c>
      <c r="J897" s="1">
        <f>[1]Services!F$16</f>
        <v>1.7752390600682726</v>
      </c>
      <c r="K897" s="1">
        <f>[1]Services!G$16</f>
        <v>1.9115841118874064</v>
      </c>
      <c r="L897" s="1">
        <f>[1]Services!H$16</f>
        <v>2.0152033215259064</v>
      </c>
      <c r="M897" s="1">
        <f>[1]Services!I$16</f>
        <v>2.1831058228755222</v>
      </c>
      <c r="N897" s="1">
        <f>[1]Services!J$16</f>
        <v>2.5093387717778382</v>
      </c>
      <c r="O897" s="1">
        <f>[1]Services!K$16</f>
        <v>2.4992350278026705</v>
      </c>
      <c r="P897" s="1">
        <f>[1]Services!L$16</f>
        <v>3.5050927439476012</v>
      </c>
      <c r="Q897" s="1">
        <f>[1]Services!M$16</f>
        <v>3.6421006596921388</v>
      </c>
      <c r="S897" s="3"/>
    </row>
    <row r="898" spans="2:19" x14ac:dyDescent="0.5">
      <c r="B898" s="5" t="str">
        <f t="shared" si="1076"/>
        <v>SPS1</v>
      </c>
      <c r="C898" s="5" t="str">
        <f t="shared" si="1077"/>
        <v>CH</v>
      </c>
      <c r="D898" t="s">
        <v>966</v>
      </c>
      <c r="E898" t="s">
        <v>8</v>
      </c>
      <c r="F898" s="1">
        <f>[1]Services!B$14</f>
        <v>25.265672079458184</v>
      </c>
      <c r="G898" s="1">
        <f>[1]Services!C$14</f>
        <v>23.777181155207678</v>
      </c>
      <c r="H898" s="1">
        <f>[1]Services!D$14</f>
        <v>25.473580115143026</v>
      </c>
      <c r="I898" s="1">
        <f>[1]Services!E$14</f>
        <v>26.444847580285572</v>
      </c>
      <c r="J898" s="1">
        <f>[1]Services!F$14</f>
        <v>26.751102715452788</v>
      </c>
      <c r="K898" s="1">
        <f>[1]Services!G$14</f>
        <v>26.921013048365783</v>
      </c>
      <c r="L898" s="1">
        <f>[1]Services!H$14</f>
        <v>25.180686358036873</v>
      </c>
      <c r="M898" s="1">
        <f>[1]Services!I$14</f>
        <v>23.500069947831033</v>
      </c>
      <c r="N898" s="1">
        <f>[1]Services!J$14</f>
        <v>22.945887835876277</v>
      </c>
      <c r="O898" s="1">
        <f>[1]Services!K$14</f>
        <v>22.311162517685812</v>
      </c>
      <c r="P898" s="1">
        <f>[1]Services!L$14</f>
        <v>21.825080979157374</v>
      </c>
      <c r="Q898" s="1">
        <f>[1]Services!M$14</f>
        <v>20.801376468624834</v>
      </c>
      <c r="S898" s="3"/>
    </row>
    <row r="899" spans="2:19" x14ac:dyDescent="0.5">
      <c r="B899" s="5" t="str">
        <f t="shared" si="1076"/>
        <v>SPS1</v>
      </c>
      <c r="C899" s="5" t="str">
        <f t="shared" si="1077"/>
        <v>CH</v>
      </c>
      <c r="D899" t="s">
        <v>682</v>
      </c>
      <c r="E899" t="s">
        <v>8</v>
      </c>
      <c r="F899" s="1">
        <f>[1]Services!B$14*IFERROR(F895/SUM(F895:F896),0)</f>
        <v>25.265672079458184</v>
      </c>
      <c r="G899" s="1">
        <f>[1]Services!C$14*IFERROR(G895/SUM(G895:G896),0)</f>
        <v>23.777181155207678</v>
      </c>
      <c r="H899" s="1">
        <f>[1]Services!D$14*IFERROR(H895/SUM(H895:H896),0)</f>
        <v>25.470817484770912</v>
      </c>
      <c r="I899" s="1">
        <f>[1]Services!E$14*IFERROR(I895/SUM(I895:I896),0)</f>
        <v>26.442079589882567</v>
      </c>
      <c r="J899" s="1">
        <f>[1]Services!F$14*IFERROR(J895/SUM(J895:J896),0)</f>
        <v>26.739577236031433</v>
      </c>
      <c r="K899" s="1">
        <f>[1]Services!G$14*IFERROR(K895/SUM(K895:K896),0)</f>
        <v>26.904888235903293</v>
      </c>
      <c r="L899" s="1">
        <f>[1]Services!H$14*IFERROR(L895/SUM(L895:L896),0)</f>
        <v>25.151281733138145</v>
      </c>
      <c r="M899" s="1">
        <f>[1]Services!I$14*IFERROR(M895/SUM(M895:M896),0)</f>
        <v>23.473562533735166</v>
      </c>
      <c r="N899" s="1">
        <f>[1]Services!J$14*IFERROR(N895/SUM(N895:N896),0)</f>
        <v>22.9262727818186</v>
      </c>
      <c r="O899" s="1">
        <f>[1]Services!K$14*IFERROR(O895/SUM(O895:O896),0)</f>
        <v>22.243293918529673</v>
      </c>
      <c r="P899" s="1">
        <f>[1]Services!L$14*IFERROR(P895/SUM(P895:P896),0)</f>
        <v>21.761590058829771</v>
      </c>
      <c r="Q899" s="1">
        <f>[1]Services!M$14*IFERROR(Q895/SUM(Q895:Q896),0)</f>
        <v>20.705903962862852</v>
      </c>
      <c r="S899" s="3"/>
    </row>
    <row r="900" spans="2:19" x14ac:dyDescent="0.5">
      <c r="B900" s="5" t="str">
        <f>B899</f>
        <v>SPS1</v>
      </c>
      <c r="C900" s="5" t="str">
        <f t="shared" ref="C900" si="1089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90">G898-G899</f>
        <v>0</v>
      </c>
      <c r="H900" s="1">
        <f t="shared" si="1090"/>
        <v>2.7626303721142165E-3</v>
      </c>
      <c r="I900" s="1">
        <f t="shared" si="1090"/>
        <v>2.7679904030044611E-3</v>
      </c>
      <c r="J900" s="1">
        <f t="shared" si="1090"/>
        <v>1.1525479421354845E-2</v>
      </c>
      <c r="K900" s="1">
        <f t="shared" si="1090"/>
        <v>1.6124812462489757E-2</v>
      </c>
      <c r="L900" s="1">
        <f t="shared" ref="L900:O900" si="1091">L898-L899</f>
        <v>2.940462489872786E-2</v>
      </c>
      <c r="M900" s="1">
        <f t="shared" si="1091"/>
        <v>2.6507414095867432E-2</v>
      </c>
      <c r="N900" s="1">
        <f t="shared" si="1091"/>
        <v>1.9615054057677384E-2</v>
      </c>
      <c r="O900" s="1">
        <f t="shared" si="1091"/>
        <v>6.7868599156138743E-2</v>
      </c>
      <c r="P900" s="1">
        <f>P898-P899</f>
        <v>6.3490920327602396E-2</v>
      </c>
      <c r="Q900" s="1">
        <f>Q898-Q899</f>
        <v>9.5472505761982518E-2</v>
      </c>
      <c r="S900" s="3"/>
    </row>
    <row r="901" spans="2:19" x14ac:dyDescent="0.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1.6853082210172707</v>
      </c>
      <c r="G901" s="1">
        <f>[1]Services!C$15+G904</f>
        <v>4.5098293319761629</v>
      </c>
      <c r="H901" s="1">
        <f>[1]Services!D$15+H904</f>
        <v>1.6792829215586658</v>
      </c>
      <c r="I901" s="1">
        <f>[1]Services!E$15+I904</f>
        <v>1.6207487731373804</v>
      </c>
      <c r="J901" s="1">
        <f>[1]Services!F$15+J904</f>
        <v>1.7765960570120423</v>
      </c>
      <c r="K901" s="1">
        <f>[1]Services!G$15+K904</f>
        <v>1.9129690358444562</v>
      </c>
      <c r="L901" s="1">
        <f>[1]Services!H$15+L904</f>
        <v>2.0165796789499484</v>
      </c>
      <c r="M901" s="1">
        <f>[1]Services!I$15+M904</f>
        <v>2.1846078429248545</v>
      </c>
      <c r="N901" s="1">
        <f>[1]Services!J$15+N904</f>
        <v>2.5108366966731692</v>
      </c>
      <c r="O901" s="1">
        <f>[1]Services!K$15+O904</f>
        <v>2.5007707759140096</v>
      </c>
      <c r="P901" s="1">
        <f>[1]Services!L$15+P904</f>
        <v>3.5066086789296209</v>
      </c>
      <c r="Q901" s="1">
        <f>[1]Services!M$15+Q904</f>
        <v>3.6445070144572194</v>
      </c>
      <c r="S901" s="3"/>
    </row>
    <row r="902" spans="2:19" x14ac:dyDescent="0.5">
      <c r="B902" s="5" t="str">
        <f t="shared" si="1076"/>
        <v>SPS1</v>
      </c>
      <c r="C902" s="5" t="str">
        <f t="shared" si="1077"/>
        <v>CH</v>
      </c>
      <c r="D902" t="s">
        <v>683</v>
      </c>
      <c r="E902" t="s">
        <v>8</v>
      </c>
      <c r="F902" s="1">
        <f>[1]Services!B$15*F895/SUM(F895:F896)</f>
        <v>0.28302176055231987</v>
      </c>
      <c r="G902" s="1">
        <f>[1]Services!C$15*G895/SUM(G895:G896)</f>
        <v>2.9726003618222494</v>
      </c>
      <c r="H902" s="1">
        <f>[1]Services!D$15*H895/SUM(H895:H896)</f>
        <v>5.9073037431927752E-2</v>
      </c>
      <c r="I902" s="1">
        <f>[1]Services!E$15*I895/SUM(I895:I896)</f>
        <v>1.5520396942341344E-3</v>
      </c>
      <c r="J902" s="1">
        <f>[1]Services!F$15*J895/SUM(J895:J896)</f>
        <v>1.3564122934651638E-3</v>
      </c>
      <c r="K902" s="1">
        <f>[1]Services!G$15*K895/SUM(K895:K896)</f>
        <v>1.384094432579861E-3</v>
      </c>
      <c r="L902" s="1">
        <f>[1]Services!H$15*L895/SUM(L895:L896)</f>
        <v>1.3747501893064144E-3</v>
      </c>
      <c r="M902" s="1">
        <f>[1]Services!I$15*M895/SUM(M895:M896)</f>
        <v>1.5003258132078587E-3</v>
      </c>
      <c r="N902" s="1">
        <f>[1]Services!J$15*N895/SUM(N895:N896)</f>
        <v>1.4966444097816844E-3</v>
      </c>
      <c r="O902" s="1">
        <f>[1]Services!K$15*O895/SUM(O895:O896)</f>
        <v>1.5310765003063113E-3</v>
      </c>
      <c r="P902" s="1">
        <f>[1]Services!L$15*P895/SUM(P895:P896)</f>
        <v>1.5115250049268171E-3</v>
      </c>
      <c r="Q902" s="1">
        <f>[1]Services!M$15*Q895/SUM(Q895:Q896)</f>
        <v>2.3953102690816774E-3</v>
      </c>
      <c r="S902" s="3"/>
    </row>
    <row r="903" spans="2:19" x14ac:dyDescent="0.5">
      <c r="B903" s="5" t="str">
        <f>B902</f>
        <v>SPS1</v>
      </c>
      <c r="C903" s="5" t="str">
        <f t="shared" ref="C903" si="1092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6.4072135682367935E-6</v>
      </c>
      <c r="I903" s="1">
        <f>[1]Services!E$15*I896/SUM(I895:I896)</f>
        <v>1.6246948217983388E-7</v>
      </c>
      <c r="J903" s="1">
        <f>[1]Services!F$15*J896/SUM(J895:J896)</f>
        <v>5.8465030457321899E-7</v>
      </c>
      <c r="K903" s="1">
        <f>[1]Services!G$15*K896/SUM(K895:K896)</f>
        <v>8.2952447005298E-7</v>
      </c>
      <c r="L903" s="1">
        <f>[1]Services!H$15*L896/SUM(L895:L896)</f>
        <v>1.6072347355859585E-6</v>
      </c>
      <c r="M903" s="1">
        <f>[1]Services!I$15*M896/SUM(M895:M896)</f>
        <v>1.6942361242467201E-6</v>
      </c>
      <c r="N903" s="1">
        <f>[1]Services!J$15*N896/SUM(N895:N896)</f>
        <v>1.280485549586005E-6</v>
      </c>
      <c r="O903" s="1">
        <f>[1]Services!K$15*O896/SUM(O895:O896)</f>
        <v>4.671611032847518E-6</v>
      </c>
      <c r="P903" s="1">
        <f>[1]Services!L$15*P896/SUM(P895:P896)</f>
        <v>4.4099770927376976E-6</v>
      </c>
      <c r="Q903" s="1">
        <f>[1]Services!M$15*Q896/SUM(Q895:Q896)</f>
        <v>1.1044495998667647E-5</v>
      </c>
      <c r="S903" s="3"/>
    </row>
    <row r="904" spans="2:19" x14ac:dyDescent="0.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1.4022864604649508</v>
      </c>
      <c r="G904" s="1">
        <f>[1]Services!C$16</f>
        <v>1.5372289701539132</v>
      </c>
      <c r="H904" s="1">
        <f>[1]Services!D$16</f>
        <v>1.6202034769131697</v>
      </c>
      <c r="I904" s="1">
        <f>[1]Services!E$16</f>
        <v>1.6191965709736642</v>
      </c>
      <c r="J904" s="1">
        <f>[1]Services!F$16</f>
        <v>1.7752390600682726</v>
      </c>
      <c r="K904" s="1">
        <f>[1]Services!G$16</f>
        <v>1.9115841118874064</v>
      </c>
      <c r="L904" s="1">
        <f>[1]Services!H$16</f>
        <v>2.0152033215259064</v>
      </c>
      <c r="M904" s="1">
        <f>[1]Services!I$16</f>
        <v>2.1831058228755222</v>
      </c>
      <c r="N904" s="1">
        <f>[1]Services!J$16</f>
        <v>2.5093387717778382</v>
      </c>
      <c r="O904" s="1">
        <f>[1]Services!K$16</f>
        <v>2.4992350278026705</v>
      </c>
      <c r="P904" s="1">
        <f>[1]Services!L$16</f>
        <v>3.5050927439476012</v>
      </c>
      <c r="Q904" s="1">
        <f>[1]Services!M$16</f>
        <v>3.6421006596921388</v>
      </c>
      <c r="S904" s="3"/>
    </row>
    <row r="905" spans="2:19" x14ac:dyDescent="0.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7.7269218766309624</v>
      </c>
      <c r="G905" s="1">
        <f>[1]Services!C$17</f>
        <v>8.3697170869913968</v>
      </c>
      <c r="H905" s="1">
        <f>[1]Services!D$17</f>
        <v>8.1235821859343051</v>
      </c>
      <c r="I905" s="1">
        <f>[1]Services!E$17</f>
        <v>9.9185465608165391</v>
      </c>
      <c r="J905" s="1">
        <f>[1]Services!F$17</f>
        <v>12.177062738715996</v>
      </c>
      <c r="K905" s="1">
        <f>[1]Services!G$17</f>
        <v>12.24335660035767</v>
      </c>
      <c r="L905" s="1">
        <f>[1]Services!H$17</f>
        <v>12.635765613015421</v>
      </c>
      <c r="M905" s="1">
        <f>[1]Services!I$17</f>
        <v>13.408008956744959</v>
      </c>
      <c r="N905" s="1">
        <f>[1]Services!J$17</f>
        <v>13.35057306711297</v>
      </c>
      <c r="O905" s="1">
        <f>[1]Services!K$17</f>
        <v>13.390161135319833</v>
      </c>
      <c r="P905" s="1">
        <f>[1]Services!L$17</f>
        <v>13.933440085052309</v>
      </c>
      <c r="Q905" s="1">
        <f>[1]Services!M$17</f>
        <v>14.189526819252789</v>
      </c>
      <c r="S905" s="3"/>
    </row>
    <row r="906" spans="2:19" x14ac:dyDescent="0.5">
      <c r="B906" s="5" t="str">
        <f t="shared" si="1076"/>
        <v>SPS1</v>
      </c>
      <c r="C906" s="5" t="str">
        <f t="shared" si="1077"/>
        <v>CH</v>
      </c>
      <c r="D906" t="s">
        <v>969</v>
      </c>
      <c r="E906" t="s">
        <v>8</v>
      </c>
      <c r="F906" s="1">
        <f>[1]Services!B$51/0.99</f>
        <v>2.1169107968256089</v>
      </c>
      <c r="G906" s="1">
        <f>[1]Services!C$51/0.99</f>
        <v>2.2930095905632224</v>
      </c>
      <c r="H906" s="1">
        <f>[1]Services!D$51/0.99</f>
        <v>2.0468708696791249</v>
      </c>
      <c r="I906" s="1">
        <f>[1]Services!E$51/0.99</f>
        <v>3.841834526511906</v>
      </c>
      <c r="J906" s="1">
        <f>[1]Services!F$51/0.99</f>
        <v>6.1003469270347495</v>
      </c>
      <c r="K906" s="1">
        <f>[1]Services!G$51/0.99</f>
        <v>6.1666307603640815</v>
      </c>
      <c r="L906" s="1">
        <f>[1]Services!H$51/0.99</f>
        <v>6.1504241969611098</v>
      </c>
      <c r="M906" s="1">
        <f>[1]Services!I$51/0.99</f>
        <v>4.6194798843887881</v>
      </c>
      <c r="N906" s="1">
        <f>[1]Services!J$51/0.99</f>
        <v>4.5616494340823275</v>
      </c>
      <c r="O906" s="1">
        <f>[1]Services!K$51/0.99</f>
        <v>4.6011713349232712</v>
      </c>
      <c r="P906" s="1">
        <f>[1]Services!L$51/0.99</f>
        <v>4.8981553598823471</v>
      </c>
      <c r="Q906" s="1">
        <f>[1]Services!M$51/0.99</f>
        <v>5.1541829796098142</v>
      </c>
      <c r="S906" s="3"/>
    </row>
    <row r="907" spans="2:19" x14ac:dyDescent="0.5">
      <c r="B907" s="5" t="str">
        <f t="shared" si="1076"/>
        <v>SPS1</v>
      </c>
      <c r="C907" s="5" t="str">
        <f t="shared" si="1077"/>
        <v>CH</v>
      </c>
      <c r="D907" t="s">
        <v>507</v>
      </c>
      <c r="E907" t="s">
        <v>8</v>
      </c>
      <c r="F907" s="1">
        <f>IF(F906-SUM(F908:F911)&lt;0,0,F906-SUM(F908:F911))</f>
        <v>1.4243062119518213</v>
      </c>
      <c r="G907" s="1">
        <f t="shared" ref="G907:K907" si="1093">IF(G906-SUM(G908:G911)&lt;0,0,G906-SUM(G908:G911))</f>
        <v>1.5542953254320251</v>
      </c>
      <c r="H907" s="1">
        <f t="shared" si="1093"/>
        <v>1.4161716621306293</v>
      </c>
      <c r="I907" s="1">
        <f t="shared" si="1093"/>
        <v>1.1633503479832878</v>
      </c>
      <c r="J907" s="1">
        <f t="shared" si="1093"/>
        <v>1.0216792440063784</v>
      </c>
      <c r="K907" s="1">
        <f t="shared" si="1093"/>
        <v>0.90476967022563137</v>
      </c>
      <c r="L907" s="1">
        <f t="shared" ref="L907:O907" si="1094">IF(L906-SUM(L908:L911)&lt;0,0,L906-SUM(L908:L911))</f>
        <v>0.91284635915896928</v>
      </c>
      <c r="M907" s="1">
        <f t="shared" si="1094"/>
        <v>0.89734769587612417</v>
      </c>
      <c r="N907" s="1">
        <f t="shared" si="1094"/>
        <v>0.8887963984552294</v>
      </c>
      <c r="O907" s="1">
        <f t="shared" si="1094"/>
        <v>0.85675160796993088</v>
      </c>
      <c r="P907" s="1">
        <f>IF(P906-SUM(P908:P911)&lt;0,0,P906-SUM(P908:P911))</f>
        <v>0.85857486815386164</v>
      </c>
      <c r="Q907" s="1">
        <f>IF(Q906-SUM(Q908:Q911)&lt;0,0,Q906-SUM(Q908:Q911))</f>
        <v>0.84239864568257872</v>
      </c>
      <c r="S907" s="3"/>
    </row>
    <row r="908" spans="2:19" x14ac:dyDescent="0.5">
      <c r="B908" s="5" t="str">
        <f t="shared" si="1076"/>
        <v>SPS1</v>
      </c>
      <c r="C908" s="5" t="str">
        <f t="shared" si="1077"/>
        <v>CH</v>
      </c>
      <c r="D908" t="s">
        <v>503</v>
      </c>
      <c r="E908" t="s">
        <v>8</v>
      </c>
      <c r="F908" s="1">
        <f t="shared" ref="F908:K908" si="1095">F249*F906/SUM(F248:F250)</f>
        <v>0.69260458487378762</v>
      </c>
      <c r="G908" s="1">
        <f t="shared" si="1095"/>
        <v>0.7387142651311972</v>
      </c>
      <c r="H908" s="1">
        <f t="shared" si="1095"/>
        <v>0.63069920754849551</v>
      </c>
      <c r="I908" s="1">
        <f t="shared" si="1095"/>
        <v>2.6597784937167135</v>
      </c>
      <c r="J908" s="1">
        <f t="shared" si="1095"/>
        <v>5.058487335569926</v>
      </c>
      <c r="K908" s="1">
        <f t="shared" si="1095"/>
        <v>5.2437896370088346</v>
      </c>
      <c r="L908" s="1">
        <f t="shared" ref="L908:O908" si="1096">L249*L906/SUM(L248:L250)</f>
        <v>5.2130230869794101</v>
      </c>
      <c r="M908" s="1">
        <f t="shared" si="1096"/>
        <v>3.6800656661503841</v>
      </c>
      <c r="N908" s="1">
        <f t="shared" si="1096"/>
        <v>3.6339712390303616</v>
      </c>
      <c r="O908" s="1">
        <f t="shared" si="1096"/>
        <v>3.6768411079526824</v>
      </c>
      <c r="P908" s="1">
        <f>P249*P906/SUM(P248:P250)</f>
        <v>3.9815329276776059</v>
      </c>
      <c r="Q908" s="1">
        <f>Q249*Q906/SUM(Q248:Q250)</f>
        <v>4.2001492271781258</v>
      </c>
      <c r="S908" s="3"/>
    </row>
    <row r="909" spans="2:19" x14ac:dyDescent="0.5">
      <c r="B909" s="5" t="str">
        <f t="shared" si="1076"/>
        <v>SPS1</v>
      </c>
      <c r="C909" s="5" t="str">
        <f t="shared" si="1077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97">H250*H906/SUM(H248:H250)</f>
        <v>0</v>
      </c>
      <c r="I909" s="1">
        <f t="shared" si="1097"/>
        <v>1.1132618410832104E-3</v>
      </c>
      <c r="J909" s="1">
        <f t="shared" si="1097"/>
        <v>3.3879866472204196E-3</v>
      </c>
      <c r="K909" s="1">
        <f t="shared" si="1097"/>
        <v>3.3442504823693489E-3</v>
      </c>
      <c r="L909" s="1">
        <f t="shared" ref="L909:O909" si="1098">L250*L906/SUM(L248:L250)</f>
        <v>2.5093334089793997E-3</v>
      </c>
      <c r="M909" s="1">
        <f t="shared" si="1098"/>
        <v>5.8653469393361215E-3</v>
      </c>
      <c r="N909" s="1">
        <f t="shared" si="1098"/>
        <v>5.8581733030173225E-3</v>
      </c>
      <c r="O909" s="1">
        <f t="shared" si="1098"/>
        <v>1.1959278966676314E-2</v>
      </c>
      <c r="P909" s="1">
        <f>P250*P906/SUM(P248:P250)</f>
        <v>9.1214059217561913E-3</v>
      </c>
      <c r="Q909" s="1">
        <f>Q250*Q906/SUM(Q248:Q250)</f>
        <v>1.959688909343783E-2</v>
      </c>
      <c r="S909" s="3"/>
    </row>
    <row r="910" spans="2:19" x14ac:dyDescent="0.5">
      <c r="B910" s="5" t="str">
        <f t="shared" si="1076"/>
        <v>SPS1</v>
      </c>
      <c r="C910" s="5" t="str">
        <f t="shared" si="1077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99">G287*G906/SUM(G248:G250)</f>
        <v>0</v>
      </c>
      <c r="H910" s="1">
        <f t="shared" si="1099"/>
        <v>0</v>
      </c>
      <c r="I910" s="1">
        <f t="shared" si="1099"/>
        <v>1.5146723047603807E-2</v>
      </c>
      <c r="J910" s="1">
        <f t="shared" si="1099"/>
        <v>1.138366834486051E-2</v>
      </c>
      <c r="K910" s="1">
        <f t="shared" si="1099"/>
        <v>9.1870248275232082E-3</v>
      </c>
      <c r="L910" s="1">
        <f t="shared" ref="L910:O910" si="1100">L287*L906/SUM(L248:L250)</f>
        <v>1.5522658233947408E-2</v>
      </c>
      <c r="M910" s="1">
        <f t="shared" si="1100"/>
        <v>2.1394551101308789E-2</v>
      </c>
      <c r="N910" s="1">
        <f t="shared" si="1100"/>
        <v>1.9267534762038928E-2</v>
      </c>
      <c r="O910" s="1">
        <f t="shared" si="1100"/>
        <v>2.4383216160470383E-2</v>
      </c>
      <c r="P910" s="1">
        <f>P287*P906/SUM(P248:P250)</f>
        <v>2.4844872409764813E-2</v>
      </c>
      <c r="Q910" s="1">
        <f>Q287*Q906/SUM(Q248:Q250)</f>
        <v>4.9173074915546976E-2</v>
      </c>
      <c r="S910" s="3"/>
    </row>
    <row r="911" spans="2:19" x14ac:dyDescent="0.5">
      <c r="B911" s="5" t="str">
        <f t="shared" si="1076"/>
        <v>SPS1</v>
      </c>
      <c r="C911" s="5" t="str">
        <f t="shared" si="1077"/>
        <v>CH</v>
      </c>
      <c r="D911" t="s">
        <v>506</v>
      </c>
      <c r="E911" t="s">
        <v>8</v>
      </c>
      <c r="F911" s="1">
        <f t="shared" ref="F911:K911" si="1101">F290</f>
        <v>0</v>
      </c>
      <c r="G911" s="1">
        <f t="shared" si="1101"/>
        <v>0</v>
      </c>
      <c r="H911" s="1">
        <f t="shared" si="1101"/>
        <v>0</v>
      </c>
      <c r="I911" s="1">
        <f t="shared" si="1101"/>
        <v>2.4456999232176611E-3</v>
      </c>
      <c r="J911" s="1">
        <f t="shared" si="1101"/>
        <v>5.4086924663635022E-3</v>
      </c>
      <c r="K911" s="1">
        <f t="shared" si="1101"/>
        <v>5.5401778197232375E-3</v>
      </c>
      <c r="L911" s="1">
        <f t="shared" ref="L911:O911" si="1102">L290</f>
        <v>6.522759179803903E-3</v>
      </c>
      <c r="M911" s="1">
        <f t="shared" si="1102"/>
        <v>1.4806624321635134E-2</v>
      </c>
      <c r="N911" s="1">
        <f t="shared" si="1102"/>
        <v>1.3756088531680692E-2</v>
      </c>
      <c r="O911" s="1">
        <f t="shared" si="1102"/>
        <v>3.1236123873511115E-2</v>
      </c>
      <c r="P911" s="1">
        <f>P290</f>
        <v>2.4081285719358435E-2</v>
      </c>
      <c r="Q911" s="1">
        <f>Q290</f>
        <v>4.286514274012454E-2</v>
      </c>
      <c r="S911" s="3"/>
    </row>
    <row r="912" spans="2:19" x14ac:dyDescent="0.5">
      <c r="B912" s="5" t="str">
        <f t="shared" si="1076"/>
        <v>SPS1</v>
      </c>
      <c r="C912" s="5" t="str">
        <f t="shared" si="1077"/>
        <v>CH</v>
      </c>
      <c r="D912" t="s">
        <v>970</v>
      </c>
      <c r="E912" t="s">
        <v>8</v>
      </c>
      <c r="F912" s="1">
        <f>F905-F906</f>
        <v>5.6100110798053535</v>
      </c>
      <c r="G912" s="1">
        <f t="shared" ref="G912:K912" si="1103">G905-G906</f>
        <v>6.076707496428174</v>
      </c>
      <c r="H912" s="1">
        <f t="shared" si="1103"/>
        <v>6.0767113162551798</v>
      </c>
      <c r="I912" s="1">
        <f t="shared" si="1103"/>
        <v>6.0767120343046326</v>
      </c>
      <c r="J912" s="1">
        <f t="shared" si="1103"/>
        <v>6.0767158116812467</v>
      </c>
      <c r="K912" s="1">
        <f t="shared" si="1103"/>
        <v>6.0767258399935882</v>
      </c>
      <c r="L912" s="1">
        <f t="shared" ref="L912:O912" si="1104">L905-L906</f>
        <v>6.485341416054311</v>
      </c>
      <c r="M912" s="1">
        <f t="shared" si="1104"/>
        <v>8.7885290723561713</v>
      </c>
      <c r="N912" s="1">
        <f t="shared" si="1104"/>
        <v>8.7889236330306417</v>
      </c>
      <c r="O912" s="1">
        <f t="shared" si="1104"/>
        <v>8.7889898003965605</v>
      </c>
      <c r="P912" s="1">
        <f>P905-P906</f>
        <v>9.0352847251699622</v>
      </c>
      <c r="Q912" s="1">
        <f>Q905-Q906</f>
        <v>9.0353438396429748</v>
      </c>
      <c r="S912" s="3"/>
    </row>
    <row r="913" spans="2:19" x14ac:dyDescent="0.5">
      <c r="B913" s="5" t="str">
        <f t="shared" si="1076"/>
        <v>SPS1</v>
      </c>
      <c r="C913" s="5" t="str">
        <f t="shared" si="1077"/>
        <v>CH</v>
      </c>
      <c r="D913" t="s">
        <v>971</v>
      </c>
      <c r="E913" t="s">
        <v>8</v>
      </c>
      <c r="F913" s="1">
        <f>F914</f>
        <v>8.574373327098348</v>
      </c>
      <c r="G913" s="1">
        <f t="shared" ref="G913:O913" si="1105">G914</f>
        <v>9.3285072248951586</v>
      </c>
      <c r="H913" s="1">
        <f t="shared" si="1105"/>
        <v>9.0663030796659445</v>
      </c>
      <c r="I913" s="1">
        <f t="shared" si="1105"/>
        <v>7.5927236123436224</v>
      </c>
      <c r="J913" s="1">
        <f t="shared" si="1105"/>
        <v>5.1039353907102303</v>
      </c>
      <c r="K913" s="1">
        <f t="shared" si="1105"/>
        <v>3.2310683909761684</v>
      </c>
      <c r="L913" s="1">
        <f t="shared" si="1105"/>
        <v>1.9996728929686447</v>
      </c>
      <c r="M913" s="1">
        <f t="shared" si="1105"/>
        <v>0.63797208284296381</v>
      </c>
      <c r="N913" s="1">
        <f t="shared" si="1105"/>
        <v>0.62255545761073361</v>
      </c>
      <c r="O913" s="1">
        <f t="shared" si="1105"/>
        <v>0.60797012433301845</v>
      </c>
      <c r="P913" s="1">
        <f>P914</f>
        <v>0.595052413539085</v>
      </c>
      <c r="Q913" s="1">
        <f>Q914</f>
        <v>0.57040682167065648</v>
      </c>
      <c r="S913" s="3"/>
    </row>
    <row r="914" spans="2:19" x14ac:dyDescent="0.5">
      <c r="B914" s="5" t="str">
        <f t="shared" si="1076"/>
        <v>SPS1</v>
      </c>
      <c r="C914" s="5" t="str">
        <f t="shared" si="1077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8.574373327098348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9.3285072248951586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9.0663030796659445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7.5927236123436224</v>
      </c>
      <c r="J914" s="1" cm="1">
        <f t="array" ref="J914">SUMPRODUCT(([1]OUT_FinalEnergyCons!$B$4:$B$10000="Var_Fin")*1, ISNUMBER(SEARCH("WOD",[1]OUT_FinalEnergyCons!$C$4:$C$10000))*1,(ISNUMBER(SEARCH("SCOM-SHWODBR",[1]OUT_FinalEnergyCons!$A$4:$A$10000)))*1,[1]OUT_FinalEnergyCons!H$4:H$10000)</f>
        <v>5.1039353907102303</v>
      </c>
      <c r="K914" s="1" cm="1">
        <f t="array" ref="K914">SUMPRODUCT(([1]OUT_FinalEnergyCons!$B$4:$B$10000="Var_Fin")*1, ISNUMBER(SEARCH("WOD",[1]OUT_FinalEnergyCons!$C$4:$C$10000))*1,(ISNUMBER(SEARCH("SCOM-SHWODBR",[1]OUT_FinalEnergyCons!$A$4:$A$10000)))*1,[1]OUT_FinalEnergyCons!I$4:I$10000)</f>
        <v>3.2310683909761684</v>
      </c>
      <c r="L914" s="1" cm="1">
        <f t="array" ref="L914">SUMPRODUCT(([1]OUT_FinalEnergyCons!$B$4:$B$10000="Var_Fin")*1, ISNUMBER(SEARCH("WOD",[1]OUT_FinalEnergyCons!$C$4:$C$10000))*1,(ISNUMBER(SEARCH("SCOM-SHWODBR",[1]OUT_FinalEnergyCons!$A$4:$A$10000)))*1,[1]OUT_FinalEnergyCons!J$4:J$10000)</f>
        <v>1.9996728929686447</v>
      </c>
      <c r="M914" s="1" cm="1">
        <f t="array" ref="M914">SUMPRODUCT(([1]OUT_FinalEnergyCons!$B$4:$B$10000="Var_Fin")*1, ISNUMBER(SEARCH("WOD",[1]OUT_FinalEnergyCons!$C$4:$C$10000))*1,(ISNUMBER(SEARCH("SCOM-SHWODBR",[1]OUT_FinalEnergyCons!$A$4:$A$10000)))*1,[1]OUT_FinalEnergyCons!K$4:K$10000)</f>
        <v>0.63797208284296381</v>
      </c>
      <c r="N914" s="1" cm="1">
        <f t="array" ref="N914">SUMPRODUCT(([1]OUT_FinalEnergyCons!$B$4:$B$10000="Var_Fin")*1, ISNUMBER(SEARCH("WOD",[1]OUT_FinalEnergyCons!$C$4:$C$10000))*1,(ISNUMBER(SEARCH("SCOM-SHWODBR",[1]OUT_FinalEnergyCons!$A$4:$A$10000)))*1,[1]OUT_FinalEnergyCons!L$4:L$10000)</f>
        <v>0.62255545761073361</v>
      </c>
      <c r="O914" s="1" cm="1">
        <f t="array" ref="O914">SUMPRODUCT(([1]OUT_FinalEnergyCons!$B$4:$B$10000="Var_Fin")*1, ISNUMBER(SEARCH("WOD",[1]OUT_FinalEnergyCons!$C$4:$C$10000))*1,(ISNUMBER(SEARCH("SCOM-SHWODBR",[1]OUT_FinalEnergyCons!$A$4:$A$10000)))*1,[1]OUT_FinalEnergyCons!M$4:M$10000)</f>
        <v>0.60797012433301845</v>
      </c>
      <c r="P914" s="1" cm="1">
        <f t="array" ref="P914">SUMPRODUCT(([1]OUT_FinalEnergyCons!$B$4:$B$10000="Var_Fin")*1, ISNUMBER(SEARCH("WOD",[1]OUT_FinalEnergyCons!$C$4:$C$10000))*1,(ISNUMBER(SEARCH("SCOM-SHWODBR",[1]OUT_FinalEnergyCons!$A$4:$A$10000)))*1,[1]OUT_FinalEnergyCons!N$4:N$10000)</f>
        <v>0.595052413539085</v>
      </c>
      <c r="Q914" s="1" cm="1">
        <f t="array" ref="Q914">SUMPRODUCT(([1]OUT_FinalEnergyCons!$B$4:$B$10000="Var_Fin")*1, ISNUMBER(SEARCH("WOD",[1]OUT_FinalEnergyCons!$C$4:$C$10000))*1,(ISNUMBER(SEARCH("SCOM-SHWODBR",[1]OUT_FinalEnergyCons!$A$4:$A$10000)))*1,[1]OUT_FinalEnergyCons!O$4:O$10000)</f>
        <v>0.57040682167065648</v>
      </c>
      <c r="S914" s="3"/>
    </row>
    <row r="915" spans="2:19" x14ac:dyDescent="0.5">
      <c r="B915" s="5" t="str">
        <f t="shared" si="1076"/>
        <v>SPS1</v>
      </c>
      <c r="C915" s="5" t="str">
        <f t="shared" si="1077"/>
        <v>CH</v>
      </c>
      <c r="D915" t="s">
        <v>973</v>
      </c>
      <c r="E915" t="s">
        <v>8</v>
      </c>
      <c r="F915" s="1">
        <f>F916</f>
        <v>2.0856390248217873</v>
      </c>
      <c r="G915" s="1">
        <f t="shared" ref="G915:O915" si="1106">G916</f>
        <v>2.4000935980624938</v>
      </c>
      <c r="H915" s="1">
        <f t="shared" si="1106"/>
        <v>2.3204438801193401</v>
      </c>
      <c r="I915" s="1">
        <f t="shared" si="1106"/>
        <v>2.5333915437652923</v>
      </c>
      <c r="J915" s="1">
        <f t="shared" si="1106"/>
        <v>2.6823755170947394</v>
      </c>
      <c r="K915" s="1">
        <f t="shared" si="1106"/>
        <v>3.0232347506460555</v>
      </c>
      <c r="L915" s="1">
        <f t="shared" si="1106"/>
        <v>2.8919034369846219</v>
      </c>
      <c r="M915" s="1">
        <f t="shared" si="1106"/>
        <v>2.9541199472327144</v>
      </c>
      <c r="N915" s="1">
        <f t="shared" si="1106"/>
        <v>2.8831331773153459</v>
      </c>
      <c r="O915" s="1">
        <f t="shared" si="1106"/>
        <v>2.8158327624279913</v>
      </c>
      <c r="P915" s="1">
        <f>P916</f>
        <v>2.7547593350551689</v>
      </c>
      <c r="Q915" s="1">
        <f>Q916</f>
        <v>2.6332886730050085</v>
      </c>
      <c r="S915" s="3"/>
    </row>
    <row r="916" spans="2:19" x14ac:dyDescent="0.5">
      <c r="B916" s="5" t="str">
        <f t="shared" si="1076"/>
        <v>SPS1</v>
      </c>
      <c r="C916" s="5" t="str">
        <f t="shared" si="1077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2.0856390248217873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2.4000935980624938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2.3204438801193401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2.5333915437652923</v>
      </c>
      <c r="J916" s="1" cm="1">
        <f t="array" ref="J916">SUMPRODUCT(([1]OUT_FinalEnergyCons!$B$4:$B$10000="Var_Fin")*1,ISNUMBER(SEARCH("SPLT",[1]OUT_FinalEnergyCons!$C$4:$C$10000))*1, (ISNUMBER(SEARCH("SCOM-SHPLTBR",[1]OUT_FinalEnergyCons!$A$4:$A$10000)))*1,[1]OUT_FinalEnergyCons!H$4:H$10000)</f>
        <v>2.6823755170947394</v>
      </c>
      <c r="K916" s="1" cm="1">
        <f t="array" ref="K916">SUMPRODUCT(([1]OUT_FinalEnergyCons!$B$4:$B$10000="Var_Fin")*1,ISNUMBER(SEARCH("SPLT",[1]OUT_FinalEnergyCons!$C$4:$C$10000))*1, (ISNUMBER(SEARCH("SCOM-SHPLTBR",[1]OUT_FinalEnergyCons!$A$4:$A$10000)))*1,[1]OUT_FinalEnergyCons!I$4:I$10000)</f>
        <v>3.0232347506460555</v>
      </c>
      <c r="L916" s="1" cm="1">
        <f t="array" ref="L916">SUMPRODUCT(([1]OUT_FinalEnergyCons!$B$4:$B$10000="Var_Fin")*1,ISNUMBER(SEARCH("SPLT",[1]OUT_FinalEnergyCons!$C$4:$C$10000))*1, (ISNUMBER(SEARCH("SCOM-SHPLTBR",[1]OUT_FinalEnergyCons!$A$4:$A$10000)))*1,[1]OUT_FinalEnergyCons!J$4:J$10000)</f>
        <v>2.8919034369846219</v>
      </c>
      <c r="M916" s="1" cm="1">
        <f t="array" ref="M916">SUMPRODUCT(([1]OUT_FinalEnergyCons!$B$4:$B$10000="Var_Fin")*1,ISNUMBER(SEARCH("SPLT",[1]OUT_FinalEnergyCons!$C$4:$C$10000))*1, (ISNUMBER(SEARCH("SCOM-SHPLTBR",[1]OUT_FinalEnergyCons!$A$4:$A$10000)))*1,[1]OUT_FinalEnergyCons!K$4:K$10000)</f>
        <v>2.9541199472327144</v>
      </c>
      <c r="N916" s="1" cm="1">
        <f t="array" ref="N916">SUMPRODUCT(([1]OUT_FinalEnergyCons!$B$4:$B$10000="Var_Fin")*1,ISNUMBER(SEARCH("SPLT",[1]OUT_FinalEnergyCons!$C$4:$C$10000))*1, (ISNUMBER(SEARCH("SCOM-SHPLTBR",[1]OUT_FinalEnergyCons!$A$4:$A$10000)))*1,[1]OUT_FinalEnergyCons!L$4:L$10000)</f>
        <v>2.8831331773153459</v>
      </c>
      <c r="O916" s="1" cm="1">
        <f t="array" ref="O916">SUMPRODUCT(([1]OUT_FinalEnergyCons!$B$4:$B$10000="Var_Fin")*1,ISNUMBER(SEARCH("SPLT",[1]OUT_FinalEnergyCons!$C$4:$C$10000))*1, (ISNUMBER(SEARCH("SCOM-SHPLTBR",[1]OUT_FinalEnergyCons!$A$4:$A$10000)))*1,[1]OUT_FinalEnergyCons!M$4:M$10000)</f>
        <v>2.8158327624279913</v>
      </c>
      <c r="P916" s="1" cm="1">
        <f t="array" ref="P916">SUMPRODUCT(([1]OUT_FinalEnergyCons!$B$4:$B$10000="Var_Fin")*1,ISNUMBER(SEARCH("SPLT",[1]OUT_FinalEnergyCons!$C$4:$C$10000))*1, (ISNUMBER(SEARCH("SCOM-SHPLTBR",[1]OUT_FinalEnergyCons!$A$4:$A$10000)))*1,[1]OUT_FinalEnergyCons!N$4:N$10000)</f>
        <v>2.7547593350551689</v>
      </c>
      <c r="Q916" s="1" cm="1">
        <f t="array" ref="Q916">SUMPRODUCT(([1]OUT_FinalEnergyCons!$B$4:$B$10000="Var_Fin")*1,ISNUMBER(SEARCH("SPLT",[1]OUT_FinalEnergyCons!$C$4:$C$10000))*1, (ISNUMBER(SEARCH("SCOM-SHPLTBR",[1]OUT_FinalEnergyCons!$A$4:$A$10000)))*1,[1]OUT_FinalEnergyCons!O$4:O$10000)</f>
        <v>2.6332886730050085</v>
      </c>
      <c r="S916" s="3"/>
    </row>
    <row r="917" spans="2:19" x14ac:dyDescent="0.5">
      <c r="B917" s="5" t="str">
        <f t="shared" si="1076"/>
        <v>SPS1</v>
      </c>
      <c r="C917" s="5" t="str">
        <f t="shared" si="1077"/>
        <v>CH</v>
      </c>
      <c r="D917" t="s">
        <v>975</v>
      </c>
      <c r="E917" t="s">
        <v>8</v>
      </c>
      <c r="F917" s="1">
        <f>F918</f>
        <v>0.62699674140755068</v>
      </c>
      <c r="G917" s="1">
        <f t="shared" ref="G917:O917" si="1107">G918</f>
        <v>0.68734342049607799</v>
      </c>
      <c r="H917" s="1">
        <f t="shared" si="1107"/>
        <v>0.68710539640262069</v>
      </c>
      <c r="I917" s="1">
        <f t="shared" si="1107"/>
        <v>0.68756343294399536</v>
      </c>
      <c r="J917" s="1">
        <f t="shared" si="1107"/>
        <v>0.68780420922686236</v>
      </c>
      <c r="K917" s="1">
        <f t="shared" si="1107"/>
        <v>0.68802832473041875</v>
      </c>
      <c r="L917" s="1">
        <f t="shared" si="1107"/>
        <v>0.68801838194041698</v>
      </c>
      <c r="M917" s="1">
        <f t="shared" si="1107"/>
        <v>0.68753384165815401</v>
      </c>
      <c r="N917" s="1">
        <f t="shared" si="1107"/>
        <v>0.68834438991483105</v>
      </c>
      <c r="O917" s="1">
        <f t="shared" si="1107"/>
        <v>0.68771745660865946</v>
      </c>
      <c r="P917" s="1">
        <f>P918</f>
        <v>0.68839779169106141</v>
      </c>
      <c r="Q917" s="1">
        <f>Q918</f>
        <v>0.68852227419180057</v>
      </c>
      <c r="S917" s="3"/>
    </row>
    <row r="918" spans="2:19" x14ac:dyDescent="0.5">
      <c r="B918" s="5" t="str">
        <f t="shared" si="1076"/>
        <v>SPS1</v>
      </c>
      <c r="C918" s="5" t="str">
        <f t="shared" si="1077"/>
        <v>CH</v>
      </c>
      <c r="D918" t="s">
        <v>976</v>
      </c>
      <c r="E918" t="s">
        <v>8</v>
      </c>
      <c r="F918" s="1">
        <f>[1]Services!B$19</f>
        <v>0.62699674140755068</v>
      </c>
      <c r="G918" s="1">
        <f>[1]Services!C$19</f>
        <v>0.68734342049607799</v>
      </c>
      <c r="H918" s="1">
        <f>[1]Services!D$19</f>
        <v>0.68710539640262069</v>
      </c>
      <c r="I918" s="1">
        <f>[1]Services!E$19</f>
        <v>0.68756343294399536</v>
      </c>
      <c r="J918" s="1">
        <f>[1]Services!F$19</f>
        <v>0.68780420922686236</v>
      </c>
      <c r="K918" s="1">
        <f>[1]Services!G$19</f>
        <v>0.68802832473041875</v>
      </c>
      <c r="L918" s="1">
        <f>[1]Services!H$19</f>
        <v>0.68801838194041698</v>
      </c>
      <c r="M918" s="1">
        <f>[1]Services!I$19</f>
        <v>0.68753384165815401</v>
      </c>
      <c r="N918" s="1">
        <f>[1]Services!J$19</f>
        <v>0.68834438991483105</v>
      </c>
      <c r="O918" s="1">
        <f>[1]Services!K$19</f>
        <v>0.68771745660865946</v>
      </c>
      <c r="P918" s="1">
        <f>[1]Services!L$19</f>
        <v>0.68839779169106141</v>
      </c>
      <c r="Q918" s="1">
        <f>[1]Services!M$19</f>
        <v>0.68852227419180057</v>
      </c>
      <c r="S918" s="3"/>
    </row>
    <row r="919" spans="2:19" x14ac:dyDescent="0.5">
      <c r="B919" s="5" t="str">
        <f t="shared" si="1076"/>
        <v>SPS1</v>
      </c>
      <c r="C919" s="5" t="str">
        <f t="shared" si="1077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4.6291360746561414E-3</v>
      </c>
      <c r="J919" s="1">
        <f>[1]Services!F$20</f>
        <v>9.7634428711776342E-3</v>
      </c>
      <c r="K919" s="1">
        <f>[1]Services!G$20</f>
        <v>1.249147694563342E-2</v>
      </c>
      <c r="L919" s="1">
        <f>[1]Services!H$20</f>
        <v>1.1091071262303636E-2</v>
      </c>
      <c r="M919" s="1">
        <f>[1]Services!I$20</f>
        <v>3.9238220855762687E-2</v>
      </c>
      <c r="N919" s="1">
        <f>[1]Services!J$20</f>
        <v>3.4240083748362377E-2</v>
      </c>
      <c r="O919" s="1">
        <f>[1]Services!K$20</f>
        <v>0.13133792949617554</v>
      </c>
      <c r="P919" s="1">
        <f>[1]Services!L$20</f>
        <v>0.18778835096001917</v>
      </c>
      <c r="Q919" s="1">
        <f>[1]Services!M$20</f>
        <v>0.17832054899920236</v>
      </c>
      <c r="S919" s="3"/>
    </row>
    <row r="920" spans="2:19" x14ac:dyDescent="0.5">
      <c r="B920" s="5" t="str">
        <f t="shared" si="1076"/>
        <v>SPS1</v>
      </c>
      <c r="C920" s="5" t="str">
        <f t="shared" si="1077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108">G919-G921</f>
        <v>0</v>
      </c>
      <c r="H920" s="1">
        <f t="shared" si="1108"/>
        <v>0</v>
      </c>
      <c r="I920" s="1">
        <f t="shared" si="1108"/>
        <v>0</v>
      </c>
      <c r="J920" s="1">
        <f t="shared" si="1108"/>
        <v>0</v>
      </c>
      <c r="K920" s="1">
        <f t="shared" si="1108"/>
        <v>0</v>
      </c>
      <c r="L920" s="1">
        <f t="shared" ref="L920:O920" si="1109">L919-L921</f>
        <v>0</v>
      </c>
      <c r="M920" s="1">
        <f t="shared" si="1109"/>
        <v>0</v>
      </c>
      <c r="N920" s="1">
        <f t="shared" si="1109"/>
        <v>0</v>
      </c>
      <c r="O920" s="1">
        <f t="shared" si="1109"/>
        <v>0</v>
      </c>
      <c r="P920" s="1">
        <f>P919-P921</f>
        <v>0</v>
      </c>
      <c r="Q920" s="1">
        <f>Q919-Q921</f>
        <v>0</v>
      </c>
      <c r="S920" s="3"/>
    </row>
    <row r="921" spans="2:19" x14ac:dyDescent="0.5">
      <c r="B921" s="5" t="str">
        <f t="shared" si="1076"/>
        <v>SPS1</v>
      </c>
      <c r="C921" s="5" t="str">
        <f t="shared" si="1077"/>
        <v>CH</v>
      </c>
      <c r="D921" t="s">
        <v>747</v>
      </c>
      <c r="E921" t="s">
        <v>8</v>
      </c>
      <c r="F921" s="1">
        <f>F922</f>
        <v>0</v>
      </c>
      <c r="G921" s="1">
        <f t="shared" ref="G921:O921" si="1110">G922</f>
        <v>0</v>
      </c>
      <c r="H921" s="1">
        <f t="shared" si="1110"/>
        <v>0</v>
      </c>
      <c r="I921" s="1">
        <f t="shared" si="1110"/>
        <v>4.6291360746561414E-3</v>
      </c>
      <c r="J921" s="1">
        <f t="shared" si="1110"/>
        <v>9.7634428711776342E-3</v>
      </c>
      <c r="K921" s="1">
        <f t="shared" si="1110"/>
        <v>1.249147694563342E-2</v>
      </c>
      <c r="L921" s="1">
        <f t="shared" si="1110"/>
        <v>1.1091071262303636E-2</v>
      </c>
      <c r="M921" s="1">
        <f t="shared" si="1110"/>
        <v>3.9238220855762687E-2</v>
      </c>
      <c r="N921" s="1">
        <f t="shared" si="1110"/>
        <v>3.4240083748362377E-2</v>
      </c>
      <c r="O921" s="1">
        <f t="shared" si="1110"/>
        <v>0.13133792949617554</v>
      </c>
      <c r="P921" s="1">
        <f>P922</f>
        <v>0.18778835096001917</v>
      </c>
      <c r="Q921" s="1">
        <f>Q922</f>
        <v>0.17832054899920236</v>
      </c>
      <c r="S921" s="3"/>
    </row>
    <row r="922" spans="2:19" x14ac:dyDescent="0.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4.6291360746561414E-3</v>
      </c>
      <c r="J922" s="1">
        <f>[1]Services!F$20</f>
        <v>9.7634428711776342E-3</v>
      </c>
      <c r="K922" s="1">
        <f>[1]Services!G$20</f>
        <v>1.249147694563342E-2</v>
      </c>
      <c r="L922" s="1">
        <f>[1]Services!H$20</f>
        <v>1.1091071262303636E-2</v>
      </c>
      <c r="M922" s="1">
        <f>[1]Services!I$20</f>
        <v>3.9238220855762687E-2</v>
      </c>
      <c r="N922" s="1">
        <f>[1]Services!J$20</f>
        <v>3.4240083748362377E-2</v>
      </c>
      <c r="O922" s="1">
        <f>[1]Services!K$20</f>
        <v>0.13133792949617554</v>
      </c>
      <c r="P922" s="1">
        <f>[1]Services!L$20</f>
        <v>0.18778835096001917</v>
      </c>
      <c r="Q922" s="1">
        <f>[1]Services!M$20</f>
        <v>0.17832054899920236</v>
      </c>
      <c r="S922" s="3"/>
    </row>
    <row r="923" spans="2:19" x14ac:dyDescent="0.5">
      <c r="B923" s="5" t="str">
        <f t="shared" si="1076"/>
        <v>SPS1</v>
      </c>
      <c r="C923" s="5" t="str">
        <f t="shared" si="1077"/>
        <v>CH</v>
      </c>
      <c r="D923" t="s">
        <v>979</v>
      </c>
      <c r="E923" t="s">
        <v>8</v>
      </c>
      <c r="F923" s="1">
        <f>F924</f>
        <v>2.9296005862899523</v>
      </c>
      <c r="G923" s="1">
        <f t="shared" ref="G923:O923" si="1111">G924</f>
        <v>3.1924588572611676</v>
      </c>
      <c r="H923" s="1">
        <f t="shared" si="1111"/>
        <v>3.3615717910725311</v>
      </c>
      <c r="I923" s="1">
        <f t="shared" si="1111"/>
        <v>3.6681332069982413</v>
      </c>
      <c r="J923" s="1">
        <f t="shared" si="1111"/>
        <v>3.9857206150651865</v>
      </c>
      <c r="K923" s="1">
        <f t="shared" si="1111"/>
        <v>4.3351506663873627</v>
      </c>
      <c r="L923" s="1">
        <f t="shared" si="1111"/>
        <v>4.6984732862039431</v>
      </c>
      <c r="M923" s="1">
        <f t="shared" si="1111"/>
        <v>5.1182226114800269</v>
      </c>
      <c r="N923" s="1">
        <f t="shared" si="1111"/>
        <v>5.5287999059729147</v>
      </c>
      <c r="O923" s="1">
        <f t="shared" si="1111"/>
        <v>5.8773055374615559</v>
      </c>
      <c r="P923" s="1">
        <f>P924</f>
        <v>6.3477015220462327</v>
      </c>
      <c r="Q923" s="1">
        <f>Q924</f>
        <v>6.7939831714975387</v>
      </c>
      <c r="S923" s="3"/>
    </row>
    <row r="924" spans="2:19" x14ac:dyDescent="0.5">
      <c r="B924" s="5" t="str">
        <f t="shared" si="1076"/>
        <v>SPS1</v>
      </c>
      <c r="C924" s="5" t="str">
        <f t="shared" si="1077"/>
        <v>CH</v>
      </c>
      <c r="D924" t="s">
        <v>980</v>
      </c>
      <c r="E924" t="s">
        <v>8</v>
      </c>
      <c r="F924" s="1">
        <f>[1]Services!B$21-F925</f>
        <v>2.9296005862899523</v>
      </c>
      <c r="G924" s="1">
        <f>[1]Services!C$21-G925</f>
        <v>3.1924588572611676</v>
      </c>
      <c r="H924" s="1">
        <f>[1]Services!D$21-H925</f>
        <v>3.3615717910725311</v>
      </c>
      <c r="I924" s="1">
        <f>[1]Services!E$21-I925</f>
        <v>3.6681332069982413</v>
      </c>
      <c r="J924" s="1">
        <f>[1]Services!F$21-J925</f>
        <v>3.9857206150651865</v>
      </c>
      <c r="K924" s="1">
        <f>[1]Services!G$21-K925</f>
        <v>4.3351506663873627</v>
      </c>
      <c r="L924" s="1">
        <f>[1]Services!H$21-L925</f>
        <v>4.6984732862039431</v>
      </c>
      <c r="M924" s="1">
        <f>[1]Services!I$21-M925</f>
        <v>5.1182226114800269</v>
      </c>
      <c r="N924" s="1">
        <f>[1]Services!J$21-N925</f>
        <v>5.5287999059729147</v>
      </c>
      <c r="O924" s="1">
        <f>[1]Services!K$21-O925</f>
        <v>5.8773055374615559</v>
      </c>
      <c r="P924" s="1">
        <f>[1]Services!L$21-P925</f>
        <v>6.3477015220462327</v>
      </c>
      <c r="Q924" s="1">
        <f>[1]Services!M$21-Q925</f>
        <v>6.7939831714975387</v>
      </c>
      <c r="S924" s="3"/>
    </row>
    <row r="925" spans="2:19" x14ac:dyDescent="0.5">
      <c r="B925" s="5" t="str">
        <f t="shared" ref="B925" si="1112">B924</f>
        <v>SPS1</v>
      </c>
      <c r="C925" s="5" t="str">
        <f t="shared" ref="C925" si="1113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2.713951164168585E-3</v>
      </c>
      <c r="I925" s="1">
        <f>[1]Services!E$50-I896</f>
        <v>2.879180352089832E-3</v>
      </c>
      <c r="J925" s="1">
        <f>[1]Services!F$50-J896</f>
        <v>1.268413532796607E-2</v>
      </c>
      <c r="K925" s="1">
        <f>[1]Services!G$50-K896</f>
        <v>1.8716955553348236E-2</v>
      </c>
      <c r="L925" s="1">
        <f>[1]Services!H$50-L896</f>
        <v>3.5917545743422048E-2</v>
      </c>
      <c r="M925" s="1">
        <f>[1]Services!I$50-M896</f>
        <v>3.3969975836698314E-2</v>
      </c>
      <c r="N925" s="1">
        <f>[1]Services!J$50-N896</f>
        <v>2.5130390668959453E-2</v>
      </c>
      <c r="O925" s="1">
        <f>[1]Services!K$50-O896</f>
        <v>8.714286754052443E-2</v>
      </c>
      <c r="P925" s="1">
        <f>[1]Services!L$50-P896</f>
        <v>8.1511145283895581E-2</v>
      </c>
      <c r="Q925" s="1">
        <f>[1]Services!M$50-Q896</f>
        <v>0.12278248161348077</v>
      </c>
      <c r="S925" s="3"/>
    </row>
    <row r="926" spans="2:19" x14ac:dyDescent="0.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73.238426678933607</v>
      </c>
      <c r="G926" s="17">
        <f>[1]Services!C$59</f>
        <v>78.57422566221986</v>
      </c>
      <c r="H926" s="17">
        <f>[1]Services!D$59</f>
        <v>77.947558961187525</v>
      </c>
      <c r="I926" s="17">
        <f>[1]Services!E$59</f>
        <v>76.697896970168983</v>
      </c>
      <c r="J926" s="17">
        <f>[1]Services!F$59</f>
        <v>74.073132655639768</v>
      </c>
      <c r="K926" s="17">
        <f>[1]Services!G$59</f>
        <v>71.367351549241278</v>
      </c>
      <c r="L926" s="17">
        <f>[1]Services!H$59</f>
        <v>68.166322100164209</v>
      </c>
      <c r="M926" s="17">
        <f>[1]Services!I$59</f>
        <v>65.00952595556798</v>
      </c>
      <c r="N926" s="17">
        <f>[1]Services!J$59</f>
        <v>63.608647631833492</v>
      </c>
      <c r="O926" s="17">
        <f>[1]Services!K$59</f>
        <v>62.328856938492621</v>
      </c>
      <c r="P926" s="17">
        <f>[1]Services!L$59</f>
        <v>61.110887323625121</v>
      </c>
      <c r="Q926" s="17">
        <f>[1]Services!M$59</f>
        <v>58.743507149139994</v>
      </c>
      <c r="S926" s="3"/>
    </row>
    <row r="927" spans="2:19" x14ac:dyDescent="0.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63.650062188685595</v>
      </c>
      <c r="G927" s="1">
        <f t="shared" ref="G927:K927" si="1114">SUM(G928:G930)</f>
        <v>63.685441462726011</v>
      </c>
      <c r="H927" s="1">
        <f t="shared" si="1114"/>
        <v>68.61109383677595</v>
      </c>
      <c r="I927" s="1">
        <f t="shared" si="1114"/>
        <v>69.228462965240183</v>
      </c>
      <c r="J927" s="1">
        <f t="shared" si="1114"/>
        <v>69.522676878814906</v>
      </c>
      <c r="K927" s="1">
        <f t="shared" si="1114"/>
        <v>70.015681939816218</v>
      </c>
      <c r="L927" s="1">
        <f t="shared" ref="L927:O927" si="1115">SUM(L928:L930)</f>
        <v>69.645448227837207</v>
      </c>
      <c r="M927" s="1">
        <f t="shared" si="1115"/>
        <v>69.369484929895961</v>
      </c>
      <c r="N927" s="1">
        <f t="shared" si="1115"/>
        <v>70.954926234347681</v>
      </c>
      <c r="O927" s="1">
        <f t="shared" si="1115"/>
        <v>72.264201935151135</v>
      </c>
      <c r="P927" s="1">
        <f>SUM(P928:P930)</f>
        <v>73.695886688814113</v>
      </c>
      <c r="Q927" s="1">
        <f>SUM(Q928:Q930)</f>
        <v>75.042254048382958</v>
      </c>
      <c r="S927" s="3"/>
    </row>
    <row r="928" spans="2:19" x14ac:dyDescent="0.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2.3940503973514038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0.36588323307495885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2.2496866205800319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1.9618428937852903</v>
      </c>
      <c r="J928" s="1" cm="1">
        <f t="array" ref="J928">SUMPRODUCT(([1]OUT_FinalEnergyCons!$B$4:$B$10000="Var_FOut")*1, ISNUMBER(SEARCH("SCOM-SHAELC",[1]OUT_FinalEnergyCons!$C$4:$C$10000))*1, (ISNUMBER(SEARCH("SCOM-SHELCBR",[1]OUT_FinalEnergyCons!$A$4:$A$10000)))*1,[1]OUT_FinalEnergyCons!H$4:H$10000)</f>
        <v>1.6500508396083089</v>
      </c>
      <c r="K928" s="1" cm="1">
        <f t="array" ref="K928">SUMPRODUCT(([1]OUT_FinalEnergyCons!$B$4:$B$10000="Var_FOut")*1, ISNUMBER(SEARCH("SCOM-SHAELC",[1]OUT_FinalEnergyCons!$C$4:$C$10000))*1, (ISNUMBER(SEARCH("SCOM-SHELCBR",[1]OUT_FinalEnergyCons!$A$4:$A$10000)))*1,[1]OUT_FinalEnergyCons!I$4:I$10000)</f>
        <v>1.3549524390137884</v>
      </c>
      <c r="L928" s="1" cm="1">
        <f t="array" ref="L928">SUMPRODUCT(([1]OUT_FinalEnergyCons!$B$4:$B$10000="Var_FOut")*1, ISNUMBER(SEARCH("SCOM-SHAELC",[1]OUT_FinalEnergyCons!$C$4:$C$10000))*1, (ISNUMBER(SEARCH("SCOM-SHELCBR",[1]OUT_FinalEnergyCons!$A$4:$A$10000)))*1,[1]OUT_FinalEnergyCons!J$4:J$10000)</f>
        <v>1.0711030282928771</v>
      </c>
      <c r="M928" s="1" cm="1">
        <f t="array" ref="M928">SUMPRODUCT(([1]OUT_FinalEnergyCons!$B$4:$B$10000="Var_FOut")*1, ISNUMBER(SEARCH("SCOM-SHAELC",[1]OUT_FinalEnergyCons!$C$4:$C$10000))*1, (ISNUMBER(SEARCH("SCOM-SHELCBR",[1]OUT_FinalEnergyCons!$A$4:$A$10000)))*1,[1]OUT_FinalEnergyCons!K$4:K$10000)</f>
        <v>0.81032375926949174</v>
      </c>
      <c r="N928" s="1" cm="1">
        <f t="array" ref="N928">SUMPRODUCT(([1]OUT_FinalEnergyCons!$B$4:$B$10000="Var_FOut")*1, ISNUMBER(SEARCH("SCOM-SHAELC",[1]OUT_FinalEnergyCons!$C$4:$C$10000))*1, (ISNUMBER(SEARCH("SCOM-SHELCBR",[1]OUT_FinalEnergyCons!$A$4:$A$10000)))*1,[1]OUT_FinalEnergyCons!L$4:L$10000)</f>
        <v>0.79080247926487357</v>
      </c>
      <c r="O928" s="1" cm="1">
        <f t="array" ref="O928">SUMPRODUCT(([1]OUT_FinalEnergyCons!$B$4:$B$10000="Var_FOut")*1, ISNUMBER(SEARCH("SCOM-SHAELC",[1]OUT_FinalEnergyCons!$C$4:$C$10000))*1, (ISNUMBER(SEARCH("SCOM-SHELCBR",[1]OUT_FinalEnergyCons!$A$4:$A$10000)))*1,[1]OUT_FinalEnergyCons!M$4:M$10000)</f>
        <v>0.77236842815035256</v>
      </c>
      <c r="P928" s="1" cm="1">
        <f t="array" ref="P928">SUMPRODUCT(([1]OUT_FinalEnergyCons!$B$4:$B$10000="Var_FOut")*1, ISNUMBER(SEARCH("SCOM-SHAELC",[1]OUT_FinalEnergyCons!$C$4:$C$10000))*1, (ISNUMBER(SEARCH("SCOM-SHELCBR",[1]OUT_FinalEnergyCons!$A$4:$A$10000)))*1,[1]OUT_FinalEnergyCons!N$4:N$10000)</f>
        <v>0.7556022583981159</v>
      </c>
      <c r="Q928" s="1" cm="1">
        <f t="array" ref="Q928">SUMPRODUCT(([1]OUT_FinalEnergyCons!$B$4:$B$10000="Var_FOut")*1, ISNUMBER(SEARCH("SCOM-SHAELC",[1]OUT_FinalEnergyCons!$C$4:$C$10000))*1, (ISNUMBER(SEARCH("SCOM-SHELCBR",[1]OUT_FinalEnergyCons!$A$4:$A$10000)))*1,[1]OUT_FinalEnergyCons!O$4:O$10000)</f>
        <v>0.72235345040714372</v>
      </c>
      <c r="S928" s="3"/>
    </row>
    <row r="929" spans="2:19" x14ac:dyDescent="0.5">
      <c r="B929" s="5" t="str">
        <f t="shared" ref="B929:B932" si="1116">B928</f>
        <v>SPS1</v>
      </c>
      <c r="C929" s="5" t="str">
        <f t="shared" ref="C929:C932" si="1117">C928</f>
        <v>CH</v>
      </c>
      <c r="D929" t="s">
        <v>729</v>
      </c>
      <c r="E929" t="s">
        <v>8</v>
      </c>
      <c r="F929" s="1">
        <f>[1]Services!B$47</f>
        <v>4.2612372164217485</v>
      </c>
      <c r="G929" s="1">
        <f>[1]Services!C$47</f>
        <v>4.6176637042527622</v>
      </c>
      <c r="H929" s="1">
        <f>[1]Services!D$47</f>
        <v>4.8231247437127642</v>
      </c>
      <c r="I929" s="1">
        <f>[1]Services!E$47</f>
        <v>5.1965220432475077</v>
      </c>
      <c r="J929" s="1">
        <f>[1]Services!F$47</f>
        <v>5.5800088610912617</v>
      </c>
      <c r="K929" s="1">
        <f>[1]Services!G$47</f>
        <v>6.0025163073055818</v>
      </c>
      <c r="L929" s="1">
        <f>[1]Services!H$47</f>
        <v>6.4386485773905893</v>
      </c>
      <c r="M929" s="1">
        <f>[1]Services!I$47</f>
        <v>6.9461592584371807</v>
      </c>
      <c r="N929" s="1">
        <f>[1]Services!J$47</f>
        <v>7.5033713009632415</v>
      </c>
      <c r="O929" s="1">
        <f>[1]Services!K$47</f>
        <v>7.9763432294121124</v>
      </c>
      <c r="P929" s="1">
        <f>[1]Services!L$47</f>
        <v>8.614737779919885</v>
      </c>
      <c r="Q929" s="1">
        <f>[1]Services!M$47</f>
        <v>9.2204057327466575</v>
      </c>
      <c r="S929" s="3"/>
    </row>
    <row r="930" spans="2:19" x14ac:dyDescent="0.5">
      <c r="B930" s="5" t="str">
        <f t="shared" si="1116"/>
        <v>SPS1</v>
      </c>
      <c r="C930" s="5" t="str">
        <f t="shared" si="1117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58.701894525398288</v>
      </c>
      <c r="H930" s="1">
        <f>[1]Services!D$3-([1]Services!D$6-[1]Services!D$58)</f>
        <v>61.538282472483147</v>
      </c>
      <c r="I930" s="1">
        <f>[1]Services!E$3-([1]Services!E$6-[1]Services!E$58)</f>
        <v>62.070098028207383</v>
      </c>
      <c r="J930" s="1">
        <f>[1]Services!F$3-([1]Services!F$6-[1]Services!F$58)</f>
        <v>62.292617178115329</v>
      </c>
      <c r="K930" s="1">
        <f>[1]Services!G$3-([1]Services!G$6-[1]Services!G$58)</f>
        <v>62.658213193496849</v>
      </c>
      <c r="L930" s="1">
        <f>[1]Services!H$3-([1]Services!H$6-[1]Services!H$58)</f>
        <v>62.135696622153738</v>
      </c>
      <c r="M930" s="1">
        <f>[1]Services!I$3-([1]Services!I$6-[1]Services!I$58)</f>
        <v>61.613001912189283</v>
      </c>
      <c r="N930" s="1">
        <f>[1]Services!J$3-([1]Services!J$6-[1]Services!J$58)</f>
        <v>62.660752454119567</v>
      </c>
      <c r="O930" s="1">
        <f>[1]Services!K$3-([1]Services!K$6-[1]Services!K$58)</f>
        <v>63.515490277588668</v>
      </c>
      <c r="P930" s="1">
        <f>[1]Services!L$3-([1]Services!L$6-[1]Services!L$58)</f>
        <v>64.325546650496108</v>
      </c>
      <c r="Q930" s="1">
        <f>[1]Services!M$3-([1]Services!M$6-[1]Services!M$58)</f>
        <v>65.099494865229161</v>
      </c>
      <c r="S930" s="3"/>
    </row>
    <row r="931" spans="2:19" x14ac:dyDescent="0.5">
      <c r="B931" s="5" t="str">
        <f t="shared" si="1116"/>
        <v>SPS1</v>
      </c>
      <c r="C931" s="5" t="str">
        <f t="shared" si="1117"/>
        <v>CH</v>
      </c>
      <c r="D931" t="s">
        <v>1040</v>
      </c>
      <c r="E931" t="s">
        <v>8</v>
      </c>
      <c r="F931" s="1">
        <f>F932</f>
        <v>24.843070733806076</v>
      </c>
      <c r="G931" s="1">
        <f t="shared" ref="G931:O931" si="1118">G932</f>
        <v>22.108409510048698</v>
      </c>
      <c r="H931" s="1">
        <f t="shared" si="1118"/>
        <v>20.975588628450762</v>
      </c>
      <c r="I931" s="1">
        <f t="shared" si="1118"/>
        <v>17.863063040370612</v>
      </c>
      <c r="J931" s="1">
        <f t="shared" si="1118"/>
        <v>14.147384853116334</v>
      </c>
      <c r="K931" s="1">
        <f t="shared" si="1118"/>
        <v>12.001205297610559</v>
      </c>
      <c r="L931" s="1">
        <f t="shared" si="1118"/>
        <v>10.804948960461177</v>
      </c>
      <c r="M931" s="1">
        <f t="shared" si="1118"/>
        <v>8.9822715128392598</v>
      </c>
      <c r="N931" s="1">
        <f t="shared" si="1118"/>
        <v>7.4298524054656747</v>
      </c>
      <c r="O931" s="1">
        <f t="shared" si="1118"/>
        <v>6.1809900885915869</v>
      </c>
      <c r="P931" s="1">
        <f>P932</f>
        <v>3.4027058257829546</v>
      </c>
      <c r="Q931" s="1">
        <f>Q932</f>
        <v>1.149612305186247</v>
      </c>
      <c r="S931" s="3"/>
    </row>
    <row r="932" spans="2:19" x14ac:dyDescent="0.5">
      <c r="B932" s="5" t="str">
        <f t="shared" si="1116"/>
        <v>SPS1</v>
      </c>
      <c r="C932" s="5" t="str">
        <f t="shared" si="1117"/>
        <v>CH</v>
      </c>
      <c r="D932" t="s">
        <v>1041</v>
      </c>
      <c r="E932" t="s">
        <v>8</v>
      </c>
      <c r="F932" s="1">
        <f>[1]Services!B$48</f>
        <v>24.843070733806076</v>
      </c>
      <c r="G932" s="1">
        <f>[1]Services!C$48</f>
        <v>22.108409510048698</v>
      </c>
      <c r="H932" s="1">
        <f>[1]Services!D$48</f>
        <v>20.975588628450762</v>
      </c>
      <c r="I932" s="1">
        <f>[1]Services!E$48</f>
        <v>17.863063040370612</v>
      </c>
      <c r="J932" s="1">
        <f>[1]Services!F$48</f>
        <v>14.147384853116334</v>
      </c>
      <c r="K932" s="1">
        <f>[1]Services!G$48</f>
        <v>12.001205297610559</v>
      </c>
      <c r="L932" s="1">
        <f>[1]Services!H$48</f>
        <v>10.804948960461177</v>
      </c>
      <c r="M932" s="1">
        <f>[1]Services!I$48</f>
        <v>8.9822715128392598</v>
      </c>
      <c r="N932" s="1">
        <f>[1]Services!J$48</f>
        <v>7.4298524054656747</v>
      </c>
      <c r="O932" s="1">
        <f>[1]Services!K$48</f>
        <v>6.1809900885915869</v>
      </c>
      <c r="P932" s="1">
        <f>[1]Services!L$48</f>
        <v>3.4027058257829546</v>
      </c>
      <c r="Q932" s="1">
        <f>[1]Services!M$48</f>
        <v>1.149612305186247</v>
      </c>
      <c r="S932" s="3"/>
    </row>
    <row r="933" spans="2:19" x14ac:dyDescent="0.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25.412795014231751</v>
      </c>
      <c r="G933" s="1">
        <f t="shared" ref="G933:K933" si="1119">SUM(G934:G936)</f>
        <v>26.667691905807224</v>
      </c>
      <c r="H933" s="1">
        <f t="shared" si="1119"/>
        <v>25.590542099374559</v>
      </c>
      <c r="I933" s="1">
        <f t="shared" si="1119"/>
        <v>26.457747378501264</v>
      </c>
      <c r="J933" s="1">
        <f t="shared" si="1119"/>
        <v>26.896623305150538</v>
      </c>
      <c r="K933" s="1">
        <f t="shared" si="1119"/>
        <v>27.183363871117976</v>
      </c>
      <c r="L933" s="1">
        <f t="shared" ref="L933:O933" si="1120">SUM(L934:L936)</f>
        <v>25.643758227735884</v>
      </c>
      <c r="M933" s="1">
        <f t="shared" si="1120"/>
        <v>24.209567878391162</v>
      </c>
      <c r="N933" s="1">
        <f t="shared" si="1120"/>
        <v>23.958219398484555</v>
      </c>
      <c r="O933" s="1">
        <f t="shared" si="1120"/>
        <v>23.441104417967733</v>
      </c>
      <c r="P933" s="1">
        <f>SUM(P934:P936)</f>
        <v>23.857247227305511</v>
      </c>
      <c r="Q933" s="1">
        <f>SUM(Q934:Q936)</f>
        <v>23.059224308980173</v>
      </c>
      <c r="S933" s="3"/>
    </row>
    <row r="934" spans="2:19" x14ac:dyDescent="0.5">
      <c r="B934" s="5" t="str">
        <f t="shared" ref="B934:B953" si="1121">B933</f>
        <v>SPS1</v>
      </c>
      <c r="C934" s="5" t="str">
        <f t="shared" ref="C934:C953" si="1122">C933</f>
        <v>CH</v>
      </c>
      <c r="D934" t="s">
        <v>1043</v>
      </c>
      <c r="E934" t="s">
        <v>8</v>
      </c>
      <c r="F934" s="1">
        <f>[1]Services!B$49</f>
        <v>24.189720763414222</v>
      </c>
      <c r="G934" s="1">
        <f>[1]Services!C$49</f>
        <v>25.32692079803898</v>
      </c>
      <c r="H934" s="1">
        <f>[1]Services!D$49</f>
        <v>24.171917337724103</v>
      </c>
      <c r="I934" s="1">
        <f>[1]Services!E$49</f>
        <v>25.0398365062997</v>
      </c>
      <c r="J934" s="1">
        <f>[1]Services!F$49</f>
        <v>25.324044629514692</v>
      </c>
      <c r="K934" s="1">
        <f>[1]Services!G$49</f>
        <v>25.481227946664927</v>
      </c>
      <c r="L934" s="1">
        <f>[1]Services!H$49</f>
        <v>23.820739733692466</v>
      </c>
      <c r="M934" s="1">
        <f>[1]Services!I$49</f>
        <v>22.244953960220013</v>
      </c>
      <c r="N934" s="1">
        <f>[1]Services!J$49</f>
        <v>21.724810613360841</v>
      </c>
      <c r="O934" s="1">
        <f>[1]Services!K$49</f>
        <v>21.106048393911685</v>
      </c>
      <c r="P934" s="1">
        <f>[1]Services!L$49</f>
        <v>20.654913608497477</v>
      </c>
      <c r="Q934" s="1">
        <f>[1]Services!M$49</f>
        <v>19.663877818222677</v>
      </c>
      <c r="S934" s="3"/>
    </row>
    <row r="935" spans="2:19" x14ac:dyDescent="0.5">
      <c r="B935" s="5" t="str">
        <f t="shared" ref="B935" si="1123">B934</f>
        <v>SPS1</v>
      </c>
      <c r="C935" s="5" t="str">
        <f t="shared" ref="C935" si="1124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5.4832890867895934E-3</v>
      </c>
      <c r="I935" s="1">
        <f>[1]Services!E$50</f>
        <v>5.6476229983300503E-3</v>
      </c>
      <c r="J935" s="1">
        <f>[1]Services!F$50</f>
        <v>2.4215167444298857E-2</v>
      </c>
      <c r="K935" s="1">
        <f>[1]Services!G$50</f>
        <v>3.4852262064855311E-2</v>
      </c>
      <c r="L935" s="1">
        <f>[1]Services!H$50</f>
        <v>6.53581570085221E-2</v>
      </c>
      <c r="M935" s="1">
        <f>[1]Services!I$50</f>
        <v>6.0509019459118893E-2</v>
      </c>
      <c r="N935" s="1">
        <f>[1]Services!J$50</f>
        <v>4.4763508379084008E-2</v>
      </c>
      <c r="O935" s="1">
        <f>[1]Services!K$50</f>
        <v>0.15522323280655906</v>
      </c>
      <c r="P935" s="1">
        <f>[1]Services!L$50</f>
        <v>0.14519172753693901</v>
      </c>
      <c r="Q935" s="1">
        <f>[1]Services!M$50</f>
        <v>0.21870629537401279</v>
      </c>
      <c r="S935" s="3"/>
    </row>
    <row r="936" spans="2:19" x14ac:dyDescent="0.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1.2230742508175292</v>
      </c>
      <c r="G936" s="1">
        <f>[1]Services!C$56</f>
        <v>1.3407711077682443</v>
      </c>
      <c r="H936" s="1">
        <f>[1]Services!D$56</f>
        <v>1.4131414725636671</v>
      </c>
      <c r="I936" s="1">
        <f>[1]Services!E$56</f>
        <v>1.4122632492032301</v>
      </c>
      <c r="J936" s="1">
        <f>[1]Services!F$56</f>
        <v>1.5483635081915474</v>
      </c>
      <c r="K936" s="1">
        <f>[1]Services!G$56</f>
        <v>1.6672836623881953</v>
      </c>
      <c r="L936" s="1">
        <f>[1]Services!H$56</f>
        <v>1.757660337034894</v>
      </c>
      <c r="M936" s="1">
        <f>[1]Services!I$56</f>
        <v>1.9041048987120313</v>
      </c>
      <c r="N936" s="1">
        <f>[1]Services!J$56</f>
        <v>2.1886452767446301</v>
      </c>
      <c r="O936" s="1">
        <f>[1]Services!K$56</f>
        <v>2.1798327912494884</v>
      </c>
      <c r="P936" s="1">
        <f>[1]Services!L$56</f>
        <v>3.0571418912710935</v>
      </c>
      <c r="Q936" s="1">
        <f>[1]Services!M$56</f>
        <v>3.1766401953834835</v>
      </c>
      <c r="S936" s="3"/>
    </row>
    <row r="937" spans="2:19" x14ac:dyDescent="0.5">
      <c r="B937" s="5" t="str">
        <f t="shared" si="1121"/>
        <v>SPS1</v>
      </c>
      <c r="C937" s="5" t="str">
        <f t="shared" si="1122"/>
        <v>CH</v>
      </c>
      <c r="D937" t="s">
        <v>983</v>
      </c>
      <c r="E937" t="s">
        <v>8</v>
      </c>
      <c r="F937" s="1">
        <f>F938+F944</f>
        <v>7.649652657864654</v>
      </c>
      <c r="G937" s="1">
        <f t="shared" ref="G937:K937" si="1125">G938+G944</f>
        <v>8.2860199161214823</v>
      </c>
      <c r="H937" s="1">
        <f t="shared" si="1125"/>
        <v>8.0423463640749606</v>
      </c>
      <c r="I937" s="1">
        <f t="shared" si="1125"/>
        <v>9.8193610952083752</v>
      </c>
      <c r="J937" s="1">
        <f t="shared" si="1125"/>
        <v>12.055292111328839</v>
      </c>
      <c r="K937" s="1">
        <f t="shared" si="1125"/>
        <v>12.120923034354103</v>
      </c>
      <c r="L937" s="1">
        <f t="shared" ref="L937:O937" si="1126">L938+L944</f>
        <v>12.509407956885273</v>
      </c>
      <c r="M937" s="1">
        <f t="shared" si="1126"/>
        <v>13.273928867177506</v>
      </c>
      <c r="N937" s="1">
        <f t="shared" si="1126"/>
        <v>13.21706733644184</v>
      </c>
      <c r="O937" s="1">
        <f t="shared" si="1126"/>
        <v>13.256259523966627</v>
      </c>
      <c r="P937" s="1">
        <f>P938+P944</f>
        <v>13.794105684201796</v>
      </c>
      <c r="Q937" s="1">
        <f>Q938+Q944</f>
        <v>14.047631551060263</v>
      </c>
      <c r="S937" s="3"/>
    </row>
    <row r="938" spans="2:19" x14ac:dyDescent="0.5">
      <c r="B938" s="5" t="str">
        <f t="shared" si="1121"/>
        <v>SPS1</v>
      </c>
      <c r="C938" s="5" t="str">
        <f t="shared" si="1122"/>
        <v>CH</v>
      </c>
      <c r="D938" t="s">
        <v>984</v>
      </c>
      <c r="E938" t="s">
        <v>8</v>
      </c>
      <c r="F938" s="1">
        <f>[1]Services!B$51</f>
        <v>2.0957416888573528</v>
      </c>
      <c r="G938" s="1">
        <f>[1]Services!C$51</f>
        <v>2.27007949465759</v>
      </c>
      <c r="H938" s="1">
        <f>[1]Services!D$51</f>
        <v>2.0264021609823337</v>
      </c>
      <c r="I938" s="1">
        <f>[1]Services!E$51</f>
        <v>3.8034161812467868</v>
      </c>
      <c r="J938" s="1">
        <f>[1]Services!F$51</f>
        <v>6.0393434577644021</v>
      </c>
      <c r="K938" s="1">
        <f>[1]Services!G$51</f>
        <v>6.1049644527604405</v>
      </c>
      <c r="L938" s="1">
        <f>[1]Services!H$51</f>
        <v>6.088919954991499</v>
      </c>
      <c r="M938" s="1">
        <f>[1]Services!I$51</f>
        <v>4.5732850855449003</v>
      </c>
      <c r="N938" s="1">
        <f>[1]Services!J$51</f>
        <v>4.5160329397415042</v>
      </c>
      <c r="O938" s="1">
        <f>[1]Services!K$51</f>
        <v>4.5551596215740382</v>
      </c>
      <c r="P938" s="1">
        <f>[1]Services!L$51</f>
        <v>4.8491738062835239</v>
      </c>
      <c r="Q938" s="1">
        <f>[1]Services!M$51</f>
        <v>5.1026411498137163</v>
      </c>
      <c r="S938" s="3"/>
    </row>
    <row r="939" spans="2:19" x14ac:dyDescent="0.5">
      <c r="B939" s="5" t="str">
        <f t="shared" si="1121"/>
        <v>SPS1</v>
      </c>
      <c r="C939" s="5" t="str">
        <f t="shared" si="1122"/>
        <v>CH</v>
      </c>
      <c r="D939" t="s">
        <v>692</v>
      </c>
      <c r="E939" t="s">
        <v>8</v>
      </c>
      <c r="F939" s="1">
        <f>IFERROR(F907/F$906,0)*F$938</f>
        <v>1.4100631498323031</v>
      </c>
      <c r="G939" s="1">
        <f t="shared" ref="G939:K939" si="1127">IFERROR(G907/G$906,0)*G$938</f>
        <v>1.5387523721777046</v>
      </c>
      <c r="H939" s="1">
        <f t="shared" si="1127"/>
        <v>1.4020099455093229</v>
      </c>
      <c r="I939" s="1">
        <f t="shared" si="1127"/>
        <v>1.1517168445034549</v>
      </c>
      <c r="J939" s="1">
        <f t="shared" si="1127"/>
        <v>1.0114624515663146</v>
      </c>
      <c r="K939" s="1">
        <f t="shared" si="1127"/>
        <v>0.89572197352337513</v>
      </c>
      <c r="L939" s="1">
        <f t="shared" ref="L939:O939" si="1128">IFERROR(L907/L$906,0)*L$938</f>
        <v>0.90371789556737969</v>
      </c>
      <c r="M939" s="1">
        <f t="shared" si="1128"/>
        <v>0.8883742189173629</v>
      </c>
      <c r="N939" s="1">
        <f t="shared" si="1128"/>
        <v>0.87990843447067713</v>
      </c>
      <c r="O939" s="1">
        <f t="shared" si="1128"/>
        <v>0.84818409189023158</v>
      </c>
      <c r="P939" s="1">
        <f t="shared" ref="P939:Q943" si="1129">IFERROR(P907/P$906,0)*P$938</f>
        <v>0.84998911947232314</v>
      </c>
      <c r="Q939" s="1">
        <f t="shared" si="1129"/>
        <v>0.83397465922575298</v>
      </c>
      <c r="S939" s="3"/>
    </row>
    <row r="940" spans="2:19" x14ac:dyDescent="0.5">
      <c r="B940" s="5" t="str">
        <f t="shared" si="1121"/>
        <v>SPS1</v>
      </c>
      <c r="C940" s="5" t="str">
        <f t="shared" si="1122"/>
        <v>CH</v>
      </c>
      <c r="D940" t="s">
        <v>693</v>
      </c>
      <c r="E940" t="s">
        <v>8</v>
      </c>
      <c r="F940" s="1">
        <f>IFERROR(F908/F$906,0)*F$938</f>
        <v>0.68567853902504972</v>
      </c>
      <c r="G940" s="1">
        <f t="shared" ref="G940:K943" si="1130">IFERROR(G908/G$906,0)*G$938</f>
        <v>0.73132712247988518</v>
      </c>
      <c r="H940" s="1">
        <f t="shared" si="1130"/>
        <v>0.62439221547301049</v>
      </c>
      <c r="I940" s="1">
        <f t="shared" si="1130"/>
        <v>2.6331807087795465</v>
      </c>
      <c r="J940" s="1">
        <f t="shared" si="1130"/>
        <v>5.0079024622142274</v>
      </c>
      <c r="K940" s="1">
        <f t="shared" si="1130"/>
        <v>5.1913517406387459</v>
      </c>
      <c r="L940" s="1">
        <f t="shared" ref="L940:O940" si="1131">IFERROR(L908/L$906,0)*L$938</f>
        <v>5.1608928561096166</v>
      </c>
      <c r="M940" s="1">
        <f t="shared" si="1131"/>
        <v>3.6432650094888803</v>
      </c>
      <c r="N940" s="1">
        <f t="shared" si="1131"/>
        <v>3.597631526640058</v>
      </c>
      <c r="O940" s="1">
        <f t="shared" si="1131"/>
        <v>3.6400726968731552</v>
      </c>
      <c r="P940" s="1">
        <f t="shared" si="1129"/>
        <v>3.9417175984008299</v>
      </c>
      <c r="Q940" s="1">
        <f t="shared" si="1129"/>
        <v>4.1581477349063451</v>
      </c>
      <c r="S940" s="3"/>
    </row>
    <row r="941" spans="2:19" x14ac:dyDescent="0.5">
      <c r="B941" s="5" t="str">
        <f t="shared" si="1121"/>
        <v>SPS1</v>
      </c>
      <c r="C941" s="5" t="str">
        <f t="shared" si="1122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130"/>
        <v>0</v>
      </c>
      <c r="H941" s="1">
        <f t="shared" si="1130"/>
        <v>0</v>
      </c>
      <c r="I941" s="1">
        <f t="shared" si="1130"/>
        <v>1.1021292226723782E-3</v>
      </c>
      <c r="J941" s="1">
        <f t="shared" si="1130"/>
        <v>3.3541067807482151E-3</v>
      </c>
      <c r="K941" s="1">
        <f t="shared" si="1130"/>
        <v>3.3108079775456553E-3</v>
      </c>
      <c r="L941" s="1">
        <f t="shared" ref="L941:O941" si="1132">IFERROR(L909/L$906,0)*L$938</f>
        <v>2.4842400748896058E-3</v>
      </c>
      <c r="M941" s="1">
        <f t="shared" si="1132"/>
        <v>5.80669346994276E-3</v>
      </c>
      <c r="N941" s="1">
        <f t="shared" si="1132"/>
        <v>5.7995915699871493E-3</v>
      </c>
      <c r="O941" s="1">
        <f t="shared" si="1132"/>
        <v>1.183968617700955E-2</v>
      </c>
      <c r="P941" s="1">
        <f t="shared" si="1129"/>
        <v>9.0301918625386307E-3</v>
      </c>
      <c r="Q941" s="1">
        <f t="shared" si="1129"/>
        <v>1.9400920202503454E-2</v>
      </c>
      <c r="S941" s="3"/>
    </row>
    <row r="942" spans="2:19" x14ac:dyDescent="0.5">
      <c r="B942" s="5" t="str">
        <f t="shared" si="1121"/>
        <v>SPS1</v>
      </c>
      <c r="C942" s="5" t="str">
        <f t="shared" si="1122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130"/>
        <v>0</v>
      </c>
      <c r="H942" s="1">
        <f t="shared" si="1130"/>
        <v>0</v>
      </c>
      <c r="I942" s="1">
        <f t="shared" si="1130"/>
        <v>1.4995255817127767E-2</v>
      </c>
      <c r="J942" s="1">
        <f t="shared" si="1130"/>
        <v>1.1269831661411904E-2</v>
      </c>
      <c r="K942" s="1">
        <f t="shared" si="1130"/>
        <v>9.0951545792479754E-3</v>
      </c>
      <c r="L942" s="1">
        <f t="shared" ref="L942:O942" si="1133">IFERROR(L910/L$906,0)*L$938</f>
        <v>1.5367431651607935E-2</v>
      </c>
      <c r="M942" s="1">
        <f t="shared" si="1133"/>
        <v>2.1180605590295703E-2</v>
      </c>
      <c r="N942" s="1">
        <f t="shared" si="1133"/>
        <v>1.9074859414418541E-2</v>
      </c>
      <c r="O942" s="1">
        <f t="shared" si="1133"/>
        <v>2.4139383998865678E-2</v>
      </c>
      <c r="P942" s="1">
        <f t="shared" si="1129"/>
        <v>2.4596423685667165E-2</v>
      </c>
      <c r="Q942" s="1">
        <f t="shared" si="1129"/>
        <v>4.8681344166391506E-2</v>
      </c>
      <c r="S942" s="3"/>
    </row>
    <row r="943" spans="2:19" x14ac:dyDescent="0.5">
      <c r="B943" s="5" t="str">
        <f t="shared" si="1121"/>
        <v>SPS1</v>
      </c>
      <c r="C943" s="5" t="str">
        <f t="shared" si="1122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130"/>
        <v>0</v>
      </c>
      <c r="H943" s="1">
        <f t="shared" si="1130"/>
        <v>0</v>
      </c>
      <c r="I943" s="1">
        <f t="shared" si="1130"/>
        <v>2.4212429239854841E-3</v>
      </c>
      <c r="J943" s="1">
        <f t="shared" si="1130"/>
        <v>5.3546055416998674E-3</v>
      </c>
      <c r="K943" s="1">
        <f t="shared" si="1130"/>
        <v>5.4847760415260051E-3</v>
      </c>
      <c r="L943" s="1">
        <f t="shared" ref="L943:O943" si="1134">IFERROR(L911/L$906,0)*L$938</f>
        <v>6.4575315880058652E-3</v>
      </c>
      <c r="M943" s="1">
        <f t="shared" si="1134"/>
        <v>1.4658558078418784E-2</v>
      </c>
      <c r="N943" s="1">
        <f t="shared" si="1134"/>
        <v>1.3618527646363886E-2</v>
      </c>
      <c r="O943" s="1">
        <f t="shared" si="1134"/>
        <v>3.0923762634776E-2</v>
      </c>
      <c r="P943" s="1">
        <f t="shared" si="1129"/>
        <v>2.3840472862164851E-2</v>
      </c>
      <c r="Q943" s="1">
        <f t="shared" si="1129"/>
        <v>4.2436491312723298E-2</v>
      </c>
      <c r="S943" s="3"/>
    </row>
    <row r="944" spans="2:19" x14ac:dyDescent="0.5">
      <c r="B944" s="5" t="str">
        <f t="shared" si="1121"/>
        <v>SPS1</v>
      </c>
      <c r="C944" s="5" t="str">
        <f t="shared" si="1122"/>
        <v>CH</v>
      </c>
      <c r="D944" t="s">
        <v>985</v>
      </c>
      <c r="E944" t="s">
        <v>8</v>
      </c>
      <c r="F944" s="1">
        <f>[1]Services!B$52</f>
        <v>5.5539109690073012</v>
      </c>
      <c r="G944" s="1">
        <f>[1]Services!C$52</f>
        <v>6.0159404214638927</v>
      </c>
      <c r="H944" s="1">
        <f>[1]Services!D$52</f>
        <v>6.0159442030926273</v>
      </c>
      <c r="I944" s="1">
        <f>[1]Services!E$52</f>
        <v>6.0159449139615884</v>
      </c>
      <c r="J944" s="1">
        <f>[1]Services!F$52</f>
        <v>6.015948653564438</v>
      </c>
      <c r="K944" s="1">
        <f>[1]Services!G$52</f>
        <v>6.0159585815936625</v>
      </c>
      <c r="L944" s="1">
        <f>[1]Services!H$52</f>
        <v>6.4204880018937738</v>
      </c>
      <c r="M944" s="1">
        <f>[1]Services!I$52</f>
        <v>8.700643781632607</v>
      </c>
      <c r="N944" s="1">
        <f>[1]Services!J$52</f>
        <v>8.7010343967003365</v>
      </c>
      <c r="O944" s="1">
        <f>[1]Services!K$52</f>
        <v>8.7010999023925883</v>
      </c>
      <c r="P944" s="1">
        <f>[1]Services!L$52</f>
        <v>8.9449318779182718</v>
      </c>
      <c r="Q944" s="1">
        <f>[1]Services!M$52</f>
        <v>8.944990401246546</v>
      </c>
      <c r="S944" s="3"/>
    </row>
    <row r="945" spans="2:19" x14ac:dyDescent="0.5">
      <c r="B945" s="5" t="str">
        <f t="shared" si="1121"/>
        <v>SPS1</v>
      </c>
      <c r="C945" s="5" t="str">
        <f t="shared" si="1122"/>
        <v>CH</v>
      </c>
      <c r="D945" t="s">
        <v>986</v>
      </c>
      <c r="E945" t="s">
        <v>8</v>
      </c>
      <c r="F945" s="1">
        <f>F946</f>
        <v>6.1735487955108086</v>
      </c>
      <c r="G945" s="1">
        <f t="shared" ref="G945:O945" si="1135">G946</f>
        <v>6.7165252019245054</v>
      </c>
      <c r="H945" s="1">
        <f t="shared" si="1135"/>
        <v>6.5277382173594836</v>
      </c>
      <c r="I945" s="1">
        <f t="shared" si="1135"/>
        <v>5.4667610008874057</v>
      </c>
      <c r="J945" s="1">
        <f t="shared" si="1135"/>
        <v>3.6748334813113646</v>
      </c>
      <c r="K945" s="1">
        <f t="shared" si="1135"/>
        <v>2.3263692415028401</v>
      </c>
      <c r="L945" s="1">
        <f t="shared" si="1135"/>
        <v>1.4397644829374237</v>
      </c>
      <c r="M945" s="1">
        <f t="shared" si="1135"/>
        <v>0.45933989964693417</v>
      </c>
      <c r="N945" s="1">
        <f t="shared" si="1135"/>
        <v>0.44823992947972857</v>
      </c>
      <c r="O945" s="1">
        <f t="shared" si="1135"/>
        <v>0.43773848951977312</v>
      </c>
      <c r="P945" s="1">
        <f>P946</f>
        <v>0.42843773774814148</v>
      </c>
      <c r="Q945" s="1">
        <f>Q946</f>
        <v>0.41069291160287236</v>
      </c>
      <c r="S945" s="3"/>
    </row>
    <row r="946" spans="2:19" x14ac:dyDescent="0.5">
      <c r="B946" s="5" t="str">
        <f t="shared" si="1121"/>
        <v>SPS1</v>
      </c>
      <c r="C946" s="5" t="str">
        <f t="shared" si="1122"/>
        <v>CH</v>
      </c>
      <c r="D946" t="s">
        <v>987</v>
      </c>
      <c r="E946" t="s">
        <v>8</v>
      </c>
      <c r="F946" s="1">
        <f>[1]Services!B$53</f>
        <v>6.1735487955108086</v>
      </c>
      <c r="G946" s="1">
        <f>[1]Services!C$53</f>
        <v>6.7165252019245054</v>
      </c>
      <c r="H946" s="1">
        <f>[1]Services!D$53</f>
        <v>6.5277382173594836</v>
      </c>
      <c r="I946" s="1">
        <f>[1]Services!E$53</f>
        <v>5.4667610008874057</v>
      </c>
      <c r="J946" s="1">
        <f>[1]Services!F$53</f>
        <v>3.6748334813113646</v>
      </c>
      <c r="K946" s="1">
        <f>[1]Services!G$53</f>
        <v>2.3263692415028401</v>
      </c>
      <c r="L946" s="1">
        <f>[1]Services!H$53</f>
        <v>1.4397644829374237</v>
      </c>
      <c r="M946" s="1">
        <f>[1]Services!I$53</f>
        <v>0.45933989964693417</v>
      </c>
      <c r="N946" s="1">
        <f>[1]Services!J$53</f>
        <v>0.44823992947972857</v>
      </c>
      <c r="O946" s="1">
        <f>[1]Services!K$53</f>
        <v>0.43773848951977312</v>
      </c>
      <c r="P946" s="1">
        <f>[1]Services!L$53</f>
        <v>0.42843773774814148</v>
      </c>
      <c r="Q946" s="1">
        <f>[1]Services!M$53</f>
        <v>0.41069291160287236</v>
      </c>
      <c r="S946" s="3"/>
    </row>
    <row r="947" spans="2:19" x14ac:dyDescent="0.5">
      <c r="B947" s="5" t="str">
        <f t="shared" si="1121"/>
        <v>SPS1</v>
      </c>
      <c r="C947" s="5" t="str">
        <f t="shared" si="1122"/>
        <v>CH</v>
      </c>
      <c r="D947" t="s">
        <v>988</v>
      </c>
      <c r="E947" t="s">
        <v>8</v>
      </c>
      <c r="F947" s="1">
        <f>F948</f>
        <v>1.8770751223396096</v>
      </c>
      <c r="G947" s="1">
        <f t="shared" ref="G947:O947" si="1136">G948</f>
        <v>2.1600842382562431</v>
      </c>
      <c r="H947" s="1">
        <f t="shared" si="1136"/>
        <v>2.0883994921074067</v>
      </c>
      <c r="I947" s="1">
        <f t="shared" si="1136"/>
        <v>2.2800523893887639</v>
      </c>
      <c r="J947" s="1">
        <f t="shared" si="1136"/>
        <v>2.4141379653852657</v>
      </c>
      <c r="K947" s="1">
        <f t="shared" si="1136"/>
        <v>2.7209112755814502</v>
      </c>
      <c r="L947" s="1">
        <f t="shared" si="1136"/>
        <v>2.6027130932861602</v>
      </c>
      <c r="M947" s="1">
        <f t="shared" si="1136"/>
        <v>2.6587079525094461</v>
      </c>
      <c r="N947" s="1">
        <f t="shared" si="1136"/>
        <v>2.594819859583815</v>
      </c>
      <c r="O947" s="1">
        <f t="shared" si="1136"/>
        <v>2.534249486185193</v>
      </c>
      <c r="P947" s="1">
        <f>P948</f>
        <v>2.4792834015496528</v>
      </c>
      <c r="Q947" s="1">
        <f>Q948</f>
        <v>2.3699598057045064</v>
      </c>
      <c r="S947" s="3"/>
    </row>
    <row r="948" spans="2:19" x14ac:dyDescent="0.5">
      <c r="B948" s="5" t="str">
        <f t="shared" si="1121"/>
        <v>SPS1</v>
      </c>
      <c r="C948" s="5" t="str">
        <f t="shared" si="1122"/>
        <v>CH</v>
      </c>
      <c r="D948" t="s">
        <v>989</v>
      </c>
      <c r="E948" t="s">
        <v>8</v>
      </c>
      <c r="F948" s="1">
        <f>[1]Services!B$54</f>
        <v>1.8770751223396096</v>
      </c>
      <c r="G948" s="1">
        <f>[1]Services!C$54</f>
        <v>2.1600842382562431</v>
      </c>
      <c r="H948" s="1">
        <f>[1]Services!D$54</f>
        <v>2.0883994921074067</v>
      </c>
      <c r="I948" s="1">
        <f>[1]Services!E$54</f>
        <v>2.2800523893887639</v>
      </c>
      <c r="J948" s="1">
        <f>[1]Services!F$54</f>
        <v>2.4141379653852657</v>
      </c>
      <c r="K948" s="1">
        <f>[1]Services!G$54</f>
        <v>2.7209112755814502</v>
      </c>
      <c r="L948" s="1">
        <f>[1]Services!H$54</f>
        <v>2.6027130932861602</v>
      </c>
      <c r="M948" s="1">
        <f>[1]Services!I$54</f>
        <v>2.6587079525094461</v>
      </c>
      <c r="N948" s="1">
        <f>[1]Services!J$54</f>
        <v>2.594819859583815</v>
      </c>
      <c r="O948" s="1">
        <f>[1]Services!K$54</f>
        <v>2.534249486185193</v>
      </c>
      <c r="P948" s="1">
        <f>[1]Services!L$54</f>
        <v>2.4792834015496528</v>
      </c>
      <c r="Q948" s="1">
        <f>[1]Services!M$54</f>
        <v>2.3699598057045064</v>
      </c>
      <c r="S948" s="3"/>
    </row>
    <row r="949" spans="2:19" x14ac:dyDescent="0.5">
      <c r="B949" s="5" t="str">
        <f t="shared" si="1121"/>
        <v>SPS1</v>
      </c>
      <c r="C949" s="5" t="str">
        <f t="shared" si="1122"/>
        <v>CH</v>
      </c>
      <c r="D949" t="s">
        <v>990</v>
      </c>
      <c r="E949" t="s">
        <v>8</v>
      </c>
      <c r="F949" s="1">
        <f>F950</f>
        <v>0.62699674140755068</v>
      </c>
      <c r="G949" s="1">
        <f t="shared" ref="G949:O949" si="1137">G950</f>
        <v>0.68734342049607799</v>
      </c>
      <c r="H949" s="1">
        <f t="shared" si="1137"/>
        <v>0.68710539640262069</v>
      </c>
      <c r="I949" s="1">
        <f t="shared" si="1137"/>
        <v>0.68756343294399536</v>
      </c>
      <c r="J949" s="1">
        <f t="shared" si="1137"/>
        <v>0.68780420922686236</v>
      </c>
      <c r="K949" s="1">
        <f t="shared" si="1137"/>
        <v>0.68802832473041875</v>
      </c>
      <c r="L949" s="1">
        <f t="shared" si="1137"/>
        <v>0.68801838194041698</v>
      </c>
      <c r="M949" s="1">
        <f t="shared" si="1137"/>
        <v>0.68753384165815401</v>
      </c>
      <c r="N949" s="1">
        <f t="shared" si="1137"/>
        <v>0.68834438991483105</v>
      </c>
      <c r="O949" s="1">
        <f t="shared" si="1137"/>
        <v>0.68771745660865946</v>
      </c>
      <c r="P949" s="1">
        <f>P950</f>
        <v>0.68839779169106141</v>
      </c>
      <c r="Q949" s="1">
        <f>Q950</f>
        <v>0.68852227419180057</v>
      </c>
      <c r="S949" s="3"/>
    </row>
    <row r="950" spans="2:19" x14ac:dyDescent="0.5">
      <c r="B950" s="5" t="str">
        <f t="shared" si="1121"/>
        <v>SPS1</v>
      </c>
      <c r="C950" s="5" t="str">
        <f t="shared" si="1122"/>
        <v>CH</v>
      </c>
      <c r="D950" t="s">
        <v>991</v>
      </c>
      <c r="E950" t="s">
        <v>8</v>
      </c>
      <c r="F950" s="1">
        <f>[1]Services!B$55</f>
        <v>0.62699674140755068</v>
      </c>
      <c r="G950" s="1">
        <f>[1]Services!C$55</f>
        <v>0.68734342049607799</v>
      </c>
      <c r="H950" s="1">
        <f>[1]Services!D$55</f>
        <v>0.68710539640262069</v>
      </c>
      <c r="I950" s="1">
        <f>[1]Services!E$55</f>
        <v>0.68756343294399536</v>
      </c>
      <c r="J950" s="1">
        <f>[1]Services!F$55</f>
        <v>0.68780420922686236</v>
      </c>
      <c r="K950" s="1">
        <f>[1]Services!G$55</f>
        <v>0.68802832473041875</v>
      </c>
      <c r="L950" s="1">
        <f>[1]Services!H$55</f>
        <v>0.68801838194041698</v>
      </c>
      <c r="M950" s="1">
        <f>[1]Services!I$55</f>
        <v>0.68753384165815401</v>
      </c>
      <c r="N950" s="1">
        <f>[1]Services!J$55</f>
        <v>0.68834438991483105</v>
      </c>
      <c r="O950" s="1">
        <f>[1]Services!K$55</f>
        <v>0.68771745660865946</v>
      </c>
      <c r="P950" s="1">
        <f>[1]Services!L$55</f>
        <v>0.68839779169106141</v>
      </c>
      <c r="Q950" s="1">
        <f>[1]Services!M$55</f>
        <v>0.68852227419180057</v>
      </c>
      <c r="S950" s="3"/>
    </row>
    <row r="951" spans="2:19" x14ac:dyDescent="0.5">
      <c r="B951" s="5" t="str">
        <f t="shared" si="1121"/>
        <v>SPS1</v>
      </c>
      <c r="C951" s="5" t="str">
        <f t="shared" si="1122"/>
        <v>CH</v>
      </c>
      <c r="D951" t="s">
        <v>992</v>
      </c>
      <c r="E951" t="s">
        <v>8</v>
      </c>
      <c r="F951" s="1">
        <f>F952</f>
        <v>0</v>
      </c>
      <c r="G951" s="1">
        <f t="shared" ref="G951:O951" si="1138">G952</f>
        <v>0</v>
      </c>
      <c r="H951" s="1">
        <f t="shared" si="1138"/>
        <v>0</v>
      </c>
      <c r="I951" s="1">
        <f t="shared" si="1138"/>
        <v>1.6016038398277337E-3</v>
      </c>
      <c r="J951" s="1">
        <f t="shared" si="1138"/>
        <v>3.7383381499291744E-3</v>
      </c>
      <c r="K951" s="1">
        <f t="shared" si="1138"/>
        <v>5.6775714773390808E-3</v>
      </c>
      <c r="L951" s="1">
        <f t="shared" si="1138"/>
        <v>4.4780600923191574E-3</v>
      </c>
      <c r="M951" s="1">
        <f t="shared" si="1138"/>
        <v>1.8558081430192046E-2</v>
      </c>
      <c r="N951" s="1">
        <f t="shared" si="1138"/>
        <v>1.5799521597460005E-2</v>
      </c>
      <c r="O951" s="1">
        <f t="shared" si="1138"/>
        <v>7.9697019624806395E-2</v>
      </c>
      <c r="P951" s="1">
        <f>P952</f>
        <v>0.12820039972940181</v>
      </c>
      <c r="Q951" s="1">
        <f>Q952</f>
        <v>0.11133474260651793</v>
      </c>
      <c r="S951" s="3"/>
    </row>
    <row r="952" spans="2:19" x14ac:dyDescent="0.5">
      <c r="B952" s="5" t="str">
        <f t="shared" si="1121"/>
        <v>SPS1</v>
      </c>
      <c r="C952" s="5" t="str">
        <f t="shared" si="1122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1.6016038398277337E-3</v>
      </c>
      <c r="J952" s="1">
        <f>[1]Services!F$57</f>
        <v>3.7383381499291744E-3</v>
      </c>
      <c r="K952" s="1">
        <f>[1]Services!G$57</f>
        <v>5.6775714773390808E-3</v>
      </c>
      <c r="L952" s="1">
        <f>[1]Services!H$57</f>
        <v>4.4780600923191574E-3</v>
      </c>
      <c r="M952" s="1">
        <f>[1]Services!I$57</f>
        <v>1.8558081430192046E-2</v>
      </c>
      <c r="N952" s="1">
        <f>[1]Services!J$57</f>
        <v>1.5799521597460005E-2</v>
      </c>
      <c r="O952" s="1">
        <f>[1]Services!K$57</f>
        <v>7.9697019624806395E-2</v>
      </c>
      <c r="P952" s="1">
        <f>[1]Services!L$57</f>
        <v>0.12820039972940181</v>
      </c>
      <c r="Q952" s="1">
        <f>[1]Services!M$57</f>
        <v>0.11133474260651793</v>
      </c>
      <c r="S952" s="3"/>
    </row>
    <row r="953" spans="2:19" x14ac:dyDescent="0.5">
      <c r="B953" s="5" t="str">
        <f t="shared" si="1121"/>
        <v>SPS1</v>
      </c>
      <c r="C953" s="5" t="str">
        <f t="shared" si="1122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6.9646045322379031</v>
      </c>
      <c r="H953" s="1">
        <f>[1]Services!D$58</f>
        <v>6.9630273991249245</v>
      </c>
      <c r="I953" s="1">
        <f>[1]Services!E$58</f>
        <v>6.9633820919959364</v>
      </c>
      <c r="J953" s="1">
        <f>[1]Services!F$58</f>
        <v>6.9632586912710632</v>
      </c>
      <c r="K953" s="1">
        <f>[1]Services!G$58</f>
        <v>6.9634041865472245</v>
      </c>
      <c r="L953" s="1">
        <f>[1]Services!H$58</f>
        <v>6.9634813311420842</v>
      </c>
      <c r="M953" s="1">
        <f>[1]Services!I$58</f>
        <v>6.9631349042086477</v>
      </c>
      <c r="N953" s="1">
        <f>[1]Services!J$58</f>
        <v>6.9621310106374716</v>
      </c>
      <c r="O953" s="1">
        <f>[1]Services!K$58</f>
        <v>6.962388798465784</v>
      </c>
      <c r="P953" s="1">
        <f>[1]Services!L$58</f>
        <v>6.9621692172986123</v>
      </c>
      <c r="Q953" s="1">
        <f>[1]Services!M$58</f>
        <v>6.963770066653816</v>
      </c>
      <c r="S953" s="3"/>
    </row>
    <row r="954" spans="2:19" x14ac:dyDescent="0.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M954" s="1" t="s">
        <v>292</v>
      </c>
      <c r="N954" s="1" t="s">
        <v>292</v>
      </c>
      <c r="O954" s="1" t="s">
        <v>292</v>
      </c>
      <c r="P954" s="1" t="s">
        <v>292</v>
      </c>
      <c r="Q954" s="1" t="s">
        <v>292</v>
      </c>
      <c r="S954" s="3"/>
    </row>
    <row r="955" spans="2:19" x14ac:dyDescent="0.5">
      <c r="B955" s="5" t="str">
        <f t="shared" ref="B955:B971" si="1139">B954</f>
        <v>SPS1</v>
      </c>
      <c r="C955" s="5" t="str">
        <f t="shared" ref="C955:C971" si="1140">C954</f>
        <v>CH</v>
      </c>
      <c r="D955" t="s">
        <v>761</v>
      </c>
      <c r="E955" t="s">
        <v>240</v>
      </c>
      <c r="F955" s="4">
        <f t="shared" ref="F955:K957" si="1141">IFERROR(F928/F884,"-")</f>
        <v>0.91249999999999887</v>
      </c>
      <c r="G955" s="4">
        <f t="shared" si="1141"/>
        <v>0.91500000000000115</v>
      </c>
      <c r="H955" s="4">
        <f t="shared" si="1141"/>
        <v>0.91874999999999885</v>
      </c>
      <c r="I955" s="4">
        <f t="shared" si="1141"/>
        <v>0.92499999999999949</v>
      </c>
      <c r="J955" s="4">
        <f t="shared" si="1141"/>
        <v>0.93125000000000013</v>
      </c>
      <c r="K955" s="4">
        <f t="shared" si="1141"/>
        <v>0.93749999999999911</v>
      </c>
      <c r="L955" s="4">
        <f t="shared" ref="L955:O955" si="1142">IFERROR(L928/L884,"-")</f>
        <v>0.94374999999999964</v>
      </c>
      <c r="M955" s="4">
        <f t="shared" si="1142"/>
        <v>0.95000000000000007</v>
      </c>
      <c r="N955" s="4">
        <f t="shared" si="1142"/>
        <v>0.95000000000000062</v>
      </c>
      <c r="O955" s="4">
        <f t="shared" si="1142"/>
        <v>0.94999999999999962</v>
      </c>
      <c r="P955" s="4">
        <f t="shared" ref="P955:Q957" si="1143">IFERROR(P928/P884,"-")</f>
        <v>0.94999999999999962</v>
      </c>
      <c r="Q955" s="4">
        <f t="shared" si="1143"/>
        <v>0.9499999999999994</v>
      </c>
      <c r="S955" s="3"/>
    </row>
    <row r="956" spans="2:19" x14ac:dyDescent="0.5">
      <c r="B956" s="5" t="str">
        <f t="shared" si="1139"/>
        <v>SPS1</v>
      </c>
      <c r="C956" s="5" t="str">
        <f t="shared" si="1140"/>
        <v>CH</v>
      </c>
      <c r="D956" t="s">
        <v>730</v>
      </c>
      <c r="E956" t="s">
        <v>240</v>
      </c>
      <c r="F956" s="4">
        <f t="shared" si="1141"/>
        <v>3.2000000000000006</v>
      </c>
      <c r="G956" s="4">
        <f t="shared" si="1141"/>
        <v>3.2399999999999971</v>
      </c>
      <c r="H956" s="4">
        <f t="shared" si="1141"/>
        <v>3.2999999999999949</v>
      </c>
      <c r="I956" s="4">
        <f t="shared" si="1141"/>
        <v>3.4000000000000012</v>
      </c>
      <c r="J956" s="4">
        <f t="shared" si="1141"/>
        <v>3.4999999999999987</v>
      </c>
      <c r="K956" s="4">
        <f t="shared" si="1141"/>
        <v>3.5999999999999961</v>
      </c>
      <c r="L956" s="4">
        <f t="shared" ref="L956:O956" si="1144">IFERROR(L929/L885,"-")</f>
        <v>3.6999999999999984</v>
      </c>
      <c r="M956" s="4">
        <f t="shared" si="1144"/>
        <v>3.7999999999999994</v>
      </c>
      <c r="N956" s="4">
        <f t="shared" si="1144"/>
        <v>3.7999999999999994</v>
      </c>
      <c r="O956" s="4">
        <f t="shared" si="1144"/>
        <v>3.7999999999999989</v>
      </c>
      <c r="P956" s="4">
        <f t="shared" si="1143"/>
        <v>3.800000000000002</v>
      </c>
      <c r="Q956" s="4">
        <f t="shared" si="1143"/>
        <v>3.8000000000000034</v>
      </c>
      <c r="S956" s="3"/>
    </row>
    <row r="957" spans="2:19" x14ac:dyDescent="0.5">
      <c r="B957" s="5" t="str">
        <f t="shared" si="1139"/>
        <v>SPS1</v>
      </c>
      <c r="C957" s="5" t="str">
        <f t="shared" si="1140"/>
        <v>CH</v>
      </c>
      <c r="D957" t="s">
        <v>699</v>
      </c>
      <c r="E957" t="s">
        <v>240</v>
      </c>
      <c r="F957" s="4">
        <f t="shared" si="1141"/>
        <v>1</v>
      </c>
      <c r="G957" s="4">
        <f t="shared" si="1141"/>
        <v>0.99999999999999989</v>
      </c>
      <c r="H957" s="4">
        <f t="shared" si="1141"/>
        <v>1</v>
      </c>
      <c r="I957" s="4">
        <f t="shared" si="1141"/>
        <v>0.99999999999999989</v>
      </c>
      <c r="J957" s="4">
        <f t="shared" si="1141"/>
        <v>1.0000000000000002</v>
      </c>
      <c r="K957" s="4">
        <f t="shared" si="1141"/>
        <v>1</v>
      </c>
      <c r="L957" s="4">
        <f t="shared" ref="L957:O957" si="1145">IFERROR(L930/L886,"-")</f>
        <v>1.0000000000000002</v>
      </c>
      <c r="M957" s="4">
        <f t="shared" si="1145"/>
        <v>0.99999999999999989</v>
      </c>
      <c r="N957" s="4">
        <f t="shared" si="1145"/>
        <v>0.99999999999999978</v>
      </c>
      <c r="O957" s="4">
        <f t="shared" si="1145"/>
        <v>1</v>
      </c>
      <c r="P957" s="4">
        <f t="shared" si="1143"/>
        <v>1</v>
      </c>
      <c r="Q957" s="4">
        <f t="shared" si="1143"/>
        <v>0.99999999999999978</v>
      </c>
      <c r="S957" s="3"/>
    </row>
    <row r="958" spans="2:19" x14ac:dyDescent="0.5">
      <c r="B958" s="5" t="str">
        <f t="shared" si="1139"/>
        <v>SPS1</v>
      </c>
      <c r="C958" s="5" t="str">
        <f t="shared" si="1140"/>
        <v>CH</v>
      </c>
      <c r="D958" t="s">
        <v>700</v>
      </c>
      <c r="E958" t="s">
        <v>240</v>
      </c>
      <c r="F958" s="4">
        <f t="shared" ref="F958:K958" si="1146">IFERROR(F932/F888,"-")</f>
        <v>0.82107843137254899</v>
      </c>
      <c r="G958" s="4">
        <f t="shared" si="1146"/>
        <v>0.82270432925645431</v>
      </c>
      <c r="H958" s="4">
        <f t="shared" si="1146"/>
        <v>0.8251431760823138</v>
      </c>
      <c r="I958" s="4">
        <f t="shared" si="1146"/>
        <v>0.82920792079207861</v>
      </c>
      <c r="J958" s="4">
        <f t="shared" si="1146"/>
        <v>0.83335396039603848</v>
      </c>
      <c r="K958" s="4">
        <f t="shared" si="1146"/>
        <v>0.83749999999999958</v>
      </c>
      <c r="L958" s="4">
        <f t="shared" ref="L958:O958" si="1147">IFERROR(L932/L888,"-")</f>
        <v>0.83749999999999969</v>
      </c>
      <c r="M958" s="4">
        <f t="shared" si="1147"/>
        <v>0.8374999999999988</v>
      </c>
      <c r="N958" s="4">
        <f t="shared" si="1147"/>
        <v>0.83749999999999947</v>
      </c>
      <c r="O958" s="4">
        <f t="shared" si="1147"/>
        <v>0.83749999999999991</v>
      </c>
      <c r="P958" s="4">
        <f>IFERROR(P932/P888,"-")</f>
        <v>0.8374999999999988</v>
      </c>
      <c r="Q958" s="4">
        <f>IFERROR(Q932/Q888,"-")</f>
        <v>0.83749999999999925</v>
      </c>
      <c r="S958" s="3"/>
    </row>
    <row r="959" spans="2:19" x14ac:dyDescent="0.5">
      <c r="B959" s="5" t="str">
        <f t="shared" si="1139"/>
        <v>SPS1</v>
      </c>
      <c r="C959" s="5" t="str">
        <f t="shared" si="1140"/>
        <v>CH</v>
      </c>
      <c r="D959" t="s">
        <v>701</v>
      </c>
      <c r="E959" t="s">
        <v>240</v>
      </c>
      <c r="F959" s="4">
        <f t="shared" ref="F959:K961" si="1148">IFERROR(F934/F895,"-")</f>
        <v>0.94680851063829874</v>
      </c>
      <c r="G959" s="4">
        <f t="shared" si="1148"/>
        <v>0.94680851063829807</v>
      </c>
      <c r="H959" s="4">
        <f t="shared" si="1148"/>
        <v>0.94670581735216275</v>
      </c>
      <c r="I959" s="4">
        <f t="shared" si="1148"/>
        <v>0.94681456501754058</v>
      </c>
      <c r="J959" s="4">
        <f t="shared" si="1148"/>
        <v>0.94660621497095587</v>
      </c>
      <c r="K959" s="4">
        <f t="shared" si="1148"/>
        <v>0.94646947767656209</v>
      </c>
      <c r="L959" s="4">
        <f t="shared" ref="L959:O959" si="1149">IFERROR(L934/L895,"-")</f>
        <v>0.94594076755544554</v>
      </c>
      <c r="M959" s="4">
        <f t="shared" si="1149"/>
        <v>0.94653046998822987</v>
      </c>
      <c r="N959" s="4">
        <f t="shared" si="1149"/>
        <v>0.94672268291664174</v>
      </c>
      <c r="O959" s="4">
        <f t="shared" si="1149"/>
        <v>0.94592093446021608</v>
      </c>
      <c r="P959" s="4">
        <f t="shared" ref="P959:Q961" si="1150">IFERROR(P934/P895,"-")</f>
        <v>0.94631855299059953</v>
      </c>
      <c r="Q959" s="4">
        <f t="shared" si="1150"/>
        <v>0.94520683979234621</v>
      </c>
      <c r="S959" s="3"/>
    </row>
    <row r="960" spans="2:19" x14ac:dyDescent="0.5">
      <c r="B960" s="5" t="str">
        <f t="shared" si="1139"/>
        <v>SPS1</v>
      </c>
      <c r="C960" s="5" t="str">
        <f t="shared" si="1140"/>
        <v>CH</v>
      </c>
      <c r="D960" t="s">
        <v>731</v>
      </c>
      <c r="E960" t="s">
        <v>240</v>
      </c>
      <c r="F960" s="4" t="str">
        <f t="shared" si="1148"/>
        <v>-</v>
      </c>
      <c r="G960" s="4" t="str">
        <f t="shared" si="1148"/>
        <v>-</v>
      </c>
      <c r="H960" s="4">
        <f t="shared" si="1148"/>
        <v>1.9799999999999989</v>
      </c>
      <c r="I960" s="4">
        <f t="shared" si="1148"/>
        <v>2.0400000000000018</v>
      </c>
      <c r="J960" s="4">
        <f t="shared" si="1148"/>
        <v>2.1000000000000005</v>
      </c>
      <c r="K960" s="4">
        <f t="shared" si="1148"/>
        <v>2.1600000000000019</v>
      </c>
      <c r="L960" s="4">
        <f t="shared" ref="L960:O960" si="1151">IFERROR(L935/L896,"-")</f>
        <v>2.2199999999999993</v>
      </c>
      <c r="M960" s="4">
        <f t="shared" si="1151"/>
        <v>2.2799999999999989</v>
      </c>
      <c r="N960" s="4">
        <f t="shared" si="1151"/>
        <v>2.2800000000000011</v>
      </c>
      <c r="O960" s="4">
        <f t="shared" si="1151"/>
        <v>2.2800000000000016</v>
      </c>
      <c r="P960" s="4">
        <f t="shared" si="1150"/>
        <v>2.2799999999999998</v>
      </c>
      <c r="Q960" s="4">
        <f t="shared" si="1150"/>
        <v>2.2799999999999976</v>
      </c>
      <c r="S960" s="3"/>
    </row>
    <row r="961" spans="2:19" x14ac:dyDescent="0.5">
      <c r="B961" s="5" t="str">
        <f t="shared" si="1139"/>
        <v>SPS1</v>
      </c>
      <c r="C961" s="5" t="str">
        <f t="shared" si="1140"/>
        <v>CH</v>
      </c>
      <c r="D961" t="s">
        <v>702</v>
      </c>
      <c r="E961" t="s">
        <v>240</v>
      </c>
      <c r="F961" s="4">
        <f t="shared" si="1148"/>
        <v>0.87219999999999942</v>
      </c>
      <c r="G961" s="4">
        <f t="shared" si="1148"/>
        <v>0.87220000000000075</v>
      </c>
      <c r="H961" s="4">
        <f t="shared" si="1148"/>
        <v>0.87220000000000031</v>
      </c>
      <c r="I961" s="4">
        <f t="shared" si="1148"/>
        <v>0.87220000000000009</v>
      </c>
      <c r="J961" s="4">
        <f t="shared" si="1148"/>
        <v>0.87220000000000009</v>
      </c>
      <c r="K961" s="4">
        <f t="shared" si="1148"/>
        <v>0.87219999999999964</v>
      </c>
      <c r="L961" s="4">
        <f t="shared" ref="L961:O961" si="1152">IFERROR(L936/L897,"-")</f>
        <v>0.8721999999999992</v>
      </c>
      <c r="M961" s="4">
        <f t="shared" si="1152"/>
        <v>0.87220000000000031</v>
      </c>
      <c r="N961" s="4">
        <f t="shared" si="1152"/>
        <v>0.87219999999999986</v>
      </c>
      <c r="O961" s="4">
        <f t="shared" si="1152"/>
        <v>0.87219999999999964</v>
      </c>
      <c r="P961" s="4">
        <f t="shared" si="1150"/>
        <v>0.87219999999999875</v>
      </c>
      <c r="Q961" s="4">
        <f t="shared" si="1150"/>
        <v>0.87219999999999998</v>
      </c>
      <c r="S961" s="3"/>
    </row>
    <row r="962" spans="2:19" x14ac:dyDescent="0.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153">IFERROR(F939/F907,"-")</f>
        <v>0.99</v>
      </c>
      <c r="G962" s="4">
        <f t="shared" si="1153"/>
        <v>0.98999999999999977</v>
      </c>
      <c r="H962" s="4">
        <f t="shared" si="1153"/>
        <v>0.98999999999999988</v>
      </c>
      <c r="I962" s="4">
        <f t="shared" si="1153"/>
        <v>0.99</v>
      </c>
      <c r="J962" s="4">
        <f t="shared" si="1153"/>
        <v>0.99</v>
      </c>
      <c r="K962" s="4">
        <f t="shared" si="1153"/>
        <v>0.9900000000000001</v>
      </c>
      <c r="L962" s="4">
        <f t="shared" ref="L962:O962" si="1154">IFERROR(L939/L907,"-")</f>
        <v>0.9900000000000001</v>
      </c>
      <c r="M962" s="4">
        <f t="shared" si="1154"/>
        <v>0.99</v>
      </c>
      <c r="N962" s="4">
        <f t="shared" si="1154"/>
        <v>0.99</v>
      </c>
      <c r="O962" s="4">
        <f t="shared" si="1154"/>
        <v>0.99</v>
      </c>
      <c r="P962" s="4">
        <f t="shared" ref="P962:Q967" si="1155">IFERROR(P939/P907,"-")</f>
        <v>0.9900000000000001</v>
      </c>
      <c r="Q962" s="4">
        <f t="shared" si="1155"/>
        <v>0.9900000000000001</v>
      </c>
      <c r="S962" s="3"/>
    </row>
    <row r="963" spans="2:19" x14ac:dyDescent="0.5">
      <c r="B963" s="5" t="str">
        <f t="shared" si="1139"/>
        <v>SPS1</v>
      </c>
      <c r="C963" s="5" t="str">
        <f t="shared" si="1140"/>
        <v>CH</v>
      </c>
      <c r="D963" t="s">
        <v>704</v>
      </c>
      <c r="E963" t="s">
        <v>240</v>
      </c>
      <c r="F963" s="4">
        <f t="shared" si="1153"/>
        <v>0.99</v>
      </c>
      <c r="G963" s="4">
        <f t="shared" si="1153"/>
        <v>0.99</v>
      </c>
      <c r="H963" s="4">
        <f t="shared" si="1153"/>
        <v>0.98999999999999988</v>
      </c>
      <c r="I963" s="4">
        <f t="shared" si="1153"/>
        <v>0.99</v>
      </c>
      <c r="J963" s="4">
        <f t="shared" si="1153"/>
        <v>0.9900000000000001</v>
      </c>
      <c r="K963" s="4">
        <f t="shared" si="1153"/>
        <v>0.99</v>
      </c>
      <c r="L963" s="4">
        <f t="shared" ref="L963:O963" si="1156">IFERROR(L940/L908,"-")</f>
        <v>0.9900000000000001</v>
      </c>
      <c r="M963" s="4">
        <f t="shared" si="1156"/>
        <v>0.99</v>
      </c>
      <c r="N963" s="4">
        <f t="shared" si="1156"/>
        <v>0.99</v>
      </c>
      <c r="O963" s="4">
        <f t="shared" si="1156"/>
        <v>0.98999999999999988</v>
      </c>
      <c r="P963" s="4">
        <f t="shared" si="1155"/>
        <v>0.99</v>
      </c>
      <c r="Q963" s="4">
        <f t="shared" si="1155"/>
        <v>0.9900000000000001</v>
      </c>
      <c r="S963" s="3"/>
    </row>
    <row r="964" spans="2:19" x14ac:dyDescent="0.5">
      <c r="B964" s="5" t="str">
        <f t="shared" si="1139"/>
        <v>SPS1</v>
      </c>
      <c r="C964" s="5" t="str">
        <f t="shared" si="1140"/>
        <v>CH</v>
      </c>
      <c r="D964" t="s">
        <v>705</v>
      </c>
      <c r="E964" t="s">
        <v>240</v>
      </c>
      <c r="F964" s="4" t="str">
        <f t="shared" si="1153"/>
        <v>-</v>
      </c>
      <c r="G964" s="4" t="str">
        <f t="shared" si="1153"/>
        <v>-</v>
      </c>
      <c r="H964" s="4" t="str">
        <f t="shared" si="1153"/>
        <v>-</v>
      </c>
      <c r="I964" s="4">
        <f t="shared" si="1153"/>
        <v>0.99</v>
      </c>
      <c r="J964" s="4">
        <f t="shared" si="1153"/>
        <v>0.98999999999999988</v>
      </c>
      <c r="K964" s="4">
        <f t="shared" si="1153"/>
        <v>0.99</v>
      </c>
      <c r="L964" s="4">
        <f t="shared" ref="L964:O964" si="1157">IFERROR(L941/L909,"-")</f>
        <v>0.99</v>
      </c>
      <c r="M964" s="4">
        <f t="shared" si="1157"/>
        <v>0.99</v>
      </c>
      <c r="N964" s="4">
        <f t="shared" si="1157"/>
        <v>0.99</v>
      </c>
      <c r="O964" s="4">
        <f t="shared" si="1157"/>
        <v>0.98999999999999988</v>
      </c>
      <c r="P964" s="4">
        <f t="shared" si="1155"/>
        <v>0.9900000000000001</v>
      </c>
      <c r="Q964" s="4">
        <f t="shared" si="1155"/>
        <v>0.9900000000000001</v>
      </c>
      <c r="S964" s="3"/>
    </row>
    <row r="965" spans="2:19" x14ac:dyDescent="0.5">
      <c r="B965" s="5" t="str">
        <f t="shared" si="1139"/>
        <v>SPS1</v>
      </c>
      <c r="C965" s="5" t="str">
        <f t="shared" si="1140"/>
        <v>CH</v>
      </c>
      <c r="D965" t="s">
        <v>706</v>
      </c>
      <c r="E965" t="s">
        <v>240</v>
      </c>
      <c r="F965" s="4" t="str">
        <f t="shared" si="1153"/>
        <v>-</v>
      </c>
      <c r="G965" s="4" t="str">
        <f t="shared" si="1153"/>
        <v>-</v>
      </c>
      <c r="H965" s="4" t="str">
        <f t="shared" si="1153"/>
        <v>-</v>
      </c>
      <c r="I965" s="4">
        <f t="shared" si="1153"/>
        <v>0.98999999999999988</v>
      </c>
      <c r="J965" s="4">
        <f t="shared" si="1153"/>
        <v>0.98999999999999988</v>
      </c>
      <c r="K965" s="4">
        <f t="shared" si="1153"/>
        <v>0.98999999999999988</v>
      </c>
      <c r="L965" s="4">
        <f t="shared" ref="L965:O965" si="1158">IFERROR(L942/L910,"-")</f>
        <v>0.9900000000000001</v>
      </c>
      <c r="M965" s="4">
        <f t="shared" si="1158"/>
        <v>0.9900000000000001</v>
      </c>
      <c r="N965" s="4">
        <f t="shared" si="1158"/>
        <v>0.9900000000000001</v>
      </c>
      <c r="O965" s="4">
        <f t="shared" si="1158"/>
        <v>0.99</v>
      </c>
      <c r="P965" s="4">
        <f t="shared" si="1155"/>
        <v>0.99</v>
      </c>
      <c r="Q965" s="4">
        <f t="shared" si="1155"/>
        <v>0.99</v>
      </c>
      <c r="S965" s="3"/>
    </row>
    <row r="966" spans="2:19" x14ac:dyDescent="0.5">
      <c r="B966" s="5" t="str">
        <f t="shared" si="1139"/>
        <v>SPS1</v>
      </c>
      <c r="C966" s="5" t="str">
        <f t="shared" si="1140"/>
        <v>CH</v>
      </c>
      <c r="D966" t="s">
        <v>707</v>
      </c>
      <c r="E966" t="s">
        <v>240</v>
      </c>
      <c r="F966" s="4" t="str">
        <f t="shared" si="1153"/>
        <v>-</v>
      </c>
      <c r="G966" s="4" t="str">
        <f t="shared" si="1153"/>
        <v>-</v>
      </c>
      <c r="H966" s="4" t="str">
        <f t="shared" si="1153"/>
        <v>-</v>
      </c>
      <c r="I966" s="4">
        <f t="shared" si="1153"/>
        <v>0.98999999999999988</v>
      </c>
      <c r="J966" s="4">
        <f t="shared" si="1153"/>
        <v>0.99</v>
      </c>
      <c r="K966" s="4">
        <f t="shared" si="1153"/>
        <v>0.99</v>
      </c>
      <c r="L966" s="4">
        <f t="shared" ref="L966:O966" si="1159">IFERROR(L943/L911,"-")</f>
        <v>0.99000000000000021</v>
      </c>
      <c r="M966" s="4">
        <f t="shared" si="1159"/>
        <v>0.9900000000000001</v>
      </c>
      <c r="N966" s="4">
        <f t="shared" si="1159"/>
        <v>0.9900000000000001</v>
      </c>
      <c r="O966" s="4">
        <f t="shared" si="1159"/>
        <v>0.98999999999999988</v>
      </c>
      <c r="P966" s="4">
        <f t="shared" si="1155"/>
        <v>0.99</v>
      </c>
      <c r="Q966" s="4">
        <f t="shared" si="1155"/>
        <v>0.9900000000000001</v>
      </c>
      <c r="S966" s="3"/>
    </row>
    <row r="967" spans="2:19" x14ac:dyDescent="0.5">
      <c r="B967" s="5" t="str">
        <f t="shared" si="1139"/>
        <v>SPS1</v>
      </c>
      <c r="C967" s="5" t="str">
        <f t="shared" si="1140"/>
        <v>CH</v>
      </c>
      <c r="D967" t="s">
        <v>995</v>
      </c>
      <c r="E967" t="s">
        <v>240</v>
      </c>
      <c r="F967" s="4">
        <f t="shared" si="1153"/>
        <v>0.99000000000000021</v>
      </c>
      <c r="G967" s="4">
        <f t="shared" si="1153"/>
        <v>0.9900000000000001</v>
      </c>
      <c r="H967" s="4">
        <f t="shared" si="1153"/>
        <v>0.98999999999999988</v>
      </c>
      <c r="I967" s="4">
        <f t="shared" si="1153"/>
        <v>0.99000000000000032</v>
      </c>
      <c r="J967" s="4">
        <f t="shared" si="1153"/>
        <v>0.99000000000000066</v>
      </c>
      <c r="K967" s="4">
        <f t="shared" si="1153"/>
        <v>0.99000000000000166</v>
      </c>
      <c r="L967" s="4">
        <f t="shared" ref="L967:O967" si="1160">IFERROR(L944/L912,"-")</f>
        <v>0.99000000000000088</v>
      </c>
      <c r="M967" s="4">
        <f t="shared" si="1160"/>
        <v>0.98999999999999966</v>
      </c>
      <c r="N967" s="4">
        <f t="shared" si="1160"/>
        <v>0.9900000000000001</v>
      </c>
      <c r="O967" s="4">
        <f t="shared" si="1160"/>
        <v>0.98999999999999921</v>
      </c>
      <c r="P967" s="4">
        <f t="shared" si="1155"/>
        <v>0.99000000000000099</v>
      </c>
      <c r="Q967" s="4">
        <f t="shared" si="1155"/>
        <v>0.9900000000000001</v>
      </c>
      <c r="S967" s="3"/>
    </row>
    <row r="968" spans="2:19" x14ac:dyDescent="0.5">
      <c r="B968" s="5" t="str">
        <f t="shared" si="1139"/>
        <v>SPS1</v>
      </c>
      <c r="C968" s="5" t="str">
        <f t="shared" si="1140"/>
        <v>CH</v>
      </c>
      <c r="D968" t="s">
        <v>996</v>
      </c>
      <c r="E968" t="s">
        <v>240</v>
      </c>
      <c r="F968" s="4">
        <f t="shared" ref="F968:K968" si="1161">IFERROR(F946/F913,"-")</f>
        <v>0.71999999999999975</v>
      </c>
      <c r="G968" s="4">
        <f t="shared" si="1161"/>
        <v>0.71999999999999909</v>
      </c>
      <c r="H968" s="4">
        <f t="shared" si="1161"/>
        <v>0.72000000000000042</v>
      </c>
      <c r="I968" s="4">
        <f t="shared" si="1161"/>
        <v>0.71999999999999964</v>
      </c>
      <c r="J968" s="4">
        <f t="shared" si="1161"/>
        <v>0.71999999999999975</v>
      </c>
      <c r="K968" s="4">
        <f t="shared" si="1161"/>
        <v>0.71999999999999964</v>
      </c>
      <c r="L968" s="4">
        <f t="shared" ref="L968:O968" si="1162">IFERROR(L946/L913,"-")</f>
        <v>0.71999999999999975</v>
      </c>
      <c r="M968" s="4">
        <f t="shared" si="1162"/>
        <v>0.72000000000000031</v>
      </c>
      <c r="N968" s="4">
        <f t="shared" si="1162"/>
        <v>0.72000000000000064</v>
      </c>
      <c r="O968" s="4">
        <f t="shared" si="1162"/>
        <v>0.71999999999999975</v>
      </c>
      <c r="P968" s="4">
        <f>IFERROR(P946/P913,"-")</f>
        <v>0.72000000000000042</v>
      </c>
      <c r="Q968" s="4">
        <f>IFERROR(Q946/Q913,"-")</f>
        <v>0.71999999999999942</v>
      </c>
      <c r="S968" s="3"/>
    </row>
    <row r="969" spans="2:19" x14ac:dyDescent="0.5">
      <c r="B969" s="5" t="str">
        <f t="shared" si="1139"/>
        <v>SPS1</v>
      </c>
      <c r="C969" s="5" t="str">
        <f t="shared" si="1140"/>
        <v>CH</v>
      </c>
      <c r="D969" t="s">
        <v>997</v>
      </c>
      <c r="E969" t="s">
        <v>240</v>
      </c>
      <c r="F969" s="4">
        <f t="shared" ref="F969:K969" si="1163">IFERROR(F948/F916,"-")</f>
        <v>0.90000000000000047</v>
      </c>
      <c r="G969" s="4">
        <f t="shared" si="1163"/>
        <v>0.89999999999999947</v>
      </c>
      <c r="H969" s="4">
        <f t="shared" si="1163"/>
        <v>0.90000000000000024</v>
      </c>
      <c r="I969" s="4">
        <f t="shared" si="1163"/>
        <v>0.90000000000000036</v>
      </c>
      <c r="J969" s="4">
        <f t="shared" si="1163"/>
        <v>0.90000000000000013</v>
      </c>
      <c r="K969" s="4">
        <f t="shared" si="1163"/>
        <v>0.9</v>
      </c>
      <c r="L969" s="4">
        <f t="shared" ref="L969:O969" si="1164">IFERROR(L948/L916,"-")</f>
        <v>0.90000000000000013</v>
      </c>
      <c r="M969" s="4">
        <f t="shared" si="1164"/>
        <v>0.90000000000000102</v>
      </c>
      <c r="N969" s="4">
        <f t="shared" si="1164"/>
        <v>0.90000000000000124</v>
      </c>
      <c r="O969" s="4">
        <f t="shared" si="1164"/>
        <v>0.90000000000000024</v>
      </c>
      <c r="P969" s="4">
        <f>IFERROR(P948/P916,"-")</f>
        <v>0.90000000000000024</v>
      </c>
      <c r="Q969" s="4">
        <f>IFERROR(Q948/Q916,"-")</f>
        <v>0.89999999999999958</v>
      </c>
      <c r="S969" s="3"/>
    </row>
    <row r="970" spans="2:19" x14ac:dyDescent="0.5">
      <c r="B970" s="5" t="str">
        <f t="shared" si="1139"/>
        <v>SPS1</v>
      </c>
      <c r="C970" s="5" t="str">
        <f t="shared" si="1140"/>
        <v>CH</v>
      </c>
      <c r="D970" t="s">
        <v>998</v>
      </c>
      <c r="E970" t="s">
        <v>240</v>
      </c>
      <c r="F970" s="4">
        <f t="shared" ref="F970:K970" si="1165">IFERROR(F950/F918,"-")</f>
        <v>1</v>
      </c>
      <c r="G970" s="4">
        <f t="shared" si="1165"/>
        <v>1</v>
      </c>
      <c r="H970" s="4">
        <f t="shared" si="1165"/>
        <v>1</v>
      </c>
      <c r="I970" s="4">
        <f t="shared" si="1165"/>
        <v>1</v>
      </c>
      <c r="J970" s="4">
        <f t="shared" si="1165"/>
        <v>1</v>
      </c>
      <c r="K970" s="4">
        <f t="shared" si="1165"/>
        <v>1</v>
      </c>
      <c r="L970" s="4">
        <f t="shared" ref="L970:O970" si="1166">IFERROR(L950/L918,"-")</f>
        <v>1</v>
      </c>
      <c r="M970" s="4">
        <f t="shared" si="1166"/>
        <v>1</v>
      </c>
      <c r="N970" s="4">
        <f t="shared" si="1166"/>
        <v>1</v>
      </c>
      <c r="O970" s="4">
        <f t="shared" si="1166"/>
        <v>1</v>
      </c>
      <c r="P970" s="4">
        <f>IFERROR(P950/P918,"-")</f>
        <v>1</v>
      </c>
      <c r="Q970" s="4">
        <f>IFERROR(Q950/Q918,"-")</f>
        <v>1</v>
      </c>
      <c r="S970" s="3"/>
    </row>
    <row r="971" spans="2:19" x14ac:dyDescent="0.5">
      <c r="B971" s="5" t="str">
        <f t="shared" si="1139"/>
        <v>SPS1</v>
      </c>
      <c r="C971" s="5" t="str">
        <f t="shared" si="1140"/>
        <v>CH</v>
      </c>
      <c r="D971" t="s">
        <v>999</v>
      </c>
      <c r="E971" t="s">
        <v>240</v>
      </c>
      <c r="F971" s="4" t="str">
        <f t="shared" ref="F971:K971" si="1167">IFERROR(F952/F922,"-")</f>
        <v>-</v>
      </c>
      <c r="G971" s="4" t="str">
        <f t="shared" si="1167"/>
        <v>-</v>
      </c>
      <c r="H971" s="4" t="str">
        <f t="shared" si="1167"/>
        <v>-</v>
      </c>
      <c r="I971" s="4">
        <f t="shared" si="1167"/>
        <v>0.34598331394842463</v>
      </c>
      <c r="J971" s="4">
        <f t="shared" si="1167"/>
        <v>0.38289138362913044</v>
      </c>
      <c r="K971" s="4">
        <f t="shared" si="1167"/>
        <v>0.45451562709914456</v>
      </c>
      <c r="L971" s="4">
        <f t="shared" ref="L971:O971" si="1168">IFERROR(L952/L922,"-")</f>
        <v>0.40375361283081829</v>
      </c>
      <c r="M971" s="4">
        <f t="shared" si="1168"/>
        <v>0.47295929900620176</v>
      </c>
      <c r="N971" s="4">
        <f t="shared" si="1168"/>
        <v>0.46143349746379225</v>
      </c>
      <c r="O971" s="4">
        <f t="shared" si="1168"/>
        <v>0.60680886268370104</v>
      </c>
      <c r="P971" s="4">
        <f>IFERROR(P952/P922,"-")</f>
        <v>0.68268558232718146</v>
      </c>
      <c r="Q971" s="4">
        <f>IFERROR(Q952/Q922,"-")</f>
        <v>0.62435172632300462</v>
      </c>
      <c r="S971" s="3"/>
    </row>
    <row r="972" spans="2:19" x14ac:dyDescent="0.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217.22776594100952</v>
      </c>
      <c r="G972" s="3">
        <f>[1]Residential!C$26</f>
        <v>217.98536961996595</v>
      </c>
      <c r="H972" s="3">
        <f>[1]Residential!D$26</f>
        <v>215.90240874918547</v>
      </c>
      <c r="I972" s="3">
        <f>[1]Residential!E$26</f>
        <v>215.23983711707646</v>
      </c>
      <c r="J972" s="3">
        <f>[1]Residential!F$26</f>
        <v>213.87409785075502</v>
      </c>
      <c r="K972" s="3">
        <f>[1]Residential!G$26</f>
        <v>210.77513651903456</v>
      </c>
      <c r="L972" s="3">
        <f>[1]Residential!H$26</f>
        <v>207.30102019167435</v>
      </c>
      <c r="M972" s="3">
        <f>[1]Residential!I$26</f>
        <v>203.88342297177348</v>
      </c>
      <c r="N972" s="3">
        <f>[1]Residential!J$26</f>
        <v>200.63652958861491</v>
      </c>
      <c r="O972" s="3">
        <f>[1]Residential!K$26</f>
        <v>196.62435521350599</v>
      </c>
      <c r="P972" s="3">
        <f>[1]Residential!L$26</f>
        <v>196.42428118255853</v>
      </c>
      <c r="Q972" s="3">
        <f>[1]Residential!M$26</f>
        <v>184.46661749410299</v>
      </c>
      <c r="S972" s="3"/>
    </row>
    <row r="973" spans="2:19" x14ac:dyDescent="0.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69.470077288215592</v>
      </c>
      <c r="G973" s="1">
        <f>[1]Residential!C$15</f>
        <v>70.028206556902333</v>
      </c>
      <c r="H973" s="1">
        <f>[1]Residential!D$15</f>
        <v>71.752542591107897</v>
      </c>
      <c r="I973" s="1">
        <f>[1]Residential!E$15</f>
        <v>67.645141307552166</v>
      </c>
      <c r="J973" s="1">
        <f>[1]Residential!F$15</f>
        <v>67.701203698314288</v>
      </c>
      <c r="K973" s="1">
        <f>[1]Residential!G$15</f>
        <v>66.690328741861336</v>
      </c>
      <c r="L973" s="1">
        <f>[1]Residential!H$15</f>
        <v>65.586896240393457</v>
      </c>
      <c r="M973" s="1">
        <f>[1]Residential!I$15</f>
        <v>64.505128401508472</v>
      </c>
      <c r="N973" s="1">
        <f>[1]Residential!J$15</f>
        <v>64.135035589736532</v>
      </c>
      <c r="O973" s="1">
        <f>[1]Residential!K$15</f>
        <v>67.506002080552918</v>
      </c>
      <c r="P973" s="1">
        <f>[1]Residential!L$15</f>
        <v>70.136409011378177</v>
      </c>
      <c r="Q973" s="1">
        <f>[1]Residential!M$15</f>
        <v>77.759757253562725</v>
      </c>
      <c r="S973" s="3"/>
    </row>
    <row r="974" spans="2:19" x14ac:dyDescent="0.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15.333241332021029</v>
      </c>
      <c r="G974" s="1">
        <f t="shared" ref="G974:K974" si="1169">SUM(G975:G976)</f>
        <v>15.0817112170859</v>
      </c>
      <c r="H974" s="1">
        <f t="shared" si="1169"/>
        <v>16.654339005653974</v>
      </c>
      <c r="I974" s="1">
        <f t="shared" si="1169"/>
        <v>14.052828957610313</v>
      </c>
      <c r="J974" s="1">
        <f t="shared" si="1169"/>
        <v>14.38430197962249</v>
      </c>
      <c r="K974" s="1">
        <f t="shared" si="1169"/>
        <v>13.406295175682718</v>
      </c>
      <c r="L974" s="1">
        <f t="shared" ref="L974:O974" si="1170">SUM(L975:L976)</f>
        <v>11.931715030695093</v>
      </c>
      <c r="M974" s="1">
        <f t="shared" si="1170"/>
        <v>10.723641145606065</v>
      </c>
      <c r="N974" s="1">
        <f t="shared" si="1170"/>
        <v>8.8060617432036938</v>
      </c>
      <c r="O974" s="1">
        <f t="shared" si="1170"/>
        <v>8.7298090191347271</v>
      </c>
      <c r="P974" s="1">
        <f>SUM(P975:P976)</f>
        <v>8.7001254210776597</v>
      </c>
      <c r="Q974" s="1">
        <f>SUM(Q975:Q976)</f>
        <v>8.5961972781476828</v>
      </c>
      <c r="S974" s="3"/>
    </row>
    <row r="975" spans="2:19" x14ac:dyDescent="0.5">
      <c r="B975" s="5" t="str">
        <f>B974</f>
        <v>SPS1</v>
      </c>
      <c r="C975" s="5" t="str">
        <f t="shared" ref="C975" si="1171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9.3768759427495425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8.1035508464107107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9.2854029411416086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6.3202035323380565</v>
      </c>
      <c r="J975" s="1" cm="1">
        <f t="array" ref="J975">SUMPRODUCT(([1]OUT_FinalEnergyCons!$B$4:$B$10000="Var_Fin")*1,ISNUMBER(SEARCH("R*_ELC",[1]OUT_FinalEnergyCons!$C$4:$C$10000))*1, (ISNUMBER(SEARCH("RH*-SHELCBR",[1]OUT_FinalEnergyCons!$A$4:$A$10000)))*1,[1]OUT_FinalEnergyCons!H$4:H$10000)</f>
        <v>5.6508684226808032</v>
      </c>
      <c r="K975" s="1" cm="1">
        <f t="array" ref="K975">SUMPRODUCT(([1]OUT_FinalEnergyCons!$B$4:$B$10000="Var_Fin")*1,ISNUMBER(SEARCH("R*_ELC",[1]OUT_FinalEnergyCons!$C$4:$C$10000))*1, (ISNUMBER(SEARCH("RH*-SHELCBR",[1]OUT_FinalEnergyCons!$A$4:$A$10000)))*1,[1]OUT_FinalEnergyCons!I$4:I$10000)</f>
        <v>4.9474453028359449</v>
      </c>
      <c r="L975" s="1" cm="1">
        <f t="array" ref="L975">SUMPRODUCT(([1]OUT_FinalEnergyCons!$B$4:$B$10000="Var_Fin")*1,ISNUMBER(SEARCH("R*_ELC",[1]OUT_FinalEnergyCons!$C$4:$C$10000))*1, (ISNUMBER(SEARCH("RH*-SHELCBR",[1]OUT_FinalEnergyCons!$A$4:$A$10000)))*1,[1]OUT_FinalEnergyCons!J$4:J$10000)</f>
        <v>3.6953975579024196</v>
      </c>
      <c r="M975" s="1" cm="1">
        <f t="array" ref="M975">SUMPRODUCT(([1]OUT_FinalEnergyCons!$B$4:$B$10000="Var_Fin")*1,ISNUMBER(SEARCH("R*_ELC",[1]OUT_FinalEnergyCons!$C$4:$C$10000))*1, (ISNUMBER(SEARCH("RH*-SHELCBR",[1]OUT_FinalEnergyCons!$A$4:$A$10000)))*1,[1]OUT_FinalEnergyCons!K$4:K$10000)</f>
        <v>2.6247495176662983</v>
      </c>
      <c r="N975" s="1" cm="1">
        <f t="array" ref="N975">SUMPRODUCT(([1]OUT_FinalEnergyCons!$B$4:$B$10000="Var_Fin")*1,ISNUMBER(SEARCH("R*_ELC",[1]OUT_FinalEnergyCons!$C$4:$C$10000))*1, (ISNUMBER(SEARCH("RH*-SHELCBR",[1]OUT_FinalEnergyCons!$A$4:$A$10000)))*1,[1]OUT_FinalEnergyCons!L$4:L$10000)</f>
        <v>0.70711124140747506</v>
      </c>
      <c r="O975" s="1" cm="1">
        <f t="array" ref="O975">SUMPRODUCT(([1]OUT_FinalEnergyCons!$B$4:$B$10000="Var_Fin")*1,ISNUMBER(SEARCH("R*_ELC",[1]OUT_FinalEnergyCons!$C$4:$C$10000))*1, (ISNUMBER(SEARCH("RH*-SHELCBR",[1]OUT_FinalEnergyCons!$A$4:$A$10000)))*1,[1]OUT_FinalEnergyCons!M$4:M$10000)</f>
        <v>0.63075646024375853</v>
      </c>
      <c r="P975" s="1" cm="1">
        <f t="array" ref="P975">SUMPRODUCT(([1]OUT_FinalEnergyCons!$B$4:$B$10000="Var_Fin")*1,ISNUMBER(SEARCH("R*_ELC",[1]OUT_FinalEnergyCons!$C$4:$C$10000))*1, (ISNUMBER(SEARCH("RH*-SHELCBR",[1]OUT_FinalEnergyCons!$A$4:$A$10000)))*1,[1]OUT_FinalEnergyCons!N$4:N$10000)</f>
        <v>0.60014016436990292</v>
      </c>
      <c r="Q975" s="1" cm="1">
        <f t="array" ref="Q975">SUMPRODUCT(([1]OUT_FinalEnergyCons!$B$4:$B$10000="Var_Fin")*1,ISNUMBER(SEARCH("R*_ELC",[1]OUT_FinalEnergyCons!$C$4:$C$10000))*1, (ISNUMBER(SEARCH("RH*-SHELCBR",[1]OUT_FinalEnergyCons!$A$4:$A$10000)))*1,[1]OUT_FinalEnergyCons!O$4:O$10000)</f>
        <v>0.49591154377797131</v>
      </c>
      <c r="S975" s="3"/>
    </row>
    <row r="976" spans="2:19" x14ac:dyDescent="0.5">
      <c r="B976" s="5" t="str">
        <f t="shared" ref="B976:B980" si="1172">B975</f>
        <v>SPS1</v>
      </c>
      <c r="C976" s="5" t="str">
        <f t="shared" ref="C976:C980" si="1173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5.9563653892714861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6.97816037067519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7.3689360645123658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7.7326254252722562</v>
      </c>
      <c r="J976" s="1" cm="1">
        <f t="array" ref="J976">SUMPRODUCT(([1]OUT_FinalEnergyCons!$B$4:$B$10000="Var_Fin")*1,ISNUMBER(SEARCH("R*_ELC",[1]OUT_FinalEnergyCons!$C$4:$C$10000))*1, (ISNUMBER(SEARCH("RH*-SHELCHP",[1]OUT_FinalEnergyCons!$A$4:$A$10000)))*1,[1]OUT_FinalEnergyCons!H$4:H$10000)</f>
        <v>8.7334335569416872</v>
      </c>
      <c r="K976" s="1" cm="1">
        <f t="array" ref="K976">SUMPRODUCT(([1]OUT_FinalEnergyCons!$B$4:$B$10000="Var_Fin")*1,ISNUMBER(SEARCH("R*_ELC",[1]OUT_FinalEnergyCons!$C$4:$C$10000))*1, (ISNUMBER(SEARCH("RH*-SHELCHP",[1]OUT_FinalEnergyCons!$A$4:$A$10000)))*1,[1]OUT_FinalEnergyCons!I$4:I$10000)</f>
        <v>8.4588498728467734</v>
      </c>
      <c r="L976" s="1" cm="1">
        <f t="array" ref="L976">SUMPRODUCT(([1]OUT_FinalEnergyCons!$B$4:$B$10000="Var_Fin")*1,ISNUMBER(SEARCH("R*_ELC",[1]OUT_FinalEnergyCons!$C$4:$C$10000))*1, (ISNUMBER(SEARCH("RH*-SHELCHP",[1]OUT_FinalEnergyCons!$A$4:$A$10000)))*1,[1]OUT_FinalEnergyCons!J$4:J$10000)</f>
        <v>8.236317472792674</v>
      </c>
      <c r="M976" s="1" cm="1">
        <f t="array" ref="M976">SUMPRODUCT(([1]OUT_FinalEnergyCons!$B$4:$B$10000="Var_Fin")*1,ISNUMBER(SEARCH("R*_ELC",[1]OUT_FinalEnergyCons!$C$4:$C$10000))*1, (ISNUMBER(SEARCH("RH*-SHELCHP",[1]OUT_FinalEnergyCons!$A$4:$A$10000)))*1,[1]OUT_FinalEnergyCons!K$4:K$10000)</f>
        <v>8.098891627939766</v>
      </c>
      <c r="N976" s="1" cm="1">
        <f t="array" ref="N976">SUMPRODUCT(([1]OUT_FinalEnergyCons!$B$4:$B$10000="Var_Fin")*1,ISNUMBER(SEARCH("R*_ELC",[1]OUT_FinalEnergyCons!$C$4:$C$10000))*1, (ISNUMBER(SEARCH("RH*-SHELCHP",[1]OUT_FinalEnergyCons!$A$4:$A$10000)))*1,[1]OUT_FinalEnergyCons!L$4:L$10000)</f>
        <v>8.0989505017962191</v>
      </c>
      <c r="O976" s="1" cm="1">
        <f t="array" ref="O976">SUMPRODUCT(([1]OUT_FinalEnergyCons!$B$4:$B$10000="Var_Fin")*1,ISNUMBER(SEARCH("R*_ELC",[1]OUT_FinalEnergyCons!$C$4:$C$10000))*1, (ISNUMBER(SEARCH("RH*-SHELCHP",[1]OUT_FinalEnergyCons!$A$4:$A$10000)))*1,[1]OUT_FinalEnergyCons!M$4:M$10000)</f>
        <v>8.0990525588909676</v>
      </c>
      <c r="P976" s="1" cm="1">
        <f t="array" ref="P976">SUMPRODUCT(([1]OUT_FinalEnergyCons!$B$4:$B$10000="Var_Fin")*1,ISNUMBER(SEARCH("R*_ELC",[1]OUT_FinalEnergyCons!$C$4:$C$10000))*1, (ISNUMBER(SEARCH("RH*-SHELCHP",[1]OUT_FinalEnergyCons!$A$4:$A$10000)))*1,[1]OUT_FinalEnergyCons!N$4:N$10000)</f>
        <v>8.0999852567077575</v>
      </c>
      <c r="Q976" s="1" cm="1">
        <f t="array" ref="Q976">SUMPRODUCT(([1]OUT_FinalEnergyCons!$B$4:$B$10000="Var_Fin")*1,ISNUMBER(SEARCH("R*_ELC",[1]OUT_FinalEnergyCons!$C$4:$C$10000))*1, (ISNUMBER(SEARCH("RH*-SHELCHP",[1]OUT_FinalEnergyCons!$A$4:$A$10000)))*1,[1]OUT_FinalEnergyCons!O$4:O$10000)</f>
        <v>8.1002857343697112</v>
      </c>
      <c r="S976" s="3"/>
    </row>
    <row r="977" spans="2:19" x14ac:dyDescent="0.5">
      <c r="B977" s="5" t="str">
        <f t="shared" si="1172"/>
        <v>SPS1</v>
      </c>
      <c r="C977" s="5" t="str">
        <f t="shared" si="1173"/>
        <v>CH</v>
      </c>
      <c r="D977" t="s">
        <v>1002</v>
      </c>
      <c r="E977" t="s">
        <v>8</v>
      </c>
      <c r="F977" s="1">
        <f>SUM(F978:F979)</f>
        <v>9.5599304466396138</v>
      </c>
      <c r="G977" s="1">
        <f t="shared" ref="G977:K977" si="1174">SUM(G978:G979)</f>
        <v>10.085315082665716</v>
      </c>
      <c r="H977" s="1">
        <f t="shared" si="1174"/>
        <v>10.435489255407822</v>
      </c>
      <c r="I977" s="1">
        <f t="shared" si="1174"/>
        <v>8.5268082791825854</v>
      </c>
      <c r="J977" s="1">
        <f t="shared" si="1174"/>
        <v>7.7489262994801162</v>
      </c>
      <c r="K977" s="1">
        <f t="shared" si="1174"/>
        <v>7.0969634050821329</v>
      </c>
      <c r="L977" s="1">
        <f t="shared" ref="L977:O977" si="1175">SUM(L978:L979)</f>
        <v>6.3759525406147244</v>
      </c>
      <c r="M977" s="1">
        <f t="shared" si="1175"/>
        <v>4.9673783257896433</v>
      </c>
      <c r="N977" s="1">
        <f t="shared" si="1175"/>
        <v>3.9273992819761556</v>
      </c>
      <c r="O977" s="1">
        <f t="shared" si="1175"/>
        <v>3.905606112325652</v>
      </c>
      <c r="P977" s="1">
        <f>SUM(P978:P979)</f>
        <v>3.4333103778735117</v>
      </c>
      <c r="Q977" s="1">
        <f>SUM(Q978:Q979)</f>
        <v>3.7822656728773199</v>
      </c>
      <c r="S977" s="3"/>
    </row>
    <row r="978" spans="2:19" x14ac:dyDescent="0.5">
      <c r="B978" s="5" t="str">
        <f t="shared" si="1172"/>
        <v>SPS1</v>
      </c>
      <c r="C978" s="5" t="str">
        <f t="shared" si="1173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8.4110248564910925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8.7988777488730321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8.6963570519140223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6.4259847868363513</v>
      </c>
      <c r="J978" s="1" cm="1">
        <f t="array" ref="J978">SUMPRODUCT(([1]OUT_FinalEnergyCons!$B$4:$B$10000="Var_Fin")*1,ISNUMBER(SEARCH("R*_ELC",[1]OUT_FinalEnergyCons!$C$4:$C$10000))*1, (ISNUMBER(SEARCH("RH*-wHELCBR",[1]OUT_FinalEnergyCons!$A$4:$A$10000)))*1,[1]OUT_FinalEnergyCons!H$4:H$10000)</f>
        <v>5.0965393418536831</v>
      </c>
      <c r="K978" s="1" cm="1">
        <f t="array" ref="K978">SUMPRODUCT(([1]OUT_FinalEnergyCons!$B$4:$B$10000="Var_Fin")*1,ISNUMBER(SEARCH("R*_ELC",[1]OUT_FinalEnergyCons!$C$4:$C$10000))*1, (ISNUMBER(SEARCH("RH*-wHELCBR",[1]OUT_FinalEnergyCons!$A$4:$A$10000)))*1,[1]OUT_FinalEnergyCons!I$4:I$10000)</f>
        <v>4.4345602427074011</v>
      </c>
      <c r="L978" s="1" cm="1">
        <f t="array" ref="L978">SUMPRODUCT(([1]OUT_FinalEnergyCons!$B$4:$B$10000="Var_Fin")*1,ISNUMBER(SEARCH("R*_ELC",[1]OUT_FinalEnergyCons!$C$4:$C$10000))*1, (ISNUMBER(SEARCH("RH*-wHELCBR",[1]OUT_FinalEnergyCons!$A$4:$A$10000)))*1,[1]OUT_FinalEnergyCons!J$4:J$10000)</f>
        <v>3.6880815177582336</v>
      </c>
      <c r="M978" s="1" cm="1">
        <f t="array" ref="M978">SUMPRODUCT(([1]OUT_FinalEnergyCons!$B$4:$B$10000="Var_Fin")*1,ISNUMBER(SEARCH("R*_ELC",[1]OUT_FinalEnergyCons!$C$4:$C$10000))*1, (ISNUMBER(SEARCH("RH*-wHELCBR",[1]OUT_FinalEnergyCons!$A$4:$A$10000)))*1,[1]OUT_FinalEnergyCons!K$4:K$10000)</f>
        <v>2.3240481212860065</v>
      </c>
      <c r="N978" s="1" cm="1">
        <f t="array" ref="N978">SUMPRODUCT(([1]OUT_FinalEnergyCons!$B$4:$B$10000="Var_Fin")*1,ISNUMBER(SEARCH("R*_ELC",[1]OUT_FinalEnergyCons!$C$4:$C$10000))*1, (ISNUMBER(SEARCH("RH*-wHELCBR",[1]OUT_FinalEnergyCons!$A$4:$A$10000)))*1,[1]OUT_FinalEnergyCons!L$4:L$10000)</f>
        <v>0.62609701557407382</v>
      </c>
      <c r="O978" s="1" cm="1">
        <f t="array" ref="O978">SUMPRODUCT(([1]OUT_FinalEnergyCons!$B$4:$B$10000="Var_Fin")*1,ISNUMBER(SEARCH("R*_ELC",[1]OUT_FinalEnergyCons!$C$4:$C$10000))*1, (ISNUMBER(SEARCH("RH*-wHELCBR",[1]OUT_FinalEnergyCons!$A$4:$A$10000)))*1,[1]OUT_FinalEnergyCons!M$4:M$10000)</f>
        <v>0.55849392197430048</v>
      </c>
      <c r="P978" s="1" cm="1">
        <f t="array" ref="P978">SUMPRODUCT(([1]OUT_FinalEnergyCons!$B$4:$B$10000="Var_Fin")*1,ISNUMBER(SEARCH("R*_ELC",[1]OUT_FinalEnergyCons!$C$4:$C$10000))*1, (ISNUMBER(SEARCH("RH*-wHELCBR",[1]OUT_FinalEnergyCons!$A$4:$A$10000)))*1,[1]OUT_FinalEnergyCons!N$4:N$10000)</f>
        <v>0.53136586365357485</v>
      </c>
      <c r="Q978" s="1" cm="1">
        <f t="array" ref="Q978">SUMPRODUCT(([1]OUT_FinalEnergyCons!$B$4:$B$10000="Var_Fin")*1,ISNUMBER(SEARCH("R*_ELC",[1]OUT_FinalEnergyCons!$C$4:$C$10000))*1, (ISNUMBER(SEARCH("RH*-wHELCBR",[1]OUT_FinalEnergyCons!$A$4:$A$10000)))*1,[1]OUT_FinalEnergyCons!O$4:O$10000)</f>
        <v>0.43912283358814125</v>
      </c>
      <c r="S978" s="3"/>
    </row>
    <row r="979" spans="2:19" x14ac:dyDescent="0.5">
      <c r="B979" s="5" t="str">
        <f t="shared" si="1172"/>
        <v>SPS1</v>
      </c>
      <c r="C979" s="5" t="str">
        <f t="shared" si="1173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1.1489055901485206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1.2864373337926833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1.7391322034937988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2.100823492346235</v>
      </c>
      <c r="J979" s="1" cm="1">
        <f t="array" ref="J979">SUMPRODUCT(([1]OUT_FinalEnergyCons!$B$4:$B$10000="Var_Fin")*1,ISNUMBER(SEARCH("R*_ELC",[1]OUT_FinalEnergyCons!$C$4:$C$10000))*1, (ISNUMBER(SEARCH("RH*-wHELCHP",[1]OUT_FinalEnergyCons!$A$4:$A$10000)))*1,[1]OUT_FinalEnergyCons!H$4:H$10000)</f>
        <v>2.6523869576264327</v>
      </c>
      <c r="K979" s="1" cm="1">
        <f t="array" ref="K979">SUMPRODUCT(([1]OUT_FinalEnergyCons!$B$4:$B$10000="Var_Fin")*1,ISNUMBER(SEARCH("R*_ELC",[1]OUT_FinalEnergyCons!$C$4:$C$10000))*1, (ISNUMBER(SEARCH("RH*-wHELCHP",[1]OUT_FinalEnergyCons!$A$4:$A$10000)))*1,[1]OUT_FinalEnergyCons!I$4:I$10000)</f>
        <v>2.6624031623747317</v>
      </c>
      <c r="L979" s="1" cm="1">
        <f t="array" ref="L979">SUMPRODUCT(([1]OUT_FinalEnergyCons!$B$4:$B$10000="Var_Fin")*1,ISNUMBER(SEARCH("R*_ELC",[1]OUT_FinalEnergyCons!$C$4:$C$10000))*1, (ISNUMBER(SEARCH("RH*-wHELCHP",[1]OUT_FinalEnergyCons!$A$4:$A$10000)))*1,[1]OUT_FinalEnergyCons!J$4:J$10000)</f>
        <v>2.6878710228564913</v>
      </c>
      <c r="M979" s="1" cm="1">
        <f t="array" ref="M979">SUMPRODUCT(([1]OUT_FinalEnergyCons!$B$4:$B$10000="Var_Fin")*1,ISNUMBER(SEARCH("R*_ELC",[1]OUT_FinalEnergyCons!$C$4:$C$10000))*1, (ISNUMBER(SEARCH("RH*-wHELCHP",[1]OUT_FinalEnergyCons!$A$4:$A$10000)))*1,[1]OUT_FinalEnergyCons!K$4:K$10000)</f>
        <v>2.6433302045036369</v>
      </c>
      <c r="N979" s="1" cm="1">
        <f t="array" ref="N979">SUMPRODUCT(([1]OUT_FinalEnergyCons!$B$4:$B$10000="Var_Fin")*1,ISNUMBER(SEARCH("R*_ELC",[1]OUT_FinalEnergyCons!$C$4:$C$10000))*1, (ISNUMBER(SEARCH("RH*-wHELCHP",[1]OUT_FinalEnergyCons!$A$4:$A$10000)))*1,[1]OUT_FinalEnergyCons!L$4:L$10000)</f>
        <v>3.3013022664020819</v>
      </c>
      <c r="O979" s="1" cm="1">
        <f t="array" ref="O979">SUMPRODUCT(([1]OUT_FinalEnergyCons!$B$4:$B$10000="Var_Fin")*1,ISNUMBER(SEARCH("R*_ELC",[1]OUT_FinalEnergyCons!$C$4:$C$10000))*1, (ISNUMBER(SEARCH("RH*-wHELCHP",[1]OUT_FinalEnergyCons!$A$4:$A$10000)))*1,[1]OUT_FinalEnergyCons!M$4:M$10000)</f>
        <v>3.3471121903513517</v>
      </c>
      <c r="P979" s="1" cm="1">
        <f t="array" ref="P979">SUMPRODUCT(([1]OUT_FinalEnergyCons!$B$4:$B$10000="Var_Fin")*1,ISNUMBER(SEARCH("R*_ELC",[1]OUT_FinalEnergyCons!$C$4:$C$10000))*1, (ISNUMBER(SEARCH("RH*-wHELCHP",[1]OUT_FinalEnergyCons!$A$4:$A$10000)))*1,[1]OUT_FinalEnergyCons!N$4:N$10000)</f>
        <v>2.9019445142199367</v>
      </c>
      <c r="Q979" s="1" cm="1">
        <f t="array" ref="Q979">SUMPRODUCT(([1]OUT_FinalEnergyCons!$B$4:$B$10000="Var_Fin")*1,ISNUMBER(SEARCH("R*_ELC",[1]OUT_FinalEnergyCons!$C$4:$C$10000))*1, (ISNUMBER(SEARCH("RH*-wHELCHP",[1]OUT_FinalEnergyCons!$A$4:$A$10000)))*1,[1]OUT_FinalEnergyCons!O$4:O$10000)</f>
        <v>3.3431428392891784</v>
      </c>
      <c r="S979" s="3"/>
    </row>
    <row r="980" spans="2:19" x14ac:dyDescent="0.5">
      <c r="B980" s="5" t="str">
        <f t="shared" si="1172"/>
        <v>SPS1</v>
      </c>
      <c r="C980" s="5" t="str">
        <f t="shared" si="1173"/>
        <v>CH</v>
      </c>
      <c r="D980" t="s">
        <v>1003</v>
      </c>
      <c r="E980" t="s">
        <v>8</v>
      </c>
      <c r="F980" s="1">
        <f>[1]Residential!B$3-([1]Residential!B$10-[1]Residential!B$244)</f>
        <v>44.576905509554948</v>
      </c>
      <c r="G980" s="1">
        <f>[1]Residential!C$3-([1]Residential!C$10-[1]Residential!C$244)</f>
        <v>44.861180257150714</v>
      </c>
      <c r="H980" s="1">
        <f>[1]Residential!D$3-([1]Residential!D$10-[1]Residential!D$244)</f>
        <v>44.662714330046107</v>
      </c>
      <c r="I980" s="1">
        <f>[1]Residential!E$3-([1]Residential!E$10-[1]Residential!E$244)</f>
        <v>45.065504070759275</v>
      </c>
      <c r="J980" s="1">
        <f>[1]Residential!F$3-([1]Residential!F$10-[1]Residential!F$244)</f>
        <v>45.56797541921167</v>
      </c>
      <c r="K980" s="1">
        <f>[1]Residential!G$3-([1]Residential!G$10-[1]Residential!G$244)</f>
        <v>46.187070161096486</v>
      </c>
      <c r="L980" s="1">
        <f>[1]Residential!H$3-([1]Residential!H$10-[1]Residential!H$244)</f>
        <v>47.279228669083643</v>
      </c>
      <c r="M980" s="1">
        <f>[1]Residential!I$3-([1]Residential!I$10-[1]Residential!I$244)</f>
        <v>48.814108930112774</v>
      </c>
      <c r="N980" s="1">
        <f>[1]Residential!J$3-([1]Residential!J$10-[1]Residential!J$244)</f>
        <v>51.401574564556682</v>
      </c>
      <c r="O980" s="1">
        <f>[1]Residential!K$3-([1]Residential!K$10-[1]Residential!K$244)</f>
        <v>54.870586949092534</v>
      </c>
      <c r="P980" s="1">
        <f>[1]Residential!L$3-([1]Residential!L$10-[1]Residential!L$244)</f>
        <v>58.002973212427008</v>
      </c>
      <c r="Q980" s="1">
        <f>[1]Residential!M$3-([1]Residential!M$10-[1]Residential!M$244)</f>
        <v>65.381294302537725</v>
      </c>
      <c r="S980" s="3"/>
    </row>
    <row r="981" spans="2:19" x14ac:dyDescent="0.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60.23184441186983</v>
      </c>
      <c r="G981" s="1">
        <f>SUM([1]Residential!C$16:C$17)</f>
        <v>51.319985426873842</v>
      </c>
      <c r="H981" s="1">
        <f>SUM([1]Residential!D$16:D$17)</f>
        <v>44.907327584319674</v>
      </c>
      <c r="I981" s="1">
        <f>SUM([1]Residential!E$16:E$17)</f>
        <v>45.82319926007203</v>
      </c>
      <c r="J981" s="1">
        <f>SUM([1]Residential!F$16:F$17)</f>
        <v>36.561575696689353</v>
      </c>
      <c r="K981" s="1">
        <f>SUM([1]Residential!G$16:G$17)</f>
        <v>33.572479742162443</v>
      </c>
      <c r="L981" s="1">
        <f>SUM([1]Residential!H$16:H$17)</f>
        <v>31.758232244405228</v>
      </c>
      <c r="M981" s="1">
        <f>SUM([1]Residential!I$16:I$17)</f>
        <v>27.479947148453174</v>
      </c>
      <c r="N981" s="1">
        <f>SUM([1]Residential!J$16:J$17)</f>
        <v>25.614241777840967</v>
      </c>
      <c r="O981" s="1">
        <f>SUM([1]Residential!K$16:K$17)</f>
        <v>21.869921502542333</v>
      </c>
      <c r="P981" s="1">
        <f>SUM([1]Residential!L$16:L$17)</f>
        <v>16.626545824453085</v>
      </c>
      <c r="Q981" s="1">
        <f>SUM([1]Residential!M$16:M$17)</f>
        <v>6.5668319700374029</v>
      </c>
      <c r="S981" s="3"/>
    </row>
    <row r="982" spans="2:19" x14ac:dyDescent="0.5">
      <c r="B982" s="5" t="str">
        <f t="shared" ref="B982:B993" si="1176">B981</f>
        <v>SPS1</v>
      </c>
      <c r="C982" s="5" t="str">
        <f t="shared" ref="C982:C993" si="1177">C981</f>
        <v>CH</v>
      </c>
      <c r="D982" t="s">
        <v>1004</v>
      </c>
      <c r="E982" t="s">
        <v>8</v>
      </c>
      <c r="F982" s="1">
        <f>[1]Residential!B$16</f>
        <v>60.23184441186983</v>
      </c>
      <c r="G982" s="1">
        <f>[1]Residential!C$16</f>
        <v>51.319985426873842</v>
      </c>
      <c r="H982" s="1">
        <f>[1]Residential!D$16</f>
        <v>44.907073238150531</v>
      </c>
      <c r="I982" s="1">
        <f>[1]Residential!E$16</f>
        <v>45.822623212224954</v>
      </c>
      <c r="J982" s="1">
        <f>[1]Residential!F$16</f>
        <v>36.560400454194124</v>
      </c>
      <c r="K982" s="1">
        <f>[1]Residential!G$16</f>
        <v>33.571883234526666</v>
      </c>
      <c r="L982" s="1">
        <f>[1]Residential!H$16</f>
        <v>31.757631740868401</v>
      </c>
      <c r="M982" s="1">
        <f>[1]Residential!I$16</f>
        <v>27.478707943218847</v>
      </c>
      <c r="N982" s="1">
        <f>[1]Residential!J$16</f>
        <v>25.613629421316823</v>
      </c>
      <c r="O982" s="1">
        <f>[1]Residential!K$16</f>
        <v>21.868670130017179</v>
      </c>
      <c r="P982" s="1">
        <f>[1]Residential!L$16</f>
        <v>16.625589161278004</v>
      </c>
      <c r="Q982" s="1">
        <f>[1]Residential!M$16</f>
        <v>6.5646863810632352</v>
      </c>
      <c r="S982" s="3"/>
    </row>
    <row r="983" spans="2:19" x14ac:dyDescent="0.5">
      <c r="B983" s="5" t="str">
        <f t="shared" si="1176"/>
        <v>SPS1</v>
      </c>
      <c r="C983" s="5" t="str">
        <f t="shared" si="1177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2.5434616914391439E-4</v>
      </c>
      <c r="I983" s="1">
        <f>[1]Residential!E$17</f>
        <v>5.7604784707838681E-4</v>
      </c>
      <c r="J983" s="1">
        <f>[1]Residential!F$17</f>
        <v>1.1752424952313374E-3</v>
      </c>
      <c r="K983" s="1">
        <f>[1]Residential!G$17</f>
        <v>5.965076357781077E-4</v>
      </c>
      <c r="L983" s="1">
        <f>[1]Residential!H$17</f>
        <v>6.0050353682839853E-4</v>
      </c>
      <c r="M983" s="1">
        <f>[1]Residential!I$17</f>
        <v>1.239205234326822E-3</v>
      </c>
      <c r="N983" s="1">
        <f>[1]Residential!J$17</f>
        <v>6.1235652414303148E-4</v>
      </c>
      <c r="O983" s="1">
        <f>[1]Residential!K$17</f>
        <v>1.2513725251529929E-3</v>
      </c>
      <c r="P983" s="1">
        <f>[1]Residential!L$17</f>
        <v>9.5666317508321698E-4</v>
      </c>
      <c r="Q983" s="1">
        <f>[1]Residential!M$17</f>
        <v>2.1455889741677468E-3</v>
      </c>
      <c r="S983" s="3"/>
    </row>
    <row r="984" spans="2:19" x14ac:dyDescent="0.5">
      <c r="B984" s="5" t="str">
        <f t="shared" si="1176"/>
        <v>SPS1</v>
      </c>
      <c r="C984" s="5" t="str">
        <f t="shared" si="1177"/>
        <v>CH</v>
      </c>
      <c r="D984" t="s">
        <v>1006</v>
      </c>
      <c r="E984" t="s">
        <v>8</v>
      </c>
      <c r="F984" s="1">
        <f>SUM(F986,F988)</f>
        <v>50.371429042975215</v>
      </c>
      <c r="G984" s="1">
        <f t="shared" ref="G984:K984" si="1178">SUM(G986,G988)</f>
        <v>43.033805033428379</v>
      </c>
      <c r="H984" s="1">
        <f t="shared" si="1178"/>
        <v>43.239375657350521</v>
      </c>
      <c r="I984" s="1">
        <f t="shared" si="1178"/>
        <v>43.169128620364127</v>
      </c>
      <c r="J984" s="1">
        <f t="shared" si="1178"/>
        <v>35.803379391529013</v>
      </c>
      <c r="K984" s="1">
        <f t="shared" si="1178"/>
        <v>33.553958323710006</v>
      </c>
      <c r="L984" s="1">
        <f t="shared" ref="L984:O984" si="1179">SUM(L986,L988)</f>
        <v>31.739198985961483</v>
      </c>
      <c r="M984" s="1">
        <f t="shared" si="1179"/>
        <v>27.461916698314447</v>
      </c>
      <c r="N984" s="1">
        <f t="shared" si="1179"/>
        <v>25.590150506342422</v>
      </c>
      <c r="O984" s="1">
        <f t="shared" si="1179"/>
        <v>21.832724278096222</v>
      </c>
      <c r="P984" s="1">
        <f>SUM(P986,P988)</f>
        <v>16.595607742279441</v>
      </c>
      <c r="Q984" s="1">
        <f>SUM(Q986,Q988)</f>
        <v>6.4856899673235073</v>
      </c>
      <c r="S984" s="3"/>
    </row>
    <row r="985" spans="2:19" x14ac:dyDescent="0.5">
      <c r="B985" s="5" t="str">
        <f t="shared" si="1176"/>
        <v>SPS1</v>
      </c>
      <c r="C985" s="5" t="str">
        <f t="shared" si="1177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50.371429042975215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43.033805033428379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43.239375657350521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43.169128620364127</v>
      </c>
      <c r="J985" s="1" cm="1">
        <f t="array" ref="J985">SUMPRODUCT(([1]OUT_FinalEnergyCons!$B$4:$B$10000="Var_Fin")*1, ([1]OUT_FinalEnergyCons!$C$4:$C$10000="RLFO")*1,(ISNUMBER(SEARCH("RH*-SHLFOBR",[1]OUT_FinalEnergyCons!$A$4:$A$10000)))*1,[1]OUT_FinalEnergyCons!H$4:H$10000)</f>
        <v>35.803379391529013</v>
      </c>
      <c r="K985" s="1" cm="1">
        <f t="array" ref="K985">SUMPRODUCT(([1]OUT_FinalEnergyCons!$B$4:$B$10000="Var_Fin")*1, ([1]OUT_FinalEnergyCons!$C$4:$C$10000="RLFO")*1,(ISNUMBER(SEARCH("RH*-SHLFOBR",[1]OUT_FinalEnergyCons!$A$4:$A$10000)))*1,[1]OUT_FinalEnergyCons!I$4:I$10000)</f>
        <v>33.553958323710006</v>
      </c>
      <c r="L985" s="1" cm="1">
        <f t="array" ref="L985">SUMPRODUCT(([1]OUT_FinalEnergyCons!$B$4:$B$10000="Var_Fin")*1, ([1]OUT_FinalEnergyCons!$C$4:$C$10000="RLFO")*1,(ISNUMBER(SEARCH("RH*-SHLFOBR",[1]OUT_FinalEnergyCons!$A$4:$A$10000)))*1,[1]OUT_FinalEnergyCons!J$4:J$10000)</f>
        <v>31.739198985961483</v>
      </c>
      <c r="M985" s="1" cm="1">
        <f t="array" ref="M985">SUMPRODUCT(([1]OUT_FinalEnergyCons!$B$4:$B$10000="Var_Fin")*1, ([1]OUT_FinalEnergyCons!$C$4:$C$10000="RLFO")*1,(ISNUMBER(SEARCH("RH*-SHLFOBR",[1]OUT_FinalEnergyCons!$A$4:$A$10000)))*1,[1]OUT_FinalEnergyCons!K$4:K$10000)</f>
        <v>27.461916698314447</v>
      </c>
      <c r="N985" s="1" cm="1">
        <f t="array" ref="N985">SUMPRODUCT(([1]OUT_FinalEnergyCons!$B$4:$B$10000="Var_Fin")*1, ([1]OUT_FinalEnergyCons!$C$4:$C$10000="RLFO")*1,(ISNUMBER(SEARCH("RH*-SHLFOBR",[1]OUT_FinalEnergyCons!$A$4:$A$10000)))*1,[1]OUT_FinalEnergyCons!L$4:L$10000)</f>
        <v>25.590150506342422</v>
      </c>
      <c r="O985" s="1" cm="1">
        <f t="array" ref="O985">SUMPRODUCT(([1]OUT_FinalEnergyCons!$B$4:$B$10000="Var_Fin")*1, ([1]OUT_FinalEnergyCons!$C$4:$C$10000="RLFO")*1,(ISNUMBER(SEARCH("RH*-SHLFOBR",[1]OUT_FinalEnergyCons!$A$4:$A$10000)))*1,[1]OUT_FinalEnergyCons!M$4:M$10000)</f>
        <v>21.832724278096222</v>
      </c>
      <c r="P985" s="1" cm="1">
        <f t="array" ref="P985">SUMPRODUCT(([1]OUT_FinalEnergyCons!$B$4:$B$10000="Var_Fin")*1, ([1]OUT_FinalEnergyCons!$C$4:$C$10000="RLFO")*1,(ISNUMBER(SEARCH("RH*-SHLFOBR",[1]OUT_FinalEnergyCons!$A$4:$A$10000)))*1,[1]OUT_FinalEnergyCons!N$4:N$10000)</f>
        <v>16.595607742279441</v>
      </c>
      <c r="Q985" s="1" cm="1">
        <f t="array" ref="Q985">SUMPRODUCT(([1]OUT_FinalEnergyCons!$B$4:$B$10000="Var_Fin")*1, ([1]OUT_FinalEnergyCons!$C$4:$C$10000="RLFO")*1,(ISNUMBER(SEARCH("RH*-SHLFOBR",[1]OUT_FinalEnergyCons!$A$4:$A$10000)))*1,[1]OUT_FinalEnergyCons!O$4:O$10000)</f>
        <v>6.4856899673235073</v>
      </c>
      <c r="S985" s="3"/>
    </row>
    <row r="986" spans="2:19" x14ac:dyDescent="0.5">
      <c r="B986" s="5" t="str">
        <f t="shared" si="1176"/>
        <v>SPS1</v>
      </c>
      <c r="C986" s="5" t="str">
        <f t="shared" si="1177"/>
        <v>CH</v>
      </c>
      <c r="D986" t="s">
        <v>1007</v>
      </c>
      <c r="E986" t="s">
        <v>8</v>
      </c>
      <c r="F986" s="1">
        <f>F987</f>
        <v>50.371429042975215</v>
      </c>
      <c r="G986" s="1">
        <f t="shared" ref="G986:O986" si="1180">G987</f>
        <v>43.033805033428379</v>
      </c>
      <c r="H986" s="1">
        <f t="shared" si="1180"/>
        <v>43.239130758129257</v>
      </c>
      <c r="I986" s="1">
        <f t="shared" si="1180"/>
        <v>43.168585937094441</v>
      </c>
      <c r="J986" s="1">
        <f t="shared" si="1180"/>
        <v>35.802228520645251</v>
      </c>
      <c r="K986" s="1">
        <f t="shared" si="1180"/>
        <v>33.553362145158275</v>
      </c>
      <c r="L986" s="1">
        <f t="shared" si="1180"/>
        <v>31.738598842316822</v>
      </c>
      <c r="M986" s="1">
        <f t="shared" si="1180"/>
        <v>27.460678306161313</v>
      </c>
      <c r="N986" s="1">
        <f t="shared" si="1180"/>
        <v>25.58953872576534</v>
      </c>
      <c r="O986" s="1">
        <f t="shared" si="1180"/>
        <v>21.831475033954778</v>
      </c>
      <c r="P986" s="1">
        <f>P987</f>
        <v>16.594652859229001</v>
      </c>
      <c r="Q986" s="1">
        <f>Q987</f>
        <v>6.4835708899742999</v>
      </c>
      <c r="S986" s="3"/>
    </row>
    <row r="987" spans="2:19" x14ac:dyDescent="0.5">
      <c r="B987" s="5" t="str">
        <f t="shared" si="1176"/>
        <v>SPS1</v>
      </c>
      <c r="C987" s="5" t="str">
        <f t="shared" si="1177"/>
        <v>CH</v>
      </c>
      <c r="D987" t="s">
        <v>709</v>
      </c>
      <c r="E987" t="s">
        <v>8</v>
      </c>
      <c r="F987" s="1">
        <f>F985*IFERROR(F982/F981,0)</f>
        <v>50.371429042975215</v>
      </c>
      <c r="G987" s="1">
        <f t="shared" ref="G987:K987" si="1181">G985*IFERROR(G982/G981,0)</f>
        <v>43.033805033428379</v>
      </c>
      <c r="H987" s="1">
        <f t="shared" si="1181"/>
        <v>43.239130758129257</v>
      </c>
      <c r="I987" s="1">
        <f t="shared" si="1181"/>
        <v>43.168585937094441</v>
      </c>
      <c r="J987" s="1">
        <f t="shared" si="1181"/>
        <v>35.802228520645251</v>
      </c>
      <c r="K987" s="1">
        <f t="shared" si="1181"/>
        <v>33.553362145158275</v>
      </c>
      <c r="L987" s="1">
        <f t="shared" ref="L987:O987" si="1182">L985*IFERROR(L982/L981,0)</f>
        <v>31.738598842316822</v>
      </c>
      <c r="M987" s="1">
        <f t="shared" si="1182"/>
        <v>27.460678306161313</v>
      </c>
      <c r="N987" s="1">
        <f t="shared" si="1182"/>
        <v>25.58953872576534</v>
      </c>
      <c r="O987" s="1">
        <f t="shared" si="1182"/>
        <v>21.831475033954778</v>
      </c>
      <c r="P987" s="1">
        <f>P985*IFERROR(P982/P981,0)</f>
        <v>16.594652859229001</v>
      </c>
      <c r="Q987" s="1">
        <f>Q985*IFERROR(Q982/Q981,0)</f>
        <v>6.4835708899742999</v>
      </c>
      <c r="S987" s="3"/>
    </row>
    <row r="988" spans="2:19" x14ac:dyDescent="0.5">
      <c r="B988" s="5" t="str">
        <f t="shared" si="1176"/>
        <v>SPS1</v>
      </c>
      <c r="C988" s="5" t="str">
        <f t="shared" si="1177"/>
        <v>CH</v>
      </c>
      <c r="D988" t="s">
        <v>1008</v>
      </c>
      <c r="E988" t="s">
        <v>8</v>
      </c>
      <c r="F988" s="1">
        <f>F989</f>
        <v>0</v>
      </c>
      <c r="G988" s="1">
        <f t="shared" ref="G988:O988" si="1183">G989</f>
        <v>0</v>
      </c>
      <c r="H988" s="1">
        <f t="shared" si="1183"/>
        <v>2.4489922126491592E-4</v>
      </c>
      <c r="I988" s="1">
        <f t="shared" si="1183"/>
        <v>5.4268326968553993E-4</v>
      </c>
      <c r="J988" s="1">
        <f t="shared" si="1183"/>
        <v>1.1508708837624226E-3</v>
      </c>
      <c r="K988" s="1">
        <f t="shared" si="1183"/>
        <v>5.9617855173144108E-4</v>
      </c>
      <c r="L988" s="1">
        <f t="shared" si="1183"/>
        <v>6.0014364466098868E-4</v>
      </c>
      <c r="M988" s="1">
        <f t="shared" si="1183"/>
        <v>1.238392153133816E-3</v>
      </c>
      <c r="N988" s="1">
        <f t="shared" si="1183"/>
        <v>6.1178057708133338E-4</v>
      </c>
      <c r="O988" s="1">
        <f t="shared" si="1183"/>
        <v>1.24924414144445E-3</v>
      </c>
      <c r="P988" s="1">
        <f>P989</f>
        <v>9.5488305044000299E-4</v>
      </c>
      <c r="Q988" s="1">
        <f>Q989</f>
        <v>2.1190773492074655E-3</v>
      </c>
      <c r="S988" s="3"/>
    </row>
    <row r="989" spans="2:19" x14ac:dyDescent="0.5">
      <c r="B989" s="5" t="str">
        <f t="shared" si="1176"/>
        <v>SPS1</v>
      </c>
      <c r="C989" s="5" t="str">
        <f t="shared" si="1177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84">G985-G987</f>
        <v>0</v>
      </c>
      <c r="H989" s="1">
        <f t="shared" si="1184"/>
        <v>2.4489922126491592E-4</v>
      </c>
      <c r="I989" s="1">
        <f t="shared" si="1184"/>
        <v>5.4268326968553993E-4</v>
      </c>
      <c r="J989" s="1">
        <f t="shared" si="1184"/>
        <v>1.1508708837624226E-3</v>
      </c>
      <c r="K989" s="1">
        <f t="shared" si="1184"/>
        <v>5.9617855173144108E-4</v>
      </c>
      <c r="L989" s="1">
        <f t="shared" ref="L989:O989" si="1185">L985-L987</f>
        <v>6.0014364466098868E-4</v>
      </c>
      <c r="M989" s="1">
        <f t="shared" si="1185"/>
        <v>1.238392153133816E-3</v>
      </c>
      <c r="N989" s="1">
        <f t="shared" si="1185"/>
        <v>6.1178057708133338E-4</v>
      </c>
      <c r="O989" s="1">
        <f t="shared" si="1185"/>
        <v>1.24924414144445E-3</v>
      </c>
      <c r="P989" s="1">
        <f>P985-P987</f>
        <v>9.5488305044000299E-4</v>
      </c>
      <c r="Q989" s="1">
        <f>Q985-Q987</f>
        <v>2.1190773492074655E-3</v>
      </c>
      <c r="S989" s="3"/>
    </row>
    <row r="990" spans="2:19" x14ac:dyDescent="0.5">
      <c r="B990" s="5" t="str">
        <f t="shared" si="1176"/>
        <v>SPS1</v>
      </c>
      <c r="C990" s="5" t="str">
        <f t="shared" si="1177"/>
        <v>CH</v>
      </c>
      <c r="D990" t="s">
        <v>1009</v>
      </c>
      <c r="E990" t="s">
        <v>8</v>
      </c>
      <c r="F990" s="1">
        <f>F991</f>
        <v>9.8604153688946123</v>
      </c>
      <c r="G990" s="1">
        <f t="shared" ref="G990:O990" si="1186">G991</f>
        <v>8.2861803934454556</v>
      </c>
      <c r="H990" s="1">
        <f t="shared" si="1186"/>
        <v>1.6679519269691476</v>
      </c>
      <c r="I990" s="1">
        <f t="shared" si="1186"/>
        <v>2.6540706397079052</v>
      </c>
      <c r="J990" s="1">
        <f t="shared" si="1186"/>
        <v>0.7581963051603412</v>
      </c>
      <c r="K990" s="1">
        <f t="shared" si="1186"/>
        <v>1.8521418452428478E-2</v>
      </c>
      <c r="L990" s="1">
        <f t="shared" si="1186"/>
        <v>1.903325844374841E-2</v>
      </c>
      <c r="M990" s="1">
        <f t="shared" si="1186"/>
        <v>1.803045013873162E-2</v>
      </c>
      <c r="N990" s="1">
        <f t="shared" si="1186"/>
        <v>2.4091271498545504E-2</v>
      </c>
      <c r="O990" s="1">
        <f t="shared" si="1186"/>
        <v>3.7197224446108561E-2</v>
      </c>
      <c r="P990" s="1">
        <f>P991</f>
        <v>3.0938082173642346E-2</v>
      </c>
      <c r="Q990" s="1">
        <f>Q991</f>
        <v>8.1142002713897474E-2</v>
      </c>
      <c r="S990" s="3"/>
    </row>
    <row r="991" spans="2:19" x14ac:dyDescent="0.5">
      <c r="B991" s="5" t="str">
        <f t="shared" si="1176"/>
        <v>SPS1</v>
      </c>
      <c r="C991" s="5" t="str">
        <f t="shared" si="1177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9.8604153688946123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8.2861803934454556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1.6679519269691476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2.6540706397079052</v>
      </c>
      <c r="J991" s="1" cm="1">
        <f t="array" ref="J991">SUMPRODUCT(([1]OUT_FinalEnergyCons!$B$4:$B$10000="Var_Fin")*1, ([1]OUT_FinalEnergyCons!$C$4:$C$10000="RLFO")*1,(ISNUMBER(SEARCH("RH*-wHLFOBR",[1]OUT_FinalEnergyCons!$A$4:$A$10000)))*1,[1]OUT_FinalEnergyCons!H$4:H$10000)</f>
        <v>0.7581963051603412</v>
      </c>
      <c r="K991" s="1" cm="1">
        <f t="array" ref="K991">SUMPRODUCT(([1]OUT_FinalEnergyCons!$B$4:$B$10000="Var_Fin")*1, ([1]OUT_FinalEnergyCons!$C$4:$C$10000="RLFO")*1,(ISNUMBER(SEARCH("RH*-wHLFOBR",[1]OUT_FinalEnergyCons!$A$4:$A$10000)))*1,[1]OUT_FinalEnergyCons!I$4:I$10000)</f>
        <v>1.8521418452428478E-2</v>
      </c>
      <c r="L991" s="1" cm="1">
        <f t="array" ref="L991">SUMPRODUCT(([1]OUT_FinalEnergyCons!$B$4:$B$10000="Var_Fin")*1, ([1]OUT_FinalEnergyCons!$C$4:$C$10000="RLFO")*1,(ISNUMBER(SEARCH("RH*-wHLFOBR",[1]OUT_FinalEnergyCons!$A$4:$A$10000)))*1,[1]OUT_FinalEnergyCons!J$4:J$10000)</f>
        <v>1.903325844374841E-2</v>
      </c>
      <c r="M991" s="1" cm="1">
        <f t="array" ref="M991">SUMPRODUCT(([1]OUT_FinalEnergyCons!$B$4:$B$10000="Var_Fin")*1, ([1]OUT_FinalEnergyCons!$C$4:$C$10000="RLFO")*1,(ISNUMBER(SEARCH("RH*-wHLFOBR",[1]OUT_FinalEnergyCons!$A$4:$A$10000)))*1,[1]OUT_FinalEnergyCons!K$4:K$10000)</f>
        <v>1.803045013873162E-2</v>
      </c>
      <c r="N991" s="1" cm="1">
        <f t="array" ref="N991">SUMPRODUCT(([1]OUT_FinalEnergyCons!$B$4:$B$10000="Var_Fin")*1, ([1]OUT_FinalEnergyCons!$C$4:$C$10000="RLFO")*1,(ISNUMBER(SEARCH("RH*-wHLFOBR",[1]OUT_FinalEnergyCons!$A$4:$A$10000)))*1,[1]OUT_FinalEnergyCons!L$4:L$10000)</f>
        <v>2.4091271498545504E-2</v>
      </c>
      <c r="O991" s="1" cm="1">
        <f t="array" ref="O991">SUMPRODUCT(([1]OUT_FinalEnergyCons!$B$4:$B$10000="Var_Fin")*1, ([1]OUT_FinalEnergyCons!$C$4:$C$10000="RLFO")*1,(ISNUMBER(SEARCH("RH*-wHLFOBR",[1]OUT_FinalEnergyCons!$A$4:$A$10000)))*1,[1]OUT_FinalEnergyCons!M$4:M$10000)</f>
        <v>3.7197224446108561E-2</v>
      </c>
      <c r="P991" s="1" cm="1">
        <f t="array" ref="P991">SUMPRODUCT(([1]OUT_FinalEnergyCons!$B$4:$B$10000="Var_Fin")*1, ([1]OUT_FinalEnergyCons!$C$4:$C$10000="RLFO")*1,(ISNUMBER(SEARCH("RH*-wHLFOBR",[1]OUT_FinalEnergyCons!$A$4:$A$10000)))*1,[1]OUT_FinalEnergyCons!N$4:N$10000)</f>
        <v>3.0938082173642346E-2</v>
      </c>
      <c r="Q991" s="1" cm="1">
        <f t="array" ref="Q991">SUMPRODUCT(([1]OUT_FinalEnergyCons!$B$4:$B$10000="Var_Fin")*1, ([1]OUT_FinalEnergyCons!$C$4:$C$10000="RLFO")*1,(ISNUMBER(SEARCH("RH*-wHLFOBR",[1]OUT_FinalEnergyCons!$A$4:$A$10000)))*1,[1]OUT_FinalEnergyCons!O$4:O$10000)</f>
        <v>8.1142002713897474E-2</v>
      </c>
      <c r="S991" s="3"/>
    </row>
    <row r="992" spans="2:19" x14ac:dyDescent="0.5">
      <c r="B992" s="5" t="str">
        <f t="shared" si="1176"/>
        <v>SPS1</v>
      </c>
      <c r="C992" s="5" t="str">
        <f t="shared" si="1177"/>
        <v>CH</v>
      </c>
      <c r="D992" t="s">
        <v>712</v>
      </c>
      <c r="E992" t="s">
        <v>8</v>
      </c>
      <c r="F992" s="1">
        <f>IFERROR(F982/F981,0)*F991</f>
        <v>9.8604153688946123</v>
      </c>
      <c r="G992" s="1">
        <f t="shared" ref="G992:K992" si="1187">IFERROR(G982/G981,0)*G991</f>
        <v>8.2861803934454556</v>
      </c>
      <c r="H992" s="1">
        <f t="shared" si="1187"/>
        <v>1.6679424800212717</v>
      </c>
      <c r="I992" s="1">
        <f t="shared" si="1187"/>
        <v>2.6540372751305146</v>
      </c>
      <c r="J992" s="1">
        <f t="shared" si="1187"/>
        <v>0.75817193354887291</v>
      </c>
      <c r="K992" s="1">
        <f t="shared" si="1187"/>
        <v>1.8521089368380556E-2</v>
      </c>
      <c r="L992" s="1">
        <f t="shared" ref="L992:O992" si="1188">IFERROR(L982/L981,0)*L991</f>
        <v>1.9032898551581717E-2</v>
      </c>
      <c r="M992" s="1">
        <f t="shared" si="1188"/>
        <v>1.8029637057539415E-2</v>
      </c>
      <c r="N992" s="1">
        <f t="shared" si="1188"/>
        <v>2.4090695551484295E-2</v>
      </c>
      <c r="O992" s="1">
        <f t="shared" si="1188"/>
        <v>3.7195096062397702E-2</v>
      </c>
      <c r="P992" s="1">
        <f>IFERROR(P982/P981,0)*P991</f>
        <v>3.0936302049000962E-2</v>
      </c>
      <c r="Q992" s="1">
        <f>IFERROR(Q982/Q981,0)*Q991</f>
        <v>8.1115491088937494E-2</v>
      </c>
      <c r="S992" s="3"/>
    </row>
    <row r="993" spans="2:19" x14ac:dyDescent="0.5">
      <c r="B993" s="5" t="str">
        <f t="shared" si="1176"/>
        <v>SPS1</v>
      </c>
      <c r="C993" s="5" t="str">
        <f t="shared" si="1177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89">G991-G992</f>
        <v>0</v>
      </c>
      <c r="H993" s="1">
        <f t="shared" si="1189"/>
        <v>9.4469478759684478E-6</v>
      </c>
      <c r="I993" s="1">
        <f t="shared" si="1189"/>
        <v>3.3364577390671002E-5</v>
      </c>
      <c r="J993" s="1">
        <f t="shared" si="1189"/>
        <v>2.4371611468287924E-5</v>
      </c>
      <c r="K993" s="1">
        <f t="shared" si="1189"/>
        <v>3.2908404792170165E-7</v>
      </c>
      <c r="L993" s="1">
        <f t="shared" ref="L993:O993" si="1190">L991-L992</f>
        <v>3.5989216669307655E-7</v>
      </c>
      <c r="M993" s="1">
        <f t="shared" si="1190"/>
        <v>8.1308119220455111E-7</v>
      </c>
      <c r="N993" s="1">
        <f t="shared" si="1190"/>
        <v>5.7594706120989159E-7</v>
      </c>
      <c r="O993" s="1">
        <f t="shared" si="1190"/>
        <v>2.1283837108587722E-6</v>
      </c>
      <c r="P993" s="1">
        <f>P991-P992</f>
        <v>1.7801246413838567E-6</v>
      </c>
      <c r="Q993" s="1">
        <f>Q991-Q992</f>
        <v>2.6511624959979496E-5</v>
      </c>
      <c r="S993" s="3"/>
    </row>
    <row r="994" spans="2:19" x14ac:dyDescent="0.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47.001970805046952</v>
      </c>
      <c r="G994" s="1">
        <f t="shared" ref="G994:K994" si="1191">SUM(G995:G996)</f>
        <v>48.18013661793475</v>
      </c>
      <c r="H994" s="1">
        <f t="shared" si="1191"/>
        <v>51.175879570692622</v>
      </c>
      <c r="I994" s="1">
        <f t="shared" si="1191"/>
        <v>52.684326723762986</v>
      </c>
      <c r="J994" s="1">
        <f t="shared" si="1191"/>
        <v>54.84645539392335</v>
      </c>
      <c r="K994" s="1">
        <f t="shared" si="1191"/>
        <v>53.844503306579924</v>
      </c>
      <c r="L994" s="1">
        <f t="shared" ref="L994:O994" si="1192">SUM(L995:L996)</f>
        <v>52.880081654722332</v>
      </c>
      <c r="M994" s="1">
        <f t="shared" si="1192"/>
        <v>53.135410297596785</v>
      </c>
      <c r="N994" s="1">
        <f t="shared" si="1192"/>
        <v>50.777799797848161</v>
      </c>
      <c r="O994" s="1">
        <f t="shared" si="1192"/>
        <v>47.886392173202204</v>
      </c>
      <c r="P994" s="1">
        <f>SUM(P995:P996)</f>
        <v>48.921639596842205</v>
      </c>
      <c r="Q994" s="1">
        <f>SUM(Q995:Q996)</f>
        <v>41.284299903835453</v>
      </c>
      <c r="S994" s="3"/>
    </row>
    <row r="995" spans="2:19" x14ac:dyDescent="0.5">
      <c r="B995" s="5" t="str">
        <f t="shared" ref="B995:B1055" si="1193">B994</f>
        <v>SPS1</v>
      </c>
      <c r="C995" s="5" t="str">
        <f t="shared" ref="C995:C1055" si="1194">C994</f>
        <v>CH</v>
      </c>
      <c r="D995" t="s">
        <v>1010</v>
      </c>
      <c r="E995" t="s">
        <v>8</v>
      </c>
      <c r="F995" s="1">
        <f>[1]Residential!B$18</f>
        <v>46.695133925873485</v>
      </c>
      <c r="G995" s="1">
        <f>[1]Residential!C$18</f>
        <v>48.176702263846849</v>
      </c>
      <c r="H995" s="1">
        <f>[1]Residential!D$18</f>
        <v>51.172470957192722</v>
      </c>
      <c r="I995" s="1">
        <f>[1]Residential!E$18</f>
        <v>52.681016653309079</v>
      </c>
      <c r="J995" s="1">
        <f>[1]Residential!F$18</f>
        <v>54.84315137629666</v>
      </c>
      <c r="K995" s="1">
        <f>[1]Residential!G$18</f>
        <v>53.841209833006175</v>
      </c>
      <c r="L995" s="1">
        <f>[1]Residential!H$18</f>
        <v>52.876782832515381</v>
      </c>
      <c r="M995" s="1">
        <f>[1]Residential!I$18</f>
        <v>53.132099583190275</v>
      </c>
      <c r="N995" s="1">
        <f>[1]Residential!J$18</f>
        <v>50.774489971678221</v>
      </c>
      <c r="O995" s="1">
        <f>[1]Residential!K$18</f>
        <v>47.88307044185845</v>
      </c>
      <c r="P995" s="1">
        <f>[1]Residential!L$18</f>
        <v>48.918306596621044</v>
      </c>
      <c r="Q995" s="1">
        <f>[1]Residential!M$18</f>
        <v>41.28065774182371</v>
      </c>
      <c r="S995" s="3"/>
    </row>
    <row r="996" spans="2:19" x14ac:dyDescent="0.5">
      <c r="B996" s="5" t="str">
        <f t="shared" si="1193"/>
        <v>SPS1</v>
      </c>
      <c r="C996" s="5" t="str">
        <f t="shared" si="1194"/>
        <v>CH</v>
      </c>
      <c r="D996" t="s">
        <v>1011</v>
      </c>
      <c r="E996" t="s">
        <v>8</v>
      </c>
      <c r="F996" s="1">
        <f>[1]Residential!B$19</f>
        <v>0.30683687917346597</v>
      </c>
      <c r="G996" s="1">
        <f>[1]Residential!C$19</f>
        <v>3.4343540879041342E-3</v>
      </c>
      <c r="H996" s="1">
        <f>[1]Residential!D$19</f>
        <v>3.4086134999006838E-3</v>
      </c>
      <c r="I996" s="1">
        <f>[1]Residential!E$19</f>
        <v>3.3100704539082994E-3</v>
      </c>
      <c r="J996" s="1">
        <f>[1]Residential!F$19</f>
        <v>3.3040176266927574E-3</v>
      </c>
      <c r="K996" s="1">
        <f>[1]Residential!G$19</f>
        <v>3.293473573749991E-3</v>
      </c>
      <c r="L996" s="1">
        <f>[1]Residential!H$19</f>
        <v>3.2988222069537951E-3</v>
      </c>
      <c r="M996" s="1">
        <f>[1]Residential!I$19</f>
        <v>3.3107144065111361E-3</v>
      </c>
      <c r="N996" s="1">
        <f>[1]Residential!J$19</f>
        <v>3.3098261699410878E-3</v>
      </c>
      <c r="O996" s="1">
        <f>[1]Residential!K$19</f>
        <v>3.3217313437567701E-3</v>
      </c>
      <c r="P996" s="1">
        <f>[1]Residential!L$19</f>
        <v>3.333000221157826E-3</v>
      </c>
      <c r="Q996" s="1">
        <f>[1]Residential!M$19</f>
        <v>3.6421620117431425E-3</v>
      </c>
      <c r="S996" s="3"/>
    </row>
    <row r="997" spans="2:19" x14ac:dyDescent="0.5">
      <c r="B997" s="5" t="str">
        <f t="shared" si="1193"/>
        <v>SPS1</v>
      </c>
      <c r="C997" s="5" t="str">
        <f t="shared" si="1194"/>
        <v>CH</v>
      </c>
      <c r="D997" t="s">
        <v>1012</v>
      </c>
      <c r="E997" t="s">
        <v>8</v>
      </c>
      <c r="F997" s="1">
        <f>SUM(F998:F999)</f>
        <v>38.494684752463854</v>
      </c>
      <c r="G997" s="1">
        <f t="shared" ref="G997:K997" si="1195">SUM(G998:G999)</f>
        <v>41.332857025557288</v>
      </c>
      <c r="H997" s="1">
        <f t="shared" si="1195"/>
        <v>39.230058687784613</v>
      </c>
      <c r="I997" s="1">
        <f t="shared" si="1195"/>
        <v>40.782930800590755</v>
      </c>
      <c r="J997" s="1">
        <f t="shared" si="1195"/>
        <v>42.069713259161531</v>
      </c>
      <c r="K997" s="1">
        <f t="shared" si="1195"/>
        <v>40.991833762197913</v>
      </c>
      <c r="L997" s="1">
        <f t="shared" ref="L997:O997" si="1196">SUM(L998:L999)</f>
        <v>40.224752699091255</v>
      </c>
      <c r="M997" s="1">
        <f t="shared" si="1196"/>
        <v>40.284260948579927</v>
      </c>
      <c r="N997" s="1">
        <f t="shared" si="1196"/>
        <v>38.457045446092692</v>
      </c>
      <c r="O997" s="1">
        <f t="shared" si="1196"/>
        <v>36.285513139520788</v>
      </c>
      <c r="P997" s="1">
        <f>SUM(P998:P999)</f>
        <v>36.967766943606257</v>
      </c>
      <c r="Q997" s="1">
        <f>SUM(Q998:Q999)</f>
        <v>31.133397752979231</v>
      </c>
      <c r="S997" s="3"/>
    </row>
    <row r="998" spans="2:19" x14ac:dyDescent="0.5">
      <c r="B998" s="5" t="str">
        <f t="shared" si="1193"/>
        <v>SPS1</v>
      </c>
      <c r="C998" s="5" t="str">
        <f t="shared" si="1194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38.494684752463854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41.332857025557288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39.211242251622039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40.764213615006014</v>
      </c>
      <c r="J998" s="1" cm="1">
        <f t="array" ref="J998">SUMPRODUCT(([1]OUT_FinalEnergyCons!$B$4:$B$10000="Var_Fin")*1,([1]OUT_FinalEnergyCons!$C$4:$C$10000="RNGA")*1, (ISNUMBER(SEARCH("RH*-SHNGABR",[1]OUT_FinalEnergyCons!$A$4:$A$10000)))*1,[1]OUT_FinalEnergyCons!H$4:H$10000)</f>
        <v>40.890013505882891</v>
      </c>
      <c r="K998" s="1" cm="1">
        <f t="array" ref="K998">SUMPRODUCT(([1]OUT_FinalEnergyCons!$B$4:$B$10000="Var_Fin")*1,([1]OUT_FinalEnergyCons!$C$4:$C$10000="RNGA")*1, (ISNUMBER(SEARCH("RH*-SHNGABR",[1]OUT_FinalEnergyCons!$A$4:$A$10000)))*1,[1]OUT_FinalEnergyCons!I$4:I$10000)</f>
        <v>38.847285349476962</v>
      </c>
      <c r="L998" s="1" cm="1">
        <f t="array" ref="L998">SUMPRODUCT(([1]OUT_FinalEnergyCons!$B$4:$B$10000="Var_Fin")*1,([1]OUT_FinalEnergyCons!$C$4:$C$10000="RNGA")*1, (ISNUMBER(SEARCH("RH*-SHNGABR",[1]OUT_FinalEnergyCons!$A$4:$A$10000)))*1,[1]OUT_FinalEnergyCons!J$4:J$10000)</f>
        <v>37.685624878383969</v>
      </c>
      <c r="M998" s="1" cm="1">
        <f t="array" ref="M998">SUMPRODUCT(([1]OUT_FinalEnergyCons!$B$4:$B$10000="Var_Fin")*1,([1]OUT_FinalEnergyCons!$C$4:$C$10000="RNGA")*1, (ISNUMBER(SEARCH("RH*-SHNGABR",[1]OUT_FinalEnergyCons!$A$4:$A$10000)))*1,[1]OUT_FinalEnergyCons!K$4:K$10000)</f>
        <v>36.536117218846577</v>
      </c>
      <c r="N998" s="1" cm="1">
        <f t="array" ref="N998">SUMPRODUCT(([1]OUT_FinalEnergyCons!$B$4:$B$10000="Var_Fin")*1,([1]OUT_FinalEnergyCons!$C$4:$C$10000="RNGA")*1, (ISNUMBER(SEARCH("RH*-SHNGABR",[1]OUT_FinalEnergyCons!$A$4:$A$10000)))*1,[1]OUT_FinalEnergyCons!L$4:L$10000)</f>
        <v>34.456863031114622</v>
      </c>
      <c r="O998" s="1" cm="1">
        <f t="array" ref="O998">SUMPRODUCT(([1]OUT_FinalEnergyCons!$B$4:$B$10000="Var_Fin")*1,([1]OUT_FinalEnergyCons!$C$4:$C$10000="RNGA")*1, (ISNUMBER(SEARCH("RH*-SHNGABR",[1]OUT_FinalEnergyCons!$A$4:$A$10000)))*1,[1]OUT_FinalEnergyCons!M$4:M$10000)</f>
        <v>32.107289775375335</v>
      </c>
      <c r="P998" s="1" cm="1">
        <f t="array" ref="P998">SUMPRODUCT(([1]OUT_FinalEnergyCons!$B$4:$B$10000="Var_Fin")*1,([1]OUT_FinalEnergyCons!$C$4:$C$10000="RNGA")*1, (ISNUMBER(SEARCH("RH*-SHNGABR",[1]OUT_FinalEnergyCons!$A$4:$A$10000)))*1,[1]OUT_FinalEnergyCons!N$4:N$10000)</f>
        <v>31.449962675450323</v>
      </c>
      <c r="Q998" s="1" cm="1">
        <f t="array" ref="Q998">SUMPRODUCT(([1]OUT_FinalEnergyCons!$B$4:$B$10000="Var_Fin")*1,([1]OUT_FinalEnergyCons!$C$4:$C$10000="RNGA")*1, (ISNUMBER(SEARCH("RH*-SHNGABR",[1]OUT_FinalEnergyCons!$A$4:$A$10000)))*1,[1]OUT_FinalEnergyCons!O$4:O$10000)</f>
        <v>25.603525802358938</v>
      </c>
      <c r="S998" s="3"/>
    </row>
    <row r="999" spans="2:19" x14ac:dyDescent="0.5">
      <c r="B999" s="5" t="str">
        <f t="shared" si="1193"/>
        <v>SPS1</v>
      </c>
      <c r="C999" s="5" t="str">
        <f t="shared" si="1194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1.8816436162572454E-2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1.87171855847388E-2</v>
      </c>
      <c r="J999" s="1" cm="1">
        <f t="array" ref="J999">SUMPRODUCT(([1]OUT_FinalEnergyCons!$B$4:$B$10000="Var_Fin")*1, ([1]OUT_FinalEnergyCons!$C$4:$C$10000="RNGA")*1,ISNUMBER(SEARCH("RH*-SHngahp",[1]OUT_FinalEnergyCons!$A$4:$A$10000))*1,[1]OUT_FinalEnergyCons!H$4:H$10000)</f>
        <v>1.1796997532786377</v>
      </c>
      <c r="K999" s="1" cm="1">
        <f t="array" ref="K999">SUMPRODUCT(([1]OUT_FinalEnergyCons!$B$4:$B$10000="Var_Fin")*1, ([1]OUT_FinalEnergyCons!$C$4:$C$10000="RNGA")*1,ISNUMBER(SEARCH("RH*-SHngahp",[1]OUT_FinalEnergyCons!$A$4:$A$10000))*1,[1]OUT_FinalEnergyCons!I$4:I$10000)</f>
        <v>2.1445484127209484</v>
      </c>
      <c r="L999" s="1" cm="1">
        <f t="array" ref="L999">SUMPRODUCT(([1]OUT_FinalEnergyCons!$B$4:$B$10000="Var_Fin")*1, ([1]OUT_FinalEnergyCons!$C$4:$C$10000="RNGA")*1,ISNUMBER(SEARCH("RH*-SHngahp",[1]OUT_FinalEnergyCons!$A$4:$A$10000))*1,[1]OUT_FinalEnergyCons!J$4:J$10000)</f>
        <v>2.5391278207072836</v>
      </c>
      <c r="M999" s="1" cm="1">
        <f t="array" ref="M999">SUMPRODUCT(([1]OUT_FinalEnergyCons!$B$4:$B$10000="Var_Fin")*1, ([1]OUT_FinalEnergyCons!$C$4:$C$10000="RNGA")*1,ISNUMBER(SEARCH("RH*-SHngahp",[1]OUT_FinalEnergyCons!$A$4:$A$10000))*1,[1]OUT_FinalEnergyCons!K$4:K$10000)</f>
        <v>3.7481437297333473</v>
      </c>
      <c r="N999" s="1" cm="1">
        <f t="array" ref="N999">SUMPRODUCT(([1]OUT_FinalEnergyCons!$B$4:$B$10000="Var_Fin")*1, ([1]OUT_FinalEnergyCons!$C$4:$C$10000="RNGA")*1,ISNUMBER(SEARCH("RH*-SHngahp",[1]OUT_FinalEnergyCons!$A$4:$A$10000))*1,[1]OUT_FinalEnergyCons!L$4:L$10000)</f>
        <v>4.0001824149780667</v>
      </c>
      <c r="O999" s="1" cm="1">
        <f t="array" ref="O999">SUMPRODUCT(([1]OUT_FinalEnergyCons!$B$4:$B$10000="Var_Fin")*1, ([1]OUT_FinalEnergyCons!$C$4:$C$10000="RNGA")*1,ISNUMBER(SEARCH("RH*-SHngahp",[1]OUT_FinalEnergyCons!$A$4:$A$10000))*1,[1]OUT_FinalEnergyCons!M$4:M$10000)</f>
        <v>4.1782233641454507</v>
      </c>
      <c r="P999" s="1" cm="1">
        <f t="array" ref="P999">SUMPRODUCT(([1]OUT_FinalEnergyCons!$B$4:$B$10000="Var_Fin")*1, ([1]OUT_FinalEnergyCons!$C$4:$C$10000="RNGA")*1,ISNUMBER(SEARCH("RH*-SHngahp",[1]OUT_FinalEnergyCons!$A$4:$A$10000))*1,[1]OUT_FinalEnergyCons!N$4:N$10000)</f>
        <v>5.5178042681559321</v>
      </c>
      <c r="Q999" s="1" cm="1">
        <f t="array" ref="Q999">SUMPRODUCT(([1]OUT_FinalEnergyCons!$B$4:$B$10000="Var_Fin")*1, ([1]OUT_FinalEnergyCons!$C$4:$C$10000="RNGA")*1,ISNUMBER(SEARCH("RH*-SHngahp",[1]OUT_FinalEnergyCons!$A$4:$A$10000))*1,[1]OUT_FinalEnergyCons!O$4:O$10000)</f>
        <v>5.5298719506202927</v>
      </c>
      <c r="S999" s="3"/>
    </row>
    <row r="1000" spans="2:19" x14ac:dyDescent="0.5">
      <c r="B1000" s="5" t="str">
        <f t="shared" si="1193"/>
        <v>SPS1</v>
      </c>
      <c r="C1000" s="5" t="str">
        <f t="shared" si="1194"/>
        <v>CH</v>
      </c>
      <c r="D1000" t="s">
        <v>1013</v>
      </c>
      <c r="E1000" t="s">
        <v>8</v>
      </c>
      <c r="F1000" s="1">
        <f>SUM(F1001:F1002)</f>
        <v>38.243384887119824</v>
      </c>
      <c r="G1000" s="1">
        <f t="shared" ref="G1000:K1000" si="1197">SUM(G1001:G1002)</f>
        <v>41.329910756068344</v>
      </c>
      <c r="H1000" s="1">
        <f t="shared" si="1197"/>
        <v>39.227445735964984</v>
      </c>
      <c r="I1000" s="1">
        <f t="shared" si="1197"/>
        <v>40.780368475461792</v>
      </c>
      <c r="J1000" s="1">
        <f t="shared" si="1197"/>
        <v>42.067178928124825</v>
      </c>
      <c r="K1000" s="1">
        <f t="shared" si="1197"/>
        <v>40.9893264399469</v>
      </c>
      <c r="L1000" s="1">
        <f t="shared" ref="L1000:O1000" si="1198">SUM(L1001:L1002)</f>
        <v>40.222243355245318</v>
      </c>
      <c r="M1000" s="1">
        <f t="shared" si="1198"/>
        <v>40.281750952283083</v>
      </c>
      <c r="N1000" s="1">
        <f t="shared" si="1198"/>
        <v>38.454538718035487</v>
      </c>
      <c r="O1000" s="1">
        <f t="shared" si="1198"/>
        <v>36.28299612537856</v>
      </c>
      <c r="P1000" s="1">
        <f>SUM(P1001:P1002)</f>
        <v>36.965248353133525</v>
      </c>
      <c r="Q1000" s="1">
        <f>SUM(Q1001:Q1002)</f>
        <v>31.130651118572047</v>
      </c>
      <c r="S1000" s="3"/>
    </row>
    <row r="1001" spans="2:19" x14ac:dyDescent="0.5">
      <c r="B1001" s="5" t="str">
        <f t="shared" si="1193"/>
        <v>SPS1</v>
      </c>
      <c r="C1001" s="5" t="str">
        <f t="shared" si="1194"/>
        <v>CH</v>
      </c>
      <c r="D1001" t="s">
        <v>716</v>
      </c>
      <c r="E1001" t="s">
        <v>8</v>
      </c>
      <c r="F1001" s="1">
        <f>F998-F1004</f>
        <v>38.243384887119824</v>
      </c>
      <c r="G1001" s="1">
        <f t="shared" ref="G1001:K1001" si="1199">G998-G1004</f>
        <v>41.329910756068344</v>
      </c>
      <c r="H1001" s="1">
        <f t="shared" si="1199"/>
        <v>39.208630553087339</v>
      </c>
      <c r="I1001" s="1">
        <f t="shared" si="1199"/>
        <v>40.761652465847341</v>
      </c>
      <c r="J1001" s="1">
        <f t="shared" si="1199"/>
        <v>40.887550241403744</v>
      </c>
      <c r="K1001" s="1">
        <f t="shared" si="1199"/>
        <v>38.844909201497998</v>
      </c>
      <c r="L1001" s="1">
        <f t="shared" ref="L1001:O1001" si="1200">L998-L1004</f>
        <v>37.683273933144449</v>
      </c>
      <c r="M1001" s="1">
        <f t="shared" si="1200"/>
        <v>36.533840758592355</v>
      </c>
      <c r="N1001" s="1">
        <f t="shared" si="1200"/>
        <v>34.454617045123726</v>
      </c>
      <c r="O1001" s="1">
        <f t="shared" si="1200"/>
        <v>32.105062591702271</v>
      </c>
      <c r="P1001" s="1">
        <f>P998-P1004</f>
        <v>31.447820009476398</v>
      </c>
      <c r="Q1001" s="1">
        <f>Q998-Q1004</f>
        <v>25.601267021435895</v>
      </c>
      <c r="S1001" s="3"/>
    </row>
    <row r="1002" spans="2:19" x14ac:dyDescent="0.5">
      <c r="B1002" s="5" t="str">
        <f t="shared" si="1193"/>
        <v>SPS1</v>
      </c>
      <c r="C1002" s="5" t="str">
        <f t="shared" si="1194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201">G999-G1005</f>
        <v>0</v>
      </c>
      <c r="H1002" s="1">
        <f t="shared" si="1201"/>
        <v>1.8815182877648742E-2</v>
      </c>
      <c r="I1002" s="1">
        <f t="shared" si="1201"/>
        <v>1.8716009614448637E-2</v>
      </c>
      <c r="J1002" s="1">
        <f t="shared" si="1201"/>
        <v>1.179628686721081</v>
      </c>
      <c r="K1002" s="1">
        <f t="shared" si="1201"/>
        <v>2.1444172384489022</v>
      </c>
      <c r="L1002" s="1">
        <f t="shared" ref="L1002:O1002" si="1202">L999-L1005</f>
        <v>2.5389694221008683</v>
      </c>
      <c r="M1002" s="1">
        <f t="shared" si="1202"/>
        <v>3.7479101936907306</v>
      </c>
      <c r="N1002" s="1">
        <f t="shared" si="1202"/>
        <v>3.9999216729117633</v>
      </c>
      <c r="O1002" s="1">
        <f t="shared" si="1202"/>
        <v>4.1779335336762919</v>
      </c>
      <c r="P1002" s="1">
        <f>P999-P1005</f>
        <v>5.5174283436571292</v>
      </c>
      <c r="Q1002" s="1">
        <f>Q999-Q1005</f>
        <v>5.5293840971361528</v>
      </c>
      <c r="S1002" s="3"/>
    </row>
    <row r="1003" spans="2:19" x14ac:dyDescent="0.5">
      <c r="B1003" s="5" t="str">
        <f t="shared" si="1193"/>
        <v>SPS1</v>
      </c>
      <c r="C1003" s="5" t="str">
        <f t="shared" si="1194"/>
        <v>CH</v>
      </c>
      <c r="D1003" t="s">
        <v>1014</v>
      </c>
      <c r="E1003" t="s">
        <v>8</v>
      </c>
      <c r="F1003" s="1">
        <f>SUM(F1004:F1005)</f>
        <v>0.25129986534403181</v>
      </c>
      <c r="G1003" s="1">
        <f t="shared" ref="G1003:K1003" si="1203">SUM(G1004:G1005)</f>
        <v>2.9462694889420297E-3</v>
      </c>
      <c r="H1003" s="1">
        <f t="shared" si="1203"/>
        <v>2.6129518196235848E-3</v>
      </c>
      <c r="I1003" s="1">
        <f t="shared" si="1203"/>
        <v>2.5623251289635194E-3</v>
      </c>
      <c r="J1003" s="1">
        <f t="shared" si="1203"/>
        <v>2.5343310367068853E-3</v>
      </c>
      <c r="K1003" s="1">
        <f t="shared" si="1203"/>
        <v>2.5073222510133826E-3</v>
      </c>
      <c r="L1003" s="1">
        <f t="shared" ref="L1003:O1003" si="1204">SUM(L1004:L1005)</f>
        <v>2.5093438459381969E-3</v>
      </c>
      <c r="M1003" s="1">
        <f t="shared" si="1204"/>
        <v>2.5099962968414226E-3</v>
      </c>
      <c r="N1003" s="1">
        <f t="shared" si="1204"/>
        <v>2.5067280571988348E-3</v>
      </c>
      <c r="O1003" s="1">
        <f t="shared" si="1204"/>
        <v>2.5170141422200263E-3</v>
      </c>
      <c r="P1003" s="1">
        <f>SUM(P1004:P1005)</f>
        <v>2.5185904727261796E-3</v>
      </c>
      <c r="Q1003" s="1">
        <f>SUM(Q1004:Q1005)</f>
        <v>2.7466344071843075E-3</v>
      </c>
      <c r="S1003" s="3"/>
    </row>
    <row r="1004" spans="2:19" x14ac:dyDescent="0.5">
      <c r="B1004" s="5" t="str">
        <f t="shared" si="1193"/>
        <v>SPS1</v>
      </c>
      <c r="C1004" s="5" t="str">
        <f t="shared" si="1194"/>
        <v>CH</v>
      </c>
      <c r="D1004" t="s">
        <v>717</v>
      </c>
      <c r="E1004" t="s">
        <v>8</v>
      </c>
      <c r="F1004" s="1">
        <f>F998*IFERROR(F$996/F$994,0)</f>
        <v>0.25129986534403181</v>
      </c>
      <c r="G1004" s="1">
        <f t="shared" ref="G1004:K1004" si="1205">G998*IFERROR(G996/G994,0)</f>
        <v>2.9462694889420297E-3</v>
      </c>
      <c r="H1004" s="1">
        <f t="shared" si="1205"/>
        <v>2.6116985346998707E-3</v>
      </c>
      <c r="I1004" s="1">
        <f t="shared" si="1205"/>
        <v>2.561149158673357E-3</v>
      </c>
      <c r="J1004" s="1">
        <f t="shared" si="1205"/>
        <v>2.4632644791501034E-3</v>
      </c>
      <c r="K1004" s="1">
        <f t="shared" si="1205"/>
        <v>2.3761479789672921E-3</v>
      </c>
      <c r="L1004" s="1">
        <f t="shared" ref="L1004:O1004" si="1206">L998*IFERROR(L996/L994,0)</f>
        <v>2.3509452395227438E-3</v>
      </c>
      <c r="M1004" s="1">
        <f t="shared" si="1206"/>
        <v>2.2764602542249641E-3</v>
      </c>
      <c r="N1004" s="1">
        <f t="shared" si="1206"/>
        <v>2.2459859908954103E-3</v>
      </c>
      <c r="O1004" s="1">
        <f t="shared" si="1206"/>
        <v>2.2271836730608646E-3</v>
      </c>
      <c r="P1004" s="1">
        <f>P998*IFERROR(P996/P994,0)</f>
        <v>2.1426659739230691E-3</v>
      </c>
      <c r="Q1004" s="1">
        <f>Q998*IFERROR(Q996/Q994,0)</f>
        <v>2.2587809230446374E-3</v>
      </c>
      <c r="S1004" s="3"/>
    </row>
    <row r="1005" spans="2:19" x14ac:dyDescent="0.5">
      <c r="B1005" s="5" t="str">
        <f t="shared" si="1193"/>
        <v>SPS1</v>
      </c>
      <c r="C1005" s="5" t="str">
        <f t="shared" si="1194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207">G999*IFERROR(G$996/G$994,0)</f>
        <v>0</v>
      </c>
      <c r="H1005" s="1">
        <f t="shared" si="1207"/>
        <v>1.2532849237142254E-6</v>
      </c>
      <c r="I1005" s="1">
        <f t="shared" si="1207"/>
        <v>1.1759702901625518E-6</v>
      </c>
      <c r="J1005" s="1">
        <f t="shared" si="1207"/>
        <v>7.1066557556781737E-5</v>
      </c>
      <c r="K1005" s="1">
        <f t="shared" si="1207"/>
        <v>1.3117427204609045E-4</v>
      </c>
      <c r="L1005" s="1">
        <f t="shared" ref="L1005:O1005" si="1208">L999*IFERROR(L$996/L$994,0)</f>
        <v>1.5839860641545303E-4</v>
      </c>
      <c r="M1005" s="1">
        <f t="shared" si="1208"/>
        <v>2.335360426164586E-4</v>
      </c>
      <c r="N1005" s="1">
        <f t="shared" si="1208"/>
        <v>2.6074206630342462E-4</v>
      </c>
      <c r="O1005" s="1">
        <f t="shared" si="1208"/>
        <v>2.8983046915916164E-4</v>
      </c>
      <c r="P1005" s="1">
        <f>P999*IFERROR(P$996/P$994,0)</f>
        <v>3.7592449880311066E-4</v>
      </c>
      <c r="Q1005" s="1">
        <f>Q999*IFERROR(Q$996/Q$994,0)</f>
        <v>4.8785348413967031E-4</v>
      </c>
      <c r="S1005" s="3"/>
    </row>
    <row r="1006" spans="2:19" x14ac:dyDescent="0.5">
      <c r="B1006" s="5" t="str">
        <f t="shared" si="1193"/>
        <v>SPS1</v>
      </c>
      <c r="C1006" s="5" t="str">
        <f t="shared" si="1194"/>
        <v>CH</v>
      </c>
      <c r="D1006" t="s">
        <v>1015</v>
      </c>
      <c r="E1006" t="s">
        <v>8</v>
      </c>
      <c r="F1006" s="1">
        <f>SUM(F1007:F1008)</f>
        <v>8.5072860525830976</v>
      </c>
      <c r="G1006" s="1">
        <f t="shared" ref="G1006:K1006" si="1209">SUM(G1007:G1008)</f>
        <v>6.8472795923774612</v>
      </c>
      <c r="H1006" s="1">
        <f t="shared" si="1209"/>
        <v>11.945820882908011</v>
      </c>
      <c r="I1006" s="1">
        <f t="shared" si="1209"/>
        <v>11.901395923172233</v>
      </c>
      <c r="J1006" s="1">
        <f t="shared" si="1209"/>
        <v>12.776742134761822</v>
      </c>
      <c r="K1006" s="1">
        <f t="shared" si="1209"/>
        <v>12.852669544382014</v>
      </c>
      <c r="L1006" s="1">
        <f t="shared" ref="L1006:O1006" si="1210">SUM(L1007:L1008)</f>
        <v>12.655328955631079</v>
      </c>
      <c r="M1006" s="1">
        <f t="shared" si="1210"/>
        <v>12.851149349016861</v>
      </c>
      <c r="N1006" s="1">
        <f t="shared" si="1210"/>
        <v>12.320754351755472</v>
      </c>
      <c r="O1006" s="1">
        <f t="shared" si="1210"/>
        <v>11.600879033681419</v>
      </c>
      <c r="P1006" s="1">
        <f>SUM(P1007:P1008)</f>
        <v>11.953872653235951</v>
      </c>
      <c r="Q1006" s="1">
        <f>SUM(Q1007:Q1008)</f>
        <v>10.150902150856222</v>
      </c>
      <c r="S1006" s="3"/>
    </row>
    <row r="1007" spans="2:19" x14ac:dyDescent="0.5">
      <c r="B1007" s="5" t="str">
        <f t="shared" si="1193"/>
        <v>SPS1</v>
      </c>
      <c r="C1007" s="5" t="str">
        <f t="shared" si="1194"/>
        <v>CH</v>
      </c>
      <c r="D1007" t="s">
        <v>719</v>
      </c>
      <c r="E1007" t="s">
        <v>8</v>
      </c>
      <c r="F1007" s="1">
        <f>F994-F998-F999-F1008</f>
        <v>8.5072860525830976</v>
      </c>
      <c r="G1007" s="1">
        <f t="shared" ref="G1007:K1007" si="1211">G994-G998-G999-G1008</f>
        <v>6.8472795923774612</v>
      </c>
      <c r="H1007" s="1">
        <f t="shared" si="1211"/>
        <v>11.941380794991565</v>
      </c>
      <c r="I1007" s="1">
        <f t="shared" si="1211"/>
        <v>11.896315890484422</v>
      </c>
      <c r="J1007" s="1">
        <f t="shared" si="1211"/>
        <v>12.48639443623367</v>
      </c>
      <c r="K1007" s="1">
        <f t="shared" si="1211"/>
        <v>12.124205274112299</v>
      </c>
      <c r="L1007" s="1">
        <f t="shared" ref="L1007:O1007" si="1212">L994-L998-L999-L1008</f>
        <v>11.685881979316703</v>
      </c>
      <c r="M1007" s="1">
        <f t="shared" si="1212"/>
        <v>11.239962615422773</v>
      </c>
      <c r="N1007" s="1">
        <f t="shared" si="1212"/>
        <v>10.60101625274158</v>
      </c>
      <c r="O1007" s="1">
        <f t="shared" si="1212"/>
        <v>9.804632420528236</v>
      </c>
      <c r="P1007" s="1">
        <f>P994-P998-P999-P1008</f>
        <v>9.5840775380066798</v>
      </c>
      <c r="Q1007" s="1">
        <f>Q994-Q998-Q999-Q1008</f>
        <v>7.773602873180721</v>
      </c>
      <c r="S1007" s="3"/>
    </row>
    <row r="1008" spans="2:19" x14ac:dyDescent="0.5">
      <c r="B1008" s="5" t="str">
        <f t="shared" si="1193"/>
        <v>SPS1</v>
      </c>
      <c r="C1008" s="5" t="str">
        <f t="shared" si="1194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4.4400879164465043E-3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5.0800326878103182E-3</v>
      </c>
      <c r="J1008" s="1" cm="1">
        <f t="array" ref="J1008">SUMPRODUCT(([1]OUT_FinalEnergyCons!$B$4:$B$10000="Var_Fin")*1, ([1]OUT_FinalEnergyCons!$C$4:$C$10000="RNGA")*1,ISNUMBER(SEARCH("RH*-wHngahp",[1]OUT_FinalEnergyCons!$A$4:$A$10000))*1,[1]OUT_FinalEnergyCons!H$4:H$10000)</f>
        <v>0.29034769852815134</v>
      </c>
      <c r="K1008" s="1" cm="1">
        <f t="array" ref="K1008">SUMPRODUCT(([1]OUT_FinalEnergyCons!$B$4:$B$10000="Var_Fin")*1, ([1]OUT_FinalEnergyCons!$C$4:$C$10000="RNGA")*1,ISNUMBER(SEARCH("RH*-wHngahp",[1]OUT_FinalEnergyCons!$A$4:$A$10000))*1,[1]OUT_FinalEnergyCons!I$4:I$10000)</f>
        <v>0.72846427026971539</v>
      </c>
      <c r="L1008" s="1" cm="1">
        <f t="array" ref="L1008">SUMPRODUCT(([1]OUT_FinalEnergyCons!$B$4:$B$10000="Var_Fin")*1, ([1]OUT_FinalEnergyCons!$C$4:$C$10000="RNGA")*1,ISNUMBER(SEARCH("RH*-wHngahp",[1]OUT_FinalEnergyCons!$A$4:$A$10000))*1,[1]OUT_FinalEnergyCons!J$4:J$10000)</f>
        <v>0.96944697631437582</v>
      </c>
      <c r="M1008" s="1" cm="1">
        <f t="array" ref="M1008">SUMPRODUCT(([1]OUT_FinalEnergyCons!$B$4:$B$10000="Var_Fin")*1, ([1]OUT_FinalEnergyCons!$C$4:$C$10000="RNGA")*1,ISNUMBER(SEARCH("RH*-wHngahp",[1]OUT_FinalEnergyCons!$A$4:$A$10000))*1,[1]OUT_FinalEnergyCons!K$4:K$10000)</f>
        <v>1.6111867335940879</v>
      </c>
      <c r="N1008" s="1" cm="1">
        <f t="array" ref="N1008">SUMPRODUCT(([1]OUT_FinalEnergyCons!$B$4:$B$10000="Var_Fin")*1, ([1]OUT_FinalEnergyCons!$C$4:$C$10000="RNGA")*1,ISNUMBER(SEARCH("RH*-wHngahp",[1]OUT_FinalEnergyCons!$A$4:$A$10000))*1,[1]OUT_FinalEnergyCons!L$4:L$10000)</f>
        <v>1.7197380990138926</v>
      </c>
      <c r="O1008" s="1" cm="1">
        <f t="array" ref="O1008">SUMPRODUCT(([1]OUT_FinalEnergyCons!$B$4:$B$10000="Var_Fin")*1, ([1]OUT_FinalEnergyCons!$C$4:$C$10000="RNGA")*1,ISNUMBER(SEARCH("RH*-wHngahp",[1]OUT_FinalEnergyCons!$A$4:$A$10000))*1,[1]OUT_FinalEnergyCons!M$4:M$10000)</f>
        <v>1.7962466131531825</v>
      </c>
      <c r="P1008" s="1" cm="1">
        <f t="array" ref="P1008">SUMPRODUCT(([1]OUT_FinalEnergyCons!$B$4:$B$10000="Var_Fin")*1, ([1]OUT_FinalEnergyCons!$C$4:$C$10000="RNGA")*1,ISNUMBER(SEARCH("RH*-wHngahp",[1]OUT_FinalEnergyCons!$A$4:$A$10000))*1,[1]OUT_FinalEnergyCons!N$4:N$10000)</f>
        <v>2.3697951152292713</v>
      </c>
      <c r="Q1008" s="1" cm="1">
        <f t="array" ref="Q1008">SUMPRODUCT(([1]OUT_FinalEnergyCons!$B$4:$B$10000="Var_Fin")*1, ([1]OUT_FinalEnergyCons!$C$4:$C$10000="RNGA")*1,ISNUMBER(SEARCH("RH*-wHngahp",[1]OUT_FinalEnergyCons!$A$4:$A$10000))*1,[1]OUT_FinalEnergyCons!O$4:O$10000)</f>
        <v>2.3772992776755015</v>
      </c>
      <c r="S1008" s="3"/>
    </row>
    <row r="1009" spans="2:19" x14ac:dyDescent="0.5">
      <c r="B1009" s="5" t="str">
        <f t="shared" si="1193"/>
        <v>SPS1</v>
      </c>
      <c r="C1009" s="5" t="str">
        <f t="shared" si="1194"/>
        <v>CH</v>
      </c>
      <c r="D1009" t="s">
        <v>1016</v>
      </c>
      <c r="E1009" t="s">
        <v>8</v>
      </c>
      <c r="F1009" s="1">
        <f>SUM(F1010:F1011)</f>
        <v>8.4517490387536629</v>
      </c>
      <c r="G1009" s="1">
        <f t="shared" ref="G1009:K1009" si="1213">SUM(G1010:G1011)</f>
        <v>6.8467915077784989</v>
      </c>
      <c r="H1009" s="1">
        <f t="shared" si="1213"/>
        <v>11.945025221227734</v>
      </c>
      <c r="I1009" s="1">
        <f t="shared" si="1213"/>
        <v>11.900648177847287</v>
      </c>
      <c r="J1009" s="1">
        <f t="shared" si="1213"/>
        <v>12.775972448171837</v>
      </c>
      <c r="K1009" s="1">
        <f t="shared" si="1213"/>
        <v>12.851883393059278</v>
      </c>
      <c r="L1009" s="1">
        <f t="shared" ref="L1009:O1009" si="1214">SUM(L1010:L1011)</f>
        <v>12.654539477270061</v>
      </c>
      <c r="M1009" s="1">
        <f t="shared" si="1214"/>
        <v>12.85034863090719</v>
      </c>
      <c r="N1009" s="1">
        <f t="shared" si="1214"/>
        <v>12.31995125364273</v>
      </c>
      <c r="O1009" s="1">
        <f t="shared" si="1214"/>
        <v>11.600074316479882</v>
      </c>
      <c r="P1009" s="1">
        <f>SUM(P1010:P1011)</f>
        <v>11.95305824348752</v>
      </c>
      <c r="Q1009" s="1">
        <f>SUM(Q1010:Q1011)</f>
        <v>10.150006623251663</v>
      </c>
      <c r="S1009" s="3"/>
    </row>
    <row r="1010" spans="2:19" x14ac:dyDescent="0.5">
      <c r="B1010" s="5" t="str">
        <f t="shared" si="1193"/>
        <v>SPS1</v>
      </c>
      <c r="C1010" s="5" t="str">
        <f t="shared" si="1194"/>
        <v>CH</v>
      </c>
      <c r="D1010" t="s">
        <v>718</v>
      </c>
      <c r="E1010" t="s">
        <v>8</v>
      </c>
      <c r="F1010" s="1">
        <f>F1007-F1013</f>
        <v>8.4517490387536629</v>
      </c>
      <c r="G1010" s="1">
        <f t="shared" ref="G1010:K1010" si="1215">G1007-G1013</f>
        <v>6.8467915077784989</v>
      </c>
      <c r="H1010" s="1">
        <f t="shared" si="1215"/>
        <v>11.940585429047164</v>
      </c>
      <c r="I1010" s="1">
        <f t="shared" si="1215"/>
        <v>11.895568464329658</v>
      </c>
      <c r="J1010" s="1">
        <f t="shared" si="1215"/>
        <v>12.485642240544545</v>
      </c>
      <c r="K1010" s="1">
        <f t="shared" si="1215"/>
        <v>12.123463680314959</v>
      </c>
      <c r="L1010" s="1">
        <f t="shared" ref="L1010:O1010" si="1216">L1007-L1013</f>
        <v>11.685152978041081</v>
      </c>
      <c r="M1010" s="1">
        <f t="shared" si="1216"/>
        <v>11.239262285718887</v>
      </c>
      <c r="N1010" s="1">
        <f t="shared" si="1216"/>
        <v>10.600325251533159</v>
      </c>
      <c r="O1010" s="1">
        <f t="shared" si="1216"/>
        <v>9.8039523034146416</v>
      </c>
      <c r="P1010" s="1">
        <f>P1007-P1013</f>
        <v>9.5834245808936931</v>
      </c>
      <c r="Q1010" s="1">
        <f>Q1007-Q1013</f>
        <v>7.7729170744353135</v>
      </c>
      <c r="S1010" s="3"/>
    </row>
    <row r="1011" spans="2:19" x14ac:dyDescent="0.5">
      <c r="B1011" s="5" t="str">
        <f t="shared" si="1193"/>
        <v>SPS1</v>
      </c>
      <c r="C1011" s="5" t="str">
        <f t="shared" si="1194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217">G1008-G1014</f>
        <v>0</v>
      </c>
      <c r="H1011" s="1">
        <f t="shared" si="1217"/>
        <v>4.4397921805697646E-3</v>
      </c>
      <c r="I1011" s="1">
        <f t="shared" si="1217"/>
        <v>5.0797135176291561E-3</v>
      </c>
      <c r="J1011" s="1">
        <f t="shared" si="1217"/>
        <v>0.29033020762729156</v>
      </c>
      <c r="K1011" s="1">
        <f t="shared" si="1217"/>
        <v>0.72841971274431871</v>
      </c>
      <c r="L1011" s="1">
        <f t="shared" ref="L1011:O1011" si="1218">L1008-L1014</f>
        <v>0.96938649922898079</v>
      </c>
      <c r="M1011" s="1">
        <f t="shared" si="1218"/>
        <v>1.6110863451883033</v>
      </c>
      <c r="N1011" s="1">
        <f t="shared" si="1218"/>
        <v>1.7196260021095717</v>
      </c>
      <c r="O1011" s="1">
        <f t="shared" si="1218"/>
        <v>1.79612201306524</v>
      </c>
      <c r="P1011" s="1">
        <f>P1008-P1014</f>
        <v>2.3696336625938272</v>
      </c>
      <c r="Q1011" s="1">
        <f>Q1008-Q1014</f>
        <v>2.3770895488163504</v>
      </c>
      <c r="S1011" s="3"/>
    </row>
    <row r="1012" spans="2:19" x14ac:dyDescent="0.5">
      <c r="B1012" s="5" t="str">
        <f t="shared" si="1193"/>
        <v>SPS1</v>
      </c>
      <c r="C1012" s="5" t="str">
        <f t="shared" si="1194"/>
        <v>CH</v>
      </c>
      <c r="D1012" t="s">
        <v>1017</v>
      </c>
      <c r="E1012" t="s">
        <v>8</v>
      </c>
      <c r="F1012" s="1">
        <f t="shared" ref="F1012:K1012" si="1219">SUM(F1013:F1014)</f>
        <v>5.5537013829434136E-2</v>
      </c>
      <c r="G1012" s="1">
        <f t="shared" si="1219"/>
        <v>4.8808459896210448E-4</v>
      </c>
      <c r="H1012" s="1">
        <f t="shared" si="1219"/>
        <v>7.9566168027709889E-4</v>
      </c>
      <c r="I1012" s="1">
        <f t="shared" si="1219"/>
        <v>7.4774532494477971E-4</v>
      </c>
      <c r="J1012" s="1">
        <f t="shared" si="1219"/>
        <v>7.6968658998587212E-4</v>
      </c>
      <c r="K1012" s="1">
        <f t="shared" si="1219"/>
        <v>7.8615132273660861E-4</v>
      </c>
      <c r="L1012" s="1">
        <f t="shared" ref="L1012:O1012" si="1220">SUM(L1013:L1014)</f>
        <v>7.8947836101559809E-4</v>
      </c>
      <c r="M1012" s="1">
        <f t="shared" si="1220"/>
        <v>8.0071810966971359E-4</v>
      </c>
      <c r="N1012" s="1">
        <f t="shared" si="1220"/>
        <v>8.0309811274225284E-4</v>
      </c>
      <c r="O1012" s="1">
        <f t="shared" si="1220"/>
        <v>8.0471720153674404E-4</v>
      </c>
      <c r="P1012" s="1">
        <f>SUM(P1013:P1014)</f>
        <v>8.1440974843164596E-4</v>
      </c>
      <c r="Q1012" s="1">
        <f>SUM(Q1013:Q1014)</f>
        <v>8.9552760455883465E-4</v>
      </c>
      <c r="S1012" s="3"/>
    </row>
    <row r="1013" spans="2:19" x14ac:dyDescent="0.5">
      <c r="B1013" s="5" t="str">
        <f t="shared" si="1193"/>
        <v>SPS1</v>
      </c>
      <c r="C1013" s="5" t="str">
        <f t="shared" si="1194"/>
        <v>CH</v>
      </c>
      <c r="D1013" t="s">
        <v>738</v>
      </c>
      <c r="E1013" t="s">
        <v>8</v>
      </c>
      <c r="F1013" s="1">
        <f>F1007*IFERROR(F$996/F$994,0)</f>
        <v>5.5537013829434136E-2</v>
      </c>
      <c r="G1013" s="1">
        <f t="shared" ref="G1013:K1013" si="1221">G1007*IFERROR(G$996/G$994,0)</f>
        <v>4.8808459896210448E-4</v>
      </c>
      <c r="H1013" s="1">
        <f t="shared" si="1221"/>
        <v>7.9536594440035959E-4</v>
      </c>
      <c r="I1013" s="1">
        <f t="shared" si="1221"/>
        <v>7.4742615476361797E-4</v>
      </c>
      <c r="J1013" s="1">
        <f t="shared" si="1221"/>
        <v>7.5219568912606978E-4</v>
      </c>
      <c r="K1013" s="1">
        <f t="shared" si="1221"/>
        <v>7.4159379733993184E-4</v>
      </c>
      <c r="L1013" s="1">
        <f t="shared" ref="L1013:O1013" si="1222">L1007*IFERROR(L$996/L$994,0)</f>
        <v>7.2900127562054403E-4</v>
      </c>
      <c r="M1013" s="1">
        <f t="shared" si="1222"/>
        <v>7.0032970388505319E-4</v>
      </c>
      <c r="N1013" s="1">
        <f t="shared" si="1222"/>
        <v>6.9100120842143713E-4</v>
      </c>
      <c r="O1013" s="1">
        <f t="shared" si="1222"/>
        <v>6.801171135942894E-4</v>
      </c>
      <c r="P1013" s="1">
        <f>P1007*IFERROR(P$996/P$994,0)</f>
        <v>6.5295711298751975E-4</v>
      </c>
      <c r="Q1013" s="1">
        <f>Q1007*IFERROR(Q$996/Q$994,0)</f>
        <v>6.8579874540747191E-4</v>
      </c>
      <c r="S1013" s="3"/>
    </row>
    <row r="1014" spans="2:19" x14ac:dyDescent="0.5">
      <c r="B1014" s="5" t="str">
        <f t="shared" si="1193"/>
        <v>SPS1</v>
      </c>
      <c r="C1014" s="5" t="str">
        <f t="shared" si="1194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223">G1008*IFERROR(G$996/G$994,0)</f>
        <v>0</v>
      </c>
      <c r="H1014" s="1">
        <f t="shared" si="1223"/>
        <v>2.9573587673933593E-7</v>
      </c>
      <c r="I1014" s="1">
        <f t="shared" si="1223"/>
        <v>3.1917018116176973E-7</v>
      </c>
      <c r="J1014" s="1">
        <f t="shared" si="1223"/>
        <v>1.7490900859802381E-5</v>
      </c>
      <c r="K1014" s="1">
        <f t="shared" si="1223"/>
        <v>4.455752539667672E-5</v>
      </c>
      <c r="L1014" s="1">
        <f t="shared" ref="L1014:O1014" si="1224">L1008*IFERROR(L$996/L$994,0)</f>
        <v>6.0477085395054035E-5</v>
      </c>
      <c r="M1014" s="1">
        <f t="shared" si="1224"/>
        <v>1.0038840578466036E-4</v>
      </c>
      <c r="N1014" s="1">
        <f t="shared" si="1224"/>
        <v>1.1209690432081569E-4</v>
      </c>
      <c r="O1014" s="1">
        <f t="shared" si="1224"/>
        <v>1.2460008794245469E-4</v>
      </c>
      <c r="P1014" s="1">
        <f>P1008*IFERROR(P$996/P$994,0)</f>
        <v>1.6145263544412627E-4</v>
      </c>
      <c r="Q1014" s="1">
        <f>Q1008*IFERROR(Q$996/Q$994,0)</f>
        <v>2.0972885915136275E-4</v>
      </c>
      <c r="S1014" s="3"/>
    </row>
    <row r="1015" spans="2:19" x14ac:dyDescent="0.5">
      <c r="B1015" s="5" t="str">
        <f t="shared" si="1193"/>
        <v>SPS1</v>
      </c>
      <c r="C1015" s="5" t="str">
        <f t="shared" si="1194"/>
        <v>CH</v>
      </c>
      <c r="D1015" t="s">
        <v>1018</v>
      </c>
      <c r="E1015" t="s">
        <v>8</v>
      </c>
      <c r="F1015" s="1">
        <f>[1]Residential!B$20</f>
        <v>0.10000102533879353</v>
      </c>
      <c r="G1015" s="1">
        <f>[1]Residential!C$20</f>
        <v>0.10000068323874284</v>
      </c>
      <c r="H1015" s="1">
        <f>[1]Residential!D$20</f>
        <v>5.6900843772612819E-3</v>
      </c>
      <c r="I1015" s="1">
        <f>[1]Residential!E$20</f>
        <v>4.8012720341763428E-3</v>
      </c>
      <c r="J1015" s="1">
        <f>[1]Residential!F$20</f>
        <v>1.9484142826742188E-3</v>
      </c>
      <c r="K1015" s="1">
        <f>[1]Residential!G$20</f>
        <v>0</v>
      </c>
      <c r="L1015" s="1">
        <f>[1]Residential!H$20</f>
        <v>0</v>
      </c>
      <c r="M1015" s="1">
        <f>[1]Residential!I$20</f>
        <v>0</v>
      </c>
      <c r="N1015" s="1">
        <f>[1]Residential!J$20</f>
        <v>0</v>
      </c>
      <c r="O1015" s="1">
        <f>[1]Residential!K$20</f>
        <v>0</v>
      </c>
      <c r="P1015" s="1">
        <f>[1]Residential!L$20</f>
        <v>0</v>
      </c>
      <c r="Q1015" s="1">
        <f>[1]Residential!M$20</f>
        <v>0</v>
      </c>
      <c r="S1015" s="3"/>
    </row>
    <row r="1016" spans="2:19" x14ac:dyDescent="0.5">
      <c r="B1016" s="5" t="str">
        <f t="shared" si="1193"/>
        <v>SPS1</v>
      </c>
      <c r="C1016" s="5" t="str">
        <f t="shared" si="1194"/>
        <v>CH</v>
      </c>
      <c r="D1016" t="s">
        <v>1019</v>
      </c>
      <c r="E1016" t="s">
        <v>8</v>
      </c>
      <c r="F1016" s="1">
        <f>F1015</f>
        <v>0.10000102533879353</v>
      </c>
      <c r="G1016" s="1">
        <f t="shared" ref="G1016:G1017" si="1225">G1015</f>
        <v>0.10000068323874284</v>
      </c>
      <c r="H1016" s="1">
        <f t="shared" ref="H1016:H1017" si="1226">H1015</f>
        <v>5.6900843772612819E-3</v>
      </c>
      <c r="I1016" s="1">
        <f t="shared" ref="I1016:I1017" si="1227">I1015</f>
        <v>4.8012720341763428E-3</v>
      </c>
      <c r="J1016" s="1">
        <f t="shared" ref="J1016:J1017" si="1228">J1015</f>
        <v>1.9484142826742188E-3</v>
      </c>
      <c r="K1016" s="1">
        <f t="shared" ref="K1016:K1017" si="1229">K1015</f>
        <v>0</v>
      </c>
      <c r="L1016" s="1">
        <f t="shared" ref="L1016:O1016" si="1230">L1015</f>
        <v>0</v>
      </c>
      <c r="M1016" s="1">
        <f t="shared" si="1230"/>
        <v>0</v>
      </c>
      <c r="N1016" s="1">
        <f t="shared" si="1230"/>
        <v>0</v>
      </c>
      <c r="O1016" s="1">
        <f t="shared" si="1230"/>
        <v>0</v>
      </c>
      <c r="P1016" s="1">
        <f>P1015</f>
        <v>0</v>
      </c>
      <c r="Q1016" s="1">
        <f>Q1015</f>
        <v>0</v>
      </c>
      <c r="S1016" s="3"/>
    </row>
    <row r="1017" spans="2:19" x14ac:dyDescent="0.5">
      <c r="B1017" s="5" t="str">
        <f t="shared" si="1193"/>
        <v>SPS1</v>
      </c>
      <c r="C1017" s="5" t="str">
        <f t="shared" si="1194"/>
        <v>CH</v>
      </c>
      <c r="D1017" t="s">
        <v>764</v>
      </c>
      <c r="E1017" t="s">
        <v>8</v>
      </c>
      <c r="F1017" s="1">
        <f t="shared" ref="F1017" si="1231">F1016</f>
        <v>0.10000102533879353</v>
      </c>
      <c r="G1017" s="1">
        <f t="shared" si="1225"/>
        <v>0.10000068323874284</v>
      </c>
      <c r="H1017" s="1">
        <f t="shared" si="1226"/>
        <v>5.6900843772612819E-3</v>
      </c>
      <c r="I1017" s="1">
        <f t="shared" si="1227"/>
        <v>4.8012720341763428E-3</v>
      </c>
      <c r="J1017" s="1">
        <f t="shared" si="1228"/>
        <v>1.9484142826742188E-3</v>
      </c>
      <c r="K1017" s="1">
        <f t="shared" si="1229"/>
        <v>0</v>
      </c>
      <c r="L1017" s="1">
        <f t="shared" ref="L1017:O1017" si="1232">L1016</f>
        <v>0</v>
      </c>
      <c r="M1017" s="1">
        <f t="shared" si="1232"/>
        <v>0</v>
      </c>
      <c r="N1017" s="1">
        <f t="shared" si="1232"/>
        <v>0</v>
      </c>
      <c r="O1017" s="1">
        <f t="shared" si="1232"/>
        <v>0</v>
      </c>
      <c r="P1017" s="1">
        <f>P1016</f>
        <v>0</v>
      </c>
      <c r="Q1017" s="1">
        <f>Q1016</f>
        <v>0</v>
      </c>
      <c r="S1017" s="3"/>
    </row>
    <row r="1018" spans="2:19" x14ac:dyDescent="0.5">
      <c r="B1018" s="5" t="str">
        <f t="shared" si="1193"/>
        <v>SPS1</v>
      </c>
      <c r="C1018" s="5" t="str">
        <f t="shared" si="1194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S1018" s="3"/>
    </row>
    <row r="1019" spans="2:19" x14ac:dyDescent="0.5">
      <c r="B1019" s="5" t="str">
        <f t="shared" si="1193"/>
        <v>SPS1</v>
      </c>
      <c r="C1019" s="5" t="str">
        <f t="shared" si="1194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S1019" s="3"/>
    </row>
    <row r="1020" spans="2:19" x14ac:dyDescent="0.5">
      <c r="B1020" s="5" t="str">
        <f t="shared" si="1193"/>
        <v>SPS1</v>
      </c>
      <c r="C1020" s="5" t="str">
        <f t="shared" si="1194"/>
        <v>CH</v>
      </c>
      <c r="D1020" t="s">
        <v>1021</v>
      </c>
      <c r="E1020" t="s">
        <v>8</v>
      </c>
      <c r="F1020" s="1">
        <f>F1021+F1023</f>
        <v>13.723009250357393</v>
      </c>
      <c r="G1020" s="1">
        <f t="shared" ref="G1020:K1020" si="1233">G1021+G1023</f>
        <v>13.848736259804053</v>
      </c>
      <c r="H1020" s="1">
        <f t="shared" si="1233"/>
        <v>10.698532814329248</v>
      </c>
      <c r="I1020" s="1">
        <f t="shared" si="1233"/>
        <v>9.5567855471855339</v>
      </c>
      <c r="J1020" s="1">
        <f t="shared" si="1233"/>
        <v>8.873308256027217</v>
      </c>
      <c r="K1020" s="1">
        <f t="shared" si="1233"/>
        <v>7.7884036659173086</v>
      </c>
      <c r="L1020" s="1">
        <f t="shared" ref="L1020:O1020" si="1234">L1021+L1023</f>
        <v>6.8787079252962968</v>
      </c>
      <c r="M1020" s="1">
        <f t="shared" si="1234"/>
        <v>5.6888485705315261</v>
      </c>
      <c r="N1020" s="1">
        <f t="shared" si="1234"/>
        <v>5.3761177404232949</v>
      </c>
      <c r="O1020" s="1">
        <f t="shared" si="1234"/>
        <v>4.5488421843125231</v>
      </c>
      <c r="P1020" s="1">
        <f>P1021+P1023</f>
        <v>4.2553513573920378</v>
      </c>
      <c r="Q1020" s="1">
        <f>Q1021+Q1023</f>
        <v>2.65608460389298</v>
      </c>
      <c r="S1020" s="3"/>
    </row>
    <row r="1021" spans="2:19" x14ac:dyDescent="0.5">
      <c r="B1021" s="5" t="str">
        <f t="shared" si="1193"/>
        <v>SPS1</v>
      </c>
      <c r="C1021" s="5" t="str">
        <f t="shared" si="1194"/>
        <v>CH</v>
      </c>
      <c r="D1021" t="s">
        <v>1022</v>
      </c>
      <c r="E1021" t="s">
        <v>8</v>
      </c>
      <c r="F1021" s="1">
        <f>F1022</f>
        <v>12.682057990512522</v>
      </c>
      <c r="G1021" s="1">
        <f t="shared" ref="G1021:O1021" si="1235">G1022</f>
        <v>12.654253050174152</v>
      </c>
      <c r="H1021" s="1">
        <f t="shared" si="1235"/>
        <v>10.106606379427213</v>
      </c>
      <c r="I1021" s="1">
        <f t="shared" si="1235"/>
        <v>9.0282826338304378</v>
      </c>
      <c r="J1021" s="1">
        <f t="shared" si="1235"/>
        <v>8.3826225025611372</v>
      </c>
      <c r="K1021" s="1">
        <f t="shared" si="1235"/>
        <v>7.35771004565333</v>
      </c>
      <c r="L1021" s="1">
        <f t="shared" si="1235"/>
        <v>6.4982354330009766</v>
      </c>
      <c r="M1021" s="1">
        <f t="shared" si="1235"/>
        <v>5.3741432606775694</v>
      </c>
      <c r="N1021" s="1">
        <f t="shared" si="1235"/>
        <v>5.0787611786786995</v>
      </c>
      <c r="O1021" s="1">
        <f t="shared" si="1235"/>
        <v>4.2969476928337551</v>
      </c>
      <c r="P1021" s="1">
        <f>P1022</f>
        <v>4.019866302323778</v>
      </c>
      <c r="Q1021" s="1">
        <f>Q1022</f>
        <v>2.508198031123305</v>
      </c>
      <c r="S1021" s="3"/>
    </row>
    <row r="1022" spans="2:19" x14ac:dyDescent="0.5">
      <c r="B1022" s="5" t="str">
        <f t="shared" si="1193"/>
        <v>SPS1</v>
      </c>
      <c r="C1022" s="5" t="str">
        <f t="shared" si="1194"/>
        <v>CH</v>
      </c>
      <c r="D1022" t="s">
        <v>766</v>
      </c>
      <c r="E1022" t="s">
        <v>8</v>
      </c>
      <c r="F1022" s="1">
        <f>[1]Residential!B$22-F1024-F1025</f>
        <v>12.682057990512522</v>
      </c>
      <c r="G1022" s="1">
        <f>[1]Residential!C$22-G1024-G1025</f>
        <v>12.654253050174152</v>
      </c>
      <c r="H1022" s="1">
        <f>[1]Residential!D$22-H1024-H1025</f>
        <v>10.106606379427213</v>
      </c>
      <c r="I1022" s="1">
        <f>[1]Residential!E$22-I1024-I1025</f>
        <v>9.0282826338304378</v>
      </c>
      <c r="J1022" s="1">
        <f>[1]Residential!F$22-J1024-J1025</f>
        <v>8.3826225025611372</v>
      </c>
      <c r="K1022" s="1">
        <f>[1]Residential!G$22-K1024-K1025</f>
        <v>7.35771004565333</v>
      </c>
      <c r="L1022" s="1">
        <f>[1]Residential!H$22-L1024-L1025</f>
        <v>6.4982354330009766</v>
      </c>
      <c r="M1022" s="1">
        <f>[1]Residential!I$22-M1024-M1025</f>
        <v>5.3741432606775694</v>
      </c>
      <c r="N1022" s="1">
        <f>[1]Residential!J$22-N1024-N1025</f>
        <v>5.0787611786786995</v>
      </c>
      <c r="O1022" s="1">
        <f>[1]Residential!K$22-O1024-O1025</f>
        <v>4.2969476928337551</v>
      </c>
      <c r="P1022" s="1">
        <f>[1]Residential!L$22-P1024-P1025</f>
        <v>4.019866302323778</v>
      </c>
      <c r="Q1022" s="1">
        <f>[1]Residential!M$22-Q1024-Q1025</f>
        <v>2.508198031123305</v>
      </c>
      <c r="S1022" s="3"/>
    </row>
    <row r="1023" spans="2:19" x14ac:dyDescent="0.5">
      <c r="B1023" s="5" t="str">
        <f t="shared" si="1193"/>
        <v>SPS1</v>
      </c>
      <c r="C1023" s="5" t="str">
        <f t="shared" si="1194"/>
        <v>CH</v>
      </c>
      <c r="D1023" t="s">
        <v>1023</v>
      </c>
      <c r="E1023" t="s">
        <v>8</v>
      </c>
      <c r="F1023" s="1">
        <f>F1024</f>
        <v>1.04095125984487</v>
      </c>
      <c r="G1023" s="1">
        <f t="shared" ref="G1023" si="1236">G1024</f>
        <v>1.1944832096299001</v>
      </c>
      <c r="H1023" s="1">
        <f t="shared" ref="H1023" si="1237">H1024</f>
        <v>0.591926434902036</v>
      </c>
      <c r="I1023" s="1">
        <f t="shared" ref="I1023" si="1238">I1024</f>
        <v>0.52850291335509592</v>
      </c>
      <c r="J1023" s="1">
        <f t="shared" ref="J1023" si="1239">J1024</f>
        <v>0.49068575346607929</v>
      </c>
      <c r="K1023" s="1">
        <f t="shared" ref="K1023:O1023" si="1240">K1024</f>
        <v>0.43069362026397834</v>
      </c>
      <c r="L1023" s="1">
        <f t="shared" si="1240"/>
        <v>0.38047249229531993</v>
      </c>
      <c r="M1023" s="1">
        <f t="shared" si="1240"/>
        <v>0.31470530985395662</v>
      </c>
      <c r="N1023" s="1">
        <f t="shared" si="1240"/>
        <v>0.29735656174459585</v>
      </c>
      <c r="O1023" s="1">
        <f t="shared" si="1240"/>
        <v>0.25189449147876802</v>
      </c>
      <c r="P1023" s="1">
        <f>P1024</f>
        <v>0.23548505506826017</v>
      </c>
      <c r="Q1023" s="1">
        <f>Q1024</f>
        <v>0.14788657276967521</v>
      </c>
      <c r="S1023" s="3"/>
    </row>
    <row r="1024" spans="2:19" x14ac:dyDescent="0.5">
      <c r="B1024" s="5" t="str">
        <f t="shared" si="1193"/>
        <v>SPS1</v>
      </c>
      <c r="C1024" s="5" t="str">
        <f t="shared" si="1194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1.04095125984487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1.1944832096299001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0.591926434902036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0.52850291335509592</v>
      </c>
      <c r="J1024" s="1" cm="1">
        <f t="array" ref="J1024">SUMPRODUCT(([1]OUT_FinalEnergyCons!$B$4:$B$10000="Var_Fin")*1, ISNUMBER(SEARCH("WOD",[1]OUT_FinalEnergyCons!$C$4:$C$10000))*1,(ISNUMBER(SEARCH("RH*-wHWODBR",[1]OUT_FinalEnergyCons!$A$4:$A$10000)))*1,[1]OUT_FinalEnergyCons!H$4:H$10000)</f>
        <v>0.49068575346607929</v>
      </c>
      <c r="K1024" s="1" cm="1">
        <f t="array" ref="K1024">SUMPRODUCT(([1]OUT_FinalEnergyCons!$B$4:$B$10000="Var_Fin")*1, ISNUMBER(SEARCH("WOD",[1]OUT_FinalEnergyCons!$C$4:$C$10000))*1,(ISNUMBER(SEARCH("RH*-wHWODBR",[1]OUT_FinalEnergyCons!$A$4:$A$10000)))*1,[1]OUT_FinalEnergyCons!I$4:I$10000)</f>
        <v>0.43069362026397834</v>
      </c>
      <c r="L1024" s="1" cm="1">
        <f t="array" ref="L1024">SUMPRODUCT(([1]OUT_FinalEnergyCons!$B$4:$B$10000="Var_Fin")*1, ISNUMBER(SEARCH("WOD",[1]OUT_FinalEnergyCons!$C$4:$C$10000))*1,(ISNUMBER(SEARCH("RH*-wHWODBR",[1]OUT_FinalEnergyCons!$A$4:$A$10000)))*1,[1]OUT_FinalEnergyCons!J$4:J$10000)</f>
        <v>0.38047249229531993</v>
      </c>
      <c r="M1024" s="1" cm="1">
        <f t="array" ref="M1024">SUMPRODUCT(([1]OUT_FinalEnergyCons!$B$4:$B$10000="Var_Fin")*1, ISNUMBER(SEARCH("WOD",[1]OUT_FinalEnergyCons!$C$4:$C$10000))*1,(ISNUMBER(SEARCH("RH*-wHWODBR",[1]OUT_FinalEnergyCons!$A$4:$A$10000)))*1,[1]OUT_FinalEnergyCons!K$4:K$10000)</f>
        <v>0.31470530985395662</v>
      </c>
      <c r="N1024" s="1" cm="1">
        <f t="array" ref="N1024">SUMPRODUCT(([1]OUT_FinalEnergyCons!$B$4:$B$10000="Var_Fin")*1, ISNUMBER(SEARCH("WOD",[1]OUT_FinalEnergyCons!$C$4:$C$10000))*1,(ISNUMBER(SEARCH("RH*-wHWODBR",[1]OUT_FinalEnergyCons!$A$4:$A$10000)))*1,[1]OUT_FinalEnergyCons!L$4:L$10000)</f>
        <v>0.29735656174459585</v>
      </c>
      <c r="O1024" s="1" cm="1">
        <f t="array" ref="O1024">SUMPRODUCT(([1]OUT_FinalEnergyCons!$B$4:$B$10000="Var_Fin")*1, ISNUMBER(SEARCH("WOD",[1]OUT_FinalEnergyCons!$C$4:$C$10000))*1,(ISNUMBER(SEARCH("RH*-wHWODBR",[1]OUT_FinalEnergyCons!$A$4:$A$10000)))*1,[1]OUT_FinalEnergyCons!M$4:M$10000)</f>
        <v>0.25189449147876802</v>
      </c>
      <c r="P1024" s="1" cm="1">
        <f t="array" ref="P1024">SUMPRODUCT(([1]OUT_FinalEnergyCons!$B$4:$B$10000="Var_Fin")*1, ISNUMBER(SEARCH("WOD",[1]OUT_FinalEnergyCons!$C$4:$C$10000))*1,(ISNUMBER(SEARCH("RH*-wHWODBR",[1]OUT_FinalEnergyCons!$A$4:$A$10000)))*1,[1]OUT_FinalEnergyCons!N$4:N$10000)</f>
        <v>0.23548505506826017</v>
      </c>
      <c r="Q1024" s="1" cm="1">
        <f t="array" ref="Q1024">SUMPRODUCT(([1]OUT_FinalEnergyCons!$B$4:$B$10000="Var_Fin")*1, ISNUMBER(SEARCH("WOD",[1]OUT_FinalEnergyCons!$C$4:$C$10000))*1,(ISNUMBER(SEARCH("RH*-wHWODBR",[1]OUT_FinalEnergyCons!$A$4:$A$10000)))*1,[1]OUT_FinalEnergyCons!O$4:O$10000)</f>
        <v>0.14788657276967521</v>
      </c>
      <c r="S1024" s="3"/>
    </row>
    <row r="1025" spans="2:19" x14ac:dyDescent="0.5">
      <c r="B1025" s="5" t="str">
        <f t="shared" si="1193"/>
        <v>SPS1</v>
      </c>
      <c r="C1025" s="5" t="str">
        <f t="shared" si="1194"/>
        <v>CH</v>
      </c>
      <c r="D1025" t="s">
        <v>1024</v>
      </c>
      <c r="E1025" t="s">
        <v>8</v>
      </c>
      <c r="F1025" s="1">
        <f>F1026+F1028</f>
        <v>3.268219736305078</v>
      </c>
      <c r="G1025" s="1">
        <f t="shared" ref="G1025:K1025" si="1241">G1026+G1028</f>
        <v>3.8319875158600425</v>
      </c>
      <c r="H1025" s="1">
        <f t="shared" si="1241"/>
        <v>3.7281639898740524</v>
      </c>
      <c r="I1025" s="1">
        <f t="shared" si="1241"/>
        <v>3.8836622927759277</v>
      </c>
      <c r="J1025" s="1">
        <f t="shared" si="1241"/>
        <v>4.0187822966906914</v>
      </c>
      <c r="K1025" s="1">
        <f t="shared" si="1241"/>
        <v>4.1198511069465864</v>
      </c>
      <c r="L1025" s="1">
        <f t="shared" ref="L1025:O1025" si="1242">L1026+L1028</f>
        <v>4.2002630490375825</v>
      </c>
      <c r="M1025" s="1">
        <f t="shared" si="1242"/>
        <v>4.2656770021420707</v>
      </c>
      <c r="N1025" s="1">
        <f t="shared" si="1242"/>
        <v>4.3153943870406026</v>
      </c>
      <c r="O1025" s="1">
        <f t="shared" si="1242"/>
        <v>4.3597629749942834</v>
      </c>
      <c r="P1025" s="1">
        <f>P1026+P1028</f>
        <v>4.3598200572360275</v>
      </c>
      <c r="Q1025" s="1">
        <f>Q1026+Q1028</f>
        <v>4.3609523018784859</v>
      </c>
      <c r="S1025" s="3"/>
    </row>
    <row r="1026" spans="2:19" x14ac:dyDescent="0.5">
      <c r="B1026" s="5" t="str">
        <f t="shared" si="1193"/>
        <v>SPS1</v>
      </c>
      <c r="C1026" s="5" t="str">
        <f t="shared" si="1194"/>
        <v>CH</v>
      </c>
      <c r="D1026" t="s">
        <v>1025</v>
      </c>
      <c r="E1026" t="s">
        <v>8</v>
      </c>
      <c r="F1026" s="1">
        <f>F1027</f>
        <v>2.9965488292103641</v>
      </c>
      <c r="G1026" s="1">
        <f t="shared" ref="G1026:O1026" si="1243">G1027</f>
        <v>3.520247642671738</v>
      </c>
      <c r="H1026" s="1">
        <f t="shared" si="1243"/>
        <v>3.5219942838924241</v>
      </c>
      <c r="I1026" s="1">
        <f t="shared" si="1243"/>
        <v>3.6688906972442918</v>
      </c>
      <c r="J1026" s="1">
        <f t="shared" si="1243"/>
        <v>3.7965379560986308</v>
      </c>
      <c r="K1026" s="1">
        <f t="shared" si="1243"/>
        <v>3.8920179218137445</v>
      </c>
      <c r="L1026" s="1">
        <f t="shared" si="1243"/>
        <v>3.9679725293597086</v>
      </c>
      <c r="M1026" s="1">
        <f t="shared" si="1243"/>
        <v>4.0297298601467837</v>
      </c>
      <c r="N1026" s="1">
        <f t="shared" si="1243"/>
        <v>4.0767330440559375</v>
      </c>
      <c r="O1026" s="1">
        <f t="shared" si="1243"/>
        <v>4.1186033327809941</v>
      </c>
      <c r="P1026" s="1">
        <f>P1027</f>
        <v>4.1186762666955374</v>
      </c>
      <c r="Q1026" s="1">
        <f>Q1027</f>
        <v>4.119603472824668</v>
      </c>
      <c r="S1026" s="3"/>
    </row>
    <row r="1027" spans="2:19" x14ac:dyDescent="0.5">
      <c r="B1027" s="5" t="str">
        <f t="shared" si="1193"/>
        <v>SPS1</v>
      </c>
      <c r="C1027" s="5" t="str">
        <f t="shared" si="1194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2.9965488292103641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3.520247642671738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3.5219942838924241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3.6688906972442918</v>
      </c>
      <c r="J1027" s="1" cm="1">
        <f t="array" ref="J1027">SUMPRODUCT(([1]OUT_FinalEnergyCons!$B$4:$B$10000="Var_Fin")*1, ISNUMBER(SEARCH("RPLT",[1]OUT_FinalEnergyCons!$C$4:$C$10000))*1,(ISNUMBER(SEARCH("RH*-SHPLTBR",[1]OUT_FinalEnergyCons!$A$4:$A$10000)))*1,[1]OUT_FinalEnergyCons!H$4:H$10000)</f>
        <v>3.7965379560986308</v>
      </c>
      <c r="K1027" s="1" cm="1">
        <f t="array" ref="K1027">SUMPRODUCT(([1]OUT_FinalEnergyCons!$B$4:$B$10000="Var_Fin")*1, ISNUMBER(SEARCH("RPLT",[1]OUT_FinalEnergyCons!$C$4:$C$10000))*1,(ISNUMBER(SEARCH("RH*-SHPLTBR",[1]OUT_FinalEnergyCons!$A$4:$A$10000)))*1,[1]OUT_FinalEnergyCons!I$4:I$10000)</f>
        <v>3.8920179218137445</v>
      </c>
      <c r="L1027" s="1" cm="1">
        <f t="array" ref="L1027">SUMPRODUCT(([1]OUT_FinalEnergyCons!$B$4:$B$10000="Var_Fin")*1, ISNUMBER(SEARCH("RPLT",[1]OUT_FinalEnergyCons!$C$4:$C$10000))*1,(ISNUMBER(SEARCH("RH*-SHPLTBR",[1]OUT_FinalEnergyCons!$A$4:$A$10000)))*1,[1]OUT_FinalEnergyCons!J$4:J$10000)</f>
        <v>3.9679725293597086</v>
      </c>
      <c r="M1027" s="1" cm="1">
        <f t="array" ref="M1027">SUMPRODUCT(([1]OUT_FinalEnergyCons!$B$4:$B$10000="Var_Fin")*1, ISNUMBER(SEARCH("RPLT",[1]OUT_FinalEnergyCons!$C$4:$C$10000))*1,(ISNUMBER(SEARCH("RH*-SHPLTBR",[1]OUT_FinalEnergyCons!$A$4:$A$10000)))*1,[1]OUT_FinalEnergyCons!K$4:K$10000)</f>
        <v>4.0297298601467837</v>
      </c>
      <c r="N1027" s="1" cm="1">
        <f t="array" ref="N1027">SUMPRODUCT(([1]OUT_FinalEnergyCons!$B$4:$B$10000="Var_Fin")*1, ISNUMBER(SEARCH("RPLT",[1]OUT_FinalEnergyCons!$C$4:$C$10000))*1,(ISNUMBER(SEARCH("RH*-SHPLTBR",[1]OUT_FinalEnergyCons!$A$4:$A$10000)))*1,[1]OUT_FinalEnergyCons!L$4:L$10000)</f>
        <v>4.0767330440559375</v>
      </c>
      <c r="O1027" s="1" cm="1">
        <f t="array" ref="O1027">SUMPRODUCT(([1]OUT_FinalEnergyCons!$B$4:$B$10000="Var_Fin")*1, ISNUMBER(SEARCH("RPLT",[1]OUT_FinalEnergyCons!$C$4:$C$10000))*1,(ISNUMBER(SEARCH("RH*-SHPLTBR",[1]OUT_FinalEnergyCons!$A$4:$A$10000)))*1,[1]OUT_FinalEnergyCons!M$4:M$10000)</f>
        <v>4.1186033327809941</v>
      </c>
      <c r="P1027" s="1" cm="1">
        <f t="array" ref="P1027">SUMPRODUCT(([1]OUT_FinalEnergyCons!$B$4:$B$10000="Var_Fin")*1, ISNUMBER(SEARCH("RPLT",[1]OUT_FinalEnergyCons!$C$4:$C$10000))*1,(ISNUMBER(SEARCH("RH*-SHPLTBR",[1]OUT_FinalEnergyCons!$A$4:$A$10000)))*1,[1]OUT_FinalEnergyCons!N$4:N$10000)</f>
        <v>4.1186762666955374</v>
      </c>
      <c r="Q1027" s="1" cm="1">
        <f t="array" ref="Q1027">SUMPRODUCT(([1]OUT_FinalEnergyCons!$B$4:$B$10000="Var_Fin")*1, ISNUMBER(SEARCH("RPLT",[1]OUT_FinalEnergyCons!$C$4:$C$10000))*1,(ISNUMBER(SEARCH("RH*-SHPLTBR",[1]OUT_FinalEnergyCons!$A$4:$A$10000)))*1,[1]OUT_FinalEnergyCons!O$4:O$10000)</f>
        <v>4.119603472824668</v>
      </c>
      <c r="S1027" s="3"/>
    </row>
    <row r="1028" spans="2:19" x14ac:dyDescent="0.5">
      <c r="B1028" s="5" t="str">
        <f t="shared" si="1193"/>
        <v>SPS1</v>
      </c>
      <c r="C1028" s="5" t="str">
        <f t="shared" si="1194"/>
        <v>CH</v>
      </c>
      <c r="D1028" t="s">
        <v>1026</v>
      </c>
      <c r="E1028" t="s">
        <v>8</v>
      </c>
      <c r="F1028" s="1">
        <f>F1029</f>
        <v>0.27167090709471386</v>
      </c>
      <c r="G1028" s="1">
        <f t="shared" ref="G1028:O1028" si="1244">G1029</f>
        <v>0.31173987318830454</v>
      </c>
      <c r="H1028" s="1">
        <f t="shared" si="1244"/>
        <v>0.20616970598162843</v>
      </c>
      <c r="I1028" s="1">
        <f t="shared" si="1244"/>
        <v>0.21477159553163583</v>
      </c>
      <c r="J1028" s="1">
        <f t="shared" si="1244"/>
        <v>0.22224434059206041</v>
      </c>
      <c r="K1028" s="1">
        <f t="shared" si="1244"/>
        <v>0.22783318513284226</v>
      </c>
      <c r="L1028" s="1">
        <f t="shared" si="1244"/>
        <v>0.23229051967787362</v>
      </c>
      <c r="M1028" s="1">
        <f t="shared" si="1244"/>
        <v>0.23594714199528694</v>
      </c>
      <c r="N1028" s="1">
        <f t="shared" si="1244"/>
        <v>0.23866134298466551</v>
      </c>
      <c r="O1028" s="1">
        <f t="shared" si="1244"/>
        <v>0.24115964221328914</v>
      </c>
      <c r="P1028" s="1">
        <f>P1029</f>
        <v>0.24114379054049029</v>
      </c>
      <c r="Q1028" s="1">
        <f>Q1029</f>
        <v>0.24134882905381808</v>
      </c>
      <c r="S1028" s="3"/>
    </row>
    <row r="1029" spans="2:19" x14ac:dyDescent="0.5">
      <c r="B1029" s="5" t="str">
        <f t="shared" si="1193"/>
        <v>SPS1</v>
      </c>
      <c r="C1029" s="5" t="str">
        <f t="shared" si="1194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0.27167090709471386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0.31173987318830454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0.20616970598162843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0.21477159553163583</v>
      </c>
      <c r="J1029" s="1" cm="1">
        <f t="array" ref="J1029">SUMPRODUCT(([1]OUT_FinalEnergyCons!$B$4:$B$10000="Var_Fin")*1, ISNUMBER(SEARCH("PLT",[1]OUT_FinalEnergyCons!$C$4:$C$10000))*1,(ISNUMBER(SEARCH("RH*-wHPLTBR",[1]OUT_FinalEnergyCons!$A$4:$A$10000)))*1,[1]OUT_FinalEnergyCons!H$4:H$10000)</f>
        <v>0.22224434059206041</v>
      </c>
      <c r="K1029" s="1" cm="1">
        <f t="array" ref="K1029">SUMPRODUCT(([1]OUT_FinalEnergyCons!$B$4:$B$10000="Var_Fin")*1, ISNUMBER(SEARCH("PLT",[1]OUT_FinalEnergyCons!$C$4:$C$10000))*1,(ISNUMBER(SEARCH("RH*-wHPLTBR",[1]OUT_FinalEnergyCons!$A$4:$A$10000)))*1,[1]OUT_FinalEnergyCons!I$4:I$10000)</f>
        <v>0.22783318513284226</v>
      </c>
      <c r="L1029" s="1" cm="1">
        <f t="array" ref="L1029">SUMPRODUCT(([1]OUT_FinalEnergyCons!$B$4:$B$10000="Var_Fin")*1, ISNUMBER(SEARCH("PLT",[1]OUT_FinalEnergyCons!$C$4:$C$10000))*1,(ISNUMBER(SEARCH("RH*-wHPLTBR",[1]OUT_FinalEnergyCons!$A$4:$A$10000)))*1,[1]OUT_FinalEnergyCons!J$4:J$10000)</f>
        <v>0.23229051967787362</v>
      </c>
      <c r="M1029" s="1" cm="1">
        <f t="array" ref="M1029">SUMPRODUCT(([1]OUT_FinalEnergyCons!$B$4:$B$10000="Var_Fin")*1, ISNUMBER(SEARCH("PLT",[1]OUT_FinalEnergyCons!$C$4:$C$10000))*1,(ISNUMBER(SEARCH("RH*-wHPLTBR",[1]OUT_FinalEnergyCons!$A$4:$A$10000)))*1,[1]OUT_FinalEnergyCons!K$4:K$10000)</f>
        <v>0.23594714199528694</v>
      </c>
      <c r="N1029" s="1" cm="1">
        <f t="array" ref="N1029">SUMPRODUCT(([1]OUT_FinalEnergyCons!$B$4:$B$10000="Var_Fin")*1, ISNUMBER(SEARCH("PLT",[1]OUT_FinalEnergyCons!$C$4:$C$10000))*1,(ISNUMBER(SEARCH("RH*-wHPLTBR",[1]OUT_FinalEnergyCons!$A$4:$A$10000)))*1,[1]OUT_FinalEnergyCons!L$4:L$10000)</f>
        <v>0.23866134298466551</v>
      </c>
      <c r="O1029" s="1" cm="1">
        <f t="array" ref="O1029">SUMPRODUCT(([1]OUT_FinalEnergyCons!$B$4:$B$10000="Var_Fin")*1, ISNUMBER(SEARCH("PLT",[1]OUT_FinalEnergyCons!$C$4:$C$10000))*1,(ISNUMBER(SEARCH("RH*-wHPLTBR",[1]OUT_FinalEnergyCons!$A$4:$A$10000)))*1,[1]OUT_FinalEnergyCons!M$4:M$10000)</f>
        <v>0.24115964221328914</v>
      </c>
      <c r="P1029" s="1" cm="1">
        <f t="array" ref="P1029">SUMPRODUCT(([1]OUT_FinalEnergyCons!$B$4:$B$10000="Var_Fin")*1, ISNUMBER(SEARCH("PLT",[1]OUT_FinalEnergyCons!$C$4:$C$10000))*1,(ISNUMBER(SEARCH("RH*-wHPLTBR",[1]OUT_FinalEnergyCons!$A$4:$A$10000)))*1,[1]OUT_FinalEnergyCons!N$4:N$10000)</f>
        <v>0.24114379054049029</v>
      </c>
      <c r="Q1029" s="1" cm="1">
        <f t="array" ref="Q1029">SUMPRODUCT(([1]OUT_FinalEnergyCons!$B$4:$B$10000="Var_Fin")*1, ISNUMBER(SEARCH("PLT",[1]OUT_FinalEnergyCons!$C$4:$C$10000))*1,(ISNUMBER(SEARCH("RH*-wHPLTBR",[1]OUT_FinalEnergyCons!$A$4:$A$10000)))*1,[1]OUT_FinalEnergyCons!O$4:O$10000)</f>
        <v>0.24134882905381808</v>
      </c>
      <c r="S1029" s="3"/>
    </row>
    <row r="1030" spans="2:19" x14ac:dyDescent="0.5">
      <c r="B1030" s="5" t="str">
        <f t="shared" si="1193"/>
        <v>SPS1</v>
      </c>
      <c r="C1030" s="5" t="str">
        <f t="shared" si="1194"/>
        <v>CH</v>
      </c>
      <c r="D1030" t="s">
        <v>1027</v>
      </c>
      <c r="E1030" t="s">
        <v>8</v>
      </c>
      <c r="F1030" s="1">
        <f>[1]Residential!B$23</f>
        <v>2.5068358410013629</v>
      </c>
      <c r="G1030" s="1">
        <f>[1]Residential!C$23</f>
        <v>2.9280697799466875</v>
      </c>
      <c r="H1030" s="1">
        <f>[1]Residential!D$23</f>
        <v>2.8830979599404833</v>
      </c>
      <c r="I1030" s="1">
        <f>[1]Residential!E$23</f>
        <v>2.4609194731206059</v>
      </c>
      <c r="J1030" s="1">
        <f>[1]Residential!F$23</f>
        <v>2.0583958069199371</v>
      </c>
      <c r="K1030" s="1">
        <f>[1]Residential!G$23</f>
        <v>2.0044527954976665</v>
      </c>
      <c r="L1030" s="1">
        <f>[1]Residential!H$23</f>
        <v>2.0023728037221127</v>
      </c>
      <c r="M1030" s="1">
        <f>[1]Residential!I$23</f>
        <v>1.858827829592268</v>
      </c>
      <c r="N1030" s="1">
        <f>[1]Residential!J$23</f>
        <v>1.8544710627381071</v>
      </c>
      <c r="O1030" s="1">
        <f>[1]Residential!K$23</f>
        <v>1.753373456803146</v>
      </c>
      <c r="P1030" s="1">
        <f>[1]Residential!L$23</f>
        <v>1.780432105604441</v>
      </c>
      <c r="Q1030" s="1">
        <f>[1]Residential!M$23</f>
        <v>1.5057040892290985</v>
      </c>
      <c r="S1030" s="3"/>
    </row>
    <row r="1031" spans="2:19" x14ac:dyDescent="0.5">
      <c r="B1031" s="5" t="str">
        <f t="shared" si="1193"/>
        <v>SPS1</v>
      </c>
      <c r="C1031" s="5" t="str">
        <f t="shared" si="1194"/>
        <v>CH</v>
      </c>
      <c r="D1031" t="s">
        <v>1028</v>
      </c>
      <c r="E1031" t="s">
        <v>8</v>
      </c>
      <c r="F1031" s="1">
        <f>F1032</f>
        <v>0.78534781634151196</v>
      </c>
      <c r="G1031" s="1">
        <f t="shared" ref="G1031:O1031" si="1245">G1032</f>
        <v>0.94131571883904619</v>
      </c>
      <c r="H1031" s="1">
        <f t="shared" si="1245"/>
        <v>0.94522510091261025</v>
      </c>
      <c r="I1031" s="1">
        <f t="shared" si="1245"/>
        <v>0.94787340715291823</v>
      </c>
      <c r="J1031" s="1">
        <f t="shared" si="1245"/>
        <v>0.9056943670836457</v>
      </c>
      <c r="K1031" s="1">
        <f t="shared" si="1245"/>
        <v>0.88196104227375494</v>
      </c>
      <c r="L1031" s="1">
        <f t="shared" si="1245"/>
        <v>0.88104868703638028</v>
      </c>
      <c r="M1031" s="1">
        <f t="shared" si="1245"/>
        <v>0.81788589714990367</v>
      </c>
      <c r="N1031" s="1">
        <f t="shared" si="1245"/>
        <v>0.81596726493044947</v>
      </c>
      <c r="O1031" s="1">
        <f t="shared" si="1245"/>
        <v>0.77146554540660839</v>
      </c>
      <c r="P1031" s="1">
        <f>P1032</f>
        <v>0.7833936658474131</v>
      </c>
      <c r="Q1031" s="1">
        <f>Q1032</f>
        <v>0.66231828704958562</v>
      </c>
      <c r="S1031" s="3"/>
    </row>
    <row r="1032" spans="2:19" x14ac:dyDescent="0.5">
      <c r="B1032" s="5" t="str">
        <f t="shared" si="1193"/>
        <v>SPS1</v>
      </c>
      <c r="C1032" s="5" t="str">
        <f t="shared" si="1194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0.78534781634151196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0.94131571883904619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0.94522510091261025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0.94787340715291823</v>
      </c>
      <c r="J1032" s="1" cm="1">
        <f t="array" ref="J1032">SUMPRODUCT(([1]OUT_FinalEnergyCons!$B$4:$B$10000="Var_Fin")*1, ("SOL"=[1]OUT_FinalEnergyCons!$C$4:$C$10000)*1,(ISNUMBER(SEARCH("RH*-SHSOLBR",[1]OUT_FinalEnergyCons!$A$4:$A$10000)))*1,[1]OUT_FinalEnergyCons!H$4:H$10000)</f>
        <v>0.9056943670836457</v>
      </c>
      <c r="K1032" s="1" cm="1">
        <f t="array" ref="K1032">SUMPRODUCT(([1]OUT_FinalEnergyCons!$B$4:$B$10000="Var_Fin")*1, ("SOL"=[1]OUT_FinalEnergyCons!$C$4:$C$10000)*1,(ISNUMBER(SEARCH("RH*-SHSOLBR",[1]OUT_FinalEnergyCons!$A$4:$A$10000)))*1,[1]OUT_FinalEnergyCons!I$4:I$10000)</f>
        <v>0.88196104227375494</v>
      </c>
      <c r="L1032" s="1" cm="1">
        <f t="array" ref="L1032">SUMPRODUCT(([1]OUT_FinalEnergyCons!$B$4:$B$10000="Var_Fin")*1, ("SOL"=[1]OUT_FinalEnergyCons!$C$4:$C$10000)*1,(ISNUMBER(SEARCH("RH*-SHSOLBR",[1]OUT_FinalEnergyCons!$A$4:$A$10000)))*1,[1]OUT_FinalEnergyCons!J$4:J$10000)</f>
        <v>0.88104868703638028</v>
      </c>
      <c r="M1032" s="1" cm="1">
        <f t="array" ref="M1032">SUMPRODUCT(([1]OUT_FinalEnergyCons!$B$4:$B$10000="Var_Fin")*1, ("SOL"=[1]OUT_FinalEnergyCons!$C$4:$C$10000)*1,(ISNUMBER(SEARCH("RH*-SHSOLBR",[1]OUT_FinalEnergyCons!$A$4:$A$10000)))*1,[1]OUT_FinalEnergyCons!K$4:K$10000)</f>
        <v>0.81788589714990367</v>
      </c>
      <c r="N1032" s="1" cm="1">
        <f t="array" ref="N1032">SUMPRODUCT(([1]OUT_FinalEnergyCons!$B$4:$B$10000="Var_Fin")*1, ("SOL"=[1]OUT_FinalEnergyCons!$C$4:$C$10000)*1,(ISNUMBER(SEARCH("RH*-SHSOLBR",[1]OUT_FinalEnergyCons!$A$4:$A$10000)))*1,[1]OUT_FinalEnergyCons!L$4:L$10000)</f>
        <v>0.81596726493044947</v>
      </c>
      <c r="O1032" s="1" cm="1">
        <f t="array" ref="O1032">SUMPRODUCT(([1]OUT_FinalEnergyCons!$B$4:$B$10000="Var_Fin")*1, ("SOL"=[1]OUT_FinalEnergyCons!$C$4:$C$10000)*1,(ISNUMBER(SEARCH("RH*-SHSOLBR",[1]OUT_FinalEnergyCons!$A$4:$A$10000)))*1,[1]OUT_FinalEnergyCons!M$4:M$10000)</f>
        <v>0.77146554540660839</v>
      </c>
      <c r="P1032" s="1" cm="1">
        <f t="array" ref="P1032">SUMPRODUCT(([1]OUT_FinalEnergyCons!$B$4:$B$10000="Var_Fin")*1, ("SOL"=[1]OUT_FinalEnergyCons!$C$4:$C$10000)*1,(ISNUMBER(SEARCH("RH*-SHSOLBR",[1]OUT_FinalEnergyCons!$A$4:$A$10000)))*1,[1]OUT_FinalEnergyCons!N$4:N$10000)</f>
        <v>0.7833936658474131</v>
      </c>
      <c r="Q1032" s="1" cm="1">
        <f t="array" ref="Q1032">SUMPRODUCT(([1]OUT_FinalEnergyCons!$B$4:$B$10000="Var_Fin")*1, ("SOL"=[1]OUT_FinalEnergyCons!$C$4:$C$10000)*1,(ISNUMBER(SEARCH("RH*-SHSOLBR",[1]OUT_FinalEnergyCons!$A$4:$A$10000)))*1,[1]OUT_FinalEnergyCons!O$4:O$10000)</f>
        <v>0.66231828704958562</v>
      </c>
      <c r="S1032" s="3"/>
    </row>
    <row r="1033" spans="2:19" x14ac:dyDescent="0.5">
      <c r="B1033" s="5" t="str">
        <f t="shared" si="1193"/>
        <v>SPS1</v>
      </c>
      <c r="C1033" s="5" t="str">
        <f t="shared" si="1194"/>
        <v>CH</v>
      </c>
      <c r="D1033" t="s">
        <v>1029</v>
      </c>
      <c r="E1033" t="s">
        <v>8</v>
      </c>
      <c r="F1033" s="1">
        <f>F1030-F1031</f>
        <v>1.721488024659851</v>
      </c>
      <c r="G1033" s="1">
        <f t="shared" ref="G1033:K1033" si="1246">G1030-G1031</f>
        <v>1.9867540611076413</v>
      </c>
      <c r="H1033" s="1">
        <f t="shared" si="1246"/>
        <v>1.9378728590278731</v>
      </c>
      <c r="I1033" s="1">
        <f t="shared" si="1246"/>
        <v>1.5130460659676876</v>
      </c>
      <c r="J1033" s="1">
        <f t="shared" si="1246"/>
        <v>1.1527014398362914</v>
      </c>
      <c r="K1033" s="1">
        <f t="shared" si="1246"/>
        <v>1.1224917532239116</v>
      </c>
      <c r="L1033" s="1">
        <f t="shared" ref="L1033:O1033" si="1247">L1030-L1031</f>
        <v>1.1213241166857324</v>
      </c>
      <c r="M1033" s="1">
        <f t="shared" si="1247"/>
        <v>1.0409419324423643</v>
      </c>
      <c r="N1033" s="1">
        <f t="shared" si="1247"/>
        <v>1.0385037978076577</v>
      </c>
      <c r="O1033" s="1">
        <f t="shared" si="1247"/>
        <v>0.98190791139653766</v>
      </c>
      <c r="P1033" s="1">
        <f>P1030-P1031</f>
        <v>0.99703843975702788</v>
      </c>
      <c r="Q1033" s="1">
        <f>Q1030-Q1031</f>
        <v>0.84338580217951287</v>
      </c>
      <c r="S1033" s="3"/>
    </row>
    <row r="1034" spans="2:19" x14ac:dyDescent="0.5">
      <c r="B1034" s="5" t="str">
        <f t="shared" si="1193"/>
        <v>SPS1</v>
      </c>
      <c r="C1034" s="5" t="str">
        <f t="shared" si="1194"/>
        <v>CH</v>
      </c>
      <c r="D1034" t="s">
        <v>743</v>
      </c>
      <c r="E1034" t="s">
        <v>8</v>
      </c>
      <c r="F1034" s="1">
        <f>F1033</f>
        <v>1.721488024659851</v>
      </c>
      <c r="G1034" s="1">
        <f t="shared" ref="G1034:K1034" si="1248">G1033</f>
        <v>1.9867540611076413</v>
      </c>
      <c r="H1034" s="1">
        <f t="shared" si="1248"/>
        <v>1.9378728590278731</v>
      </c>
      <c r="I1034" s="1">
        <f t="shared" si="1248"/>
        <v>1.5130460659676876</v>
      </c>
      <c r="J1034" s="1">
        <f t="shared" si="1248"/>
        <v>1.1527014398362914</v>
      </c>
      <c r="K1034" s="1">
        <f t="shared" si="1248"/>
        <v>1.1224917532239116</v>
      </c>
      <c r="L1034" s="1">
        <f t="shared" ref="L1034:O1034" si="1249">L1033</f>
        <v>1.1213241166857324</v>
      </c>
      <c r="M1034" s="1">
        <f t="shared" si="1249"/>
        <v>1.0409419324423643</v>
      </c>
      <c r="N1034" s="1">
        <f t="shared" si="1249"/>
        <v>1.0385037978076577</v>
      </c>
      <c r="O1034" s="1">
        <f t="shared" si="1249"/>
        <v>0.98190791139653766</v>
      </c>
      <c r="P1034" s="1">
        <f>P1033</f>
        <v>0.99703843975702788</v>
      </c>
      <c r="Q1034" s="1">
        <f>Q1033</f>
        <v>0.84338580217951287</v>
      </c>
      <c r="S1034" s="3"/>
    </row>
    <row r="1035" spans="2:19" x14ac:dyDescent="0.5">
      <c r="B1035" s="5" t="str">
        <f t="shared" si="1193"/>
        <v>SPS1</v>
      </c>
      <c r="C1035" s="5" t="str">
        <f t="shared" si="1194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3.0527397405048047E-3</v>
      </c>
      <c r="J1035" s="1">
        <f>[1]Residential!F$24</f>
        <v>7.4267059927836795E-3</v>
      </c>
      <c r="K1035" s="1">
        <f>[1]Residential!G$24</f>
        <v>8.7610613176782419E-3</v>
      </c>
      <c r="L1035" s="1">
        <f>[1]Residential!H$24</f>
        <v>1.0329559396888356E-2</v>
      </c>
      <c r="M1035" s="1">
        <f>[1]Residential!I$24</f>
        <v>2.8437290228662104E-2</v>
      </c>
      <c r="N1035" s="1">
        <f>[1]Residential!J$24</f>
        <v>2.6219183205579033E-2</v>
      </c>
      <c r="O1035" s="1">
        <f>[1]Residential!K$24</f>
        <v>9.7954253157341423E-2</v>
      </c>
      <c r="P1035" s="1">
        <f>[1]Residential!L$24</f>
        <v>0.11575618814583401</v>
      </c>
      <c r="Q1035" s="1">
        <f>[1]Residential!M$24</f>
        <v>0.12311893991015739</v>
      </c>
      <c r="S1035" s="3"/>
    </row>
    <row r="1036" spans="2:19" x14ac:dyDescent="0.5">
      <c r="B1036" s="5" t="str">
        <f t="shared" si="1193"/>
        <v>SPS1</v>
      </c>
      <c r="C1036" s="5" t="str">
        <f t="shared" si="1194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250">G1035-G1038-G1040</f>
        <v>0</v>
      </c>
      <c r="H1036" s="1">
        <f t="shared" si="1250"/>
        <v>0</v>
      </c>
      <c r="I1036" s="1">
        <f t="shared" si="1250"/>
        <v>3.0527397405048047E-3</v>
      </c>
      <c r="J1036" s="1">
        <f t="shared" si="1250"/>
        <v>7.4267059927836795E-3</v>
      </c>
      <c r="K1036" s="1">
        <f t="shared" si="1250"/>
        <v>8.7610613176782419E-3</v>
      </c>
      <c r="L1036" s="1">
        <f t="shared" ref="L1036:O1036" si="1251">L1035-L1038-L1040</f>
        <v>1.0329559396888356E-2</v>
      </c>
      <c r="M1036" s="1">
        <f t="shared" si="1251"/>
        <v>2.8437290228662104E-2</v>
      </c>
      <c r="N1036" s="1">
        <f t="shared" si="1251"/>
        <v>2.6219183205579033E-2</v>
      </c>
      <c r="O1036" s="1">
        <f t="shared" si="1251"/>
        <v>9.7954253157341423E-2</v>
      </c>
      <c r="P1036" s="1">
        <f>P1035-P1038-P1040</f>
        <v>0.11575618814583401</v>
      </c>
      <c r="Q1036" s="1">
        <f>Q1035-Q1038-Q1040</f>
        <v>0.12311893991015739</v>
      </c>
      <c r="S1036" s="3"/>
    </row>
    <row r="1037" spans="2:19" x14ac:dyDescent="0.5">
      <c r="B1037" s="5" t="str">
        <f t="shared" si="1193"/>
        <v>SPS1</v>
      </c>
      <c r="C1037" s="5" t="str">
        <f t="shared" si="1194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252">G1038+G1040</f>
        <v>0</v>
      </c>
      <c r="H1037" s="1">
        <f t="shared" si="1252"/>
        <v>0</v>
      </c>
      <c r="I1037" s="1">
        <f t="shared" si="1252"/>
        <v>0</v>
      </c>
      <c r="J1037" s="1">
        <f t="shared" si="1252"/>
        <v>0</v>
      </c>
      <c r="K1037" s="1">
        <f t="shared" si="1252"/>
        <v>0</v>
      </c>
      <c r="L1037" s="1">
        <f t="shared" ref="L1037:O1037" si="1253">L1038+L1040</f>
        <v>0</v>
      </c>
      <c r="M1037" s="1">
        <f t="shared" si="1253"/>
        <v>0</v>
      </c>
      <c r="N1037" s="1">
        <f t="shared" si="1253"/>
        <v>0</v>
      </c>
      <c r="O1037" s="1">
        <f t="shared" si="1253"/>
        <v>0</v>
      </c>
      <c r="P1037" s="1">
        <f>P1038+P1040</f>
        <v>0</v>
      </c>
      <c r="Q1037" s="1">
        <f>Q1038+Q1040</f>
        <v>0</v>
      </c>
      <c r="S1037" s="3"/>
    </row>
    <row r="1038" spans="2:19" x14ac:dyDescent="0.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O1038" si="1254">G1039</f>
        <v>0</v>
      </c>
      <c r="H1038" s="1">
        <f t="shared" si="1254"/>
        <v>0</v>
      </c>
      <c r="I1038" s="1">
        <f t="shared" si="1254"/>
        <v>0</v>
      </c>
      <c r="J1038" s="1">
        <f t="shared" si="1254"/>
        <v>0</v>
      </c>
      <c r="K1038" s="1">
        <f t="shared" si="1254"/>
        <v>0</v>
      </c>
      <c r="L1038" s="1">
        <f t="shared" si="1254"/>
        <v>0</v>
      </c>
      <c r="M1038" s="1">
        <f t="shared" si="1254"/>
        <v>0</v>
      </c>
      <c r="N1038" s="1">
        <f t="shared" si="1254"/>
        <v>0</v>
      </c>
      <c r="O1038" s="1">
        <f t="shared" si="1254"/>
        <v>0</v>
      </c>
      <c r="P1038" s="1">
        <f>P1039</f>
        <v>0</v>
      </c>
      <c r="Q1038" s="1">
        <f>Q1039</f>
        <v>0</v>
      </c>
      <c r="S1038" s="3"/>
    </row>
    <row r="1039" spans="2:19" x14ac:dyDescent="0.5">
      <c r="B1039" s="5" t="str">
        <f t="shared" si="1193"/>
        <v>SPS1</v>
      </c>
      <c r="C1039" s="5" t="str">
        <f t="shared" si="1194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SUMPRODUCT(([1]OUT_FinalEnergyCons!$B$4:$B$10000="Var_Fin")*1, ISNUMBER(SEARCH("RSH2",[1]OUT_FinalEnergyCons!$C$4:$C$10000))*1,(ISNUMBER(SEARCH("RH*-SHH2BR",[1]OUT_FinalEnergyCons!$A$4:$A$10000)))*1,[1]OUT_FinalEnergyCons!H$4:H$10000)</f>
        <v>0</v>
      </c>
      <c r="K1039" s="1" cm="1">
        <f t="array" ref="K1039">SUMPRODUCT(([1]OUT_FinalEnergyCons!$B$4:$B$10000="Var_Fin")*1, ISNUMBER(SEARCH("RSH2",[1]OUT_FinalEnergyCons!$C$4:$C$10000))*1,(ISNUMBER(SEARCH("RH*-SHH2BR",[1]OUT_FinalEnergyCons!$A$4:$A$10000)))*1,[1]OUT_FinalEnergyCons!I$4:I$10000)</f>
        <v>0</v>
      </c>
      <c r="L1039" s="1" cm="1">
        <f t="array" ref="L1039">SUMPRODUCT(([1]OUT_FinalEnergyCons!$B$4:$B$10000="Var_Fin")*1, ISNUMBER(SEARCH("RSH2",[1]OUT_FinalEnergyCons!$C$4:$C$10000))*1,(ISNUMBER(SEARCH("RH*-SHH2BR",[1]OUT_FinalEnergyCons!$A$4:$A$10000)))*1,[1]OUT_FinalEnergyCons!J$4:J$10000)</f>
        <v>0</v>
      </c>
      <c r="M1039" s="1" cm="1">
        <f t="array" ref="M1039">SUMPRODUCT(([1]OUT_FinalEnergyCons!$B$4:$B$10000="Var_Fin")*1, ISNUMBER(SEARCH("RSH2",[1]OUT_FinalEnergyCons!$C$4:$C$10000))*1,(ISNUMBER(SEARCH("RH*-SHH2BR",[1]OUT_FinalEnergyCons!$A$4:$A$10000)))*1,[1]OUT_FinalEnergyCons!K$4:K$10000)</f>
        <v>0</v>
      </c>
      <c r="N1039" s="1" cm="1">
        <f t="array" ref="N1039">SUMPRODUCT(([1]OUT_FinalEnergyCons!$B$4:$B$10000="Var_Fin")*1, ISNUMBER(SEARCH("RSH2",[1]OUT_FinalEnergyCons!$C$4:$C$10000))*1,(ISNUMBER(SEARCH("RH*-SHH2BR",[1]OUT_FinalEnergyCons!$A$4:$A$10000)))*1,[1]OUT_FinalEnergyCons!L$4:L$10000)</f>
        <v>0</v>
      </c>
      <c r="O1039" s="1" cm="1">
        <f t="array" ref="O1039">SUMPRODUCT(([1]OUT_FinalEnergyCons!$B$4:$B$10000="Var_Fin")*1, ISNUMBER(SEARCH("RSH2",[1]OUT_FinalEnergyCons!$C$4:$C$10000))*1,(ISNUMBER(SEARCH("RH*-SHH2BR",[1]OUT_FinalEnergyCons!$A$4:$A$10000)))*1,[1]OUT_FinalEnergyCons!M$4:M$10000)</f>
        <v>0</v>
      </c>
      <c r="P1039" s="1" cm="1">
        <f t="array" ref="P1039">SUMPRODUCT(([1]OUT_FinalEnergyCons!$B$4:$B$10000="Var_Fin")*1, ISNUMBER(SEARCH("RSH2",[1]OUT_FinalEnergyCons!$C$4:$C$10000))*1,(ISNUMBER(SEARCH("RH*-SHH2BR",[1]OUT_FinalEnergyCons!$A$4:$A$10000)))*1,[1]OUT_FinalEnergyCons!N$4:N$10000)</f>
        <v>0</v>
      </c>
      <c r="Q1039" s="1" cm="1">
        <f t="array" ref="Q1039">SUMPRODUCT(([1]OUT_FinalEnergyCons!$B$4:$B$10000="Var_Fin")*1, ISNUMBER(SEARCH("RSH2",[1]OUT_FinalEnergyCons!$C$4:$C$10000))*1,(ISNUMBER(SEARCH("RH*-SHH2BR",[1]OUT_FinalEnergyCons!$A$4:$A$10000)))*1,[1]OUT_FinalEnergyCons!O$4:O$10000)</f>
        <v>0</v>
      </c>
      <c r="S1039" s="3"/>
    </row>
    <row r="1040" spans="2:19" x14ac:dyDescent="0.5">
      <c r="B1040" s="5" t="str">
        <f t="shared" si="1193"/>
        <v>SPS1</v>
      </c>
      <c r="C1040" s="5" t="str">
        <f t="shared" si="1194"/>
        <v>CH</v>
      </c>
      <c r="D1040" t="s">
        <v>1033</v>
      </c>
      <c r="E1040" t="s">
        <v>8</v>
      </c>
      <c r="F1040" s="1">
        <f>F1041</f>
        <v>0</v>
      </c>
      <c r="G1040" s="1">
        <f t="shared" ref="G1040:O1040" si="1255">G1041</f>
        <v>0</v>
      </c>
      <c r="H1040" s="1">
        <f t="shared" si="1255"/>
        <v>0</v>
      </c>
      <c r="I1040" s="1">
        <f t="shared" si="1255"/>
        <v>0</v>
      </c>
      <c r="J1040" s="1">
        <f t="shared" si="1255"/>
        <v>0</v>
      </c>
      <c r="K1040" s="1">
        <f t="shared" si="1255"/>
        <v>0</v>
      </c>
      <c r="L1040" s="1">
        <f t="shared" si="1255"/>
        <v>0</v>
      </c>
      <c r="M1040" s="1">
        <f t="shared" si="1255"/>
        <v>0</v>
      </c>
      <c r="N1040" s="1">
        <f t="shared" si="1255"/>
        <v>0</v>
      </c>
      <c r="O1040" s="1">
        <f t="shared" si="1255"/>
        <v>0</v>
      </c>
      <c r="P1040" s="1">
        <f>P1041</f>
        <v>0</v>
      </c>
      <c r="Q1040" s="1">
        <f>Q1041</f>
        <v>0</v>
      </c>
      <c r="S1040" s="3"/>
    </row>
    <row r="1041" spans="2:19" x14ac:dyDescent="0.5">
      <c r="B1041" s="5" t="str">
        <f t="shared" si="1193"/>
        <v>SPS1</v>
      </c>
      <c r="C1041" s="5" t="str">
        <f t="shared" si="1194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SUMPRODUCT(([1]OUT_FinalEnergyCons!$B$4:$B$10000="Var_Fin")*1, ISNUMBER(SEARCH("RSH2",[1]OUT_FinalEnergyCons!$C$4:$C$10000))*1,(ISNUMBER(SEARCH("RH*-wHH2BR",[1]OUT_FinalEnergyCons!$A$4:$A$10000)))*1,[1]OUT_FinalEnergyCons!H$4:H$10000)</f>
        <v>0</v>
      </c>
      <c r="K1041" s="1" cm="1">
        <f t="array" ref="K1041">SUMPRODUCT(([1]OUT_FinalEnergyCons!$B$4:$B$10000="Var_Fin")*1, ISNUMBER(SEARCH("RSH2",[1]OUT_FinalEnergyCons!$C$4:$C$10000))*1,(ISNUMBER(SEARCH("RH*-wHH2BR",[1]OUT_FinalEnergyCons!$A$4:$A$10000)))*1,[1]OUT_FinalEnergyCons!I$4:I$10000)</f>
        <v>0</v>
      </c>
      <c r="L1041" s="1" cm="1">
        <f t="array" ref="L1041">SUMPRODUCT(([1]OUT_FinalEnergyCons!$B$4:$B$10000="Var_Fin")*1, ISNUMBER(SEARCH("RSH2",[1]OUT_FinalEnergyCons!$C$4:$C$10000))*1,(ISNUMBER(SEARCH("RH*-wHH2BR",[1]OUT_FinalEnergyCons!$A$4:$A$10000)))*1,[1]OUT_FinalEnergyCons!J$4:J$10000)</f>
        <v>0</v>
      </c>
      <c r="M1041" s="1" cm="1">
        <f t="array" ref="M1041">SUMPRODUCT(([1]OUT_FinalEnergyCons!$B$4:$B$10000="Var_Fin")*1, ISNUMBER(SEARCH("RSH2",[1]OUT_FinalEnergyCons!$C$4:$C$10000))*1,(ISNUMBER(SEARCH("RH*-wHH2BR",[1]OUT_FinalEnergyCons!$A$4:$A$10000)))*1,[1]OUT_FinalEnergyCons!K$4:K$10000)</f>
        <v>0</v>
      </c>
      <c r="N1041" s="1" cm="1">
        <f t="array" ref="N1041">SUMPRODUCT(([1]OUT_FinalEnergyCons!$B$4:$B$10000="Var_Fin")*1, ISNUMBER(SEARCH("RSH2",[1]OUT_FinalEnergyCons!$C$4:$C$10000))*1,(ISNUMBER(SEARCH("RH*-wHH2BR",[1]OUT_FinalEnergyCons!$A$4:$A$10000)))*1,[1]OUT_FinalEnergyCons!L$4:L$10000)</f>
        <v>0</v>
      </c>
      <c r="O1041" s="1" cm="1">
        <f t="array" ref="O1041">SUMPRODUCT(([1]OUT_FinalEnergyCons!$B$4:$B$10000="Var_Fin")*1, ISNUMBER(SEARCH("RSH2",[1]OUT_FinalEnergyCons!$C$4:$C$10000))*1,(ISNUMBER(SEARCH("RH*-wHH2BR",[1]OUT_FinalEnergyCons!$A$4:$A$10000)))*1,[1]OUT_FinalEnergyCons!M$4:M$10000)</f>
        <v>0</v>
      </c>
      <c r="P1041" s="1" cm="1">
        <f t="array" ref="P1041">SUMPRODUCT(([1]OUT_FinalEnergyCons!$B$4:$B$10000="Var_Fin")*1, ISNUMBER(SEARCH("RSH2",[1]OUT_FinalEnergyCons!$C$4:$C$10000))*1,(ISNUMBER(SEARCH("RH*-wHH2BR",[1]OUT_FinalEnergyCons!$A$4:$A$10000)))*1,[1]OUT_FinalEnergyCons!N$4:N$10000)</f>
        <v>0</v>
      </c>
      <c r="Q1041" s="1" cm="1">
        <f t="array" ref="Q1041">SUMPRODUCT(([1]OUT_FinalEnergyCons!$B$4:$B$10000="Var_Fin")*1, ISNUMBER(SEARCH("RSH2",[1]OUT_FinalEnergyCons!$C$4:$C$10000))*1,(ISNUMBER(SEARCH("RH*-wHH2BR",[1]OUT_FinalEnergyCons!$A$4:$A$10000)))*1,[1]OUT_FinalEnergyCons!O$4:O$10000)</f>
        <v>0</v>
      </c>
      <c r="S1041" s="3"/>
    </row>
    <row r="1042" spans="2:19" x14ac:dyDescent="0.5">
      <c r="B1042" s="5" t="str">
        <f t="shared" si="1193"/>
        <v>SPS1</v>
      </c>
      <c r="C1042" s="5" t="str">
        <f t="shared" si="1194"/>
        <v>CH</v>
      </c>
      <c r="D1042" t="s">
        <v>1034</v>
      </c>
      <c r="E1042" t="s">
        <v>8</v>
      </c>
      <c r="F1042" s="1">
        <f>[1]Residential!B$21</f>
        <v>5.7307955524069785</v>
      </c>
      <c r="G1042" s="1">
        <f>[1]Residential!C$21</f>
        <v>9.6750908393119524</v>
      </c>
      <c r="H1042" s="1">
        <f>[1]Residential!D$21</f>
        <v>10.34375347281228</v>
      </c>
      <c r="I1042" s="1">
        <f>[1]Residential!E$21</f>
        <v>10.193794274013861</v>
      </c>
      <c r="J1042" s="1">
        <f>[1]Residential!F$21</f>
        <v>10.547786459841548</v>
      </c>
      <c r="K1042" s="1">
        <f>[1]Residential!G$21</f>
        <v>11.35253982033516</v>
      </c>
      <c r="L1042" s="1">
        <f>[1]Residential!H$21</f>
        <v>11.30854450504917</v>
      </c>
      <c r="M1042" s="1">
        <f>[1]Residential!I$21</f>
        <v>11.403033247610802</v>
      </c>
      <c r="N1042" s="1">
        <f>[1]Residential!J$21</f>
        <v>11.19167673138949</v>
      </c>
      <c r="O1042" s="1">
        <f>[1]Residential!K$21</f>
        <v>10.853829968988112</v>
      </c>
      <c r="P1042" s="1">
        <f>[1]Residential!L$21</f>
        <v>11.125928367099077</v>
      </c>
      <c r="Q1042" s="1">
        <f>[1]Residential!M$21</f>
        <v>10.148543598827228</v>
      </c>
      <c r="S1042" s="3"/>
    </row>
    <row r="1043" spans="2:19" x14ac:dyDescent="0.5">
      <c r="B1043" s="5" t="str">
        <f t="shared" si="1193"/>
        <v>SPS1</v>
      </c>
      <c r="C1043" s="5" t="str">
        <f t="shared" si="1194"/>
        <v>CH</v>
      </c>
      <c r="D1043" t="s">
        <v>1035</v>
      </c>
      <c r="E1043" t="s">
        <v>8</v>
      </c>
      <c r="F1043" s="1">
        <f>SUM(F1044:F1046)</f>
        <v>0.10314679531986462</v>
      </c>
      <c r="G1043" s="1">
        <f t="shared" ref="G1043:K1043" si="1256">SUM(G1044:G1046)</f>
        <v>6.4601283177069702E-2</v>
      </c>
      <c r="H1043" s="1">
        <f t="shared" si="1256"/>
        <v>0.30704707473520387</v>
      </c>
      <c r="I1043" s="1">
        <f t="shared" si="1256"/>
        <v>1.3739795838424362</v>
      </c>
      <c r="J1043" s="1">
        <f t="shared" si="1256"/>
        <v>1.5280054679429096</v>
      </c>
      <c r="K1043" s="1">
        <f t="shared" si="1256"/>
        <v>1.6722850601871171</v>
      </c>
      <c r="L1043" s="1">
        <f t="shared" ref="L1043:O1043" si="1257">SUM(L1044:L1046)</f>
        <v>1.6537111808000344</v>
      </c>
      <c r="M1043" s="1">
        <f t="shared" si="1257"/>
        <v>1.7568583632484687</v>
      </c>
      <c r="N1043" s="1">
        <f t="shared" si="1257"/>
        <v>1.686784459248369</v>
      </c>
      <c r="O1043" s="1">
        <f t="shared" si="1257"/>
        <v>1.72484491063568</v>
      </c>
      <c r="P1043" s="1">
        <f>SUM(P1044:P1046)</f>
        <v>1.8007402270866038</v>
      </c>
      <c r="Q1043" s="1">
        <f>SUM(Q1044:Q1046)</f>
        <v>1.8618551373996814</v>
      </c>
      <c r="S1043" s="3"/>
    </row>
    <row r="1044" spans="2:19" x14ac:dyDescent="0.5">
      <c r="B1044" s="5" t="str">
        <f t="shared" si="1193"/>
        <v>SPS1</v>
      </c>
      <c r="C1044" s="5" t="str">
        <f t="shared" si="1194"/>
        <v>CH</v>
      </c>
      <c r="D1044" t="s">
        <v>749</v>
      </c>
      <c r="E1044" t="s">
        <v>8</v>
      </c>
      <c r="F1044" s="1">
        <f t="shared" ref="F1044:K1045" si="1258">SUM(F244,F246)</f>
        <v>0.10314679531986462</v>
      </c>
      <c r="G1044" s="1">
        <f t="shared" si="1258"/>
        <v>6.4601283177069702E-2</v>
      </c>
      <c r="H1044" s="1">
        <f t="shared" si="1258"/>
        <v>0.30704707473520387</v>
      </c>
      <c r="I1044" s="1">
        <f t="shared" si="1258"/>
        <v>1.3383019473928919</v>
      </c>
      <c r="J1044" s="1">
        <f t="shared" si="1258"/>
        <v>1.4763218879714304</v>
      </c>
      <c r="K1044" s="1">
        <f t="shared" si="1258"/>
        <v>1.6233220441449272</v>
      </c>
      <c r="L1044" s="1">
        <f t="shared" ref="L1044:O1044" si="1259">SUM(L244,L246)</f>
        <v>1.5972500035108805</v>
      </c>
      <c r="M1044" s="1">
        <f t="shared" si="1259"/>
        <v>1.6375599388258391</v>
      </c>
      <c r="N1044" s="1">
        <f t="shared" si="1259"/>
        <v>1.5752634215357268</v>
      </c>
      <c r="O1044" s="1">
        <f t="shared" si="1259"/>
        <v>1.610778498222539</v>
      </c>
      <c r="P1044" s="1">
        <f>SUM(P244,P246)</f>
        <v>1.6951133738211812</v>
      </c>
      <c r="Q1044" s="1">
        <f>SUM(Q244,Q246)</f>
        <v>1.6805494653765443</v>
      </c>
      <c r="S1044" s="3"/>
    </row>
    <row r="1045" spans="2:19" x14ac:dyDescent="0.5">
      <c r="B1045" s="5" t="str">
        <f t="shared" si="1193"/>
        <v>SPS1</v>
      </c>
      <c r="C1045" s="5" t="str">
        <f t="shared" si="1194"/>
        <v>CH</v>
      </c>
      <c r="D1045" t="s">
        <v>750</v>
      </c>
      <c r="E1045" t="s">
        <v>8</v>
      </c>
      <c r="F1045" s="1">
        <f t="shared" si="1258"/>
        <v>0</v>
      </c>
      <c r="G1045" s="1">
        <f t="shared" si="1258"/>
        <v>0</v>
      </c>
      <c r="H1045" s="1">
        <f t="shared" si="1258"/>
        <v>0</v>
      </c>
      <c r="I1045" s="1">
        <f t="shared" si="1258"/>
        <v>0</v>
      </c>
      <c r="J1045" s="1">
        <f t="shared" si="1258"/>
        <v>0</v>
      </c>
      <c r="K1045" s="1">
        <f t="shared" si="1258"/>
        <v>0</v>
      </c>
      <c r="L1045" s="1">
        <f t="shared" ref="L1045:O1045" si="1260">SUM(L245,L247)</f>
        <v>0</v>
      </c>
      <c r="M1045" s="1">
        <f t="shared" si="1260"/>
        <v>0</v>
      </c>
      <c r="N1045" s="1">
        <f t="shared" si="1260"/>
        <v>0</v>
      </c>
      <c r="O1045" s="1">
        <f t="shared" si="1260"/>
        <v>0</v>
      </c>
      <c r="P1045" s="1">
        <f>SUM(P245,P247)</f>
        <v>0</v>
      </c>
      <c r="Q1045" s="1">
        <f>SUM(Q245,Q247)</f>
        <v>0</v>
      </c>
      <c r="S1045" s="3"/>
    </row>
    <row r="1046" spans="2:19" x14ac:dyDescent="0.5">
      <c r="B1046" s="5" t="str">
        <f t="shared" si="1193"/>
        <v>SPS1</v>
      </c>
      <c r="C1046" s="5" t="str">
        <f t="shared" si="1194"/>
        <v>CH</v>
      </c>
      <c r="D1046" t="s">
        <v>751</v>
      </c>
      <c r="E1046" t="s">
        <v>8</v>
      </c>
      <c r="F1046" s="1">
        <f t="shared" ref="F1046:K1046" si="1261">SUM(F285,F286)</f>
        <v>0</v>
      </c>
      <c r="G1046" s="1">
        <f t="shared" si="1261"/>
        <v>0</v>
      </c>
      <c r="H1046" s="1">
        <f t="shared" si="1261"/>
        <v>0</v>
      </c>
      <c r="I1046" s="1">
        <f t="shared" si="1261"/>
        <v>3.5677636449544331E-2</v>
      </c>
      <c r="J1046" s="1">
        <f t="shared" si="1261"/>
        <v>5.1683579971479279E-2</v>
      </c>
      <c r="K1046" s="1">
        <f t="shared" si="1261"/>
        <v>4.8963016042189923E-2</v>
      </c>
      <c r="L1046" s="1">
        <f t="shared" ref="L1046:O1046" si="1262">SUM(L285,L286)</f>
        <v>5.6461177289153952E-2</v>
      </c>
      <c r="M1046" s="1">
        <f t="shared" si="1262"/>
        <v>0.11929842442262956</v>
      </c>
      <c r="N1046" s="1">
        <f t="shared" si="1262"/>
        <v>0.11152103771264213</v>
      </c>
      <c r="O1046" s="1">
        <f t="shared" si="1262"/>
        <v>0.11406641241314092</v>
      </c>
      <c r="P1046" s="1">
        <f>SUM(P285,P286)</f>
        <v>0.10562685326542245</v>
      </c>
      <c r="Q1046" s="1">
        <f>SUM(Q285,Q286)</f>
        <v>0.18130567202313719</v>
      </c>
      <c r="S1046" s="3"/>
    </row>
    <row r="1047" spans="2:19" x14ac:dyDescent="0.5">
      <c r="B1047" s="5" t="str">
        <f t="shared" si="1193"/>
        <v>SPS1</v>
      </c>
      <c r="C1047" s="5" t="str">
        <f t="shared" si="1194"/>
        <v>CH</v>
      </c>
      <c r="D1047" t="s">
        <v>1036</v>
      </c>
      <c r="E1047" t="s">
        <v>8</v>
      </c>
      <c r="F1047" s="1">
        <f>F1042-F1043</f>
        <v>5.6276487570871137</v>
      </c>
      <c r="G1047" s="1">
        <f t="shared" ref="G1047:K1047" si="1263">G1042-G1043</f>
        <v>9.6104895561348833</v>
      </c>
      <c r="H1047" s="1">
        <f t="shared" si="1263"/>
        <v>10.036706398077076</v>
      </c>
      <c r="I1047" s="1">
        <f t="shared" si="1263"/>
        <v>8.8198146901714249</v>
      </c>
      <c r="J1047" s="1">
        <f t="shared" si="1263"/>
        <v>9.0197809918986387</v>
      </c>
      <c r="K1047" s="1">
        <f t="shared" si="1263"/>
        <v>9.680254760148042</v>
      </c>
      <c r="L1047" s="1">
        <f t="shared" ref="L1047:O1047" si="1264">L1042-L1043</f>
        <v>9.654833324249136</v>
      </c>
      <c r="M1047" s="1">
        <f t="shared" si="1264"/>
        <v>9.6461748843623329</v>
      </c>
      <c r="N1047" s="1">
        <f t="shared" si="1264"/>
        <v>9.504892272141122</v>
      </c>
      <c r="O1047" s="1">
        <f t="shared" si="1264"/>
        <v>9.1289850583524323</v>
      </c>
      <c r="P1047" s="1">
        <f>P1042-P1043</f>
        <v>9.3251881400124734</v>
      </c>
      <c r="Q1047" s="1">
        <f>Q1042-Q1043</f>
        <v>8.2866884614275467</v>
      </c>
      <c r="S1047" s="3"/>
    </row>
    <row r="1048" spans="2:19" x14ac:dyDescent="0.5">
      <c r="B1048" s="5" t="str">
        <f t="shared" si="1193"/>
        <v>SPS1</v>
      </c>
      <c r="C1048" s="5" t="str">
        <f t="shared" si="1194"/>
        <v>CH</v>
      </c>
      <c r="D1048" t="s">
        <v>1037</v>
      </c>
      <c r="E1048" t="s">
        <v>8</v>
      </c>
      <c r="F1048" s="1">
        <f>[1]Residential!B$25</f>
        <v>15.195012030467563</v>
      </c>
      <c r="G1048" s="1">
        <f>[1]Residential!C$25</f>
        <v>18.073155940093535</v>
      </c>
      <c r="H1048" s="1">
        <f>[1]Residential!D$25</f>
        <v>20.407420681731992</v>
      </c>
      <c r="I1048" s="1">
        <f>[1]Residential!E$25</f>
        <v>22.984154226818674</v>
      </c>
      <c r="J1048" s="1">
        <f>[1]Residential!F$25</f>
        <v>29.257215122073148</v>
      </c>
      <c r="K1048" s="1">
        <f>[1]Residential!G$25</f>
        <v>31.393816278416477</v>
      </c>
      <c r="L1048" s="1">
        <f>[1]Residential!H$25</f>
        <v>32.675592209651242</v>
      </c>
      <c r="M1048" s="1">
        <f>[1]Residential!I$25</f>
        <v>35.518113184109737</v>
      </c>
      <c r="N1048" s="1">
        <f>[1]Residential!J$25</f>
        <v>37.345573318392169</v>
      </c>
      <c r="O1048" s="1">
        <f>[1]Residential!K$25</f>
        <v>37.748276618953128</v>
      </c>
      <c r="P1048" s="1">
        <f>[1]Residential!L$25</f>
        <v>39.102398674407652</v>
      </c>
      <c r="Q1048" s="1">
        <f>[1]Residential!M$25</f>
        <v>40.061324832929415</v>
      </c>
      <c r="S1048" s="3"/>
    </row>
    <row r="1049" spans="2:19" x14ac:dyDescent="0.5">
      <c r="B1049" s="5" t="str">
        <f t="shared" si="1193"/>
        <v>SPS1</v>
      </c>
      <c r="C1049" s="5" t="str">
        <f t="shared" si="1194"/>
        <v>CH</v>
      </c>
      <c r="D1049" t="s">
        <v>1038</v>
      </c>
      <c r="E1049" t="s">
        <v>8</v>
      </c>
      <c r="F1049" s="1">
        <f>F1048-F1052</f>
        <v>13.104003856397259</v>
      </c>
      <c r="G1049" s="1">
        <f t="shared" ref="G1049:K1049" si="1265">G1048-G1052</f>
        <v>15.724121368588099</v>
      </c>
      <c r="H1049" s="1">
        <f t="shared" si="1265"/>
        <v>17.213000586691436</v>
      </c>
      <c r="I1049" s="1">
        <f t="shared" si="1265"/>
        <v>19.094023942769788</v>
      </c>
      <c r="J1049" s="1">
        <f t="shared" si="1265"/>
        <v>23.918024738369784</v>
      </c>
      <c r="K1049" s="1">
        <f t="shared" si="1265"/>
        <v>25.455243720205871</v>
      </c>
      <c r="L1049" s="1">
        <f t="shared" ref="L1049:O1049" si="1266">L1048-L1052</f>
        <v>26.311772534324813</v>
      </c>
      <c r="M1049" s="1">
        <f t="shared" si="1266"/>
        <v>28.509298318867987</v>
      </c>
      <c r="N1049" s="1">
        <f t="shared" si="1266"/>
        <v>28.847200891279641</v>
      </c>
      <c r="O1049" s="1">
        <f t="shared" si="1266"/>
        <v>29.086071728738688</v>
      </c>
      <c r="P1049" s="1">
        <f>P1048-P1052</f>
        <v>30.883814963781461</v>
      </c>
      <c r="Q1049" s="1">
        <f>Q1048-Q1052</f>
        <v>30.900857043503329</v>
      </c>
      <c r="S1049" s="3"/>
    </row>
    <row r="1050" spans="2:19" x14ac:dyDescent="0.5">
      <c r="B1050" s="5" t="str">
        <f t="shared" si="1193"/>
        <v>SPS1</v>
      </c>
      <c r="C1050" s="5" t="str">
        <f t="shared" si="1194"/>
        <v>CH</v>
      </c>
      <c r="D1050" t="s">
        <v>752</v>
      </c>
      <c r="E1050" t="s">
        <v>8</v>
      </c>
      <c r="F1050" s="1">
        <f>F1049-F1051</f>
        <v>13.104003856397259</v>
      </c>
      <c r="G1050" s="1">
        <f t="shared" ref="G1050:K1050" si="1267">G1049-G1051</f>
        <v>15.724121368588099</v>
      </c>
      <c r="H1050" s="1">
        <f t="shared" si="1267"/>
        <v>17.194184150528862</v>
      </c>
      <c r="I1050" s="1">
        <f t="shared" si="1267"/>
        <v>19.073809382338268</v>
      </c>
      <c r="J1050" s="1">
        <f t="shared" si="1267"/>
        <v>22.56137002209935</v>
      </c>
      <c r="K1050" s="1">
        <f t="shared" si="1267"/>
        <v>22.838894656686314</v>
      </c>
      <c r="L1050" s="1">
        <f t="shared" ref="L1050:O1050" si="1268">L1049-L1051</f>
        <v>23.061688923819492</v>
      </c>
      <c r="M1050" s="1">
        <f t="shared" si="1268"/>
        <v>23.486785721025303</v>
      </c>
      <c r="N1050" s="1">
        <f t="shared" si="1268"/>
        <v>23.486956455209032</v>
      </c>
      <c r="O1050" s="1">
        <f t="shared" si="1268"/>
        <v>23.487252420783783</v>
      </c>
      <c r="P1050" s="1">
        <f>P1049-P1051</f>
        <v>23.489957244452512</v>
      </c>
      <c r="Q1050" s="1">
        <f>Q1049-Q1051</f>
        <v>23.490828629672137</v>
      </c>
      <c r="S1050" s="3"/>
    </row>
    <row r="1051" spans="2:19" x14ac:dyDescent="0.5">
      <c r="B1051" s="5" t="str">
        <f t="shared" si="1193"/>
        <v>SPS1</v>
      </c>
      <c r="C1051" s="5" t="str">
        <f t="shared" si="1194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1.8816436162572447E-2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2.0214560431517908E-2</v>
      </c>
      <c r="J1051" s="1" cm="1">
        <f t="array" ref="J1051">SUMPRODUCT(([1]OUT_FinalEnergyCons!$B$4:$B$10000="Var_FOut")*1, ISNUMBER(SEARCH("RH*SHANGAH",[1]OUT_FinalEnergyCons!$C$4:$C$10000))*1,ISNUMBER(SEARCH("RH*-SHngahp",[1]OUT_FinalEnergyCons!$A$4:$A$10000))*1,[1]OUT_FinalEnergyCons!H$4:H$10000)-J999</f>
        <v>1.3566547162704332</v>
      </c>
      <c r="K1051" s="1" cm="1">
        <f t="array" ref="K1051">SUMPRODUCT(([1]OUT_FinalEnergyCons!$B$4:$B$10000="Var_FOut")*1, ISNUMBER(SEARCH("RH*SHANGAH",[1]OUT_FinalEnergyCons!$C$4:$C$10000))*1,ISNUMBER(SEARCH("RH*-SHngahp",[1]OUT_FinalEnergyCons!$A$4:$A$10000))*1,[1]OUT_FinalEnergyCons!I$4:I$10000)-K999</f>
        <v>2.616349063519559</v>
      </c>
      <c r="L1051" s="1" cm="1">
        <f t="array" ref="L1051">SUMPRODUCT(([1]OUT_FinalEnergyCons!$B$4:$B$10000="Var_FOut")*1, ISNUMBER(SEARCH("RH*SHANGAH",[1]OUT_FinalEnergyCons!$C$4:$C$10000))*1,ISNUMBER(SEARCH("RH*-SHngahp",[1]OUT_FinalEnergyCons!$A$4:$A$10000))*1,[1]OUT_FinalEnergyCons!J$4:J$10000)-L999</f>
        <v>3.2500836105053224</v>
      </c>
      <c r="M1051" s="1" cm="1">
        <f t="array" ref="M1051">SUMPRODUCT(([1]OUT_FinalEnergyCons!$B$4:$B$10000="Var_FOut")*1, ISNUMBER(SEARCH("RH*SHANGAH",[1]OUT_FinalEnergyCons!$C$4:$C$10000))*1,ISNUMBER(SEARCH("RH*-SHngahp",[1]OUT_FinalEnergyCons!$A$4:$A$10000))*1,[1]OUT_FinalEnergyCons!K$4:K$10000)-M999</f>
        <v>5.0225125978426837</v>
      </c>
      <c r="N1051" s="1" cm="1">
        <f t="array" ref="N1051">SUMPRODUCT(([1]OUT_FinalEnergyCons!$B$4:$B$10000="Var_FOut")*1, ISNUMBER(SEARCH("RH*SHANGAH",[1]OUT_FinalEnergyCons!$C$4:$C$10000))*1,ISNUMBER(SEARCH("RH*-SHngahp",[1]OUT_FinalEnergyCons!$A$4:$A$10000))*1,[1]OUT_FinalEnergyCons!L$4:L$10000)-N999</f>
        <v>5.3602444360706105</v>
      </c>
      <c r="O1051" s="1" cm="1">
        <f t="array" ref="O1051">SUMPRODUCT(([1]OUT_FinalEnergyCons!$B$4:$B$10000="Var_FOut")*1, ISNUMBER(SEARCH("RH*SHANGAH",[1]OUT_FinalEnergyCons!$C$4:$C$10000))*1,ISNUMBER(SEARCH("RH*-SHngahp",[1]OUT_FinalEnergyCons!$A$4:$A$10000))*1,[1]OUT_FinalEnergyCons!M$4:M$10000)-O999</f>
        <v>5.5988193079549067</v>
      </c>
      <c r="P1051" s="1" cm="1">
        <f t="array" ref="P1051">SUMPRODUCT(([1]OUT_FinalEnergyCons!$B$4:$B$10000="Var_FOut")*1, ISNUMBER(SEARCH("RH*SHANGAH",[1]OUT_FinalEnergyCons!$C$4:$C$10000))*1,ISNUMBER(SEARCH("RH*-SHngahp",[1]OUT_FinalEnergyCons!$A$4:$A$10000))*1,[1]OUT_FinalEnergyCons!N$4:N$10000)-P999</f>
        <v>7.3938577193289481</v>
      </c>
      <c r="Q1051" s="1" cm="1">
        <f t="array" ref="Q1051">SUMPRODUCT(([1]OUT_FinalEnergyCons!$B$4:$B$10000="Var_FOut")*1, ISNUMBER(SEARCH("RH*SHANGAH",[1]OUT_FinalEnergyCons!$C$4:$C$10000))*1,ISNUMBER(SEARCH("RH*-SHngahp",[1]OUT_FinalEnergyCons!$A$4:$A$10000))*1,[1]OUT_FinalEnergyCons!O$4:O$10000)-Q999</f>
        <v>7.4100284138311929</v>
      </c>
      <c r="S1051" s="3"/>
    </row>
    <row r="1052" spans="2:19" x14ac:dyDescent="0.5">
      <c r="B1052" s="5" t="str">
        <f t="shared" si="1193"/>
        <v>SPS1</v>
      </c>
      <c r="C1052" s="5" t="str">
        <f t="shared" si="1194"/>
        <v>CH</v>
      </c>
      <c r="D1052" t="s">
        <v>1039</v>
      </c>
      <c r="E1052" t="s">
        <v>8</v>
      </c>
      <c r="F1052" s="1">
        <f>SUM(F1053:F1054)</f>
        <v>2.0910081740703035</v>
      </c>
      <c r="G1052" s="1">
        <f t="shared" ref="G1052:K1052" si="1269">SUM(G1053:G1054)</f>
        <v>2.3490345715054364</v>
      </c>
      <c r="H1052" s="1">
        <f t="shared" si="1269"/>
        <v>3.1944200950405559</v>
      </c>
      <c r="I1052" s="1">
        <f t="shared" si="1269"/>
        <v>3.8901302840488849</v>
      </c>
      <c r="J1052" s="1">
        <f t="shared" si="1269"/>
        <v>5.3391903837033645</v>
      </c>
      <c r="K1052" s="1">
        <f t="shared" si="1269"/>
        <v>5.9385725582106073</v>
      </c>
      <c r="L1052" s="1">
        <f t="shared" ref="L1052:O1052" si="1270">SUM(L1053:L1054)</f>
        <v>6.3638196753264298</v>
      </c>
      <c r="M1052" s="1">
        <f t="shared" si="1270"/>
        <v>7.0088148652417495</v>
      </c>
      <c r="N1052" s="1">
        <f t="shared" si="1270"/>
        <v>8.4983724271125265</v>
      </c>
      <c r="O1052" s="1">
        <f t="shared" si="1270"/>
        <v>8.66220489021444</v>
      </c>
      <c r="P1052" s="1">
        <f>SUM(P1053:P1054)</f>
        <v>8.2185837106261932</v>
      </c>
      <c r="Q1052" s="1">
        <f>SUM(Q1053:Q1054)</f>
        <v>9.1604677894260877</v>
      </c>
      <c r="S1052" s="3"/>
    </row>
    <row r="1053" spans="2:19" x14ac:dyDescent="0.5">
      <c r="B1053" s="5" t="str">
        <f t="shared" si="1193"/>
        <v>SPS1</v>
      </c>
      <c r="C1053" s="5" t="str">
        <f t="shared" si="1194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2.0910081740703035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2.3490345715054364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3.191307593411127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3.8865234608405395</v>
      </c>
      <c r="J1053" s="1" cm="1">
        <f t="array" ref="J1053">SUMPRODUCT(([1]OUT_FinalEnergyCons!$B$4:$B$10000="Var_FOut")*1, ISNUMBER(SEARCH("RHSA-WHAELCH",[1]OUT_FinalEnergyCons!$C$4:$C$10000))*1,(ISNUMBER(SEARCH("RHSA-WHELCHP",[1]OUT_FinalEnergyCons!$A$4:$A$10000)))*1,[1]OUT_FinalEnergyCons!H$4:H$10000)-J979</f>
        <v>5.1191068282190262</v>
      </c>
      <c r="K1053" s="1" cm="1">
        <f t="array" ref="K1053">SUMPRODUCT(([1]OUT_FinalEnergyCons!$B$4:$B$10000="Var_FOut")*1, ISNUMBER(SEARCH("RHSA-WHAELCH",[1]OUT_FinalEnergyCons!$C$4:$C$10000))*1,(ISNUMBER(SEARCH("RHSA-WHELCHP",[1]OUT_FinalEnergyCons!$A$4:$A$10000)))*1,[1]OUT_FinalEnergyCons!I$4:I$10000)-K979</f>
        <v>5.3514303563732177</v>
      </c>
      <c r="L1053" s="1" cm="1">
        <f t="array" ref="L1053">SUMPRODUCT(([1]OUT_FinalEnergyCons!$B$4:$B$10000="Var_FOut")*1, ISNUMBER(SEARCH("RHSA-WHAELCH",[1]OUT_FinalEnergyCons!$C$4:$C$10000))*1,(ISNUMBER(SEARCH("RHSA-WHELCHP",[1]OUT_FinalEnergyCons!$A$4:$A$10000)))*1,[1]OUT_FinalEnergyCons!J$4:J$10000)-L979</f>
        <v>5.5504536621986684</v>
      </c>
      <c r="M1053" s="1" cm="1">
        <f t="array" ref="M1053">SUMPRODUCT(([1]OUT_FinalEnergyCons!$B$4:$B$10000="Var_FOut")*1, ISNUMBER(SEARCH("RHSA-WHAELCH",[1]OUT_FinalEnergyCons!$C$4:$C$10000))*1,(ISNUMBER(SEARCH("RHSA-WHELCHP",[1]OUT_FinalEnergyCons!$A$4:$A$10000)))*1,[1]OUT_FinalEnergyCons!K$4:K$10000)-M979</f>
        <v>5.6038600335477033</v>
      </c>
      <c r="N1053" s="1" cm="1">
        <f t="array" ref="N1053">SUMPRODUCT(([1]OUT_FinalEnergyCons!$B$4:$B$10000="Var_FOut")*1, ISNUMBER(SEARCH("RHSA-WHAELCH",[1]OUT_FinalEnergyCons!$C$4:$C$10000))*1,(ISNUMBER(SEARCH("RHSA-WHELCHP",[1]OUT_FinalEnergyCons!$A$4:$A$10000)))*1,[1]OUT_FinalEnergyCons!L$4:L$10000)-N979</f>
        <v>6.9987608047724148</v>
      </c>
      <c r="O1053" s="1" cm="1">
        <f t="array" ref="O1053">SUMPRODUCT(([1]OUT_FinalEnergyCons!$B$4:$B$10000="Var_FOut")*1, ISNUMBER(SEARCH("RHSA-WHAELCH",[1]OUT_FinalEnergyCons!$C$4:$C$10000))*1,(ISNUMBER(SEARCH("RHSA-WHELCHP",[1]OUT_FinalEnergyCons!$A$4:$A$10000)))*1,[1]OUT_FinalEnergyCons!M$4:M$10000)-O979</f>
        <v>7.0958778435448622</v>
      </c>
      <c r="P1053" s="1" cm="1">
        <f t="array" ref="P1053">SUMPRODUCT(([1]OUT_FinalEnergyCons!$B$4:$B$10000="Var_FOut")*1, ISNUMBER(SEARCH("RHSA-WHAELCH",[1]OUT_FinalEnergyCons!$C$4:$C$10000))*1,(ISNUMBER(SEARCH("RHSA-WHELCHP",[1]OUT_FinalEnergyCons!$A$4:$A$10000)))*1,[1]OUT_FinalEnergyCons!N$4:N$10000)-P979</f>
        <v>6.1521223701462695</v>
      </c>
      <c r="Q1053" s="1" cm="1">
        <f t="array" ref="Q1053">SUMPRODUCT(([1]OUT_FinalEnergyCons!$B$4:$B$10000="Var_FOut")*1, ISNUMBER(SEARCH("RHSA-WHAELCH",[1]OUT_FinalEnergyCons!$C$4:$C$10000))*1,(ISNUMBER(SEARCH("RHSA-WHELCHP",[1]OUT_FinalEnergyCons!$A$4:$A$10000)))*1,[1]OUT_FinalEnergyCons!O$4:O$10000)-Q979</f>
        <v>7.0874628192930516</v>
      </c>
      <c r="S1053" s="3"/>
    </row>
    <row r="1054" spans="2:19" x14ac:dyDescent="0.5">
      <c r="B1054" s="5" t="str">
        <f t="shared" si="1193"/>
        <v>SPS1</v>
      </c>
      <c r="C1054" s="5" t="str">
        <f t="shared" si="1194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3.1125016294290004E-3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3.6068232083453214E-3</v>
      </c>
      <c r="J1054" s="1" cm="1">
        <f t="array" ref="J1054">SUMPRODUCT(([1]OUT_FinalEnergyCons!$B$4:$B$10000="Var_FOut")*1,ISNUMBER(SEARCH("RHSA-WHangah",[1]OUT_FinalEnergyCons!$C$4:$C$10000))*1,(ISNUMBER(SEARCH("RHSA-WHngahp",[1]OUT_FinalEnergyCons!$A$4:$A$10000)))*1,[1]OUT_FinalEnergyCons!H$4:H$10000)-J1008</f>
        <v>0.22008355548433856</v>
      </c>
      <c r="K1054" s="1" cm="1">
        <f t="array" ref="K1054">SUMPRODUCT(([1]OUT_FinalEnergyCons!$B$4:$B$10000="Var_FOut")*1,ISNUMBER(SEARCH("RHSA-WHangah",[1]OUT_FinalEnergyCons!$C$4:$C$10000))*1,(ISNUMBER(SEARCH("RHSA-WHngahp",[1]OUT_FinalEnergyCons!$A$4:$A$10000)))*1,[1]OUT_FinalEnergyCons!I$4:I$10000)-K1008</f>
        <v>0.58714220183738963</v>
      </c>
      <c r="L1054" s="1" cm="1">
        <f t="array" ref="L1054">SUMPRODUCT(([1]OUT_FinalEnergyCons!$B$4:$B$10000="Var_FOut")*1,ISNUMBER(SEARCH("RHSA-WHangah",[1]OUT_FinalEnergyCons!$C$4:$C$10000))*1,(ISNUMBER(SEARCH("RHSA-WHngahp",[1]OUT_FinalEnergyCons!$A$4:$A$10000)))*1,[1]OUT_FinalEnergyCons!J$4:J$10000)-L1008</f>
        <v>0.81336601312776158</v>
      </c>
      <c r="M1054" s="1" cm="1">
        <f t="array" ref="M1054">SUMPRODUCT(([1]OUT_FinalEnergyCons!$B$4:$B$10000="Var_FOut")*1,ISNUMBER(SEARCH("RHSA-WHangah",[1]OUT_FinalEnergyCons!$C$4:$C$10000))*1,(ISNUMBER(SEARCH("RHSA-WHngahp",[1]OUT_FinalEnergyCons!$A$4:$A$10000)))*1,[1]OUT_FinalEnergyCons!K$4:K$10000)-M1008</f>
        <v>1.4049548316940459</v>
      </c>
      <c r="N1054" s="1" cm="1">
        <f t="array" ref="N1054">SUMPRODUCT(([1]OUT_FinalEnergyCons!$B$4:$B$10000="Var_FOut")*1,ISNUMBER(SEARCH("RHSA-WHangah",[1]OUT_FinalEnergyCons!$C$4:$C$10000))*1,(ISNUMBER(SEARCH("RHSA-WHngahp",[1]OUT_FinalEnergyCons!$A$4:$A$10000)))*1,[1]OUT_FinalEnergyCons!L$4:L$10000)-N1008</f>
        <v>1.4996116223401121</v>
      </c>
      <c r="O1054" s="1" cm="1">
        <f t="array" ref="O1054">SUMPRODUCT(([1]OUT_FinalEnergyCons!$B$4:$B$10000="Var_FOut")*1,ISNUMBER(SEARCH("RHSA-WHangah",[1]OUT_FinalEnergyCons!$C$4:$C$10000))*1,(ISNUMBER(SEARCH("RHSA-WHngahp",[1]OUT_FinalEnergyCons!$A$4:$A$10000)))*1,[1]OUT_FinalEnergyCons!M$4:M$10000)-O1008</f>
        <v>1.5663270466695773</v>
      </c>
      <c r="P1054" s="1" cm="1">
        <f t="array" ref="P1054">SUMPRODUCT(([1]OUT_FinalEnergyCons!$B$4:$B$10000="Var_FOut")*1,ISNUMBER(SEARCH("RHSA-WHangah",[1]OUT_FinalEnergyCons!$C$4:$C$10000))*1,(ISNUMBER(SEARCH("RHSA-WHngahp",[1]OUT_FinalEnergyCons!$A$4:$A$10000)))*1,[1]OUT_FinalEnergyCons!N$4:N$10000)-P1008</f>
        <v>2.0664613404799237</v>
      </c>
      <c r="Q1054" s="1" cm="1">
        <f t="array" ref="Q1054">SUMPRODUCT(([1]OUT_FinalEnergyCons!$B$4:$B$10000="Var_FOut")*1,ISNUMBER(SEARCH("RHSA-WHangah",[1]OUT_FinalEnergyCons!$C$4:$C$10000))*1,(ISNUMBER(SEARCH("RHSA-WHngahp",[1]OUT_FinalEnergyCons!$A$4:$A$10000)))*1,[1]OUT_FinalEnergyCons!O$4:O$10000)-Q1008</f>
        <v>2.0730049701330366</v>
      </c>
      <c r="S1054" s="3"/>
    </row>
    <row r="1055" spans="2:19" x14ac:dyDescent="0.5">
      <c r="B1055" s="5" t="str">
        <f t="shared" si="1193"/>
        <v>SPS1</v>
      </c>
      <c r="C1055" s="5" t="str">
        <f t="shared" si="1194"/>
        <v>CH</v>
      </c>
      <c r="D1055" s="2" t="s">
        <v>756</v>
      </c>
      <c r="E1055" t="s">
        <v>8</v>
      </c>
      <c r="F1055" s="3">
        <f>[1]Residential!B$245</f>
        <v>156.24610384243761</v>
      </c>
      <c r="G1055" s="3">
        <f>[1]Residential!C$245</f>
        <v>162.14637490618446</v>
      </c>
      <c r="H1055" s="3">
        <f>[1]Residential!D$245</f>
        <v>162.13937849421092</v>
      </c>
      <c r="I1055" s="3">
        <f>[1]Residential!E$245</f>
        <v>161.88163383671895</v>
      </c>
      <c r="J1055" s="3">
        <f>[1]Residential!F$245</f>
        <v>161.76760128608714</v>
      </c>
      <c r="K1055" s="3">
        <f>[1]Residential!G$245</f>
        <v>159.24074910096897</v>
      </c>
      <c r="L1055" s="3">
        <f>[1]Residential!H$245</f>
        <v>155.5523349665113</v>
      </c>
      <c r="M1055" s="3">
        <f>[1]Residential!I$245</f>
        <v>151.8997796381245</v>
      </c>
      <c r="N1055" s="3">
        <f>[1]Residential!J$245</f>
        <v>146.98840997228456</v>
      </c>
      <c r="O1055" s="3">
        <f>[1]Residential!K$245</f>
        <v>140.42563474634403</v>
      </c>
      <c r="P1055" s="3">
        <f>[1]Residential!L$245</f>
        <v>137.79333879800959</v>
      </c>
      <c r="Q1055" s="3">
        <f>[1]Residential!M$245</f>
        <v>120.68788133916067</v>
      </c>
      <c r="S1055" s="3"/>
    </row>
    <row r="1056" spans="2:19" x14ac:dyDescent="0.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129.26770890965773</v>
      </c>
      <c r="G1056" s="1">
        <f>[1]Residential!C$116</f>
        <v>136.21596276231685</v>
      </c>
      <c r="H1056" s="1">
        <f>[1]Residential!D$116</f>
        <v>136.18155131760685</v>
      </c>
      <c r="I1056" s="1">
        <f>[1]Residential!E$116</f>
        <v>136.26668040270374</v>
      </c>
      <c r="J1056" s="1">
        <f>[1]Residential!F$116</f>
        <v>136.04121372918064</v>
      </c>
      <c r="K1056" s="1">
        <f>[1]Residential!G$116</f>
        <v>133.63136095634579</v>
      </c>
      <c r="L1056" s="1">
        <f>[1]Residential!H$116</f>
        <v>130.15335159780071</v>
      </c>
      <c r="M1056" s="1">
        <f>[1]Residential!I$116</f>
        <v>126.74079556541204</v>
      </c>
      <c r="N1056" s="1">
        <f>[1]Residential!J$116</f>
        <v>121.51336873523675</v>
      </c>
      <c r="O1056" s="1">
        <f>[1]Residential!K$116</f>
        <v>115.41534226638488</v>
      </c>
      <c r="P1056" s="1">
        <f>[1]Residential!L$116</f>
        <v>113.24198408988788</v>
      </c>
      <c r="Q1056" s="1">
        <f>[1]Residential!M$116</f>
        <v>96.561986659400887</v>
      </c>
      <c r="S1056" s="3"/>
    </row>
    <row r="1057" spans="2:19" x14ac:dyDescent="0.5">
      <c r="B1057" s="5" t="str">
        <f t="shared" ref="B1057:B1107" si="1271">B1056</f>
        <v>SPS1</v>
      </c>
      <c r="C1057" s="5" t="str">
        <f t="shared" ref="C1057:C1107" si="1272">C1056</f>
        <v>CH</v>
      </c>
      <c r="D1057" t="s">
        <v>1115</v>
      </c>
      <c r="E1057" t="s">
        <v>8</v>
      </c>
      <c r="F1057" s="1">
        <f>SUM(F1058:F1059)</f>
        <v>27.968401391280807</v>
      </c>
      <c r="G1057" s="1">
        <f t="shared" ref="G1057:K1057" si="1273">SUM(G1058:G1059)</f>
        <v>30.400655043353474</v>
      </c>
      <c r="H1057" s="1">
        <f t="shared" si="1273"/>
        <v>33.384253009125757</v>
      </c>
      <c r="I1057" s="1">
        <f t="shared" si="1273"/>
        <v>32.810628163331678</v>
      </c>
      <c r="J1057" s="1">
        <f t="shared" si="1273"/>
        <v>36.663128580587795</v>
      </c>
      <c r="K1057" s="1">
        <f t="shared" si="1273"/>
        <v>35.99781756722723</v>
      </c>
      <c r="L1057" s="1">
        <f t="shared" ref="L1057:O1057" si="1274">SUM(L1058:L1059)</f>
        <v>34.808634076619462</v>
      </c>
      <c r="M1057" s="1">
        <f t="shared" si="1274"/>
        <v>34.079189390748056</v>
      </c>
      <c r="N1057" s="1">
        <f t="shared" si="1274"/>
        <v>32.257662636342353</v>
      </c>
      <c r="O1057" s="1">
        <f t="shared" si="1274"/>
        <v>32.185523616906316</v>
      </c>
      <c r="P1057" s="1">
        <f>SUM(P1058:P1059)</f>
        <v>32.160075657311673</v>
      </c>
      <c r="Q1057" s="1">
        <f>SUM(Q1058:Q1059)</f>
        <v>32.062230330630918</v>
      </c>
      <c r="S1057" s="3"/>
    </row>
    <row r="1058" spans="2:19" x14ac:dyDescent="0.5">
      <c r="B1058" s="5" t="str">
        <f t="shared" si="1271"/>
        <v>SPS1</v>
      </c>
      <c r="C1058" s="5" t="str">
        <f t="shared" si="1272"/>
        <v>CH</v>
      </c>
      <c r="D1058" t="s">
        <v>1116</v>
      </c>
      <c r="E1058" t="s">
        <v>8</v>
      </c>
      <c r="F1058" s="1">
        <f>[1]Residential!B$102</f>
        <v>8.9080321456120615</v>
      </c>
      <c r="G1058" s="1">
        <f>[1]Residential!C$102</f>
        <v>7.6983733040901852</v>
      </c>
      <c r="H1058" s="1">
        <f>[1]Residential!D$102</f>
        <v>8.8211327940845319</v>
      </c>
      <c r="I1058" s="1">
        <f>[1]Residential!E$102</f>
        <v>6.0041933557211538</v>
      </c>
      <c r="J1058" s="1">
        <f>[1]Residential!F$102</f>
        <v>5.3683250015467614</v>
      </c>
      <c r="K1058" s="1">
        <f>[1]Residential!G$102</f>
        <v>4.7000730376941471</v>
      </c>
      <c r="L1058" s="1">
        <f>[1]Residential!H$102</f>
        <v>3.5106276800073002</v>
      </c>
      <c r="M1058" s="1">
        <f>[1]Residential!I$102</f>
        <v>2.4935120417829832</v>
      </c>
      <c r="N1058" s="1">
        <f>[1]Residential!J$102</f>
        <v>0.67175567933710156</v>
      </c>
      <c r="O1058" s="1">
        <f>[1]Residential!K$102</f>
        <v>0.59921863723157021</v>
      </c>
      <c r="P1058" s="1">
        <f>[1]Residential!L$102</f>
        <v>0.57013315615140758</v>
      </c>
      <c r="Q1058" s="1">
        <f>[1]Residential!M$102</f>
        <v>0.47111596658907268</v>
      </c>
      <c r="S1058" s="3"/>
    </row>
    <row r="1059" spans="2:19" x14ac:dyDescent="0.5">
      <c r="B1059" s="5" t="str">
        <f t="shared" si="1271"/>
        <v>SPS1</v>
      </c>
      <c r="C1059" s="5" t="str">
        <f t="shared" si="1272"/>
        <v>CH</v>
      </c>
      <c r="D1059" t="s">
        <v>1117</v>
      </c>
      <c r="E1059" t="s">
        <v>8</v>
      </c>
      <c r="F1059" s="1">
        <f>[1]Residential!B$104</f>
        <v>19.060369245668745</v>
      </c>
      <c r="G1059" s="1">
        <f>[1]Residential!C$104</f>
        <v>22.702281739263288</v>
      </c>
      <c r="H1059" s="1">
        <f>[1]Residential!D$104</f>
        <v>24.563120215041227</v>
      </c>
      <c r="I1059" s="1">
        <f>[1]Residential!E$104</f>
        <v>26.806434807610522</v>
      </c>
      <c r="J1059" s="1">
        <f>[1]Residential!F$104</f>
        <v>31.294803579041037</v>
      </c>
      <c r="K1059" s="1">
        <f>[1]Residential!G$104</f>
        <v>31.297744529533084</v>
      </c>
      <c r="L1059" s="1">
        <f>[1]Residential!H$104</f>
        <v>31.298006396612159</v>
      </c>
      <c r="M1059" s="1">
        <f>[1]Residential!I$104</f>
        <v>31.585677348965071</v>
      </c>
      <c r="N1059" s="1">
        <f>[1]Residential!J$104</f>
        <v>31.58590695700525</v>
      </c>
      <c r="O1059" s="1">
        <f>[1]Residential!K$104</f>
        <v>31.586304979674747</v>
      </c>
      <c r="P1059" s="1">
        <f>[1]Residential!L$104</f>
        <v>31.589942501160266</v>
      </c>
      <c r="Q1059" s="1">
        <f>[1]Residential!M$104</f>
        <v>31.591114364041847</v>
      </c>
      <c r="S1059" s="3"/>
    </row>
    <row r="1060" spans="2:19" x14ac:dyDescent="0.5">
      <c r="B1060" s="5" t="str">
        <f t="shared" si="1271"/>
        <v>SPS1</v>
      </c>
      <c r="C1060" s="5" t="str">
        <f t="shared" si="1272"/>
        <v>CH</v>
      </c>
      <c r="D1060" t="s">
        <v>1046</v>
      </c>
      <c r="E1060" t="s">
        <v>8</v>
      </c>
      <c r="F1060" s="1">
        <f>F1061</f>
        <v>45.124405184332005</v>
      </c>
      <c r="G1060" s="1">
        <f t="shared" ref="G1060:O1060" si="1275">G1061</f>
        <v>38.551117009112964</v>
      </c>
      <c r="H1060" s="1">
        <f t="shared" si="1275"/>
        <v>38.73527402637653</v>
      </c>
      <c r="I1060" s="1">
        <f t="shared" si="1275"/>
        <v>38.672344389076244</v>
      </c>
      <c r="J1060" s="1">
        <f t="shared" si="1275"/>
        <v>32.073860704911461</v>
      </c>
      <c r="K1060" s="1">
        <f t="shared" si="1275"/>
        <v>30.05875433165691</v>
      </c>
      <c r="L1060" s="1">
        <f t="shared" si="1275"/>
        <v>28.433032424923859</v>
      </c>
      <c r="M1060" s="1">
        <f t="shared" si="1275"/>
        <v>24.601300375573388</v>
      </c>
      <c r="N1060" s="1">
        <f t="shared" si="1275"/>
        <v>22.924509828598431</v>
      </c>
      <c r="O1060" s="1">
        <f t="shared" si="1275"/>
        <v>19.558482165794551</v>
      </c>
      <c r="P1060" s="1">
        <f>P1061</f>
        <v>14.866898602458685</v>
      </c>
      <c r="Q1060" s="1">
        <f>Q1061</f>
        <v>5.8100972623939739</v>
      </c>
      <c r="S1060" s="3"/>
    </row>
    <row r="1061" spans="2:19" x14ac:dyDescent="0.5">
      <c r="B1061" s="5" t="str">
        <f t="shared" si="1271"/>
        <v>SPS1</v>
      </c>
      <c r="C1061" s="5" t="str">
        <f t="shared" si="1272"/>
        <v>CH</v>
      </c>
      <c r="D1061" t="s">
        <v>1047</v>
      </c>
      <c r="E1061" t="s">
        <v>8</v>
      </c>
      <c r="F1061" s="1">
        <f>[1]Residential!B$105</f>
        <v>45.124405184332005</v>
      </c>
      <c r="G1061" s="1">
        <f>[1]Residential!C$105</f>
        <v>38.551117009112964</v>
      </c>
      <c r="H1061" s="1">
        <f>[1]Residential!D$105</f>
        <v>38.73527402637653</v>
      </c>
      <c r="I1061" s="1">
        <f>[1]Residential!E$105</f>
        <v>38.672344389076244</v>
      </c>
      <c r="J1061" s="1">
        <f>[1]Residential!F$105</f>
        <v>32.073860704911461</v>
      </c>
      <c r="K1061" s="1">
        <f>[1]Residential!G$105</f>
        <v>30.05875433165691</v>
      </c>
      <c r="L1061" s="1">
        <f>[1]Residential!H$105</f>
        <v>28.433032424923859</v>
      </c>
      <c r="M1061" s="1">
        <f>[1]Residential!I$105</f>
        <v>24.601300375573388</v>
      </c>
      <c r="N1061" s="1">
        <f>[1]Residential!J$105</f>
        <v>22.924509828598431</v>
      </c>
      <c r="O1061" s="1">
        <f>[1]Residential!K$105</f>
        <v>19.558482165794551</v>
      </c>
      <c r="P1061" s="1">
        <f>[1]Residential!L$105</f>
        <v>14.866898602458685</v>
      </c>
      <c r="Q1061" s="1">
        <f>[1]Residential!M$105</f>
        <v>5.8100972623939739</v>
      </c>
      <c r="S1061" s="3"/>
    </row>
    <row r="1062" spans="2:19" x14ac:dyDescent="0.5">
      <c r="B1062" s="5" t="str">
        <f t="shared" si="1271"/>
        <v>SPS1</v>
      </c>
      <c r="C1062" s="5" t="str">
        <f t="shared" si="1272"/>
        <v>CH</v>
      </c>
      <c r="D1062" t="s">
        <v>1048</v>
      </c>
      <c r="E1062" t="s">
        <v>8</v>
      </c>
      <c r="F1062" s="1">
        <f>SUM(F1063:F1064)</f>
        <v>36.569950514840656</v>
      </c>
      <c r="G1062" s="1">
        <f t="shared" ref="G1062:K1062" si="1276">SUM(G1063:G1064)</f>
        <v>39.266214174279391</v>
      </c>
      <c r="H1062" s="1">
        <f t="shared" si="1276"/>
        <v>37.288313011366107</v>
      </c>
      <c r="I1062" s="1">
        <f t="shared" si="1276"/>
        <v>38.764934680271992</v>
      </c>
      <c r="J1062" s="1">
        <f t="shared" si="1276"/>
        <v>41.381867300137799</v>
      </c>
      <c r="K1062" s="1">
        <f t="shared" si="1276"/>
        <v>41.665818558243615</v>
      </c>
      <c r="L1062" s="1">
        <f t="shared" ref="L1062:O1062" si="1277">SUM(L1063:L1064)</f>
        <v>41.590555065677364</v>
      </c>
      <c r="M1062" s="1">
        <f t="shared" si="1277"/>
        <v>43.479967685480275</v>
      </c>
      <c r="N1062" s="1">
        <f t="shared" si="1277"/>
        <v>42.094446730607579</v>
      </c>
      <c r="O1062" s="1">
        <f t="shared" si="1277"/>
        <v>40.278967958706922</v>
      </c>
      <c r="P1062" s="1">
        <f>SUM(P1063:P1064)</f>
        <v>42.789126529162679</v>
      </c>
      <c r="Q1062" s="1">
        <f>SUM(Q1063:Q1064)</f>
        <v>37.26324987669247</v>
      </c>
      <c r="S1062" s="3"/>
    </row>
    <row r="1063" spans="2:19" x14ac:dyDescent="0.5">
      <c r="B1063" s="5" t="str">
        <f t="shared" si="1271"/>
        <v>SPS1</v>
      </c>
      <c r="C1063" s="5" t="str">
        <f t="shared" si="1272"/>
        <v>CH</v>
      </c>
      <c r="D1063" t="s">
        <v>1049</v>
      </c>
      <c r="E1063" t="s">
        <v>8</v>
      </c>
      <c r="F1063" s="1">
        <f>[1]Residential!B$106</f>
        <v>36.569950514840656</v>
      </c>
      <c r="G1063" s="1">
        <f>[1]Residential!C$106</f>
        <v>39.266214174279391</v>
      </c>
      <c r="H1063" s="1">
        <f>[1]Residential!D$106</f>
        <v>37.250680139040959</v>
      </c>
      <c r="I1063" s="1">
        <f>[1]Residential!E$106</f>
        <v>38.726002934255732</v>
      </c>
      <c r="J1063" s="1">
        <f>[1]Residential!F$106</f>
        <v>38.845512830588731</v>
      </c>
      <c r="K1063" s="1">
        <f>[1]Residential!G$106</f>
        <v>36.904921082003106</v>
      </c>
      <c r="L1063" s="1">
        <f>[1]Residential!H$106</f>
        <v>35.801343634464757</v>
      </c>
      <c r="M1063" s="1">
        <f>[1]Residential!I$106</f>
        <v>34.709311357904241</v>
      </c>
      <c r="N1063" s="1">
        <f>[1]Residential!J$106</f>
        <v>32.7340198795589</v>
      </c>
      <c r="O1063" s="1">
        <f>[1]Residential!K$106</f>
        <v>30.501925286606564</v>
      </c>
      <c r="P1063" s="1">
        <f>[1]Residential!L$106</f>
        <v>29.877464541677799</v>
      </c>
      <c r="Q1063" s="1">
        <f>[1]Residential!M$106</f>
        <v>24.323349512240988</v>
      </c>
      <c r="S1063" s="3"/>
    </row>
    <row r="1064" spans="2:19" x14ac:dyDescent="0.5">
      <c r="B1064" s="5" t="str">
        <f t="shared" si="1271"/>
        <v>SPS1</v>
      </c>
      <c r="C1064" s="5" t="str">
        <f t="shared" si="1272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3.7632872325144902E-2</v>
      </c>
      <c r="I1064" s="1">
        <f>[1]Residential!E$107</f>
        <v>3.8931746016256707E-2</v>
      </c>
      <c r="J1064" s="1">
        <f>[1]Residential!F$107</f>
        <v>2.536354469549071</v>
      </c>
      <c r="K1064" s="1">
        <f>[1]Residential!G$107</f>
        <v>4.7608974762405074</v>
      </c>
      <c r="L1064" s="1">
        <f>[1]Residential!H$107</f>
        <v>5.789211431212606</v>
      </c>
      <c r="M1064" s="1">
        <f>[1]Residential!I$107</f>
        <v>8.770656327576031</v>
      </c>
      <c r="N1064" s="1">
        <f>[1]Residential!J$107</f>
        <v>9.3604268510486772</v>
      </c>
      <c r="O1064" s="1">
        <f>[1]Residential!K$107</f>
        <v>9.7770426721003574</v>
      </c>
      <c r="P1064" s="1">
        <f>[1]Residential!L$107</f>
        <v>12.91166198748488</v>
      </c>
      <c r="Q1064" s="1">
        <f>[1]Residential!M$107</f>
        <v>12.939900364451486</v>
      </c>
      <c r="S1064" s="3"/>
    </row>
    <row r="1065" spans="2:19" x14ac:dyDescent="0.5">
      <c r="B1065" s="5" t="str">
        <f t="shared" si="1271"/>
        <v>SPS1</v>
      </c>
      <c r="C1065" s="5" t="str">
        <f t="shared" si="1272"/>
        <v>CH</v>
      </c>
      <c r="D1065" t="s">
        <v>1051</v>
      </c>
      <c r="E1065" t="s">
        <v>8</v>
      </c>
      <c r="F1065" s="1">
        <f>F1066</f>
        <v>7.2000738243931328E-2</v>
      </c>
      <c r="G1065" s="1">
        <f t="shared" ref="G1065:O1065" si="1278">G1066</f>
        <v>7.2000491931894881E-2</v>
      </c>
      <c r="H1065" s="1">
        <f t="shared" si="1278"/>
        <v>4.0968607516281216E-3</v>
      </c>
      <c r="I1065" s="1">
        <f t="shared" si="1278"/>
        <v>3.4569158646069642E-3</v>
      </c>
      <c r="J1065" s="1">
        <f t="shared" si="1278"/>
        <v>1.402858283525438E-3</v>
      </c>
      <c r="K1065" s="1">
        <f t="shared" si="1278"/>
        <v>0</v>
      </c>
      <c r="L1065" s="1">
        <f t="shared" si="1278"/>
        <v>0</v>
      </c>
      <c r="M1065" s="1">
        <f t="shared" si="1278"/>
        <v>0</v>
      </c>
      <c r="N1065" s="1">
        <f t="shared" si="1278"/>
        <v>0</v>
      </c>
      <c r="O1065" s="1">
        <f t="shared" si="1278"/>
        <v>0</v>
      </c>
      <c r="P1065" s="1">
        <f>P1066</f>
        <v>0</v>
      </c>
      <c r="Q1065" s="1">
        <f>Q1066</f>
        <v>0</v>
      </c>
      <c r="S1065" s="3"/>
    </row>
    <row r="1066" spans="2:19" x14ac:dyDescent="0.5">
      <c r="B1066" s="5" t="str">
        <f t="shared" si="1271"/>
        <v>SPS1</v>
      </c>
      <c r="C1066" s="5" t="str">
        <f t="shared" si="1272"/>
        <v>CH</v>
      </c>
      <c r="D1066" t="s">
        <v>1052</v>
      </c>
      <c r="E1066" t="s">
        <v>8</v>
      </c>
      <c r="F1066" s="1">
        <f>[1]Residential!B$108</f>
        <v>7.2000738243931328E-2</v>
      </c>
      <c r="G1066" s="1">
        <f>[1]Residential!C$108</f>
        <v>7.2000491931894881E-2</v>
      </c>
      <c r="H1066" s="1">
        <f>[1]Residential!D$108</f>
        <v>4.0968607516281216E-3</v>
      </c>
      <c r="I1066" s="1">
        <f>[1]Residential!E$108</f>
        <v>3.4569158646069642E-3</v>
      </c>
      <c r="J1066" s="1">
        <f>[1]Residential!F$108</f>
        <v>1.402858283525438E-3</v>
      </c>
      <c r="K1066" s="1">
        <f>[1]Residential!G$108</f>
        <v>0</v>
      </c>
      <c r="L1066" s="1">
        <f>[1]Residential!H$108</f>
        <v>0</v>
      </c>
      <c r="M1066" s="1">
        <f>[1]Residential!I$108</f>
        <v>0</v>
      </c>
      <c r="N1066" s="1">
        <f>[1]Residential!J$108</f>
        <v>0</v>
      </c>
      <c r="O1066" s="1">
        <f>[1]Residential!K$108</f>
        <v>0</v>
      </c>
      <c r="P1066" s="1">
        <f>[1]Residential!L$108</f>
        <v>0</v>
      </c>
      <c r="Q1066" s="1">
        <f>[1]Residential!M$108</f>
        <v>0</v>
      </c>
      <c r="S1066" s="3"/>
    </row>
    <row r="1067" spans="2:19" x14ac:dyDescent="0.5">
      <c r="B1067" s="5" t="str">
        <f t="shared" si="1271"/>
        <v>SPS1</v>
      </c>
      <c r="C1067" s="5" t="str">
        <f t="shared" si="1272"/>
        <v>CH</v>
      </c>
      <c r="D1067" t="s">
        <v>1053</v>
      </c>
      <c r="E1067" t="s">
        <v>8</v>
      </c>
      <c r="F1067" s="1">
        <f>SUM([1]Residential!B$109:B$110)</f>
        <v>3.9800885665814292</v>
      </c>
      <c r="G1067" s="1">
        <f>SUM([1]Residential!C$109:C$110)</f>
        <v>7.7017247127392352</v>
      </c>
      <c r="H1067" s="1">
        <f>SUM([1]Residential!D$109:D$110)</f>
        <v>8.3745661665440831</v>
      </c>
      <c r="I1067" s="1">
        <f>SUM([1]Residential!E$109:E$110)</f>
        <v>8.2626640850904742</v>
      </c>
      <c r="J1067" s="1">
        <f>SUM([1]Residential!F$109:F$110)</f>
        <v>8.5594823704237868</v>
      </c>
      <c r="K1067" s="1">
        <f>SUM([1]Residential!G$109:G$110)</f>
        <v>9.2230622355806169</v>
      </c>
      <c r="L1067" s="1">
        <f>SUM([1]Residential!H$109:H$110)</f>
        <v>9.1873191609678866</v>
      </c>
      <c r="M1067" s="1">
        <f>SUM([1]Residential!I$109:I$110)</f>
        <v>9.2640962794364921</v>
      </c>
      <c r="N1067" s="1">
        <f>SUM([1]Residential!J$109:J$110)</f>
        <v>9.0923647944683825</v>
      </c>
      <c r="O1067" s="1">
        <f>SUM([1]Residential!K$109:K$110)</f>
        <v>8.8178959535561638</v>
      </c>
      <c r="P1067" s="1">
        <f>SUM([1]Residential!L$109:L$110)</f>
        <v>9.0389500877018065</v>
      </c>
      <c r="Q1067" s="1">
        <f>SUM([1]Residential!M$109:M$110)</f>
        <v>8.2449130713982353</v>
      </c>
      <c r="S1067" s="3"/>
    </row>
    <row r="1068" spans="2:19" x14ac:dyDescent="0.5">
      <c r="B1068" s="5" t="str">
        <f t="shared" si="1271"/>
        <v>SPS1</v>
      </c>
      <c r="C1068" s="5" t="str">
        <f t="shared" si="1272"/>
        <v>CH</v>
      </c>
      <c r="D1068" t="s">
        <v>1054</v>
      </c>
      <c r="E1068" t="s">
        <v>8</v>
      </c>
      <c r="F1068" s="1">
        <f>[1]Residential!B$109</f>
        <v>7.4994600292137725E-2</v>
      </c>
      <c r="G1068" s="1">
        <f>[1]Residential!C$109</f>
        <v>8.7017607704864153E-3</v>
      </c>
      <c r="H1068" s="1">
        <f>[1]Residential!D$109</f>
        <v>0.24937716373133154</v>
      </c>
      <c r="I1068" s="1">
        <f>[1]Residential!E$109</f>
        <v>1.2953782959970033</v>
      </c>
      <c r="J1068" s="1">
        <f>[1]Residential!F$109</f>
        <v>1.3571556395708821</v>
      </c>
      <c r="K1068" s="1">
        <f>[1]Residential!G$109</f>
        <v>1.3830092707612516</v>
      </c>
      <c r="L1068" s="1">
        <f>[1]Residential!H$109</f>
        <v>1.3941583983240831</v>
      </c>
      <c r="M1068" s="1">
        <f>[1]Residential!I$109</f>
        <v>1.4270375670564139</v>
      </c>
      <c r="N1068" s="1">
        <f>[1]Residential!J$109</f>
        <v>1.4270434207806164</v>
      </c>
      <c r="O1068" s="1">
        <f>[1]Residential!K$109</f>
        <v>1.4470391472356305</v>
      </c>
      <c r="P1068" s="1">
        <f>[1]Residential!L$109</f>
        <v>1.508228760913596</v>
      </c>
      <c r="Q1068" s="1">
        <f>[1]Residential!M$109</f>
        <v>1.5150438444786183</v>
      </c>
      <c r="S1068" s="3"/>
    </row>
    <row r="1069" spans="2:19" x14ac:dyDescent="0.5">
      <c r="B1069" s="5" t="str">
        <f t="shared" si="1271"/>
        <v>SPS1</v>
      </c>
      <c r="C1069" s="5" t="str">
        <f t="shared" si="1272"/>
        <v>CH</v>
      </c>
      <c r="D1069" t="s">
        <v>1055</v>
      </c>
      <c r="E1069" t="s">
        <v>8</v>
      </c>
      <c r="F1069" s="1">
        <f>IFERROR(F$1068/F$1043,0)*F1044</f>
        <v>7.4994600292137725E-2</v>
      </c>
      <c r="G1069" s="1">
        <f t="shared" ref="G1069:K1069" si="1279">IFERROR(G$1068/G$1043,0)*G1044</f>
        <v>8.7017607704864153E-3</v>
      </c>
      <c r="H1069" s="1">
        <f t="shared" si="1279"/>
        <v>0.24937716373133154</v>
      </c>
      <c r="I1069" s="1">
        <f t="shared" si="1279"/>
        <v>1.2617416710771738</v>
      </c>
      <c r="J1069" s="1">
        <f t="shared" si="1279"/>
        <v>1.3112509203122948</v>
      </c>
      <c r="K1069" s="1">
        <f t="shared" si="1279"/>
        <v>1.3425159919997924</v>
      </c>
      <c r="L1069" s="1">
        <f t="shared" ref="L1069:O1069" si="1280">IFERROR(L$1068/L$1043,0)*L1044</f>
        <v>1.3465588988402266</v>
      </c>
      <c r="M1069" s="1">
        <f t="shared" si="1280"/>
        <v>1.3301354280433695</v>
      </c>
      <c r="N1069" s="1">
        <f t="shared" si="1280"/>
        <v>1.3326950514475435</v>
      </c>
      <c r="O1069" s="1">
        <f t="shared" si="1280"/>
        <v>1.3513444194785083</v>
      </c>
      <c r="P1069" s="1">
        <f t="shared" ref="P1069:Q1071" si="1281">IFERROR(P$1068/P$1043,0)*P1044</f>
        <v>1.4197598881559439</v>
      </c>
      <c r="Q1069" s="1">
        <f t="shared" si="1281"/>
        <v>1.3675103243620386</v>
      </c>
      <c r="S1069" s="3"/>
    </row>
    <row r="1070" spans="2:19" x14ac:dyDescent="0.5">
      <c r="B1070" s="5" t="str">
        <f t="shared" si="1271"/>
        <v>SPS1</v>
      </c>
      <c r="C1070" s="5" t="str">
        <f t="shared" si="1272"/>
        <v>CH</v>
      </c>
      <c r="D1070" t="s">
        <v>1056</v>
      </c>
      <c r="E1070" t="s">
        <v>8</v>
      </c>
      <c r="F1070" s="1">
        <f t="shared" ref="F1070:K1070" si="1282">IFERROR(F$1068/F$1043,0)*F1045</f>
        <v>0</v>
      </c>
      <c r="G1070" s="1">
        <f t="shared" si="1282"/>
        <v>0</v>
      </c>
      <c r="H1070" s="1">
        <f t="shared" si="1282"/>
        <v>0</v>
      </c>
      <c r="I1070" s="1">
        <f t="shared" si="1282"/>
        <v>0</v>
      </c>
      <c r="J1070" s="1">
        <f t="shared" si="1282"/>
        <v>0</v>
      </c>
      <c r="K1070" s="1">
        <f t="shared" si="1282"/>
        <v>0</v>
      </c>
      <c r="L1070" s="1">
        <f t="shared" ref="L1070:O1070" si="1283">IFERROR(L$1068/L$1043,0)*L1045</f>
        <v>0</v>
      </c>
      <c r="M1070" s="1">
        <f t="shared" si="1283"/>
        <v>0</v>
      </c>
      <c r="N1070" s="1">
        <f t="shared" si="1283"/>
        <v>0</v>
      </c>
      <c r="O1070" s="1">
        <f t="shared" si="1283"/>
        <v>0</v>
      </c>
      <c r="P1070" s="1">
        <f t="shared" si="1281"/>
        <v>0</v>
      </c>
      <c r="Q1070" s="1">
        <f t="shared" si="1281"/>
        <v>0</v>
      </c>
      <c r="S1070" s="3"/>
    </row>
    <row r="1071" spans="2:19" x14ac:dyDescent="0.5">
      <c r="B1071" s="5" t="str">
        <f t="shared" si="1271"/>
        <v>SPS1</v>
      </c>
      <c r="C1071" s="5" t="str">
        <f t="shared" si="1272"/>
        <v>CH</v>
      </c>
      <c r="D1071" t="s">
        <v>1057</v>
      </c>
      <c r="E1071" t="s">
        <v>8</v>
      </c>
      <c r="F1071" s="1">
        <f t="shared" ref="F1071:K1071" si="1284">IFERROR(F$1068/F$1043,0)*F1046</f>
        <v>0</v>
      </c>
      <c r="G1071" s="1">
        <f t="shared" si="1284"/>
        <v>0</v>
      </c>
      <c r="H1071" s="1">
        <f t="shared" si="1284"/>
        <v>0</v>
      </c>
      <c r="I1071" s="1">
        <f t="shared" si="1284"/>
        <v>3.363662491982939E-2</v>
      </c>
      <c r="J1071" s="1">
        <f t="shared" si="1284"/>
        <v>4.590471925858744E-2</v>
      </c>
      <c r="K1071" s="1">
        <f t="shared" si="1284"/>
        <v>4.0493278761459223E-2</v>
      </c>
      <c r="L1071" s="1">
        <f t="shared" ref="L1071:O1071" si="1285">IFERROR(L$1068/L$1043,0)*L1046</f>
        <v>4.75994994838565E-2</v>
      </c>
      <c r="M1071" s="1">
        <f t="shared" si="1285"/>
        <v>9.6902139013044397E-2</v>
      </c>
      <c r="N1071" s="1">
        <f t="shared" si="1285"/>
        <v>9.4348369333073015E-2</v>
      </c>
      <c r="O1071" s="1">
        <f t="shared" si="1285"/>
        <v>9.5694727757122205E-2</v>
      </c>
      <c r="P1071" s="1">
        <f t="shared" si="1281"/>
        <v>8.8468872757652126E-2</v>
      </c>
      <c r="Q1071" s="1">
        <f t="shared" si="1281"/>
        <v>0.14753352011657975</v>
      </c>
      <c r="S1071" s="3"/>
    </row>
    <row r="1072" spans="2:19" x14ac:dyDescent="0.5">
      <c r="B1072" s="5" t="str">
        <f t="shared" si="1271"/>
        <v>SPS1</v>
      </c>
      <c r="C1072" s="5" t="str">
        <f t="shared" si="1272"/>
        <v>CH</v>
      </c>
      <c r="D1072" t="s">
        <v>1058</v>
      </c>
      <c r="E1072" t="s">
        <v>8</v>
      </c>
      <c r="F1072" s="1">
        <f>F1067-F1068</f>
        <v>3.9050939662892916</v>
      </c>
      <c r="G1072" s="1">
        <f t="shared" ref="G1072:K1072" si="1286">G1067-G1068</f>
        <v>7.6930229519687492</v>
      </c>
      <c r="H1072" s="1">
        <f t="shared" si="1286"/>
        <v>8.1251890028127516</v>
      </c>
      <c r="I1072" s="1">
        <f t="shared" si="1286"/>
        <v>6.967285789093471</v>
      </c>
      <c r="J1072" s="1">
        <f t="shared" si="1286"/>
        <v>7.2023267308529046</v>
      </c>
      <c r="K1072" s="1">
        <f t="shared" si="1286"/>
        <v>7.8400529648193658</v>
      </c>
      <c r="L1072" s="1">
        <f t="shared" ref="L1072:O1072" si="1287">L1067-L1068</f>
        <v>7.7931607626438035</v>
      </c>
      <c r="M1072" s="1">
        <f t="shared" si="1287"/>
        <v>7.8370587123800783</v>
      </c>
      <c r="N1072" s="1">
        <f t="shared" si="1287"/>
        <v>7.6653213736877657</v>
      </c>
      <c r="O1072" s="1">
        <f t="shared" si="1287"/>
        <v>7.3708568063205337</v>
      </c>
      <c r="P1072" s="1">
        <f>P1067-P1068</f>
        <v>7.5307213267882105</v>
      </c>
      <c r="Q1072" s="1">
        <f>Q1067-Q1068</f>
        <v>6.7298692269196172</v>
      </c>
      <c r="S1072" s="3"/>
    </row>
    <row r="1073" spans="2:19" x14ac:dyDescent="0.5">
      <c r="B1073" s="5" t="str">
        <f t="shared" si="1271"/>
        <v>SPS1</v>
      </c>
      <c r="C1073" s="5" t="str">
        <f t="shared" si="1272"/>
        <v>CH</v>
      </c>
      <c r="D1073" t="s">
        <v>1059</v>
      </c>
      <c r="E1073" t="s">
        <v>8</v>
      </c>
      <c r="F1073" s="1">
        <f>F1074</f>
        <v>9.1310817531690116</v>
      </c>
      <c r="G1073" s="1">
        <f t="shared" ref="G1073:O1073" si="1288">G1074</f>
        <v>9.1110621961253937</v>
      </c>
      <c r="H1073" s="1">
        <f t="shared" si="1288"/>
        <v>7.2767565931875922</v>
      </c>
      <c r="I1073" s="1">
        <f t="shared" si="1288"/>
        <v>6.500363496357914</v>
      </c>
      <c r="J1073" s="1">
        <f t="shared" si="1288"/>
        <v>6.0354882018440188</v>
      </c>
      <c r="K1073" s="1">
        <f t="shared" si="1288"/>
        <v>5.2975512328703953</v>
      </c>
      <c r="L1073" s="1">
        <f t="shared" si="1288"/>
        <v>4.678729511760702</v>
      </c>
      <c r="M1073" s="1">
        <f t="shared" si="1288"/>
        <v>3.8693831476878491</v>
      </c>
      <c r="N1073" s="1">
        <f t="shared" si="1288"/>
        <v>3.6567080486486607</v>
      </c>
      <c r="O1073" s="1">
        <f t="shared" si="1288"/>
        <v>3.0938023388403035</v>
      </c>
      <c r="P1073" s="1">
        <f>P1074</f>
        <v>2.8943037376731184</v>
      </c>
      <c r="Q1073" s="1">
        <f>Q1074</f>
        <v>1.8059025824087795</v>
      </c>
      <c r="S1073" s="3"/>
    </row>
    <row r="1074" spans="2:19" x14ac:dyDescent="0.5">
      <c r="B1074" s="5" t="str">
        <f t="shared" si="1271"/>
        <v>SPS1</v>
      </c>
      <c r="C1074" s="5" t="str">
        <f t="shared" si="1272"/>
        <v>CH</v>
      </c>
      <c r="D1074" t="s">
        <v>1060</v>
      </c>
      <c r="E1074" t="s">
        <v>8</v>
      </c>
      <c r="F1074" s="1">
        <f>[1]Residential!B$111</f>
        <v>9.1310817531690116</v>
      </c>
      <c r="G1074" s="1">
        <f>[1]Residential!C$111</f>
        <v>9.1110621961253937</v>
      </c>
      <c r="H1074" s="1">
        <f>[1]Residential!D$111</f>
        <v>7.2767565931875922</v>
      </c>
      <c r="I1074" s="1">
        <f>[1]Residential!E$111</f>
        <v>6.500363496357914</v>
      </c>
      <c r="J1074" s="1">
        <f>[1]Residential!F$111</f>
        <v>6.0354882018440188</v>
      </c>
      <c r="K1074" s="1">
        <f>[1]Residential!G$111</f>
        <v>5.2975512328703953</v>
      </c>
      <c r="L1074" s="1">
        <f>[1]Residential!H$111</f>
        <v>4.678729511760702</v>
      </c>
      <c r="M1074" s="1">
        <f>[1]Residential!I$111</f>
        <v>3.8693831476878491</v>
      </c>
      <c r="N1074" s="1">
        <f>[1]Residential!J$111</f>
        <v>3.6567080486486607</v>
      </c>
      <c r="O1074" s="1">
        <f>[1]Residential!K$111</f>
        <v>3.0938023388403035</v>
      </c>
      <c r="P1074" s="1">
        <f>[1]Residential!L$111</f>
        <v>2.8943037376731184</v>
      </c>
      <c r="Q1074" s="1">
        <f>[1]Residential!M$111</f>
        <v>1.8059025824087795</v>
      </c>
      <c r="S1074" s="3"/>
    </row>
    <row r="1075" spans="2:19" x14ac:dyDescent="0.5">
      <c r="B1075" s="5" t="str">
        <f t="shared" si="1271"/>
        <v>SPS1</v>
      </c>
      <c r="C1075" s="5" t="str">
        <f t="shared" si="1272"/>
        <v>CH</v>
      </c>
      <c r="D1075" t="s">
        <v>1061</v>
      </c>
      <c r="E1075" t="s">
        <v>8</v>
      </c>
      <c r="F1075" s="1">
        <f>F1076</f>
        <v>2.6968939462893258</v>
      </c>
      <c r="G1075" s="1">
        <f t="shared" ref="G1075:O1075" si="1289">G1076</f>
        <v>3.1682228784045652</v>
      </c>
      <c r="H1075" s="1">
        <f t="shared" si="1289"/>
        <v>3.1697948555031794</v>
      </c>
      <c r="I1075" s="1">
        <f t="shared" si="1289"/>
        <v>3.3020016275198634</v>
      </c>
      <c r="J1075" s="1">
        <f t="shared" si="1289"/>
        <v>3.416884160488769</v>
      </c>
      <c r="K1075" s="1">
        <f t="shared" si="1289"/>
        <v>3.5028161296323699</v>
      </c>
      <c r="L1075" s="1">
        <f t="shared" si="1289"/>
        <v>3.5711752764237374</v>
      </c>
      <c r="M1075" s="1">
        <f t="shared" si="1289"/>
        <v>3.6267568741321066</v>
      </c>
      <c r="N1075" s="1">
        <f t="shared" si="1289"/>
        <v>3.6690597396503435</v>
      </c>
      <c r="O1075" s="1">
        <f t="shared" si="1289"/>
        <v>3.7067429995028922</v>
      </c>
      <c r="P1075" s="1">
        <f>P1076</f>
        <v>3.7068086400259816</v>
      </c>
      <c r="Q1075" s="1">
        <f>Q1076</f>
        <v>3.7076431255422007</v>
      </c>
      <c r="S1075" s="3"/>
    </row>
    <row r="1076" spans="2:19" x14ac:dyDescent="0.5">
      <c r="B1076" s="5" t="str">
        <f t="shared" si="1271"/>
        <v>SPS1</v>
      </c>
      <c r="C1076" s="5" t="str">
        <f t="shared" si="1272"/>
        <v>CH</v>
      </c>
      <c r="D1076" t="s">
        <v>1062</v>
      </c>
      <c r="E1076" t="s">
        <v>8</v>
      </c>
      <c r="F1076" s="1">
        <f>[1]Residential!B$112</f>
        <v>2.6968939462893258</v>
      </c>
      <c r="G1076" s="1">
        <f>[1]Residential!C$112</f>
        <v>3.1682228784045652</v>
      </c>
      <c r="H1076" s="1">
        <f>[1]Residential!D$112</f>
        <v>3.1697948555031794</v>
      </c>
      <c r="I1076" s="1">
        <f>[1]Residential!E$112</f>
        <v>3.3020016275198634</v>
      </c>
      <c r="J1076" s="1">
        <f>[1]Residential!F$112</f>
        <v>3.416884160488769</v>
      </c>
      <c r="K1076" s="1">
        <f>[1]Residential!G$112</f>
        <v>3.5028161296323699</v>
      </c>
      <c r="L1076" s="1">
        <f>[1]Residential!H$112</f>
        <v>3.5711752764237374</v>
      </c>
      <c r="M1076" s="1">
        <f>[1]Residential!I$112</f>
        <v>3.6267568741321066</v>
      </c>
      <c r="N1076" s="1">
        <f>[1]Residential!J$112</f>
        <v>3.6690597396503435</v>
      </c>
      <c r="O1076" s="1">
        <f>[1]Residential!K$112</f>
        <v>3.7067429995028922</v>
      </c>
      <c r="P1076" s="1">
        <f>[1]Residential!L$112</f>
        <v>3.7068086400259816</v>
      </c>
      <c r="Q1076" s="1">
        <f>[1]Residential!M$112</f>
        <v>3.7076431255422007</v>
      </c>
      <c r="S1076" s="3"/>
    </row>
    <row r="1077" spans="2:19" x14ac:dyDescent="0.5">
      <c r="B1077" s="5" t="str">
        <f t="shared" si="1271"/>
        <v>SPS1</v>
      </c>
      <c r="C1077" s="5" t="str">
        <f t="shared" si="1272"/>
        <v>CH</v>
      </c>
      <c r="D1077" t="s">
        <v>1063</v>
      </c>
      <c r="E1077" t="s">
        <v>8</v>
      </c>
      <c r="F1077" s="1">
        <f>F1078</f>
        <v>0.78534781634151196</v>
      </c>
      <c r="G1077" s="1">
        <f t="shared" ref="G1077:O1077" si="1290">G1078</f>
        <v>0.94131571883904619</v>
      </c>
      <c r="H1077" s="1">
        <f t="shared" si="1290"/>
        <v>0.94522510091261014</v>
      </c>
      <c r="I1077" s="1">
        <f t="shared" si="1290"/>
        <v>0.94787340715291812</v>
      </c>
      <c r="J1077" s="1">
        <f t="shared" si="1290"/>
        <v>0.9056943670836457</v>
      </c>
      <c r="K1077" s="1">
        <f t="shared" si="1290"/>
        <v>0.88196104227375494</v>
      </c>
      <c r="L1077" s="1">
        <f t="shared" si="1290"/>
        <v>0.88104868703638017</v>
      </c>
      <c r="M1077" s="1">
        <f t="shared" si="1290"/>
        <v>0.81788589714990378</v>
      </c>
      <c r="N1077" s="1">
        <f t="shared" si="1290"/>
        <v>0.81596726493044947</v>
      </c>
      <c r="O1077" s="1">
        <f t="shared" si="1290"/>
        <v>0.7714655454066085</v>
      </c>
      <c r="P1077" s="1">
        <f>P1078</f>
        <v>0.7833936658474131</v>
      </c>
      <c r="Q1077" s="1">
        <f>Q1078</f>
        <v>0.66231828704958562</v>
      </c>
      <c r="S1077" s="3"/>
    </row>
    <row r="1078" spans="2:19" x14ac:dyDescent="0.5">
      <c r="B1078" s="5" t="str">
        <f t="shared" si="1271"/>
        <v>SPS1</v>
      </c>
      <c r="C1078" s="5" t="str">
        <f t="shared" si="1272"/>
        <v>CH</v>
      </c>
      <c r="D1078" t="s">
        <v>1064</v>
      </c>
      <c r="E1078" t="s">
        <v>8</v>
      </c>
      <c r="F1078" s="1">
        <f>[1]Residential!B$113</f>
        <v>0.78534781634151196</v>
      </c>
      <c r="G1078" s="1">
        <f>[1]Residential!C$113</f>
        <v>0.94131571883904619</v>
      </c>
      <c r="H1078" s="1">
        <f>[1]Residential!D$113</f>
        <v>0.94522510091261014</v>
      </c>
      <c r="I1078" s="1">
        <f>[1]Residential!E$113</f>
        <v>0.94787340715291812</v>
      </c>
      <c r="J1078" s="1">
        <f>[1]Residential!F$113</f>
        <v>0.9056943670836457</v>
      </c>
      <c r="K1078" s="1">
        <f>[1]Residential!G$113</f>
        <v>0.88196104227375494</v>
      </c>
      <c r="L1078" s="1">
        <f>[1]Residential!H$113</f>
        <v>0.88104868703638017</v>
      </c>
      <c r="M1078" s="1">
        <f>[1]Residential!I$113</f>
        <v>0.81788589714990378</v>
      </c>
      <c r="N1078" s="1">
        <f>[1]Residential!J$113</f>
        <v>0.81596726493044947</v>
      </c>
      <c r="O1078" s="1">
        <f>[1]Residential!K$113</f>
        <v>0.7714655454066085</v>
      </c>
      <c r="P1078" s="1">
        <f>[1]Residential!L$113</f>
        <v>0.7833936658474131</v>
      </c>
      <c r="Q1078" s="1">
        <f>[1]Residential!M$113</f>
        <v>0.66231828704958562</v>
      </c>
      <c r="S1078" s="3"/>
    </row>
    <row r="1079" spans="2:19" x14ac:dyDescent="0.5">
      <c r="B1079" s="5" t="str">
        <f t="shared" si="1271"/>
        <v>SPS1</v>
      </c>
      <c r="C1079" s="5" t="str">
        <f t="shared" si="1272"/>
        <v>CH</v>
      </c>
      <c r="D1079" t="s">
        <v>1065</v>
      </c>
      <c r="E1079" t="s">
        <v>8</v>
      </c>
      <c r="F1079" s="1">
        <f>F1080</f>
        <v>0</v>
      </c>
      <c r="G1079" s="1">
        <f t="shared" ref="G1079:O1079" si="1291">G1080</f>
        <v>0</v>
      </c>
      <c r="H1079" s="1">
        <f t="shared" si="1291"/>
        <v>0</v>
      </c>
      <c r="I1079" s="1">
        <f t="shared" si="1291"/>
        <v>0</v>
      </c>
      <c r="J1079" s="1">
        <f t="shared" si="1291"/>
        <v>0</v>
      </c>
      <c r="K1079" s="1">
        <f t="shared" si="1291"/>
        <v>0</v>
      </c>
      <c r="L1079" s="1">
        <f t="shared" si="1291"/>
        <v>0</v>
      </c>
      <c r="M1079" s="1">
        <f t="shared" si="1291"/>
        <v>0</v>
      </c>
      <c r="N1079" s="1">
        <f t="shared" si="1291"/>
        <v>0</v>
      </c>
      <c r="O1079" s="1">
        <f t="shared" si="1291"/>
        <v>0</v>
      </c>
      <c r="P1079" s="1">
        <f>P1080</f>
        <v>0</v>
      </c>
      <c r="Q1079" s="1">
        <f>Q1080</f>
        <v>0</v>
      </c>
      <c r="S1079" s="3"/>
    </row>
    <row r="1080" spans="2:19" x14ac:dyDescent="0.5">
      <c r="B1080" s="5" t="str">
        <f t="shared" si="1271"/>
        <v>SPS1</v>
      </c>
      <c r="C1080" s="5" t="str">
        <f t="shared" si="1272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[1]Residential!F$114</f>
        <v>0</v>
      </c>
      <c r="K1080" s="1">
        <f>[1]Residential!G$114</f>
        <v>0</v>
      </c>
      <c r="L1080" s="1">
        <f>[1]Residential!H$114</f>
        <v>0</v>
      </c>
      <c r="M1080" s="1">
        <f>[1]Residential!I$114</f>
        <v>0</v>
      </c>
      <c r="N1080" s="1">
        <f>[1]Residential!J$114</f>
        <v>0</v>
      </c>
      <c r="O1080" s="1">
        <f>[1]Residential!K$114</f>
        <v>0</v>
      </c>
      <c r="P1080" s="1">
        <f>[1]Residential!L$114</f>
        <v>0</v>
      </c>
      <c r="Q1080" s="1">
        <f>[1]Residential!M$114</f>
        <v>0</v>
      </c>
      <c r="S1080" s="3"/>
    </row>
    <row r="1081" spans="2:19" x14ac:dyDescent="0.5">
      <c r="B1081" s="5" t="str">
        <f t="shared" si="1271"/>
        <v>SPS1</v>
      </c>
      <c r="C1081" s="5" t="str">
        <f t="shared" si="1272"/>
        <v>CH</v>
      </c>
      <c r="D1081" t="s">
        <v>1067</v>
      </c>
      <c r="E1081" t="s">
        <v>8</v>
      </c>
      <c r="F1081" s="1">
        <f>[1]Residential!B$10-[1]Residential!B$223</f>
        <v>2.939538998579053</v>
      </c>
      <c r="G1081" s="1">
        <f>[1]Residential!C$10-[1]Residential!C$223</f>
        <v>7.0036505375308877</v>
      </c>
      <c r="H1081" s="1">
        <f>[1]Residential!D$10-[1]Residential!D$223</f>
        <v>7.0032716938393751</v>
      </c>
      <c r="I1081" s="1">
        <f>[1]Residential!E$10-[1]Residential!E$223</f>
        <v>7.0024136380380781</v>
      </c>
      <c r="J1081" s="1">
        <f>[1]Residential!F$10-[1]Residential!F$223</f>
        <v>7.0034051854198571</v>
      </c>
      <c r="K1081" s="1">
        <f>[1]Residential!G$10-[1]Residential!G$223</f>
        <v>7.0035798588609284</v>
      </c>
      <c r="L1081" s="1">
        <f>[1]Residential!H$10-[1]Residential!H$223</f>
        <v>7.0028573943912935</v>
      </c>
      <c r="M1081" s="1">
        <f>[1]Residential!I$10-[1]Residential!I$223</f>
        <v>7.0022159152039469</v>
      </c>
      <c r="N1081" s="1">
        <f>[1]Residential!J$10-[1]Residential!J$223</f>
        <v>7.0026496919905625</v>
      </c>
      <c r="O1081" s="1">
        <f>[1]Residential!K$10-[1]Residential!K$223</f>
        <v>7.0024616876711283</v>
      </c>
      <c r="P1081" s="1">
        <f>[1]Residential!L$10-[1]Residential!L$223</f>
        <v>7.0024271697065386</v>
      </c>
      <c r="Q1081" s="1">
        <f>[1]Residential!M$10-[1]Residential!M$223</f>
        <v>7.0056321232847294</v>
      </c>
      <c r="S1081" s="3"/>
    </row>
    <row r="1082" spans="2:19" x14ac:dyDescent="0.5">
      <c r="B1082" s="5" t="str">
        <f t="shared" si="1271"/>
        <v>SPS1</v>
      </c>
      <c r="C1082" s="5" t="str">
        <f t="shared" si="1272"/>
        <v>CH</v>
      </c>
      <c r="D1082" t="s">
        <v>1068</v>
      </c>
      <c r="E1082" t="s">
        <v>8</v>
      </c>
      <c r="F1082" s="1">
        <f>[1]Residential!B$224</f>
        <v>26.978394932779871</v>
      </c>
      <c r="G1082" s="1">
        <f>[1]Residential!C$224</f>
        <v>25.930412143867592</v>
      </c>
      <c r="H1082" s="1">
        <f>[1]Residential!D$224</f>
        <v>25.957827176604113</v>
      </c>
      <c r="I1082" s="1">
        <f>[1]Residential!E$224</f>
        <v>25.614953434015153</v>
      </c>
      <c r="J1082" s="1">
        <f>[1]Residential!F$224</f>
        <v>25.726387556906484</v>
      </c>
      <c r="K1082" s="1">
        <f>[1]Residential!G$224</f>
        <v>25.609388144623146</v>
      </c>
      <c r="L1082" s="1">
        <f>[1]Residential!H$224</f>
        <v>25.398983368710596</v>
      </c>
      <c r="M1082" s="1">
        <f>[1]Residential!I$224</f>
        <v>25.158984072712464</v>
      </c>
      <c r="N1082" s="1">
        <f>[1]Residential!J$224</f>
        <v>25.475041237047822</v>
      </c>
      <c r="O1082" s="1">
        <f>[1]Residential!K$224</f>
        <v>25.010292479959155</v>
      </c>
      <c r="P1082" s="1">
        <f>[1]Residential!L$224</f>
        <v>24.5513547081217</v>
      </c>
      <c r="Q1082" s="1">
        <f>[1]Residential!M$224</f>
        <v>24.125894679759778</v>
      </c>
      <c r="S1082" s="3"/>
    </row>
    <row r="1083" spans="2:19" x14ac:dyDescent="0.5">
      <c r="B1083" s="5" t="str">
        <f t="shared" si="1271"/>
        <v>SPS1</v>
      </c>
      <c r="C1083" s="5" t="str">
        <f t="shared" si="1272"/>
        <v>CH</v>
      </c>
      <c r="D1083" t="s">
        <v>1118</v>
      </c>
      <c r="E1083" t="s">
        <v>8</v>
      </c>
      <c r="F1083" s="1">
        <f>SUM(F1084:F1085)</f>
        <v>9.8846234008467917</v>
      </c>
      <c r="G1083" s="1">
        <f t="shared" ref="G1083:K1083" si="1292">SUM(G1084:G1085)</f>
        <v>10.604183082405555</v>
      </c>
      <c r="H1083" s="1">
        <f t="shared" si="1292"/>
        <v>11.844043653176573</v>
      </c>
      <c r="I1083" s="1">
        <f t="shared" si="1292"/>
        <v>11.128134782655856</v>
      </c>
      <c r="J1083" s="1">
        <f t="shared" si="1292"/>
        <v>11.874207956037672</v>
      </c>
      <c r="K1083" s="1">
        <f t="shared" si="1292"/>
        <v>11.605827315340949</v>
      </c>
      <c r="L1083" s="1">
        <f t="shared" ref="L1083:O1083" si="1293">SUM(L1084:L1085)</f>
        <v>11.244111122028123</v>
      </c>
      <c r="M1083" s="1">
        <f t="shared" si="1293"/>
        <v>10.152909697505864</v>
      </c>
      <c r="N1083" s="1">
        <f t="shared" si="1293"/>
        <v>10.81346262394524</v>
      </c>
      <c r="O1083" s="1">
        <f t="shared" si="1293"/>
        <v>10.900955049915138</v>
      </c>
      <c r="P1083" s="1">
        <f>SUM(P1084:P1085)</f>
        <v>9.4897868925621385</v>
      </c>
      <c r="Q1083" s="1">
        <f>SUM(Q1084:Q1085)</f>
        <v>10.790686382124509</v>
      </c>
      <c r="S1083" s="3"/>
    </row>
    <row r="1084" spans="2:19" x14ac:dyDescent="0.5">
      <c r="B1084" s="5" t="str">
        <f t="shared" si="1271"/>
        <v>SPS1</v>
      </c>
      <c r="C1084" s="5" t="str">
        <f t="shared" si="1272"/>
        <v>CH</v>
      </c>
      <c r="D1084" t="s">
        <v>1119</v>
      </c>
      <c r="E1084" t="s">
        <v>8</v>
      </c>
      <c r="F1084" s="1">
        <f>[1]Residential!B$231-F1058</f>
        <v>6.6447096366279688</v>
      </c>
      <c r="G1084" s="1">
        <f>[1]Residential!C$231-G1058</f>
        <v>6.9687111771074379</v>
      </c>
      <c r="H1084" s="1">
        <f>[1]Residential!D$231-H1058</f>
        <v>6.9136038562716493</v>
      </c>
      <c r="I1084" s="1">
        <f>[1]Residential!E$231-I1058</f>
        <v>5.1407878294690841</v>
      </c>
      <c r="J1084" s="1">
        <f>[1]Residential!F$231-J1058</f>
        <v>4.1027141701922147</v>
      </c>
      <c r="K1084" s="1">
        <f>[1]Residential!G$231-K1058</f>
        <v>3.5919937965929991</v>
      </c>
      <c r="L1084" s="1">
        <f>[1]Residential!H$231-L1058</f>
        <v>3.005786436972961</v>
      </c>
      <c r="M1084" s="1">
        <f>[1]Residential!I$231-M1058</f>
        <v>1.9057194594545255</v>
      </c>
      <c r="N1084" s="1">
        <f>[1]Residential!J$231-N1058</f>
        <v>0.51339955277074067</v>
      </c>
      <c r="O1084" s="1">
        <f>[1]Residential!K$231-O1058</f>
        <v>0.45796501601892592</v>
      </c>
      <c r="P1084" s="1">
        <f>[1]Residential!L$231-P1058</f>
        <v>0.43572000819593137</v>
      </c>
      <c r="Q1084" s="1">
        <f>[1]Residential!M$231-Q1058</f>
        <v>0.36008072354227566</v>
      </c>
      <c r="S1084" s="3"/>
    </row>
    <row r="1085" spans="2:19" x14ac:dyDescent="0.5">
      <c r="B1085" s="5" t="str">
        <f t="shared" si="1271"/>
        <v>SPS1</v>
      </c>
      <c r="C1085" s="5" t="str">
        <f t="shared" si="1272"/>
        <v>CH</v>
      </c>
      <c r="D1085" t="s">
        <v>1120</v>
      </c>
      <c r="E1085" t="s">
        <v>8</v>
      </c>
      <c r="F1085" s="1">
        <f>[1]Residential!B$233-F1059</f>
        <v>3.2399137642188229</v>
      </c>
      <c r="G1085" s="1">
        <f>[1]Residential!C$233-G1059</f>
        <v>3.6354719052981181</v>
      </c>
      <c r="H1085" s="1">
        <f>[1]Residential!D$233-H1059</f>
        <v>4.9304397969049241</v>
      </c>
      <c r="I1085" s="1">
        <f>[1]Residential!E$233-I1059</f>
        <v>5.9873469531867727</v>
      </c>
      <c r="J1085" s="1">
        <f>[1]Residential!F$233-J1059</f>
        <v>7.7714937858454576</v>
      </c>
      <c r="K1085" s="1">
        <f>[1]Residential!G$233-K1059</f>
        <v>8.0138335187479512</v>
      </c>
      <c r="L1085" s="1">
        <f>[1]Residential!H$233-L1059</f>
        <v>8.2383246850551615</v>
      </c>
      <c r="M1085" s="1">
        <f>[1]Residential!I$233-M1059</f>
        <v>8.2471902380513384</v>
      </c>
      <c r="N1085" s="1">
        <f>[1]Residential!J$233-N1059</f>
        <v>10.300063071174499</v>
      </c>
      <c r="O1085" s="1">
        <f>[1]Residential!K$233-O1059</f>
        <v>10.442990033896212</v>
      </c>
      <c r="P1085" s="1">
        <f>[1]Residential!L$233-P1059</f>
        <v>9.0540668843662075</v>
      </c>
      <c r="Q1085" s="1">
        <f>[1]Residential!M$233-Q1059</f>
        <v>10.430605658582234</v>
      </c>
      <c r="S1085" s="3"/>
    </row>
    <row r="1086" spans="2:19" x14ac:dyDescent="0.5">
      <c r="B1086" s="5" t="str">
        <f t="shared" si="1271"/>
        <v>SPS1</v>
      </c>
      <c r="C1086" s="5" t="str">
        <f t="shared" si="1272"/>
        <v>CH</v>
      </c>
      <c r="D1086" t="s">
        <v>1069</v>
      </c>
      <c r="E1086" t="s">
        <v>8</v>
      </c>
      <c r="F1086" s="1">
        <f>F1087</f>
        <v>6.9844608863003472</v>
      </c>
      <c r="G1086" s="1">
        <f t="shared" ref="G1086:O1086" si="1294">G1087</f>
        <v>5.9211664061495597</v>
      </c>
      <c r="H1086" s="1">
        <f t="shared" si="1294"/>
        <v>1.2075276971287039</v>
      </c>
      <c r="I1086" s="1">
        <f t="shared" si="1294"/>
        <v>1.9629064106173075</v>
      </c>
      <c r="J1086" s="1">
        <f t="shared" si="1294"/>
        <v>0.56667275932557004</v>
      </c>
      <c r="K1086" s="1">
        <f t="shared" si="1294"/>
        <v>1.3987529560427703E-2</v>
      </c>
      <c r="L1086" s="1">
        <f t="shared" si="1294"/>
        <v>1.437407538720592E-2</v>
      </c>
      <c r="M1086" s="1">
        <f t="shared" si="1294"/>
        <v>1.3616746198522378E-2</v>
      </c>
      <c r="N1086" s="1">
        <f t="shared" si="1294"/>
        <v>1.8193928996296904E-2</v>
      </c>
      <c r="O1086" s="1">
        <f t="shared" si="1294"/>
        <v>2.8091653878572487E-2</v>
      </c>
      <c r="P1086" s="1">
        <f>P1087</f>
        <v>2.3364697474885787E-2</v>
      </c>
      <c r="Q1086" s="1">
        <f>Q1087</f>
        <v>6.127911663289165E-2</v>
      </c>
      <c r="S1086" s="3"/>
    </row>
    <row r="1087" spans="2:19" x14ac:dyDescent="0.5">
      <c r="B1087" s="5" t="str">
        <f t="shared" si="1271"/>
        <v>SPS1</v>
      </c>
      <c r="C1087" s="5" t="str">
        <f t="shared" si="1272"/>
        <v>CH</v>
      </c>
      <c r="D1087" t="s">
        <v>1070</v>
      </c>
      <c r="E1087" t="s">
        <v>8</v>
      </c>
      <c r="F1087" s="1">
        <f>[1]Residential!B$234-F1061</f>
        <v>6.9844608863003472</v>
      </c>
      <c r="G1087" s="1">
        <f>[1]Residential!C$234-G1061</f>
        <v>5.9211664061495597</v>
      </c>
      <c r="H1087" s="1">
        <f>[1]Residential!D$234-H1061</f>
        <v>1.2075276971287039</v>
      </c>
      <c r="I1087" s="1">
        <f>[1]Residential!E$234-I1061</f>
        <v>1.9629064106173075</v>
      </c>
      <c r="J1087" s="1">
        <f>[1]Residential!F$234-J1061</f>
        <v>0.56667275932557004</v>
      </c>
      <c r="K1087" s="1">
        <f>[1]Residential!G$234-K1061</f>
        <v>1.3987529560427703E-2</v>
      </c>
      <c r="L1087" s="1">
        <f>[1]Residential!H$234-L1061</f>
        <v>1.437407538720592E-2</v>
      </c>
      <c r="M1087" s="1">
        <f>[1]Residential!I$234-M1061</f>
        <v>1.3616746198522378E-2</v>
      </c>
      <c r="N1087" s="1">
        <f>[1]Residential!J$234-N1061</f>
        <v>1.8193928996296904E-2</v>
      </c>
      <c r="O1087" s="1">
        <f>[1]Residential!K$234-O1061</f>
        <v>2.8091653878572487E-2</v>
      </c>
      <c r="P1087" s="1">
        <f>[1]Residential!L$234-P1061</f>
        <v>2.3364697474885787E-2</v>
      </c>
      <c r="Q1087" s="1">
        <f>[1]Residential!M$234-Q1061</f>
        <v>6.127911663289165E-2</v>
      </c>
      <c r="S1087" s="3"/>
    </row>
    <row r="1088" spans="2:19" x14ac:dyDescent="0.5">
      <c r="B1088" s="5" t="str">
        <f t="shared" si="1271"/>
        <v>SPS1</v>
      </c>
      <c r="C1088" s="5" t="str">
        <f t="shared" si="1272"/>
        <v>CH</v>
      </c>
      <c r="D1088" t="s">
        <v>1071</v>
      </c>
      <c r="E1088" t="s">
        <v>8</v>
      </c>
      <c r="F1088" s="1">
        <f>SUM(F1089:F1090)</f>
        <v>6.3804645394373196</v>
      </c>
      <c r="G1088" s="1">
        <f t="shared" ref="G1088:K1088" si="1295">SUM(G1089:G1090)</f>
        <v>5.1628488126526051</v>
      </c>
      <c r="H1088" s="1">
        <f t="shared" si="1295"/>
        <v>9.0830019937394457</v>
      </c>
      <c r="I1088" s="1">
        <f t="shared" si="1295"/>
        <v>9.1712007011693437</v>
      </c>
      <c r="J1088" s="1">
        <f t="shared" si="1295"/>
        <v>10.255611744949137</v>
      </c>
      <c r="K1088" s="1">
        <f t="shared" si="1295"/>
        <v>10.900649877096789</v>
      </c>
      <c r="L1088" s="1">
        <f t="shared" ref="L1088:O1088" si="1296">SUM(L1089:L1090)</f>
        <v>11.081301162719445</v>
      </c>
      <c r="M1088" s="1">
        <f t="shared" si="1296"/>
        <v>12.030861489809279</v>
      </c>
      <c r="N1088" s="1">
        <f t="shared" si="1296"/>
        <v>11.721138070111726</v>
      </c>
      <c r="O1088" s="1">
        <f t="shared" si="1296"/>
        <v>11.284642998771234</v>
      </c>
      <c r="P1088" s="1">
        <f>SUM(P1089:P1090)</f>
        <v>12.196123436631211</v>
      </c>
      <c r="Q1088" s="1">
        <f>SUM(Q1089:Q1090)</f>
        <v>10.767681698281244</v>
      </c>
      <c r="S1088" s="3"/>
    </row>
    <row r="1089" spans="2:19" x14ac:dyDescent="0.5">
      <c r="B1089" s="5" t="str">
        <f t="shared" si="1271"/>
        <v>SPS1</v>
      </c>
      <c r="C1089" s="5" t="str">
        <f t="shared" si="1272"/>
        <v>CH</v>
      </c>
      <c r="D1089" t="s">
        <v>1072</v>
      </c>
      <c r="E1089" t="s">
        <v>8</v>
      </c>
      <c r="F1089" s="1">
        <f>[1]Residential!B$235-F1063</f>
        <v>6.3804645394373196</v>
      </c>
      <c r="G1089" s="1">
        <f>[1]Residential!C$235-G1063</f>
        <v>5.1628488126526051</v>
      </c>
      <c r="H1089" s="1">
        <f>[1]Residential!D$235-H1063</f>
        <v>9.07544940419357</v>
      </c>
      <c r="I1089" s="1">
        <f>[1]Residential!E$235-I1063</f>
        <v>9.1625138452731889</v>
      </c>
      <c r="J1089" s="1">
        <f>[1]Residential!F$235-J1063</f>
        <v>9.7451804909366473</v>
      </c>
      <c r="K1089" s="1">
        <f>[1]Residential!G$235-K1063</f>
        <v>9.5850434049896833</v>
      </c>
      <c r="L1089" s="1">
        <f>[1]Residential!H$235-L1063</f>
        <v>9.2984881732773061</v>
      </c>
      <c r="M1089" s="1">
        <f>[1]Residential!I$235-M1063</f>
        <v>9.0147199245211453</v>
      </c>
      <c r="N1089" s="1">
        <f>[1]Residential!J$235-N1063</f>
        <v>8.5017883487577208</v>
      </c>
      <c r="O1089" s="1">
        <f>[1]Residential!K$235-O1063</f>
        <v>7.9220693389484751</v>
      </c>
      <c r="P1089" s="1">
        <f>[1]Residential!L$235-P1063</f>
        <v>7.7598669809220162</v>
      </c>
      <c r="Q1089" s="1">
        <f>[1]Residential!M$235-Q1063</f>
        <v>6.3173774504727049</v>
      </c>
      <c r="S1089" s="3"/>
    </row>
    <row r="1090" spans="2:19" x14ac:dyDescent="0.5">
      <c r="B1090" s="5" t="str">
        <f t="shared" si="1271"/>
        <v>SPS1</v>
      </c>
      <c r="C1090" s="5" t="str">
        <f t="shared" si="1272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7.552589545875503E-3</v>
      </c>
      <c r="I1090" s="1">
        <f>[1]Residential!E$236-I1064</f>
        <v>8.686855896155643E-3</v>
      </c>
      <c r="J1090" s="1">
        <f>[1]Residential!F$236-J1064</f>
        <v>0.51043125401248979</v>
      </c>
      <c r="K1090" s="1">
        <f>[1]Residential!G$236-K1064</f>
        <v>1.3156064721071052</v>
      </c>
      <c r="L1090" s="1">
        <f>[1]Residential!H$236-L1064</f>
        <v>1.7828129894421378</v>
      </c>
      <c r="M1090" s="1">
        <f>[1]Residential!I$236-M1064</f>
        <v>3.0161415652881338</v>
      </c>
      <c r="N1090" s="1">
        <f>[1]Residential!J$236-N1064</f>
        <v>3.2193497213540052</v>
      </c>
      <c r="O1090" s="1">
        <f>[1]Residential!K$236-O1064</f>
        <v>3.3625736598227594</v>
      </c>
      <c r="P1090" s="1">
        <f>[1]Residential!L$236-P1064</f>
        <v>4.436256455709195</v>
      </c>
      <c r="Q1090" s="1">
        <f>[1]Residential!M$236-Q1064</f>
        <v>4.4503042478085391</v>
      </c>
      <c r="S1090" s="3"/>
    </row>
    <row r="1091" spans="2:19" x14ac:dyDescent="0.5">
      <c r="B1091" s="5" t="str">
        <f t="shared" si="1271"/>
        <v>SPS1</v>
      </c>
      <c r="C1091" s="5" t="str">
        <f t="shared" si="1272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S1091" s="3"/>
    </row>
    <row r="1092" spans="2:19" x14ac:dyDescent="0.5">
      <c r="B1092" s="5" t="str">
        <f t="shared" si="1271"/>
        <v>SPS1</v>
      </c>
      <c r="C1092" s="5" t="str">
        <f t="shared" si="1272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S1092" s="3"/>
    </row>
    <row r="1093" spans="2:19" x14ac:dyDescent="0.5">
      <c r="B1093" s="5" t="str">
        <f t="shared" si="1271"/>
        <v>SPS1</v>
      </c>
      <c r="C1093" s="5" t="str">
        <f t="shared" si="1272"/>
        <v>CH</v>
      </c>
      <c r="D1093" t="s">
        <v>1076</v>
      </c>
      <c r="E1093" t="s">
        <v>8</v>
      </c>
      <c r="F1093" s="1">
        <f>SUM(F1094,F1098)</f>
        <v>1.3170881346789294</v>
      </c>
      <c r="G1093" s="1">
        <f t="shared" ref="G1093:K1093" si="1297">SUM(G1094,G1098)</f>
        <v>1.4633807559945882</v>
      </c>
      <c r="H1093" s="1">
        <f t="shared" si="1297"/>
        <v>1.4605616898419782</v>
      </c>
      <c r="I1093" s="1">
        <f t="shared" si="1297"/>
        <v>1.4411817697201321</v>
      </c>
      <c r="J1093" s="1">
        <f t="shared" si="1297"/>
        <v>1.4929480671547342</v>
      </c>
      <c r="K1093" s="1">
        <f t="shared" si="1297"/>
        <v>1.6086891185610526</v>
      </c>
      <c r="L1093" s="1">
        <f t="shared" ref="L1093:O1093" si="1298">SUM(L1094,L1098)</f>
        <v>1.6024550709437677</v>
      </c>
      <c r="M1093" s="1">
        <f t="shared" si="1298"/>
        <v>1.6158345880823997</v>
      </c>
      <c r="N1093" s="1">
        <f t="shared" si="1298"/>
        <v>1.5859011959491891</v>
      </c>
      <c r="O1093" s="1">
        <f t="shared" si="1298"/>
        <v>1.5380228438749839</v>
      </c>
      <c r="P1093" s="1">
        <f>SUM(P1094,P1098)</f>
        <v>1.5765838450745031</v>
      </c>
      <c r="Q1093" s="1">
        <f>SUM(Q1094,Q1098)</f>
        <v>1.4380753759981477</v>
      </c>
      <c r="S1093" s="3"/>
    </row>
    <row r="1094" spans="2:19" x14ac:dyDescent="0.5">
      <c r="B1094" s="5" t="str">
        <f t="shared" si="1271"/>
        <v>SPS1</v>
      </c>
      <c r="C1094" s="5" t="str">
        <f t="shared" si="1272"/>
        <v>CH</v>
      </c>
      <c r="D1094" t="s">
        <v>1077</v>
      </c>
      <c r="E1094" t="s">
        <v>8</v>
      </c>
      <c r="F1094" s="1">
        <f>[1]Residential!B$238-F1068</f>
        <v>2.4817160863986193E-2</v>
      </c>
      <c r="G1094" s="1">
        <f>[1]Residential!C$238-G1068</f>
        <v>1.6533944966554675E-3</v>
      </c>
      <c r="H1094" s="1">
        <f>[1]Residential!D$238-H1068</f>
        <v>4.3492489571879428E-2</v>
      </c>
      <c r="I1094" s="1">
        <f>[1]Residential!E$238-I1068</f>
        <v>0.22594112090925811</v>
      </c>
      <c r="J1094" s="1">
        <f>[1]Residential!F$238-J1068</f>
        <v>0.23671558643857327</v>
      </c>
      <c r="K1094" s="1">
        <f>[1]Residential!G$238-K1068</f>
        <v>0.24122486739379845</v>
      </c>
      <c r="L1094" s="1">
        <f>[1]Residential!H$238-L1068</f>
        <v>0.24316954227351628</v>
      </c>
      <c r="M1094" s="1">
        <f>[1]Residential!I$238-M1068</f>
        <v>0.24890249299988598</v>
      </c>
      <c r="N1094" s="1">
        <f>[1]Residential!J$238-N1068</f>
        <v>0.24890662867643165</v>
      </c>
      <c r="O1094" s="1">
        <f>[1]Residential!K$238-O1068</f>
        <v>0.25239345940935287</v>
      </c>
      <c r="P1094" s="1">
        <f>[1]Residential!L$238-P1068</f>
        <v>0.26306695756273246</v>
      </c>
      <c r="Q1094" s="1">
        <f>[1]Residential!M$238-Q1068</f>
        <v>0.26425351334029035</v>
      </c>
      <c r="S1094" s="3"/>
    </row>
    <row r="1095" spans="2:19" x14ac:dyDescent="0.5">
      <c r="B1095" s="5" t="str">
        <f t="shared" si="1271"/>
        <v>SPS1</v>
      </c>
      <c r="C1095" s="5" t="str">
        <f t="shared" si="1272"/>
        <v>CH</v>
      </c>
      <c r="D1095" t="s">
        <v>1078</v>
      </c>
      <c r="E1095" t="s">
        <v>8</v>
      </c>
      <c r="F1095" s="1">
        <f>IFERROR(F$1094/F$1043,0)*F1044</f>
        <v>2.4817160863986193E-2</v>
      </c>
      <c r="G1095" s="1">
        <f t="shared" ref="G1095:K1097" si="1299">IFERROR(G$1094/G$1043,0)*G1044</f>
        <v>1.6533944966554675E-3</v>
      </c>
      <c r="H1095" s="1">
        <f t="shared" si="1299"/>
        <v>4.3492489571879435E-2</v>
      </c>
      <c r="I1095" s="1">
        <f t="shared" si="1299"/>
        <v>0.22007418863049766</v>
      </c>
      <c r="J1095" s="1">
        <f t="shared" si="1299"/>
        <v>0.22870886840066981</v>
      </c>
      <c r="K1095" s="1">
        <f t="shared" si="1299"/>
        <v>0.23416201828202318</v>
      </c>
      <c r="L1095" s="1">
        <f t="shared" ref="L1095:O1095" si="1300">IFERROR(L$1094/L$1043,0)*L1044</f>
        <v>0.23486722274092095</v>
      </c>
      <c r="M1095" s="1">
        <f t="shared" si="1300"/>
        <v>0.23200091694178718</v>
      </c>
      <c r="N1095" s="1">
        <f t="shared" si="1300"/>
        <v>0.23245027269605933</v>
      </c>
      <c r="O1095" s="1">
        <f t="shared" si="1300"/>
        <v>0.23570232604782859</v>
      </c>
      <c r="P1095" s="1">
        <f t="shared" ref="P1095:Q1097" si="1301">IFERROR(P$1094/P$1043,0)*P1044</f>
        <v>0.24763611722969006</v>
      </c>
      <c r="Q1095" s="1">
        <f t="shared" si="1301"/>
        <v>0.23852075902539246</v>
      </c>
      <c r="S1095" s="3"/>
    </row>
    <row r="1096" spans="2:19" x14ac:dyDescent="0.5">
      <c r="B1096" s="5" t="str">
        <f t="shared" si="1271"/>
        <v>SPS1</v>
      </c>
      <c r="C1096" s="5" t="str">
        <f t="shared" si="1272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99"/>
        <v>0</v>
      </c>
      <c r="H1096" s="1">
        <f t="shared" si="1299"/>
        <v>0</v>
      </c>
      <c r="I1096" s="1">
        <f t="shared" si="1299"/>
        <v>0</v>
      </c>
      <c r="J1096" s="1">
        <f t="shared" si="1299"/>
        <v>0</v>
      </c>
      <c r="K1096" s="1">
        <f t="shared" si="1299"/>
        <v>0</v>
      </c>
      <c r="L1096" s="1">
        <f t="shared" ref="L1096:O1096" si="1302">IFERROR(L$1094/L$1043,0)*L1045</f>
        <v>0</v>
      </c>
      <c r="M1096" s="1">
        <f t="shared" si="1302"/>
        <v>0</v>
      </c>
      <c r="N1096" s="1">
        <f t="shared" si="1302"/>
        <v>0</v>
      </c>
      <c r="O1096" s="1">
        <f t="shared" si="1302"/>
        <v>0</v>
      </c>
      <c r="P1096" s="1">
        <f t="shared" si="1301"/>
        <v>0</v>
      </c>
      <c r="Q1096" s="1">
        <f t="shared" si="1301"/>
        <v>0</v>
      </c>
      <c r="S1096" s="3"/>
    </row>
    <row r="1097" spans="2:19" x14ac:dyDescent="0.5">
      <c r="B1097" s="5" t="str">
        <f t="shared" si="1271"/>
        <v>SPS1</v>
      </c>
      <c r="C1097" s="5" t="str">
        <f t="shared" si="1272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99"/>
        <v>0</v>
      </c>
      <c r="H1097" s="1">
        <f t="shared" si="1299"/>
        <v>0</v>
      </c>
      <c r="I1097" s="1">
        <f t="shared" si="1299"/>
        <v>5.8669322787604583E-3</v>
      </c>
      <c r="J1097" s="1">
        <f t="shared" si="1299"/>
        <v>8.0067180379034628E-3</v>
      </c>
      <c r="K1097" s="1">
        <f t="shared" si="1299"/>
        <v>7.0628491117753047E-3</v>
      </c>
      <c r="L1097" s="1">
        <f t="shared" ref="L1097:O1097" si="1303">IFERROR(L$1094/L$1043,0)*L1046</f>
        <v>8.3023195325953331E-3</v>
      </c>
      <c r="M1097" s="1">
        <f t="shared" si="1303"/>
        <v>1.6901576058098809E-2</v>
      </c>
      <c r="N1097" s="1">
        <f t="shared" si="1303"/>
        <v>1.6456355980372296E-2</v>
      </c>
      <c r="O1097" s="1">
        <f t="shared" si="1303"/>
        <v>1.6691133361524293E-2</v>
      </c>
      <c r="P1097" s="1">
        <f t="shared" si="1301"/>
        <v>1.5430840333042378E-2</v>
      </c>
      <c r="Q1097" s="1">
        <f t="shared" si="1301"/>
        <v>2.5732754314897851E-2</v>
      </c>
      <c r="S1097" s="3"/>
    </row>
    <row r="1098" spans="2:19" x14ac:dyDescent="0.5">
      <c r="B1098" s="5" t="str">
        <f t="shared" si="1271"/>
        <v>SPS1</v>
      </c>
      <c r="C1098" s="5" t="str">
        <f t="shared" si="1272"/>
        <v>CH</v>
      </c>
      <c r="D1098" t="s">
        <v>1081</v>
      </c>
      <c r="E1098" t="s">
        <v>8</v>
      </c>
      <c r="F1098" s="1">
        <f>[1]Residential!B$239-F1072</f>
        <v>1.2922709738149432</v>
      </c>
      <c r="G1098" s="1">
        <f>[1]Residential!C$239-G1072</f>
        <v>1.4617273614979327</v>
      </c>
      <c r="H1098" s="1">
        <f>[1]Residential!D$239-H1072</f>
        <v>1.4170692002700989</v>
      </c>
      <c r="I1098" s="1">
        <f>[1]Residential!E$239-I1072</f>
        <v>1.215240648810874</v>
      </c>
      <c r="J1098" s="1">
        <f>[1]Residential!F$239-J1072</f>
        <v>1.2562324807161609</v>
      </c>
      <c r="K1098" s="1">
        <f>[1]Residential!G$239-K1072</f>
        <v>1.3674642511672541</v>
      </c>
      <c r="L1098" s="1">
        <f>[1]Residential!H$239-L1072</f>
        <v>1.3592855286702514</v>
      </c>
      <c r="M1098" s="1">
        <f>[1]Residential!I$239-M1072</f>
        <v>1.3669320950825137</v>
      </c>
      <c r="N1098" s="1">
        <f>[1]Residential!J$239-N1072</f>
        <v>1.3369945672727575</v>
      </c>
      <c r="O1098" s="1">
        <f>[1]Residential!K$239-O1072</f>
        <v>1.285629384465631</v>
      </c>
      <c r="P1098" s="1">
        <f>[1]Residential!L$239-P1072</f>
        <v>1.3135168875117706</v>
      </c>
      <c r="Q1098" s="1">
        <f>[1]Residential!M$239-Q1072</f>
        <v>1.1738218626578574</v>
      </c>
      <c r="S1098" s="3"/>
    </row>
    <row r="1099" spans="2:19" x14ac:dyDescent="0.5">
      <c r="B1099" s="5" t="str">
        <f t="shared" si="1271"/>
        <v>SPS1</v>
      </c>
      <c r="C1099" s="5" t="str">
        <f t="shared" si="1272"/>
        <v>CH</v>
      </c>
      <c r="D1099" t="s">
        <v>1082</v>
      </c>
      <c r="E1099" t="s">
        <v>8</v>
      </c>
      <c r="F1099" s="1">
        <f>F1100</f>
        <v>0.52047562992243535</v>
      </c>
      <c r="G1099" s="1">
        <f t="shared" ref="G1099:O1099" si="1304">G1100</f>
        <v>0.59724160481495048</v>
      </c>
      <c r="H1099" s="1">
        <f t="shared" si="1304"/>
        <v>0.29596321745101761</v>
      </c>
      <c r="I1099" s="1">
        <f t="shared" si="1304"/>
        <v>0.26425145667754801</v>
      </c>
      <c r="J1099" s="1">
        <f t="shared" si="1304"/>
        <v>0.24534287673303989</v>
      </c>
      <c r="K1099" s="1">
        <f t="shared" si="1304"/>
        <v>0.21534681013198931</v>
      </c>
      <c r="L1099" s="1">
        <f t="shared" si="1304"/>
        <v>0.1902362461476601</v>
      </c>
      <c r="M1099" s="1">
        <f t="shared" si="1304"/>
        <v>0.15735265492697836</v>
      </c>
      <c r="N1099" s="1">
        <f t="shared" si="1304"/>
        <v>0.14867828087229773</v>
      </c>
      <c r="O1099" s="1">
        <f t="shared" si="1304"/>
        <v>0.12594724573938398</v>
      </c>
      <c r="P1099" s="1">
        <f>P1100</f>
        <v>0.11774252753412995</v>
      </c>
      <c r="Q1099" s="1">
        <f>Q1100</f>
        <v>7.3943286384837714E-2</v>
      </c>
      <c r="S1099" s="3"/>
    </row>
    <row r="1100" spans="2:19" x14ac:dyDescent="0.5">
      <c r="B1100" s="5" t="str">
        <f t="shared" si="1271"/>
        <v>SPS1</v>
      </c>
      <c r="C1100" s="5" t="str">
        <f t="shared" si="1272"/>
        <v>CH</v>
      </c>
      <c r="D1100" t="s">
        <v>1083</v>
      </c>
      <c r="E1100" t="s">
        <v>8</v>
      </c>
      <c r="F1100" s="1">
        <f>[1]Residential!B$240-F1074</f>
        <v>0.52047562992243535</v>
      </c>
      <c r="G1100" s="1">
        <f>[1]Residential!C$240-G1074</f>
        <v>0.59724160481495048</v>
      </c>
      <c r="H1100" s="1">
        <f>[1]Residential!D$240-H1074</f>
        <v>0.29596321745101761</v>
      </c>
      <c r="I1100" s="1">
        <f>[1]Residential!E$240-I1074</f>
        <v>0.26425145667754801</v>
      </c>
      <c r="J1100" s="1">
        <f>[1]Residential!F$240-J1074</f>
        <v>0.24534287673303989</v>
      </c>
      <c r="K1100" s="1">
        <f>[1]Residential!G$240-K1074</f>
        <v>0.21534681013198931</v>
      </c>
      <c r="L1100" s="1">
        <f>[1]Residential!H$240-L1074</f>
        <v>0.1902362461476601</v>
      </c>
      <c r="M1100" s="1">
        <f>[1]Residential!I$240-M1074</f>
        <v>0.15735265492697836</v>
      </c>
      <c r="N1100" s="1">
        <f>[1]Residential!J$240-N1074</f>
        <v>0.14867828087229773</v>
      </c>
      <c r="O1100" s="1">
        <f>[1]Residential!K$240-O1074</f>
        <v>0.12594724573938398</v>
      </c>
      <c r="P1100" s="1">
        <f>[1]Residential!L$240-P1074</f>
        <v>0.11774252753412995</v>
      </c>
      <c r="Q1100" s="1">
        <f>[1]Residential!M$240-Q1074</f>
        <v>7.3943286384837714E-2</v>
      </c>
      <c r="S1100" s="3"/>
    </row>
    <row r="1101" spans="2:19" x14ac:dyDescent="0.5">
      <c r="B1101" s="5" t="str">
        <f t="shared" si="1271"/>
        <v>SPS1</v>
      </c>
      <c r="C1101" s="5" t="str">
        <f t="shared" si="1272"/>
        <v>CH</v>
      </c>
      <c r="D1101" t="s">
        <v>1084</v>
      </c>
      <c r="E1101" t="s">
        <v>8</v>
      </c>
      <c r="F1101" s="1">
        <f>F1102</f>
        <v>0.16979431693419622</v>
      </c>
      <c r="G1101" s="1">
        <f t="shared" ref="G1101" si="1305">G1102</f>
        <v>0.19483742074269017</v>
      </c>
      <c r="H1101" s="1">
        <f t="shared" ref="H1101" si="1306">H1102</f>
        <v>0.12885606623851764</v>
      </c>
      <c r="I1101" s="1">
        <f t="shared" ref="I1101" si="1307">I1102</f>
        <v>0.13423224720727234</v>
      </c>
      <c r="J1101" s="1">
        <f t="shared" ref="J1101" si="1308">J1102</f>
        <v>0.13890271287003797</v>
      </c>
      <c r="K1101" s="1">
        <f t="shared" ref="K1101:O1101" si="1309">K1102</f>
        <v>0.14239574070802652</v>
      </c>
      <c r="L1101" s="1">
        <f t="shared" si="1309"/>
        <v>0.14518157479867089</v>
      </c>
      <c r="M1101" s="1">
        <f t="shared" si="1309"/>
        <v>0.14746696374705426</v>
      </c>
      <c r="N1101" s="1">
        <f t="shared" si="1309"/>
        <v>0.14916333936541593</v>
      </c>
      <c r="O1101" s="1">
        <f t="shared" si="1309"/>
        <v>0.1507247763833055</v>
      </c>
      <c r="P1101" s="1">
        <f>P1102</f>
        <v>0.1507148690878064</v>
      </c>
      <c r="Q1101" s="1">
        <f>Q1102</f>
        <v>0.15084301815863599</v>
      </c>
      <c r="S1101" s="3"/>
    </row>
    <row r="1102" spans="2:19" x14ac:dyDescent="0.5">
      <c r="B1102" s="5" t="str">
        <f t="shared" si="1271"/>
        <v>SPS1</v>
      </c>
      <c r="C1102" s="5" t="str">
        <f t="shared" si="1272"/>
        <v>CH</v>
      </c>
      <c r="D1102" t="s">
        <v>1085</v>
      </c>
      <c r="E1102" t="s">
        <v>8</v>
      </c>
      <c r="F1102" s="1">
        <f>[1]Residential!B$241-F1076</f>
        <v>0.16979431693419622</v>
      </c>
      <c r="G1102" s="1">
        <f>[1]Residential!C$241-G1076</f>
        <v>0.19483742074269017</v>
      </c>
      <c r="H1102" s="1">
        <f>[1]Residential!D$241-H1076</f>
        <v>0.12885606623851764</v>
      </c>
      <c r="I1102" s="1">
        <f>[1]Residential!E$241-I1076</f>
        <v>0.13423224720727234</v>
      </c>
      <c r="J1102" s="1">
        <f>[1]Residential!F$241-J1076</f>
        <v>0.13890271287003797</v>
      </c>
      <c r="K1102" s="1">
        <f>[1]Residential!G$241-K1076</f>
        <v>0.14239574070802652</v>
      </c>
      <c r="L1102" s="1">
        <f>[1]Residential!H$241-L1076</f>
        <v>0.14518157479867089</v>
      </c>
      <c r="M1102" s="1">
        <f>[1]Residential!I$241-M1076</f>
        <v>0.14746696374705426</v>
      </c>
      <c r="N1102" s="1">
        <f>[1]Residential!J$241-N1076</f>
        <v>0.14916333936541593</v>
      </c>
      <c r="O1102" s="1">
        <f>[1]Residential!K$241-O1076</f>
        <v>0.1507247763833055</v>
      </c>
      <c r="P1102" s="1">
        <f>[1]Residential!L$241-P1076</f>
        <v>0.1507148690878064</v>
      </c>
      <c r="Q1102" s="1">
        <f>[1]Residential!M$241-Q1076</f>
        <v>0.15084301815863599</v>
      </c>
      <c r="S1102" s="3"/>
    </row>
    <row r="1103" spans="2:19" x14ac:dyDescent="0.5">
      <c r="B1103" s="5" t="str">
        <f t="shared" si="1271"/>
        <v>SPS1</v>
      </c>
      <c r="C1103" s="5" t="str">
        <f t="shared" si="1272"/>
        <v>CH</v>
      </c>
      <c r="D1103" t="s">
        <v>1086</v>
      </c>
      <c r="E1103" t="s">
        <v>8</v>
      </c>
      <c r="F1103" s="1">
        <f>F1104</f>
        <v>1.721488024659851</v>
      </c>
      <c r="G1103" s="1">
        <f t="shared" ref="G1103" si="1310">G1104</f>
        <v>1.9867540611076413</v>
      </c>
      <c r="H1103" s="1">
        <f t="shared" ref="H1103" si="1311">H1104</f>
        <v>1.9378728590278733</v>
      </c>
      <c r="I1103" s="1">
        <f t="shared" ref="I1103" si="1312">I1104</f>
        <v>1.5130460659676879</v>
      </c>
      <c r="J1103" s="1">
        <f t="shared" ref="J1103" si="1313">J1104</f>
        <v>1.1527014398362914</v>
      </c>
      <c r="K1103" s="1">
        <f t="shared" ref="K1103:O1103" si="1314">K1104</f>
        <v>1.1224917532239116</v>
      </c>
      <c r="L1103" s="1">
        <f t="shared" si="1314"/>
        <v>1.1213241166857326</v>
      </c>
      <c r="M1103" s="1">
        <f t="shared" si="1314"/>
        <v>1.0409419324423643</v>
      </c>
      <c r="N1103" s="1">
        <f t="shared" si="1314"/>
        <v>1.0385037978076577</v>
      </c>
      <c r="O1103" s="1">
        <f t="shared" si="1314"/>
        <v>0.98190791139653755</v>
      </c>
      <c r="P1103" s="1">
        <f>P1104</f>
        <v>0.99703843975702788</v>
      </c>
      <c r="Q1103" s="1">
        <f>Q1104</f>
        <v>0.84338580217951287</v>
      </c>
      <c r="S1103" s="3"/>
    </row>
    <row r="1104" spans="2:19" x14ac:dyDescent="0.5">
      <c r="B1104" s="5" t="str">
        <f t="shared" si="1271"/>
        <v>SPS1</v>
      </c>
      <c r="C1104" s="5" t="str">
        <f t="shared" si="1272"/>
        <v>CH</v>
      </c>
      <c r="D1104" t="s">
        <v>1087</v>
      </c>
      <c r="E1104" t="s">
        <v>8</v>
      </c>
      <c r="F1104" s="1">
        <f>[1]Residential!B$242-F1078</f>
        <v>1.721488024659851</v>
      </c>
      <c r="G1104" s="1">
        <f>[1]Residential!C$242-G1078</f>
        <v>1.9867540611076413</v>
      </c>
      <c r="H1104" s="1">
        <f>[1]Residential!D$242-H1078</f>
        <v>1.9378728590278733</v>
      </c>
      <c r="I1104" s="1">
        <f>[1]Residential!E$242-I1078</f>
        <v>1.5130460659676879</v>
      </c>
      <c r="J1104" s="1">
        <f>[1]Residential!F$242-J1078</f>
        <v>1.1527014398362914</v>
      </c>
      <c r="K1104" s="1">
        <f>[1]Residential!G$242-K1078</f>
        <v>1.1224917532239116</v>
      </c>
      <c r="L1104" s="1">
        <f>[1]Residential!H$242-L1078</f>
        <v>1.1213241166857326</v>
      </c>
      <c r="M1104" s="1">
        <f>[1]Residential!I$242-M1078</f>
        <v>1.0409419324423643</v>
      </c>
      <c r="N1104" s="1">
        <f>[1]Residential!J$242-N1078</f>
        <v>1.0385037978076577</v>
      </c>
      <c r="O1104" s="1">
        <f>[1]Residential!K$242-O1078</f>
        <v>0.98190791139653755</v>
      </c>
      <c r="P1104" s="1">
        <f>[1]Residential!L$242-P1078</f>
        <v>0.99703843975702788</v>
      </c>
      <c r="Q1104" s="1">
        <f>[1]Residential!M$242-Q1078</f>
        <v>0.84338580217951287</v>
      </c>
      <c r="S1104" s="3"/>
    </row>
    <row r="1105" spans="2:19" x14ac:dyDescent="0.5">
      <c r="B1105" s="5" t="str">
        <f t="shared" si="1271"/>
        <v>SPS1</v>
      </c>
      <c r="C1105" s="5" t="str">
        <f t="shared" si="1272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315">G1106</f>
        <v>0</v>
      </c>
      <c r="H1105" s="1">
        <f t="shared" ref="H1105" si="1316">H1106</f>
        <v>0</v>
      </c>
      <c r="I1105" s="1">
        <f t="shared" ref="I1105" si="1317">I1106</f>
        <v>0</v>
      </c>
      <c r="J1105" s="1">
        <f t="shared" ref="J1105" si="1318">J1106</f>
        <v>0</v>
      </c>
      <c r="K1105" s="1">
        <f t="shared" ref="K1105:O1105" si="1319">K1106</f>
        <v>0</v>
      </c>
      <c r="L1105" s="1">
        <f t="shared" si="1319"/>
        <v>0</v>
      </c>
      <c r="M1105" s="1">
        <f t="shared" si="1319"/>
        <v>0</v>
      </c>
      <c r="N1105" s="1">
        <f t="shared" si="1319"/>
        <v>0</v>
      </c>
      <c r="O1105" s="1">
        <f t="shared" si="1319"/>
        <v>0</v>
      </c>
      <c r="P1105" s="1">
        <f>P1106</f>
        <v>0</v>
      </c>
      <c r="Q1105" s="1">
        <f>Q1106</f>
        <v>0</v>
      </c>
      <c r="S1105" s="3"/>
    </row>
    <row r="1106" spans="2:19" x14ac:dyDescent="0.5">
      <c r="B1106" s="5" t="str">
        <f t="shared" si="1271"/>
        <v>SPS1</v>
      </c>
      <c r="C1106" s="5" t="str">
        <f t="shared" si="1272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[1]Residential!F$243-J1080</f>
        <v>0</v>
      </c>
      <c r="K1106" s="1">
        <f>[1]Residential!G$243-K1080</f>
        <v>0</v>
      </c>
      <c r="L1106" s="1">
        <f>[1]Residential!H$243-L1080</f>
        <v>0</v>
      </c>
      <c r="M1106" s="1">
        <f>[1]Residential!I$243-M1080</f>
        <v>0</v>
      </c>
      <c r="N1106" s="1">
        <f>[1]Residential!J$243-N1080</f>
        <v>0</v>
      </c>
      <c r="O1106" s="1">
        <f>[1]Residential!K$243-O1080</f>
        <v>0</v>
      </c>
      <c r="P1106" s="1">
        <f>[1]Residential!L$243-P1080</f>
        <v>0</v>
      </c>
      <c r="Q1106" s="1">
        <f>[1]Residential!M$243-Q1080</f>
        <v>0</v>
      </c>
      <c r="S1106" s="3"/>
    </row>
    <row r="1107" spans="2:19" x14ac:dyDescent="0.5">
      <c r="B1107" s="5" t="str">
        <f t="shared" si="1271"/>
        <v>SPS1</v>
      </c>
      <c r="C1107" s="5" t="str">
        <f t="shared" si="1272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[1]Residential!F$244-J1081</f>
        <v>0</v>
      </c>
      <c r="K1107" s="1">
        <f>[1]Residential!G$244-K1081</f>
        <v>0</v>
      </c>
      <c r="L1107" s="1">
        <f>[1]Residential!H$244-L1081</f>
        <v>0</v>
      </c>
      <c r="M1107" s="1">
        <f>[1]Residential!I$244-M1081</f>
        <v>0</v>
      </c>
      <c r="N1107" s="1">
        <f>[1]Residential!J$244-N1081</f>
        <v>0</v>
      </c>
      <c r="O1107" s="1">
        <f>[1]Residential!K$244-O1081</f>
        <v>0</v>
      </c>
      <c r="P1107" s="1">
        <f>[1]Residential!L$244-P1081</f>
        <v>0</v>
      </c>
      <c r="Q1107" s="1">
        <f>[1]Residential!M$244-Q1081</f>
        <v>0</v>
      </c>
      <c r="S1107" s="3"/>
    </row>
    <row r="1108" spans="2:19" x14ac:dyDescent="0.5">
      <c r="B1108" s="5" t="str">
        <f t="shared" ref="B1108:B1135" si="1320">B1107</f>
        <v>SPS1</v>
      </c>
      <c r="C1108" s="5" t="str">
        <f t="shared" ref="C1108:C1135" si="1321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M1108" t="s">
        <v>292</v>
      </c>
      <c r="N1108" t="s">
        <v>292</v>
      </c>
      <c r="O1108" t="s">
        <v>292</v>
      </c>
      <c r="P1108" t="s">
        <v>292</v>
      </c>
      <c r="Q1108" t="s">
        <v>292</v>
      </c>
      <c r="S1108" s="3"/>
    </row>
    <row r="1109" spans="2:19" x14ac:dyDescent="0.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0.94999999999999962</v>
      </c>
      <c r="G1109" s="4">
        <f t="shared" ref="G1109:K1110" si="1322">IFERROR(G1058/G975,"-")</f>
        <v>0.95000000000000129</v>
      </c>
      <c r="H1109" s="4">
        <f t="shared" si="1322"/>
        <v>0.9500000000000004</v>
      </c>
      <c r="I1109" s="4">
        <f t="shared" si="1322"/>
        <v>0.95</v>
      </c>
      <c r="J1109" s="4">
        <f t="shared" si="1322"/>
        <v>0.94999999999999973</v>
      </c>
      <c r="K1109" s="4">
        <f t="shared" si="1322"/>
        <v>0.94999999999999984</v>
      </c>
      <c r="L1109" s="4">
        <f t="shared" ref="L1109:O1109" si="1323">IFERROR(L1058/L975,"-")</f>
        <v>0.9500000000000004</v>
      </c>
      <c r="M1109" s="4">
        <f t="shared" si="1323"/>
        <v>0.95</v>
      </c>
      <c r="N1109" s="4">
        <f t="shared" si="1323"/>
        <v>0.9500000000000004</v>
      </c>
      <c r="O1109" s="4">
        <f t="shared" si="1323"/>
        <v>0.9499999999999994</v>
      </c>
      <c r="P1109" s="4">
        <f>IFERROR(P1058/P975,"-")</f>
        <v>0.94999999999999973</v>
      </c>
      <c r="Q1109" s="4">
        <f>IFERROR(Q1058/Q975,"-")</f>
        <v>0.94999999999999984</v>
      </c>
      <c r="S1109" s="3"/>
    </row>
    <row r="1110" spans="2:19" x14ac:dyDescent="0.5">
      <c r="B1110" s="5" t="str">
        <f t="shared" si="1320"/>
        <v>SPS1</v>
      </c>
      <c r="C1110" s="5" t="str">
        <f t="shared" si="1321"/>
        <v>CH</v>
      </c>
      <c r="D1110" t="s">
        <v>1122</v>
      </c>
      <c r="E1110" t="s">
        <v>240</v>
      </c>
      <c r="F1110" s="4">
        <f>IFERROR(F1059/F976,"-")</f>
        <v>3.1999999999999984</v>
      </c>
      <c r="G1110" s="4">
        <f t="shared" si="1322"/>
        <v>3.2533333333333339</v>
      </c>
      <c r="H1110" s="4">
        <f t="shared" si="1322"/>
        <v>3.3333333333333344</v>
      </c>
      <c r="I1110" s="4">
        <f t="shared" si="1322"/>
        <v>3.4666666666666712</v>
      </c>
      <c r="J1110" s="4">
        <f t="shared" si="1322"/>
        <v>3.5833333333333321</v>
      </c>
      <c r="K1110" s="4">
        <f t="shared" si="1322"/>
        <v>3.7000000000000028</v>
      </c>
      <c r="L1110" s="4">
        <f t="shared" ref="L1110:O1110" si="1324">IFERROR(L1059/L976,"-")</f>
        <v>3.8</v>
      </c>
      <c r="M1110" s="4">
        <f t="shared" si="1324"/>
        <v>3.8999999999999981</v>
      </c>
      <c r="N1110" s="4">
        <f t="shared" si="1324"/>
        <v>3.8999999999999995</v>
      </c>
      <c r="O1110" s="4">
        <f t="shared" si="1324"/>
        <v>3.8999999999999968</v>
      </c>
      <c r="P1110" s="4">
        <f>IFERROR(P1059/P976,"-")</f>
        <v>3.9000000000000012</v>
      </c>
      <c r="Q1110" s="4">
        <f>IFERROR(Q1059/Q976,"-")</f>
        <v>3.8999999999999968</v>
      </c>
      <c r="S1110" s="3"/>
    </row>
    <row r="1111" spans="2:19" x14ac:dyDescent="0.5">
      <c r="B1111" s="5" t="str">
        <f t="shared" si="1320"/>
        <v>SPS1</v>
      </c>
      <c r="C1111" s="5" t="str">
        <f t="shared" si="1321"/>
        <v>CH</v>
      </c>
      <c r="D1111" t="s">
        <v>1092</v>
      </c>
      <c r="E1111" t="s">
        <v>240</v>
      </c>
      <c r="F1111" s="4">
        <f>IFERROR(F1061/F985,"-")</f>
        <v>0.89583333333333415</v>
      </c>
      <c r="G1111" s="4">
        <f t="shared" ref="G1111:K1111" si="1325">IFERROR(G1061/G985,"-")</f>
        <v>0.89583333333333426</v>
      </c>
      <c r="H1111" s="4">
        <f t="shared" si="1325"/>
        <v>0.89583333333333381</v>
      </c>
      <c r="I1111" s="4">
        <f t="shared" si="1325"/>
        <v>0.89583333333333437</v>
      </c>
      <c r="J1111" s="4">
        <f t="shared" si="1325"/>
        <v>0.89583333333333481</v>
      </c>
      <c r="K1111" s="4">
        <f t="shared" si="1325"/>
        <v>0.89583333333333426</v>
      </c>
      <c r="L1111" s="4">
        <f t="shared" ref="L1111:O1111" si="1326">IFERROR(L1061/L985,"-")</f>
        <v>0.89583333333333426</v>
      </c>
      <c r="M1111" s="4">
        <f t="shared" si="1326"/>
        <v>0.89583333333333437</v>
      </c>
      <c r="N1111" s="4">
        <f t="shared" si="1326"/>
        <v>0.89583333333333381</v>
      </c>
      <c r="O1111" s="4">
        <f t="shared" si="1326"/>
        <v>0.89583333333333415</v>
      </c>
      <c r="P1111" s="4">
        <f>IFERROR(P1061/P985,"-")</f>
        <v>0.89583333333333448</v>
      </c>
      <c r="Q1111" s="4">
        <f>IFERROR(Q1061/Q985,"-")</f>
        <v>0.89583333333333315</v>
      </c>
      <c r="S1111" s="3"/>
    </row>
    <row r="1112" spans="2:19" x14ac:dyDescent="0.5">
      <c r="B1112" s="5" t="str">
        <f t="shared" si="1320"/>
        <v>SPS1</v>
      </c>
      <c r="C1112" s="5" t="str">
        <f t="shared" si="1321"/>
        <v>CH</v>
      </c>
      <c r="D1112" t="s">
        <v>1093</v>
      </c>
      <c r="E1112" t="s">
        <v>240</v>
      </c>
      <c r="F1112" s="4">
        <f>IFERROR(F1063/F998,"-")</f>
        <v>0.94999999999999984</v>
      </c>
      <c r="G1112" s="4">
        <f t="shared" ref="G1112:K1112" si="1327">IFERROR(G1063/G998,"-")</f>
        <v>0.94999999999999918</v>
      </c>
      <c r="H1112" s="4">
        <f t="shared" si="1327"/>
        <v>0.95000000000000051</v>
      </c>
      <c r="I1112" s="4">
        <f t="shared" si="1327"/>
        <v>0.9500000000000004</v>
      </c>
      <c r="J1112" s="4">
        <f t="shared" si="1327"/>
        <v>0.94999999999999962</v>
      </c>
      <c r="K1112" s="4">
        <f t="shared" si="1327"/>
        <v>0.94999999999999984</v>
      </c>
      <c r="L1112" s="4">
        <f t="shared" ref="L1112:O1112" si="1328">IFERROR(L1063/L998,"-")</f>
        <v>0.94999999999999962</v>
      </c>
      <c r="M1112" s="4">
        <f t="shared" si="1328"/>
        <v>0.94999999999999984</v>
      </c>
      <c r="N1112" s="4">
        <f t="shared" si="1328"/>
        <v>0.95000000000000029</v>
      </c>
      <c r="O1112" s="4">
        <f t="shared" si="1328"/>
        <v>0.94999999999999984</v>
      </c>
      <c r="P1112" s="4">
        <f>IFERROR(P1063/P998,"-")</f>
        <v>0.94999999999999973</v>
      </c>
      <c r="Q1112" s="4">
        <f>IFERROR(Q1063/Q998,"-")</f>
        <v>0.94999999999999984</v>
      </c>
      <c r="S1112" s="3"/>
    </row>
    <row r="1113" spans="2:19" x14ac:dyDescent="0.5">
      <c r="B1113" s="5" t="str">
        <f t="shared" si="1320"/>
        <v>SPS1</v>
      </c>
      <c r="C1113" s="5" t="str">
        <f t="shared" si="1321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329">IFERROR(G1064/G999,"-")</f>
        <v>-</v>
      </c>
      <c r="H1113" s="4">
        <f t="shared" si="1329"/>
        <v>1.9999999999999996</v>
      </c>
      <c r="I1113" s="4">
        <f t="shared" si="1329"/>
        <v>2.08</v>
      </c>
      <c r="J1113" s="4">
        <f t="shared" si="1329"/>
        <v>2.15</v>
      </c>
      <c r="K1113" s="4">
        <f t="shared" si="1329"/>
        <v>2.2200000000000011</v>
      </c>
      <c r="L1113" s="4">
        <f t="shared" ref="L1113:O1113" si="1330">IFERROR(L1064/L999,"-")</f>
        <v>2.2799999999999998</v>
      </c>
      <c r="M1113" s="4">
        <f t="shared" si="1330"/>
        <v>2.3399999999999994</v>
      </c>
      <c r="N1113" s="4">
        <f t="shared" si="1330"/>
        <v>2.3400000000000003</v>
      </c>
      <c r="O1113" s="4">
        <f t="shared" si="1330"/>
        <v>2.3400000000000007</v>
      </c>
      <c r="P1113" s="4">
        <f>IFERROR(P1064/P999,"-")</f>
        <v>2.34</v>
      </c>
      <c r="Q1113" s="4">
        <f>IFERROR(Q1064/Q999,"-")</f>
        <v>2.3400000000000003</v>
      </c>
      <c r="S1113" s="3"/>
    </row>
    <row r="1114" spans="2:19" x14ac:dyDescent="0.5">
      <c r="B1114" s="5" t="str">
        <f t="shared" si="1320"/>
        <v>SPS1</v>
      </c>
      <c r="C1114" s="5" t="str">
        <f t="shared" si="1321"/>
        <v>CH</v>
      </c>
      <c r="D1114" t="s">
        <v>1095</v>
      </c>
      <c r="E1114" t="s">
        <v>240</v>
      </c>
      <c r="F1114" s="4">
        <f>IFERROR(F1066/F1017,"-")</f>
        <v>0.71999999999999986</v>
      </c>
      <c r="G1114" s="4">
        <f t="shared" ref="G1114:K1114" si="1331">IFERROR(G1066/G1017,"-")</f>
        <v>0.72000000000000042</v>
      </c>
      <c r="H1114" s="4">
        <f t="shared" si="1331"/>
        <v>0.71999999999999975</v>
      </c>
      <c r="I1114" s="4">
        <f t="shared" si="1331"/>
        <v>0.71999999999999942</v>
      </c>
      <c r="J1114" s="4">
        <f t="shared" si="1331"/>
        <v>0.72000000000000031</v>
      </c>
      <c r="K1114" s="4" t="str">
        <f t="shared" si="1331"/>
        <v>-</v>
      </c>
      <c r="L1114" s="4" t="str">
        <f t="shared" ref="L1114:O1114" si="1332">IFERROR(L1066/L1017,"-")</f>
        <v>-</v>
      </c>
      <c r="M1114" s="4" t="str">
        <f t="shared" si="1332"/>
        <v>-</v>
      </c>
      <c r="N1114" s="4" t="str">
        <f t="shared" si="1332"/>
        <v>-</v>
      </c>
      <c r="O1114" s="4" t="str">
        <f t="shared" si="1332"/>
        <v>-</v>
      </c>
      <c r="P1114" s="4" t="str">
        <f>IFERROR(P1066/P1017,"-")</f>
        <v>-</v>
      </c>
      <c r="Q1114" s="4" t="str">
        <f>IFERROR(Q1066/Q1017,"-")</f>
        <v>-</v>
      </c>
      <c r="S1114" s="3"/>
    </row>
    <row r="1115" spans="2:19" x14ac:dyDescent="0.5">
      <c r="B1115" s="5" t="str">
        <f t="shared" si="1320"/>
        <v>SPS1</v>
      </c>
      <c r="C1115" s="5" t="str">
        <f t="shared" si="1321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M1115" s="4">
        <v>0.99</v>
      </c>
      <c r="N1115" s="4">
        <v>0.99</v>
      </c>
      <c r="O1115" s="4">
        <v>0.99</v>
      </c>
      <c r="P1115" s="4">
        <v>0.99</v>
      </c>
      <c r="Q1115" s="4">
        <v>0.99</v>
      </c>
      <c r="S1115" s="3"/>
    </row>
    <row r="1116" spans="2:19" x14ac:dyDescent="0.5">
      <c r="B1116" s="5" t="str">
        <f t="shared" si="1320"/>
        <v>SPS1</v>
      </c>
      <c r="C1116" s="5" t="str">
        <f t="shared" si="1321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M1116" s="4">
        <v>0.99</v>
      </c>
      <c r="N1116" s="4">
        <v>0.99</v>
      </c>
      <c r="O1116" s="4">
        <v>0.99</v>
      </c>
      <c r="P1116" s="4">
        <v>0.99</v>
      </c>
      <c r="Q1116" s="4">
        <v>0.99</v>
      </c>
      <c r="S1116" s="3"/>
    </row>
    <row r="1117" spans="2:19" x14ac:dyDescent="0.5">
      <c r="B1117" s="5" t="str">
        <f t="shared" si="1320"/>
        <v>SPS1</v>
      </c>
      <c r="C1117" s="5" t="str">
        <f t="shared" si="1321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M1117" s="4">
        <v>0.99</v>
      </c>
      <c r="N1117" s="4">
        <v>0.99</v>
      </c>
      <c r="O1117" s="4">
        <v>0.99</v>
      </c>
      <c r="P1117" s="4">
        <v>0.99</v>
      </c>
      <c r="Q1117" s="4">
        <v>0.99</v>
      </c>
      <c r="S1117" s="3"/>
    </row>
    <row r="1118" spans="2:19" x14ac:dyDescent="0.5">
      <c r="B1118" s="5" t="str">
        <f t="shared" si="1320"/>
        <v>SPS1</v>
      </c>
      <c r="C1118" s="5" t="str">
        <f t="shared" si="1321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M1118" s="4">
        <v>0.99</v>
      </c>
      <c r="N1118" s="4">
        <v>0.99</v>
      </c>
      <c r="O1118" s="4">
        <v>0.99</v>
      </c>
      <c r="P1118" s="4">
        <v>0.99</v>
      </c>
      <c r="Q1118" s="4">
        <v>0.99</v>
      </c>
      <c r="S1118" s="3"/>
    </row>
    <row r="1119" spans="2:19" x14ac:dyDescent="0.5">
      <c r="B1119" s="5" t="str">
        <f t="shared" si="1320"/>
        <v>SPS1</v>
      </c>
      <c r="C1119" s="5" t="str">
        <f t="shared" si="1321"/>
        <v>CH</v>
      </c>
      <c r="D1119" t="s">
        <v>1100</v>
      </c>
      <c r="E1119" t="s">
        <v>240</v>
      </c>
      <c r="F1119" s="4">
        <f>IFERROR(F1074/F1022,"-")</f>
        <v>0.71999999999999964</v>
      </c>
      <c r="G1119" s="4">
        <f t="shared" ref="G1119:K1119" si="1333">IFERROR(G1074/G1022,"-")</f>
        <v>0.72000000000000031</v>
      </c>
      <c r="H1119" s="4">
        <f t="shared" si="1333"/>
        <v>0.71999999999999986</v>
      </c>
      <c r="I1119" s="4">
        <f t="shared" si="1333"/>
        <v>0.71999999999999986</v>
      </c>
      <c r="J1119" s="4">
        <f t="shared" si="1333"/>
        <v>0.72</v>
      </c>
      <c r="K1119" s="4">
        <f t="shared" si="1333"/>
        <v>0.71999999999999964</v>
      </c>
      <c r="L1119" s="4">
        <f t="shared" ref="L1119:O1119" si="1334">IFERROR(L1074/L1022,"-")</f>
        <v>0.71999999999999986</v>
      </c>
      <c r="M1119" s="4">
        <f t="shared" si="1334"/>
        <v>0.71999999999999986</v>
      </c>
      <c r="N1119" s="4">
        <f t="shared" si="1334"/>
        <v>0.71999999999999942</v>
      </c>
      <c r="O1119" s="4">
        <f t="shared" si="1334"/>
        <v>0.72</v>
      </c>
      <c r="P1119" s="4">
        <f>IFERROR(P1074/P1022,"-")</f>
        <v>0.71999999999999953</v>
      </c>
      <c r="Q1119" s="4">
        <f>IFERROR(Q1074/Q1022,"-")</f>
        <v>0.72</v>
      </c>
      <c r="S1119" s="3"/>
    </row>
    <row r="1120" spans="2:19" x14ac:dyDescent="0.5">
      <c r="B1120" s="5" t="str">
        <f t="shared" si="1320"/>
        <v>SPS1</v>
      </c>
      <c r="C1120" s="5" t="str">
        <f t="shared" si="1321"/>
        <v>CH</v>
      </c>
      <c r="D1120" t="s">
        <v>1101</v>
      </c>
      <c r="E1120" t="s">
        <v>240</v>
      </c>
      <c r="F1120" s="4">
        <f>IFERROR(F1076/F1027,"-")</f>
        <v>0.89999999999999936</v>
      </c>
      <c r="G1120" s="4">
        <f t="shared" ref="G1120:K1120" si="1335">IFERROR(G1076/G1027,"-")</f>
        <v>0.90000000000000024</v>
      </c>
      <c r="H1120" s="4">
        <f t="shared" si="1335"/>
        <v>0.89999999999999936</v>
      </c>
      <c r="I1120" s="4">
        <f t="shared" si="1335"/>
        <v>0.90000000000000024</v>
      </c>
      <c r="J1120" s="4">
        <f t="shared" si="1335"/>
        <v>0.90000000000000036</v>
      </c>
      <c r="K1120" s="4">
        <f t="shared" si="1335"/>
        <v>0.89999999999999991</v>
      </c>
      <c r="L1120" s="4">
        <f t="shared" ref="L1120:O1120" si="1336">IFERROR(L1076/L1027,"-")</f>
        <v>0.89999999999999991</v>
      </c>
      <c r="M1120" s="4">
        <f t="shared" si="1336"/>
        <v>0.90000000000000036</v>
      </c>
      <c r="N1120" s="4">
        <f t="shared" si="1336"/>
        <v>0.89999999999999991</v>
      </c>
      <c r="O1120" s="4">
        <f t="shared" si="1336"/>
        <v>0.89999999999999936</v>
      </c>
      <c r="P1120" s="4">
        <f>IFERROR(P1076/P1027,"-")</f>
        <v>0.89999999999999947</v>
      </c>
      <c r="Q1120" s="4">
        <f>IFERROR(Q1076/Q1027,"-")</f>
        <v>0.89999999999999991</v>
      </c>
      <c r="S1120" s="3"/>
    </row>
    <row r="1121" spans="2:19" x14ac:dyDescent="0.5">
      <c r="B1121" s="5" t="str">
        <f t="shared" si="1320"/>
        <v>SPS1</v>
      </c>
      <c r="C1121" s="5" t="str">
        <f t="shared" si="1321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M1121" s="4">
        <v>1</v>
      </c>
      <c r="N1121" s="4">
        <v>1</v>
      </c>
      <c r="O1121" s="4">
        <v>1</v>
      </c>
      <c r="P1121" s="4">
        <v>1</v>
      </c>
      <c r="Q1121" s="4">
        <v>1</v>
      </c>
      <c r="S1121" s="3"/>
    </row>
    <row r="1122" spans="2:19" x14ac:dyDescent="0.5">
      <c r="B1122" s="5" t="str">
        <f t="shared" si="1320"/>
        <v>SPS1</v>
      </c>
      <c r="C1122" s="5" t="str">
        <f t="shared" si="1321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337">IFERROR(G1080/G1039,"-")</f>
        <v>-</v>
      </c>
      <c r="H1122" s="4" t="str">
        <f t="shared" si="1337"/>
        <v>-</v>
      </c>
      <c r="I1122" s="4" t="str">
        <f t="shared" si="1337"/>
        <v>-</v>
      </c>
      <c r="J1122" s="4" t="str">
        <f t="shared" si="1337"/>
        <v>-</v>
      </c>
      <c r="K1122" s="4" t="str">
        <f t="shared" si="1337"/>
        <v>-</v>
      </c>
      <c r="L1122" s="4" t="str">
        <f t="shared" ref="L1122:O1122" si="1338">IFERROR(L1080/L1039,"-")</f>
        <v>-</v>
      </c>
      <c r="M1122" s="4" t="str">
        <f t="shared" si="1338"/>
        <v>-</v>
      </c>
      <c r="N1122" s="4" t="str">
        <f t="shared" si="1338"/>
        <v>-</v>
      </c>
      <c r="O1122" s="4" t="str">
        <f t="shared" si="1338"/>
        <v>-</v>
      </c>
      <c r="P1122" s="4" t="str">
        <f>IFERROR(P1080/P1039,"-")</f>
        <v>-</v>
      </c>
      <c r="Q1122" s="4" t="str">
        <f>IFERROR(Q1080/Q1039,"-")</f>
        <v>-</v>
      </c>
      <c r="S1122" s="3"/>
    </row>
    <row r="1123" spans="2:19" x14ac:dyDescent="0.5">
      <c r="B1123" s="5" t="str">
        <f t="shared" si="1320"/>
        <v>SPS1</v>
      </c>
      <c r="C1123" s="5" t="str">
        <f t="shared" si="1321"/>
        <v>CH</v>
      </c>
      <c r="D1123" t="s">
        <v>1123</v>
      </c>
      <c r="E1123" t="s">
        <v>240</v>
      </c>
      <c r="F1123" s="4">
        <f>IFERROR(F1084/F978,"-")</f>
        <v>0.7900000000000007</v>
      </c>
      <c r="G1123" s="4">
        <f t="shared" ref="G1123:K1124" si="1339">IFERROR(G1084/G978,"-")</f>
        <v>0.79199999999999959</v>
      </c>
      <c r="H1123" s="4">
        <f t="shared" si="1339"/>
        <v>0.79500000000000015</v>
      </c>
      <c r="I1123" s="4">
        <f t="shared" si="1339"/>
        <v>0.80000000000000049</v>
      </c>
      <c r="J1123" s="4">
        <f t="shared" si="1339"/>
        <v>0.80499999999999994</v>
      </c>
      <c r="K1123" s="4">
        <f t="shared" si="1339"/>
        <v>0.81000000000000094</v>
      </c>
      <c r="L1123" s="4">
        <f t="shared" ref="L1123:O1123" si="1340">IFERROR(L1084/L978,"-")</f>
        <v>0.81500000000000017</v>
      </c>
      <c r="M1123" s="4">
        <f t="shared" si="1340"/>
        <v>0.82000000000000006</v>
      </c>
      <c r="N1123" s="4">
        <f t="shared" si="1340"/>
        <v>0.82000000000000017</v>
      </c>
      <c r="O1123" s="4">
        <f t="shared" si="1340"/>
        <v>0.81999999999999917</v>
      </c>
      <c r="P1123" s="4">
        <f>IFERROR(P1084/P978,"-")</f>
        <v>0.82</v>
      </c>
      <c r="Q1123" s="4">
        <f>IFERROR(Q1084/Q978,"-")</f>
        <v>0.81999999999999962</v>
      </c>
      <c r="S1123" s="3"/>
    </row>
    <row r="1124" spans="2:19" x14ac:dyDescent="0.5">
      <c r="B1124" s="5" t="str">
        <f t="shared" si="1320"/>
        <v>SPS1</v>
      </c>
      <c r="C1124" s="5" t="str">
        <f t="shared" si="1321"/>
        <v>CH</v>
      </c>
      <c r="D1124" t="s">
        <v>1124</v>
      </c>
      <c r="E1124" t="s">
        <v>240</v>
      </c>
      <c r="F1124" s="4">
        <f>IFERROR(F1085/F979,"-")</f>
        <v>2.8199999999999954</v>
      </c>
      <c r="G1124" s="4">
        <f t="shared" si="1339"/>
        <v>2.8259999999999961</v>
      </c>
      <c r="H1124" s="4">
        <f t="shared" si="1339"/>
        <v>2.8350000000000026</v>
      </c>
      <c r="I1124" s="4">
        <f t="shared" si="1339"/>
        <v>2.8500000000000014</v>
      </c>
      <c r="J1124" s="4">
        <f t="shared" si="1339"/>
        <v>2.9300000000000037</v>
      </c>
      <c r="K1124" s="4">
        <f t="shared" si="1339"/>
        <v>3.0100000000000033</v>
      </c>
      <c r="L1124" s="4">
        <f t="shared" ref="L1124:O1124" si="1341">IFERROR(L1085/L979,"-")</f>
        <v>3.0650000000000057</v>
      </c>
      <c r="M1124" s="4">
        <f t="shared" si="1341"/>
        <v>3.1199999999999966</v>
      </c>
      <c r="N1124" s="4">
        <f t="shared" si="1341"/>
        <v>3.120000000000001</v>
      </c>
      <c r="O1124" s="4">
        <f t="shared" si="1341"/>
        <v>3.1199999999999983</v>
      </c>
      <c r="P1124" s="4">
        <f>IFERROR(P1085/P979,"-")</f>
        <v>3.1200000000000019</v>
      </c>
      <c r="Q1124" s="4">
        <f>IFERROR(Q1085/Q979,"-")</f>
        <v>3.1199999999999992</v>
      </c>
      <c r="S1124" s="3"/>
    </row>
    <row r="1125" spans="2:19" x14ac:dyDescent="0.5">
      <c r="B1125" s="5" t="str">
        <f t="shared" si="1320"/>
        <v>SPS1</v>
      </c>
      <c r="C1125" s="5" t="str">
        <f t="shared" si="1321"/>
        <v>CH</v>
      </c>
      <c r="D1125" t="s">
        <v>1104</v>
      </c>
      <c r="E1125" t="s">
        <v>240</v>
      </c>
      <c r="F1125" s="4">
        <f>IFERROR(F1087/F991,"-")</f>
        <v>0.70833333333333304</v>
      </c>
      <c r="G1125" s="4">
        <f t="shared" ref="G1125:K1125" si="1342">IFERROR(G1087/G991,"-")</f>
        <v>0.71458333333333268</v>
      </c>
      <c r="H1125" s="4">
        <f t="shared" si="1342"/>
        <v>0.72395833333333215</v>
      </c>
      <c r="I1125" s="4">
        <f t="shared" si="1342"/>
        <v>0.73958333333333437</v>
      </c>
      <c r="J1125" s="4">
        <f t="shared" si="1342"/>
        <v>0.7473958333333367</v>
      </c>
      <c r="K1125" s="4">
        <f t="shared" si="1342"/>
        <v>0.75520833333333037</v>
      </c>
      <c r="L1125" s="4">
        <f t="shared" ref="L1125:O1125" si="1343">IFERROR(L1087/L991,"-")</f>
        <v>0.75520833333333803</v>
      </c>
      <c r="M1125" s="4">
        <f t="shared" si="1343"/>
        <v>0.75520833333339454</v>
      </c>
      <c r="N1125" s="4">
        <f t="shared" si="1343"/>
        <v>0.75520833333331328</v>
      </c>
      <c r="O1125" s="4">
        <f t="shared" si="1343"/>
        <v>0.75520833333335802</v>
      </c>
      <c r="P1125" s="4">
        <f>IFERROR(P1087/P991,"-")</f>
        <v>0.75520833333332171</v>
      </c>
      <c r="Q1125" s="4">
        <f>IFERROR(Q1087/Q991,"-")</f>
        <v>0.75520833333333737</v>
      </c>
      <c r="S1125" s="3"/>
    </row>
    <row r="1126" spans="2:19" x14ac:dyDescent="0.5">
      <c r="B1126" s="5" t="str">
        <f t="shared" si="1320"/>
        <v>SPS1</v>
      </c>
      <c r="C1126" s="5" t="str">
        <f t="shared" si="1321"/>
        <v>CH</v>
      </c>
      <c r="D1126" t="s">
        <v>1105</v>
      </c>
      <c r="E1126" t="s">
        <v>240</v>
      </c>
      <c r="F1126" s="4">
        <f>IFERROR(F1089/F1007,"-")</f>
        <v>0.74999999999999956</v>
      </c>
      <c r="G1126" s="4">
        <f t="shared" ref="G1126:K1126" si="1344">IFERROR(G1089/G1007,"-")</f>
        <v>0.75399999999999989</v>
      </c>
      <c r="H1126" s="4">
        <f t="shared" si="1344"/>
        <v>0.75999999999999845</v>
      </c>
      <c r="I1126" s="4">
        <f t="shared" si="1344"/>
        <v>0.77019759139063082</v>
      </c>
      <c r="J1126" s="4">
        <f t="shared" si="1344"/>
        <v>0.78046393141782988</v>
      </c>
      <c r="K1126" s="4">
        <f t="shared" si="1344"/>
        <v>0.79057086120570275</v>
      </c>
      <c r="L1126" s="4">
        <f t="shared" ref="L1126:O1126" si="1345">IFERROR(L1089/L1007,"-")</f>
        <v>0.79570272827802491</v>
      </c>
      <c r="M1126" s="4">
        <f t="shared" si="1345"/>
        <v>0.80202401315389715</v>
      </c>
      <c r="N1126" s="4">
        <f t="shared" si="1345"/>
        <v>0.80197861658395553</v>
      </c>
      <c r="O1126" s="4">
        <f t="shared" si="1345"/>
        <v>0.80799248754719399</v>
      </c>
      <c r="P1126" s="4">
        <f>IFERROR(P1089/P1007,"-")</f>
        <v>0.80966237492856641</v>
      </c>
      <c r="Q1126" s="4">
        <f>IFERROR(Q1089/Q1007,"-")</f>
        <v>0.81267046355917416</v>
      </c>
      <c r="S1126" s="3"/>
    </row>
    <row r="1127" spans="2:19" x14ac:dyDescent="0.5">
      <c r="B1127" s="5" t="str">
        <f t="shared" si="1320"/>
        <v>SPS1</v>
      </c>
      <c r="C1127" s="5" t="str">
        <f t="shared" si="1321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346">IFERROR(G1090/G1008,"-")</f>
        <v>-</v>
      </c>
      <c r="H1127" s="4">
        <f t="shared" si="1346"/>
        <v>1.7009999999999998</v>
      </c>
      <c r="I1127" s="4">
        <f t="shared" si="1346"/>
        <v>1.7099999999999997</v>
      </c>
      <c r="J1127" s="4">
        <f t="shared" si="1346"/>
        <v>1.7579999999999991</v>
      </c>
      <c r="K1127" s="4">
        <f t="shared" si="1346"/>
        <v>1.8059999999999989</v>
      </c>
      <c r="L1127" s="4">
        <f t="shared" ref="L1127:O1127" si="1347">IFERROR(L1090/L1008,"-")</f>
        <v>1.8390000000000006</v>
      </c>
      <c r="M1127" s="4">
        <f t="shared" si="1347"/>
        <v>1.8720000000000008</v>
      </c>
      <c r="N1127" s="4">
        <f t="shared" si="1347"/>
        <v>1.871999999999999</v>
      </c>
      <c r="O1127" s="4">
        <f t="shared" si="1347"/>
        <v>1.872000000000001</v>
      </c>
      <c r="P1127" s="4">
        <f>IFERROR(P1090/P1008,"-")</f>
        <v>1.8719999999999997</v>
      </c>
      <c r="Q1127" s="4">
        <f>IFERROR(Q1090/Q1008,"-")</f>
        <v>1.8720000000000001</v>
      </c>
      <c r="S1127" s="3"/>
    </row>
    <row r="1128" spans="2:19" x14ac:dyDescent="0.5">
      <c r="B1128" s="5" t="str">
        <f t="shared" si="1320"/>
        <v>SPS1</v>
      </c>
      <c r="C1128" s="5" t="str">
        <f t="shared" si="1321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M1128" s="4">
        <v>0.79</v>
      </c>
      <c r="N1128" s="4">
        <v>0.79</v>
      </c>
      <c r="O1128" s="4">
        <v>0.79</v>
      </c>
      <c r="P1128" s="4">
        <v>0.79</v>
      </c>
      <c r="Q1128" s="4">
        <v>0.79</v>
      </c>
      <c r="S1128" s="3"/>
    </row>
    <row r="1129" spans="2:19" x14ac:dyDescent="0.5">
      <c r="B1129" s="5" t="str">
        <f t="shared" si="1320"/>
        <v>SPS1</v>
      </c>
      <c r="C1129" s="5" t="str">
        <f t="shared" si="1321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M1129" s="4">
        <v>0.79</v>
      </c>
      <c r="N1129" s="4">
        <v>0.79</v>
      </c>
      <c r="O1129" s="4">
        <v>0.79</v>
      </c>
      <c r="P1129" s="4">
        <v>0.79</v>
      </c>
      <c r="Q1129" s="4">
        <v>0.79</v>
      </c>
      <c r="S1129" s="3"/>
    </row>
    <row r="1130" spans="2:19" x14ac:dyDescent="0.5">
      <c r="B1130" s="5" t="str">
        <f t="shared" si="1320"/>
        <v>SPS1</v>
      </c>
      <c r="C1130" s="5" t="str">
        <f t="shared" si="1321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M1130" s="4">
        <v>0.79</v>
      </c>
      <c r="N1130" s="4">
        <v>0.79</v>
      </c>
      <c r="O1130" s="4">
        <v>0.79</v>
      </c>
      <c r="P1130" s="4">
        <v>0.79</v>
      </c>
      <c r="Q1130" s="4">
        <v>0.79</v>
      </c>
      <c r="S1130" s="3"/>
    </row>
    <row r="1131" spans="2:19" x14ac:dyDescent="0.5">
      <c r="B1131" s="5" t="str">
        <f t="shared" si="1320"/>
        <v>SPS1</v>
      </c>
      <c r="C1131" s="5" t="str">
        <f t="shared" si="1321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M1131" s="4">
        <v>0.79</v>
      </c>
      <c r="N1131" s="4">
        <v>0.79</v>
      </c>
      <c r="O1131" s="4">
        <v>0.79</v>
      </c>
      <c r="P1131" s="4">
        <v>0.79</v>
      </c>
      <c r="Q1131" s="4">
        <v>0.79</v>
      </c>
      <c r="S1131" s="3"/>
    </row>
    <row r="1132" spans="2:19" x14ac:dyDescent="0.5">
      <c r="B1132" s="5" t="str">
        <f t="shared" si="1320"/>
        <v>SPS1</v>
      </c>
      <c r="C1132" s="5" t="str">
        <f t="shared" si="1321"/>
        <v>CH</v>
      </c>
      <c r="D1132" t="s">
        <v>1111</v>
      </c>
      <c r="E1132" t="s">
        <v>240</v>
      </c>
      <c r="F1132" s="4">
        <f>IFERROR(F1100/F1024,"-")</f>
        <v>0.50000000000000033</v>
      </c>
      <c r="G1132" s="4">
        <f t="shared" ref="G1132:K1132" si="1348">IFERROR(G1100/G1024,"-")</f>
        <v>0.50000000000000033</v>
      </c>
      <c r="H1132" s="4">
        <f t="shared" si="1348"/>
        <v>0.49999999999999933</v>
      </c>
      <c r="I1132" s="4">
        <f t="shared" si="1348"/>
        <v>0.50000000000000011</v>
      </c>
      <c r="J1132" s="4">
        <f t="shared" si="1348"/>
        <v>0.50000000000000056</v>
      </c>
      <c r="K1132" s="4">
        <f t="shared" si="1348"/>
        <v>0.50000000000000033</v>
      </c>
      <c r="L1132" s="4">
        <f t="shared" ref="L1132:O1132" si="1349">IFERROR(L1100/L1024,"-")</f>
        <v>0.50000000000000033</v>
      </c>
      <c r="M1132" s="4">
        <f t="shared" si="1349"/>
        <v>0.50000000000000022</v>
      </c>
      <c r="N1132" s="4">
        <f t="shared" si="1349"/>
        <v>0.49999999999999933</v>
      </c>
      <c r="O1132" s="4">
        <f t="shared" si="1349"/>
        <v>0.49999999999999989</v>
      </c>
      <c r="P1132" s="4">
        <f>IFERROR(P1100/P1024,"-")</f>
        <v>0.49999999999999939</v>
      </c>
      <c r="Q1132" s="4">
        <f>IFERROR(Q1100/Q1024,"-")</f>
        <v>0.50000000000000078</v>
      </c>
      <c r="S1132" s="3"/>
    </row>
    <row r="1133" spans="2:19" x14ac:dyDescent="0.5">
      <c r="B1133" s="5" t="str">
        <f t="shared" si="1320"/>
        <v>SPS1</v>
      </c>
      <c r="C1133" s="5" t="str">
        <f t="shared" si="1321"/>
        <v>CH</v>
      </c>
      <c r="D1133" t="s">
        <v>1112</v>
      </c>
      <c r="E1133" t="s">
        <v>240</v>
      </c>
      <c r="F1133" s="4">
        <f>IFERROR(F1102/F1029,"-")</f>
        <v>0.62500000000000022</v>
      </c>
      <c r="G1133" s="4">
        <f t="shared" ref="G1133:K1133" si="1350">IFERROR(G1102/G1029,"-")</f>
        <v>0.62499999999999944</v>
      </c>
      <c r="H1133" s="4">
        <f t="shared" si="1350"/>
        <v>0.62499999999999944</v>
      </c>
      <c r="I1133" s="4">
        <f t="shared" si="1350"/>
        <v>0.62499999999999978</v>
      </c>
      <c r="J1133" s="4">
        <f t="shared" si="1350"/>
        <v>0.625000000000001</v>
      </c>
      <c r="K1133" s="4">
        <f t="shared" si="1350"/>
        <v>0.62500000000000044</v>
      </c>
      <c r="L1133" s="4">
        <f t="shared" ref="L1133:O1133" si="1351">IFERROR(L1102/L1029,"-")</f>
        <v>0.62499999999999944</v>
      </c>
      <c r="M1133" s="4">
        <f t="shared" si="1351"/>
        <v>0.62499999999999967</v>
      </c>
      <c r="N1133" s="4">
        <f t="shared" si="1351"/>
        <v>0.62499999999999989</v>
      </c>
      <c r="O1133" s="4">
        <f t="shared" si="1351"/>
        <v>0.62499999999999911</v>
      </c>
      <c r="P1133" s="4">
        <f>IFERROR(P1102/P1029,"-")</f>
        <v>0.62499999999999989</v>
      </c>
      <c r="Q1133" s="4">
        <f>IFERROR(Q1102/Q1029,"-")</f>
        <v>0.62499999999999867</v>
      </c>
      <c r="S1133" s="3"/>
    </row>
    <row r="1134" spans="2:19" x14ac:dyDescent="0.5">
      <c r="B1134" s="5" t="str">
        <f t="shared" si="1320"/>
        <v>SPS1</v>
      </c>
      <c r="C1134" s="5" t="str">
        <f t="shared" si="1321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M1134" s="4">
        <v>1</v>
      </c>
      <c r="N1134" s="4">
        <v>1</v>
      </c>
      <c r="O1134" s="4">
        <v>1</v>
      </c>
      <c r="P1134" s="4">
        <v>1</v>
      </c>
      <c r="Q1134" s="4">
        <v>1</v>
      </c>
      <c r="S1134" s="3"/>
    </row>
    <row r="1135" spans="2:19" x14ac:dyDescent="0.5">
      <c r="B1135" s="5" t="str">
        <f t="shared" si="1320"/>
        <v>SPS1</v>
      </c>
      <c r="C1135" s="5" t="str">
        <f t="shared" si="1321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352">IFERROR(G1106/G1041,"-")</f>
        <v>-</v>
      </c>
      <c r="H1135" s="4" t="str">
        <f t="shared" si="1352"/>
        <v>-</v>
      </c>
      <c r="I1135" s="4" t="str">
        <f t="shared" si="1352"/>
        <v>-</v>
      </c>
      <c r="J1135" s="4" t="str">
        <f t="shared" si="1352"/>
        <v>-</v>
      </c>
      <c r="K1135" s="4" t="str">
        <f t="shared" si="1352"/>
        <v>-</v>
      </c>
      <c r="L1135" s="4" t="str">
        <f t="shared" ref="L1135:O1135" si="1353">IFERROR(L1106/L1041,"-")</f>
        <v>-</v>
      </c>
      <c r="M1135" s="4" t="str">
        <f t="shared" si="1353"/>
        <v>-</v>
      </c>
      <c r="N1135" s="4" t="str">
        <f t="shared" si="1353"/>
        <v>-</v>
      </c>
      <c r="O1135" s="4" t="str">
        <f t="shared" si="1353"/>
        <v>-</v>
      </c>
      <c r="P1135" s="4" t="str">
        <f>IFERROR(P1106/P1041,"-")</f>
        <v>-</v>
      </c>
      <c r="Q1135" s="4" t="str">
        <f>IFERROR(Q1106/Q1041,"-")</f>
        <v>-</v>
      </c>
      <c r="S1135" s="3"/>
    </row>
    <row r="1136" spans="2:19" x14ac:dyDescent="0.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354">F1137+F1152+F1157+F1180+F1203</f>
        <v>139.16418679891595</v>
      </c>
      <c r="G1136" s="3">
        <f t="shared" si="1354"/>
        <v>135.76701736810958</v>
      </c>
      <c r="H1136" s="3">
        <f t="shared" si="1354"/>
        <v>130.93459129764025</v>
      </c>
      <c r="I1136" s="3">
        <f t="shared" si="1354"/>
        <v>102.56420825010765</v>
      </c>
      <c r="J1136" s="3">
        <f t="shared" si="1354"/>
        <v>80.507230558192148</v>
      </c>
      <c r="K1136" s="3">
        <f t="shared" si="1354"/>
        <v>75.265228036147533</v>
      </c>
      <c r="L1136" s="3">
        <f t="shared" ref="L1136:O1136" si="1355">L1137+L1152+L1157+L1180+L1203</f>
        <v>66.991669550855434</v>
      </c>
      <c r="M1136" s="3">
        <f t="shared" si="1355"/>
        <v>60.989544867138534</v>
      </c>
      <c r="N1136" s="3">
        <f t="shared" si="1355"/>
        <v>57.678842754469329</v>
      </c>
      <c r="O1136" s="3">
        <f t="shared" si="1355"/>
        <v>54.220160696757191</v>
      </c>
      <c r="P1136" s="3">
        <f>P1137+P1152+P1157+P1180+P1203</f>
        <v>51.710630351600599</v>
      </c>
      <c r="Q1136" s="3">
        <f>Q1137+Q1152+Q1157+Q1180+Q1203</f>
        <v>50.667083550622714</v>
      </c>
      <c r="S1136" s="3"/>
    </row>
    <row r="1137" spans="2:19" x14ac:dyDescent="0.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0.73935792145598445</v>
      </c>
      <c r="G1137" s="1">
        <f t="shared" ref="G1137:K1137" si="1356">SUM(G1138:G1151)</f>
        <v>1.5734118320200323</v>
      </c>
      <c r="H1137" s="1">
        <f t="shared" si="1356"/>
        <v>4.2291714199395489</v>
      </c>
      <c r="I1137" s="1">
        <f t="shared" si="1356"/>
        <v>14.345125690378255</v>
      </c>
      <c r="J1137" s="1">
        <f t="shared" si="1356"/>
        <v>23.552589818821666</v>
      </c>
      <c r="K1137" s="1">
        <f t="shared" si="1356"/>
        <v>24.992967318001828</v>
      </c>
      <c r="L1137" s="1">
        <f t="shared" ref="L1137:O1137" si="1357">SUM(L1138:L1151)</f>
        <v>24.873915559719467</v>
      </c>
      <c r="M1137" s="1">
        <f t="shared" si="1357"/>
        <v>24.991861020819865</v>
      </c>
      <c r="N1137" s="1">
        <f t="shared" si="1357"/>
        <v>25.483251587812937</v>
      </c>
      <c r="O1137" s="1">
        <f t="shared" si="1357"/>
        <v>25.202901316445484</v>
      </c>
      <c r="P1137" s="1">
        <f>SUM(P1138:P1151)</f>
        <v>24.99221275349781</v>
      </c>
      <c r="Q1137" s="1">
        <f>SUM(Q1138:Q1151)</f>
        <v>25.147920460753554</v>
      </c>
      <c r="S1137" s="3"/>
    </row>
    <row r="1138" spans="2:19" x14ac:dyDescent="0.5">
      <c r="B1138" s="5" t="str">
        <f t="shared" ref="B1138:B1217" si="1358">B1137</f>
        <v>SPS1</v>
      </c>
      <c r="C1138" s="5" t="str">
        <f t="shared" ref="C1138:C1217" si="1359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0.46787049444511752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0.37630018855574554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0.26206665899705883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0.11306355755808829</v>
      </c>
      <c r="J1138" s="1" cm="1">
        <f t="array" ref="J1138">SUMPRODUCT(("T_C-BATELCEXT"=[1]OUT_TransportEnergyCons!$A$3:$A$1000)*1,("Var_Fin"=[1]OUT_TransportEnergyCons!$B$3:$B$1000)*1,ISNUMBER(SEARCH("ELC",[1]OUT_TransportEnergyCons!$C$3:$C$1000))*1,[1]OUT_TransportEnergyCons!H$3:H$1000)</f>
        <v>0</v>
      </c>
      <c r="K1138" s="1" cm="1">
        <f t="array" ref="K1138">SUMPRODUCT(("T_C-BATELCEXT"=[1]OUT_TransportEnergyCons!$A$3:$A$1000)*1,("Var_Fin"=[1]OUT_TransportEnergyCons!$B$3:$B$1000)*1,ISNUMBER(SEARCH("ELC",[1]OUT_TransportEnergyCons!$C$3:$C$1000))*1,[1]OUT_TransportEnergyCons!I$3:I$1000)</f>
        <v>0</v>
      </c>
      <c r="L1138" s="1" cm="1">
        <f t="array" ref="L1138">SUMPRODUCT(("T_C-BATELCEXT"=[1]OUT_TransportEnergyCons!$A$3:$A$1000)*1,("Var_Fin"=[1]OUT_TransportEnergyCons!$B$3:$B$1000)*1,ISNUMBER(SEARCH("ELC",[1]OUT_TransportEnergyCons!$C$3:$C$1000))*1,[1]OUT_TransportEnergyCons!J$3:J$1000)</f>
        <v>0</v>
      </c>
      <c r="M1138" s="1" cm="1">
        <f t="array" ref="M1138">SUMPRODUCT(("T_C-BATELCEXT"=[1]OUT_TransportEnergyCons!$A$3:$A$1000)*1,("Var_Fin"=[1]OUT_TransportEnergyCons!$B$3:$B$1000)*1,ISNUMBER(SEARCH("ELC",[1]OUT_TransportEnergyCons!$C$3:$C$1000))*1,[1]OUT_TransportEnergyCons!K$3:K$1000)</f>
        <v>0</v>
      </c>
      <c r="N1138" s="1" cm="1">
        <f t="array" ref="N1138">SUMPRODUCT(("T_C-BATELCEXT"=[1]OUT_TransportEnergyCons!$A$3:$A$1000)*1,("Var_Fin"=[1]OUT_TransportEnergyCons!$B$3:$B$1000)*1,ISNUMBER(SEARCH("ELC",[1]OUT_TransportEnergyCons!$C$3:$C$1000))*1,[1]OUT_TransportEnergyCons!L$3:L$1000)</f>
        <v>0</v>
      </c>
      <c r="O1138" s="1" cm="1">
        <f t="array" ref="O1138">SUMPRODUCT(("T_C-BATELCEXT"=[1]OUT_TransportEnergyCons!$A$3:$A$1000)*1,("Var_Fin"=[1]OUT_TransportEnergyCons!$B$3:$B$1000)*1,ISNUMBER(SEARCH("ELC",[1]OUT_TransportEnergyCons!$C$3:$C$1000))*1,[1]OUT_TransportEnergyCons!M$3:M$1000)</f>
        <v>0</v>
      </c>
      <c r="P1138" s="1" cm="1">
        <f t="array" ref="P1138">SUMPRODUCT(("T_C-BATELCEXT"=[1]OUT_TransportEnergyCons!$A$3:$A$1000)*1,("Var_Fin"=[1]OUT_TransportEnergyCons!$B$3:$B$1000)*1,ISNUMBER(SEARCH("ELC",[1]OUT_TransportEnergyCons!$C$3:$C$1000))*1,[1]OUT_TransportEnergyCons!N$3:N$1000)</f>
        <v>0</v>
      </c>
      <c r="Q1138" s="1" cm="1">
        <f t="array" ref="Q1138">SUMPRODUCT(("T_C-BATELCEXT"=[1]OUT_TransportEnergyCons!$A$3:$A$1000)*1,("Var_Fin"=[1]OUT_TransportEnergyCons!$B$3:$B$1000)*1,ISNUMBER(SEARCH("ELC",[1]OUT_TransportEnergyCons!$C$3:$C$1000))*1,[1]OUT_TransportEnergyCons!O$3:O$1000)</f>
        <v>0</v>
      </c>
      <c r="S1138" s="3"/>
    </row>
    <row r="1139" spans="2:19" x14ac:dyDescent="0.5">
      <c r="B1139" s="5" t="str">
        <f t="shared" si="1358"/>
        <v>SPS1</v>
      </c>
      <c r="C1139" s="5" t="str">
        <f t="shared" si="1359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8.0071736953124025E-3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2.7154735478625402E-2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2.1112484883978867E-2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1.9739596074999449E-2</v>
      </c>
      <c r="J1139" s="1" cm="1">
        <f t="array" ref="J1139">SUMPRODUCT(("T_C-BAT-ELC-S1"=[1]OUT_TransportEnergyCons!$A$3:$A$1000)*1,("Var_Fin"=[1]OUT_TransportEnergyCons!$B$3:$B$1000)*1,ISNUMBER(SEARCH("ELC",[1]OUT_TransportEnergyCons!$C$3:$C$1000))*1,[1]OUT_TransportEnergyCons!H$3:H$1000)</f>
        <v>1.0890827309833968E-2</v>
      </c>
      <c r="K1139" s="1" cm="1">
        <f t="array" ref="K1139">SUMPRODUCT(("T_C-BAT-ELC-S1"=[1]OUT_TransportEnergyCons!$A$3:$A$1000)*1,("Var_Fin"=[1]OUT_TransportEnergyCons!$B$3:$B$1000)*1,ISNUMBER(SEARCH("ELC",[1]OUT_TransportEnergyCons!$C$3:$C$1000))*1,[1]OUT_TransportEnergyCons!I$3:I$1000)</f>
        <v>0.12648544491590036</v>
      </c>
      <c r="L1139" s="1" cm="1">
        <f t="array" ref="L1139">SUMPRODUCT(("T_C-BAT-ELC-S1"=[1]OUT_TransportEnergyCons!$A$3:$A$1000)*1,("Var_Fin"=[1]OUT_TransportEnergyCons!$B$3:$B$1000)*1,ISNUMBER(SEARCH("ELC",[1]OUT_TransportEnergyCons!$C$3:$C$1000))*1,[1]OUT_TransportEnergyCons!J$3:J$1000)</f>
        <v>0.36961628893738158</v>
      </c>
      <c r="M1139" s="1" cm="1">
        <f t="array" ref="M1139">SUMPRODUCT(("T_C-BAT-ELC-S1"=[1]OUT_TransportEnergyCons!$A$3:$A$1000)*1,("Var_Fin"=[1]OUT_TransportEnergyCons!$B$3:$B$1000)*1,ISNUMBER(SEARCH("ELC",[1]OUT_TransportEnergyCons!$C$3:$C$1000))*1,[1]OUT_TransportEnergyCons!K$3:K$1000)</f>
        <v>0.78557244716789887</v>
      </c>
      <c r="N1139" s="1" cm="1">
        <f t="array" ref="N1139">SUMPRODUCT(("T_C-BAT-ELC-S1"=[1]OUT_TransportEnergyCons!$A$3:$A$1000)*1,("Var_Fin"=[1]OUT_TransportEnergyCons!$B$3:$B$1000)*1,ISNUMBER(SEARCH("ELC",[1]OUT_TransportEnergyCons!$C$3:$C$1000))*1,[1]OUT_TransportEnergyCons!L$3:L$1000)</f>
        <v>0.83230477989814255</v>
      </c>
      <c r="O1139" s="1" cm="1">
        <f t="array" ref="O1139">SUMPRODUCT(("T_C-BAT-ELC-S1"=[1]OUT_TransportEnergyCons!$A$3:$A$1000)*1,("Var_Fin"=[1]OUT_TransportEnergyCons!$B$3:$B$1000)*1,ISNUMBER(SEARCH("ELC",[1]OUT_TransportEnergyCons!$C$3:$C$1000))*1,[1]OUT_TransportEnergyCons!M$3:M$1000)</f>
        <v>0.79414372251403065</v>
      </c>
      <c r="P1139" s="1" cm="1">
        <f t="array" ref="P1139">SUMPRODUCT(("T_C-BAT-ELC-S1"=[1]OUT_TransportEnergyCons!$A$3:$A$1000)*1,("Var_Fin"=[1]OUT_TransportEnergyCons!$B$3:$B$1000)*1,ISNUMBER(SEARCH("ELC",[1]OUT_TransportEnergyCons!$C$3:$C$1000))*1,[1]OUT_TransportEnergyCons!N$3:N$1000)</f>
        <v>0.77886232807089828</v>
      </c>
      <c r="Q1139" s="1" cm="1">
        <f t="array" ref="Q1139">SUMPRODUCT(("T_C-BAT-ELC-S1"=[1]OUT_TransportEnergyCons!$A$3:$A$1000)*1,("Var_Fin"=[1]OUT_TransportEnergyCons!$B$3:$B$1000)*1,ISNUMBER(SEARCH("ELC",[1]OUT_TransportEnergyCons!$C$3:$C$1000))*1,[1]OUT_TransportEnergyCons!O$3:O$1000)</f>
        <v>0.68928917926534994</v>
      </c>
      <c r="S1139" s="3"/>
    </row>
    <row r="1140" spans="2:19" x14ac:dyDescent="0.5">
      <c r="B1140" s="5" t="str">
        <f t="shared" si="1358"/>
        <v>SPS1</v>
      </c>
      <c r="C1140" s="5" t="str">
        <f t="shared" si="1359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6.6272327615834251E-2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0.10589305485225205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1.8633535526566212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6.7783065298805942</v>
      </c>
      <c r="J1140" s="1" cm="1">
        <f t="array" ref="J1140">SUMPRODUCT(("T_C-BAT-ELC-S2"=[1]OUT_TransportEnergyCons!$A$3:$A$1000)*1,("Var_Fin"=[1]OUT_TransportEnergyCons!$B$3:$B$1000)*1,ISNUMBER(SEARCH("ELC",[1]OUT_TransportEnergyCons!$C$3:$C$1000))*1,[1]OUT_TransportEnergyCons!H$3:H$1000)</f>
        <v>10.984514616165711</v>
      </c>
      <c r="K1140" s="1" cm="1">
        <f t="array" ref="K1140">SUMPRODUCT(("T_C-BAT-ELC-S2"=[1]OUT_TransportEnergyCons!$A$3:$A$1000)*1,("Var_Fin"=[1]OUT_TransportEnergyCons!$B$3:$B$1000)*1,ISNUMBER(SEARCH("ELC",[1]OUT_TransportEnergyCons!$C$3:$C$1000))*1,[1]OUT_TransportEnergyCons!I$3:I$1000)</f>
        <v>11.329197311239477</v>
      </c>
      <c r="L1140" s="1" cm="1">
        <f t="array" ref="L1140">SUMPRODUCT(("T_C-BAT-ELC-S2"=[1]OUT_TransportEnergyCons!$A$3:$A$1000)*1,("Var_Fin"=[1]OUT_TransportEnergyCons!$B$3:$B$1000)*1,ISNUMBER(SEARCH("ELC",[1]OUT_TransportEnergyCons!$C$3:$C$1000))*1,[1]OUT_TransportEnergyCons!J$3:J$1000)</f>
        <v>10.898500744054868</v>
      </c>
      <c r="M1140" s="1" cm="1">
        <f t="array" ref="M1140">SUMPRODUCT(("T_C-BAT-ELC-S2"=[1]OUT_TransportEnergyCons!$A$3:$A$1000)*1,("Var_Fin"=[1]OUT_TransportEnergyCons!$B$3:$B$1000)*1,ISNUMBER(SEARCH("ELC",[1]OUT_TransportEnergyCons!$C$3:$C$1000))*1,[1]OUT_TransportEnergyCons!K$3:K$1000)</f>
        <v>10.346659205092674</v>
      </c>
      <c r="N1140" s="1" cm="1">
        <f t="array" ref="N1140">SUMPRODUCT(("T_C-BAT-ELC-S2"=[1]OUT_TransportEnergyCons!$A$3:$A$1000)*1,("Var_Fin"=[1]OUT_TransportEnergyCons!$B$3:$B$1000)*1,ISNUMBER(SEARCH("ELC",[1]OUT_TransportEnergyCons!$C$3:$C$1000))*1,[1]OUT_TransportEnergyCons!L$3:L$1000)</f>
        <v>9.9285448651849268</v>
      </c>
      <c r="O1140" s="1" cm="1">
        <f t="array" ref="O1140">SUMPRODUCT(("T_C-BAT-ELC-S2"=[1]OUT_TransportEnergyCons!$A$3:$A$1000)*1,("Var_Fin"=[1]OUT_TransportEnergyCons!$B$3:$B$1000)*1,ISNUMBER(SEARCH("ELC",[1]OUT_TransportEnergyCons!$C$3:$C$1000))*1,[1]OUT_TransportEnergyCons!M$3:M$1000)</f>
        <v>9.3475027010092191</v>
      </c>
      <c r="P1140" s="1" cm="1">
        <f t="array" ref="P1140">SUMPRODUCT(("T_C-BAT-ELC-S2"=[1]OUT_TransportEnergyCons!$A$3:$A$1000)*1,("Var_Fin"=[1]OUT_TransportEnergyCons!$B$3:$B$1000)*1,ISNUMBER(SEARCH("ELC",[1]OUT_TransportEnergyCons!$C$3:$C$1000))*1,[1]OUT_TransportEnergyCons!N$3:N$1000)</f>
        <v>8.7164631473995424</v>
      </c>
      <c r="Q1140" s="1" cm="1">
        <f t="array" ref="Q1140">SUMPRODUCT(("T_C-BAT-ELC-S2"=[1]OUT_TransportEnergyCons!$A$3:$A$1000)*1,("Var_Fin"=[1]OUT_TransportEnergyCons!$B$3:$B$1000)*1,ISNUMBER(SEARCH("ELC",[1]OUT_TransportEnergyCons!$C$3:$C$1000))*1,[1]OUT_TransportEnergyCons!O$3:O$1000)</f>
        <v>8.4815424378287965</v>
      </c>
      <c r="S1140" s="3"/>
    </row>
    <row r="1141" spans="2:19" x14ac:dyDescent="0.5">
      <c r="B1141" s="5" t="str">
        <f t="shared" si="1358"/>
        <v>SPS1</v>
      </c>
      <c r="C1141" s="5" t="str">
        <f t="shared" si="1359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4.5831692347842741E-2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9.6802288529930974E-2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0.12593556277342255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1.9562461282640997</v>
      </c>
      <c r="J1141" s="1" cm="1">
        <f t="array" ref="J1141">SUMPRODUCT(("T_C-BAT-ELC-S3"=[1]OUT_TransportEnergyCons!$A$3:$A$1000)*1,("Var_Fin"=[1]OUT_TransportEnergyCons!$B$3:$B$1000)*1,ISNUMBER(SEARCH("ELC",[1]OUT_TransportEnergyCons!$C$3:$C$1000))*1,[1]OUT_TransportEnergyCons!H$3:H$1000)</f>
        <v>5.4468684461231422</v>
      </c>
      <c r="K1141" s="1" cm="1">
        <f t="array" ref="K1141">SUMPRODUCT(("T_C-BAT-ELC-S3"=[1]OUT_TransportEnergyCons!$A$3:$A$1000)*1,("Var_Fin"=[1]OUT_TransportEnergyCons!$B$3:$B$1000)*1,ISNUMBER(SEARCH("ELC",[1]OUT_TransportEnergyCons!$C$3:$C$1000))*1,[1]OUT_TransportEnergyCons!I$3:I$1000)</f>
        <v>7.4897223978802163</v>
      </c>
      <c r="L1141" s="1" cm="1">
        <f t="array" ref="L1141">SUMPRODUCT(("T_C-BAT-ELC-S3"=[1]OUT_TransportEnergyCons!$A$3:$A$1000)*1,("Var_Fin"=[1]OUT_TransportEnergyCons!$B$3:$B$1000)*1,ISNUMBER(SEARCH("ELC",[1]OUT_TransportEnergyCons!$C$3:$C$1000))*1,[1]OUT_TransportEnergyCons!J$3:J$1000)</f>
        <v>7.582377220494287</v>
      </c>
      <c r="M1141" s="1" cm="1">
        <f t="array" ref="M1141">SUMPRODUCT(("T_C-BAT-ELC-S3"=[1]OUT_TransportEnergyCons!$A$3:$A$1000)*1,("Var_Fin"=[1]OUT_TransportEnergyCons!$B$3:$B$1000)*1,ISNUMBER(SEARCH("ELC",[1]OUT_TransportEnergyCons!$C$3:$C$1000))*1,[1]OUT_TransportEnergyCons!K$3:K$1000)</f>
        <v>6.9668439197302359</v>
      </c>
      <c r="N1141" s="1" cm="1">
        <f t="array" ref="N1141">SUMPRODUCT(("T_C-BAT-ELC-S3"=[1]OUT_TransportEnergyCons!$A$3:$A$1000)*1,("Var_Fin"=[1]OUT_TransportEnergyCons!$B$3:$B$1000)*1,ISNUMBER(SEARCH("ELC",[1]OUT_TransportEnergyCons!$C$3:$C$1000))*1,[1]OUT_TransportEnergyCons!L$3:L$1000)</f>
        <v>7.5048763257009936</v>
      </c>
      <c r="O1141" s="1" cm="1">
        <f t="array" ref="O1141">SUMPRODUCT(("T_C-BAT-ELC-S3"=[1]OUT_TransportEnergyCons!$A$3:$A$1000)*1,("Var_Fin"=[1]OUT_TransportEnergyCons!$B$3:$B$1000)*1,ISNUMBER(SEARCH("ELC",[1]OUT_TransportEnergyCons!$C$3:$C$1000))*1,[1]OUT_TransportEnergyCons!M$3:M$1000)</f>
        <v>7.6465322167758281</v>
      </c>
      <c r="P1141" s="1" cm="1">
        <f t="array" ref="P1141">SUMPRODUCT(("T_C-BAT-ELC-S3"=[1]OUT_TransportEnergyCons!$A$3:$A$1000)*1,("Var_Fin"=[1]OUT_TransportEnergyCons!$B$3:$B$1000)*1,ISNUMBER(SEARCH("ELC",[1]OUT_TransportEnergyCons!$C$3:$C$1000))*1,[1]OUT_TransportEnergyCons!N$3:N$1000)</f>
        <v>8.1545317262805543</v>
      </c>
      <c r="Q1141" s="1" cm="1">
        <f t="array" ref="Q1141">SUMPRODUCT(("T_C-BAT-ELC-S3"=[1]OUT_TransportEnergyCons!$A$3:$A$1000)*1,("Var_Fin"=[1]OUT_TransportEnergyCons!$B$3:$B$1000)*1,ISNUMBER(SEARCH("ELC",[1]OUT_TransportEnergyCons!$C$3:$C$1000))*1,[1]OUT_TransportEnergyCons!O$3:O$1000)</f>
        <v>8.3167873223822131</v>
      </c>
      <c r="S1141" s="3"/>
    </row>
    <row r="1142" spans="2:19" x14ac:dyDescent="0.5">
      <c r="B1142" s="5" t="str">
        <f t="shared" si="1358"/>
        <v>SPS1</v>
      </c>
      <c r="C1142" s="5" t="str">
        <f t="shared" si="1359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0.14923760983446666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0.94351050791625146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1.654363535752456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3.0038130011310731</v>
      </c>
      <c r="J1142" s="1" cm="1">
        <f t="array" ref="J1142">SUMPRODUCT(("T_C-BAT-ELC-S4"=[1]OUT_TransportEnergyCons!$A$3:$A$1000)*1,("Var_Fin"=[1]OUT_TransportEnergyCons!$B$3:$B$1000)*1,ISNUMBER(SEARCH("ELC",[1]OUT_TransportEnergyCons!$C$3:$C$1000))*1,[1]OUT_TransportEnergyCons!H$3:H$1000)</f>
        <v>3.1777861457786845</v>
      </c>
      <c r="K1142" s="1" cm="1">
        <f t="array" ref="K1142">SUMPRODUCT(("T_C-BAT-ELC-S4"=[1]OUT_TransportEnergyCons!$A$3:$A$1000)*1,("Var_Fin"=[1]OUT_TransportEnergyCons!$B$3:$B$1000)*1,ISNUMBER(SEARCH("ELC",[1]OUT_TransportEnergyCons!$C$3:$C$1000))*1,[1]OUT_TransportEnergyCons!I$3:I$1000)</f>
        <v>1.9712040871489267</v>
      </c>
      <c r="L1142" s="1" cm="1">
        <f t="array" ref="L1142">SUMPRODUCT(("T_C-BAT-ELC-S4"=[1]OUT_TransportEnergyCons!$A$3:$A$1000)*1,("Var_Fin"=[1]OUT_TransportEnergyCons!$B$3:$B$1000)*1,ISNUMBER(SEARCH("ELC",[1]OUT_TransportEnergyCons!$C$3:$C$1000))*1,[1]OUT_TransportEnergyCons!J$3:J$1000)</f>
        <v>1.9182618858794414</v>
      </c>
      <c r="M1142" s="1" cm="1">
        <f t="array" ref="M1142">SUMPRODUCT(("T_C-BAT-ELC-S4"=[1]OUT_TransportEnergyCons!$A$3:$A$1000)*1,("Var_Fin"=[1]OUT_TransportEnergyCons!$B$3:$B$1000)*1,ISNUMBER(SEARCH("ELC",[1]OUT_TransportEnergyCons!$C$3:$C$1000))*1,[1]OUT_TransportEnergyCons!K$3:K$1000)</f>
        <v>1.9021209675170678</v>
      </c>
      <c r="N1142" s="1" cm="1">
        <f t="array" ref="N1142">SUMPRODUCT(("T_C-BAT-ELC-S4"=[1]OUT_TransportEnergyCons!$A$3:$A$1000)*1,("Var_Fin"=[1]OUT_TransportEnergyCons!$B$3:$B$1000)*1,ISNUMBER(SEARCH("ELC",[1]OUT_TransportEnergyCons!$C$3:$C$1000))*1,[1]OUT_TransportEnergyCons!L$3:L$1000)</f>
        <v>1.9190059378635456</v>
      </c>
      <c r="O1142" s="1" cm="1">
        <f t="array" ref="O1142">SUMPRODUCT(("T_C-BAT-ELC-S4"=[1]OUT_TransportEnergyCons!$A$3:$A$1000)*1,("Var_Fin"=[1]OUT_TransportEnergyCons!$B$3:$B$1000)*1,ISNUMBER(SEARCH("ELC",[1]OUT_TransportEnergyCons!$C$3:$C$1000))*1,[1]OUT_TransportEnergyCons!M$3:M$1000)</f>
        <v>1.9346331048893615</v>
      </c>
      <c r="P1142" s="1" cm="1">
        <f t="array" ref="P1142">SUMPRODUCT(("T_C-BAT-ELC-S4"=[1]OUT_TransportEnergyCons!$A$3:$A$1000)*1,("Var_Fin"=[1]OUT_TransportEnergyCons!$B$3:$B$1000)*1,ISNUMBER(SEARCH("ELC",[1]OUT_TransportEnergyCons!$C$3:$C$1000))*1,[1]OUT_TransportEnergyCons!N$3:N$1000)</f>
        <v>1.9971546783881178</v>
      </c>
      <c r="Q1142" s="1" cm="1">
        <f t="array" ref="Q1142">SUMPRODUCT(("T_C-BAT-ELC-S4"=[1]OUT_TransportEnergyCons!$A$3:$A$1000)*1,("Var_Fin"=[1]OUT_TransportEnergyCons!$B$3:$B$1000)*1,ISNUMBER(SEARCH("ELC",[1]OUT_TransportEnergyCons!$C$3:$C$1000))*1,[1]OUT_TransportEnergyCons!O$3:O$1000)</f>
        <v>2.0465861662375153</v>
      </c>
      <c r="S1142" s="3"/>
    </row>
    <row r="1143" spans="2:19" x14ac:dyDescent="0.5">
      <c r="B1143" s="5" t="str">
        <f t="shared" si="1358"/>
        <v>SPS1</v>
      </c>
      <c r="C1143" s="5" t="str">
        <f t="shared" si="1359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7.5274655071928828E-5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1.2902887372142637E-4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2.3409502834526082E-4</v>
      </c>
      <c r="J1143" s="1" cm="1">
        <f t="array" ref="J1143">SUMPRODUCT(("T-Plg-elc-gsl_S1"=[1]OUT_TransportEnergyCons!$A$3:$A$1000)*1,("Var_Fin"=[1]OUT_TransportEnergyCons!$B$3:$B$1000)*1,ISNUMBER(SEARCH("ELC",[1]OUT_TransportEnergyCons!$C$3:$C$1000))*1,[1]OUT_TransportEnergyCons!H$3:H$1000)</f>
        <v>2.9344121131451344E-4</v>
      </c>
      <c r="K1143" s="1" cm="1">
        <f t="array" ref="K1143">SUMPRODUCT(("T-Plg-elc-gsl_S1"=[1]OUT_TransportEnergyCons!$A$3:$A$1000)*1,("Var_Fin"=[1]OUT_TransportEnergyCons!$B$3:$B$1000)*1,ISNUMBER(SEARCH("ELC",[1]OUT_TransportEnergyCons!$C$3:$C$1000))*1,[1]OUT_TransportEnergyCons!I$3:I$1000)</f>
        <v>4.2044712372879024E-4</v>
      </c>
      <c r="L1143" s="1" cm="1">
        <f t="array" ref="L1143">SUMPRODUCT(("T-Plg-elc-gsl_S1"=[1]OUT_TransportEnergyCons!$A$3:$A$1000)*1,("Var_Fin"=[1]OUT_TransportEnergyCons!$B$3:$B$1000)*1,ISNUMBER(SEARCH("ELC",[1]OUT_TransportEnergyCons!$C$3:$C$1000))*1,[1]OUT_TransportEnergyCons!J$3:J$1000)</f>
        <v>6.4678414312004725E-4</v>
      </c>
      <c r="M1143" s="1" cm="1">
        <f t="array" ref="M1143">SUMPRODUCT(("T-Plg-elc-gsl_S1"=[1]OUT_TransportEnergyCons!$A$3:$A$1000)*1,("Var_Fin"=[1]OUT_TransportEnergyCons!$B$3:$B$1000)*1,ISNUMBER(SEARCH("ELC",[1]OUT_TransportEnergyCons!$C$3:$C$1000))*1,[1]OUT_TransportEnergyCons!K$3:K$1000)</f>
        <v>7.3889394270899237E-4</v>
      </c>
      <c r="N1143" s="1" cm="1">
        <f t="array" ref="N1143">SUMPRODUCT(("T-Plg-elc-gsl_S1"=[1]OUT_TransportEnergyCons!$A$3:$A$1000)*1,("Var_Fin"=[1]OUT_TransportEnergyCons!$B$3:$B$1000)*1,ISNUMBER(SEARCH("ELC",[1]OUT_TransportEnergyCons!$C$3:$C$1000))*1,[1]OUT_TransportEnergyCons!L$3:L$1000)</f>
        <v>1.3806842687207551E-3</v>
      </c>
      <c r="O1143" s="1" cm="1">
        <f t="array" ref="O1143">SUMPRODUCT(("T-Plg-elc-gsl_S1"=[1]OUT_TransportEnergyCons!$A$3:$A$1000)*1,("Var_Fin"=[1]OUT_TransportEnergyCons!$B$3:$B$1000)*1,ISNUMBER(SEARCH("ELC",[1]OUT_TransportEnergyCons!$C$3:$C$1000))*1,[1]OUT_TransportEnergyCons!M$3:M$1000)</f>
        <v>2.4366010678990159E-3</v>
      </c>
      <c r="P1143" s="1" cm="1">
        <f t="array" ref="P1143">SUMPRODUCT(("T-Plg-elc-gsl_S1"=[1]OUT_TransportEnergyCons!$A$3:$A$1000)*1,("Var_Fin"=[1]OUT_TransportEnergyCons!$B$3:$B$1000)*1,ISNUMBER(SEARCH("ELC",[1]OUT_TransportEnergyCons!$C$3:$C$1000))*1,[1]OUT_TransportEnergyCons!N$3:N$1000)</f>
        <v>3.5835229204535315E-3</v>
      </c>
      <c r="Q1143" s="1" cm="1">
        <f t="array" ref="Q1143">SUMPRODUCT(("T-Plg-elc-gsl_S1"=[1]OUT_TransportEnergyCons!$A$3:$A$1000)*1,("Var_Fin"=[1]OUT_TransportEnergyCons!$B$3:$B$1000)*1,ISNUMBER(SEARCH("ELC",[1]OUT_TransportEnergyCons!$C$3:$C$1000))*1,[1]OUT_TransportEnergyCons!O$3:O$1000)</f>
        <v>5.2199032620065099E-3</v>
      </c>
      <c r="S1143" s="3"/>
    </row>
    <row r="1144" spans="2:19" x14ac:dyDescent="0.5">
      <c r="B1144" s="5" t="str">
        <f t="shared" si="1358"/>
        <v>SPS1</v>
      </c>
      <c r="C1144" s="5" t="str">
        <f t="shared" si="1359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2.1386235174108391E-3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1.5413885997339963E-3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2.7915157489691918E-3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3.5202972818848197E-3</v>
      </c>
      <c r="J1144" s="1" cm="1">
        <f t="array" ref="J1144">SUMPRODUCT(("T-Plg-elc-gsl_S2"=[1]OUT_TransportEnergyCons!$A$3:$A$1000)*1,("Var_Fin"=[1]OUT_TransportEnergyCons!$B$3:$B$1000)*1,ISNUMBER(SEARCH("ELC",[1]OUT_TransportEnergyCons!$C$3:$C$1000))*1,[1]OUT_TransportEnergyCons!H$3:H$1000)</f>
        <v>2.9542569378127963E-3</v>
      </c>
      <c r="K1144" s="1" cm="1">
        <f t="array" ref="K1144">SUMPRODUCT(("T-Plg-elc-gsl_S2"=[1]OUT_TransportEnergyCons!$A$3:$A$1000)*1,("Var_Fin"=[1]OUT_TransportEnergyCons!$B$3:$B$1000)*1,ISNUMBER(SEARCH("ELC",[1]OUT_TransportEnergyCons!$C$3:$C$1000))*1,[1]OUT_TransportEnergyCons!I$3:I$1000)</f>
        <v>2.0957553916624502E-3</v>
      </c>
      <c r="L1144" s="1" cm="1">
        <f t="array" ref="L1144">SUMPRODUCT(("T-Plg-elc-gsl_S2"=[1]OUT_TransportEnergyCons!$A$3:$A$1000)*1,("Var_Fin"=[1]OUT_TransportEnergyCons!$B$3:$B$1000)*1,ISNUMBER(SEARCH("ELC",[1]OUT_TransportEnergyCons!$C$3:$C$1000))*1,[1]OUT_TransportEnergyCons!J$3:J$1000)</f>
        <v>2.5767538222331628E-3</v>
      </c>
      <c r="M1144" s="1" cm="1">
        <f t="array" ref="M1144">SUMPRODUCT(("T-Plg-elc-gsl_S2"=[1]OUT_TransportEnergyCons!$A$3:$A$1000)*1,("Var_Fin"=[1]OUT_TransportEnergyCons!$B$3:$B$1000)*1,ISNUMBER(SEARCH("ELC",[1]OUT_TransportEnergyCons!$C$3:$C$1000))*1,[1]OUT_TransportEnergyCons!K$3:K$1000)</f>
        <v>2.4745105835382729E-3</v>
      </c>
      <c r="N1144" s="1" cm="1">
        <f t="array" ref="N1144">SUMPRODUCT(("T-Plg-elc-gsl_S2"=[1]OUT_TransportEnergyCons!$A$3:$A$1000)*1,("Var_Fin"=[1]OUT_TransportEnergyCons!$B$3:$B$1000)*1,ISNUMBER(SEARCH("ELC",[1]OUT_TransportEnergyCons!$C$3:$C$1000))*1,[1]OUT_TransportEnergyCons!L$3:L$1000)</f>
        <v>4.3704025359553832E-3</v>
      </c>
      <c r="O1144" s="1" cm="1">
        <f t="array" ref="O1144">SUMPRODUCT(("T-Plg-elc-gsl_S2"=[1]OUT_TransportEnergyCons!$A$3:$A$1000)*1,("Var_Fin"=[1]OUT_TransportEnergyCons!$B$3:$B$1000)*1,ISNUMBER(SEARCH("ELC",[1]OUT_TransportEnergyCons!$C$3:$C$1000))*1,[1]OUT_TransportEnergyCons!M$3:M$1000)</f>
        <v>3.5552234509582795E-2</v>
      </c>
      <c r="P1144" s="1" cm="1">
        <f t="array" ref="P1144">SUMPRODUCT(("T-Plg-elc-gsl_S2"=[1]OUT_TransportEnergyCons!$A$3:$A$1000)*1,("Var_Fin"=[1]OUT_TransportEnergyCons!$B$3:$B$1000)*1,ISNUMBER(SEARCH("ELC",[1]OUT_TransportEnergyCons!$C$3:$C$1000))*1,[1]OUT_TransportEnergyCons!N$3:N$1000)</f>
        <v>7.9609669204095276E-2</v>
      </c>
      <c r="Q1144" s="1" cm="1">
        <f t="array" ref="Q1144">SUMPRODUCT(("T-Plg-elc-gsl_S2"=[1]OUT_TransportEnergyCons!$A$3:$A$1000)*1,("Var_Fin"=[1]OUT_TransportEnergyCons!$B$3:$B$1000)*1,ISNUMBER(SEARCH("ELC",[1]OUT_TransportEnergyCons!$C$3:$C$1000))*1,[1]OUT_TransportEnergyCons!O$3:O$1000)</f>
        <v>0.10528050669118989</v>
      </c>
      <c r="S1144" s="3"/>
    </row>
    <row r="1145" spans="2:19" x14ac:dyDescent="0.5">
      <c r="B1145" s="5" t="str">
        <f t="shared" si="1358"/>
        <v>SPS1</v>
      </c>
      <c r="C1145" s="5" t="str">
        <f t="shared" si="1359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1.8791160178617126E-2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8.7038380040071806E-2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0.15265510143999084</v>
      </c>
      <c r="J1145" s="1" cm="1">
        <f t="array" ref="J1145">SUMPRODUCT(("T-Plg-elc-gsl_S3"=[1]OUT_TransportEnergyCons!$A$3:$A$1000)*1,("Var_Fin"=[1]OUT_TransportEnergyCons!$B$3:$B$1000)*1,ISNUMBER(SEARCH("ELC",[1]OUT_TransportEnergyCons!$C$3:$C$1000))*1,[1]OUT_TransportEnergyCons!H$3:H$1000)</f>
        <v>0.22609834981984434</v>
      </c>
      <c r="K1145" s="1" cm="1">
        <f t="array" ref="K1145">SUMPRODUCT(("T-Plg-elc-gsl_S3"=[1]OUT_TransportEnergyCons!$A$3:$A$1000)*1,("Var_Fin"=[1]OUT_TransportEnergyCons!$B$3:$B$1000)*1,ISNUMBER(SEARCH("ELC",[1]OUT_TransportEnergyCons!$C$3:$C$1000))*1,[1]OUT_TransportEnergyCons!I$3:I$1000)</f>
        <v>0.16798311157385903</v>
      </c>
      <c r="L1145" s="1" cm="1">
        <f t="array" ref="L1145">SUMPRODUCT(("T-Plg-elc-gsl_S3"=[1]OUT_TransportEnergyCons!$A$3:$A$1000)*1,("Var_Fin"=[1]OUT_TransportEnergyCons!$B$3:$B$1000)*1,ISNUMBER(SEARCH("ELC",[1]OUT_TransportEnergyCons!$C$3:$C$1000))*1,[1]OUT_TransportEnergyCons!J$3:J$1000)</f>
        <v>0.17567827999692054</v>
      </c>
      <c r="M1145" s="1" cm="1">
        <f t="array" ref="M1145">SUMPRODUCT(("T-Plg-elc-gsl_S3"=[1]OUT_TransportEnergyCons!$A$3:$A$1000)*1,("Var_Fin"=[1]OUT_TransportEnergyCons!$B$3:$B$1000)*1,ISNUMBER(SEARCH("ELC",[1]OUT_TransportEnergyCons!$C$3:$C$1000))*1,[1]OUT_TransportEnergyCons!K$3:K$1000)</f>
        <v>8.1782922578139808E-2</v>
      </c>
      <c r="N1145" s="1" cm="1">
        <f t="array" ref="N1145">SUMPRODUCT(("T-Plg-elc-gsl_S3"=[1]OUT_TransportEnergyCons!$A$3:$A$1000)*1,("Var_Fin"=[1]OUT_TransportEnergyCons!$B$3:$B$1000)*1,ISNUMBER(SEARCH("ELC",[1]OUT_TransportEnergyCons!$C$3:$C$1000))*1,[1]OUT_TransportEnergyCons!L$3:L$1000)</f>
        <v>0.22112055722172594</v>
      </c>
      <c r="O1145" s="1" cm="1">
        <f t="array" ref="O1145">SUMPRODUCT(("T-Plg-elc-gsl_S3"=[1]OUT_TransportEnergyCons!$A$3:$A$1000)*1,("Var_Fin"=[1]OUT_TransportEnergyCons!$B$3:$B$1000)*1,ISNUMBER(SEARCH("ELC",[1]OUT_TransportEnergyCons!$C$3:$C$1000))*1,[1]OUT_TransportEnergyCons!M$3:M$1000)</f>
        <v>0.19880612511673174</v>
      </c>
      <c r="P1145" s="1" cm="1">
        <f t="array" ref="P1145">SUMPRODUCT(("T-Plg-elc-gsl_S3"=[1]OUT_TransportEnergyCons!$A$3:$A$1000)*1,("Var_Fin"=[1]OUT_TransportEnergyCons!$B$3:$B$1000)*1,ISNUMBER(SEARCH("ELC",[1]OUT_TransportEnergyCons!$C$3:$C$1000))*1,[1]OUT_TransportEnergyCons!N$3:N$1000)</f>
        <v>0.15454594948771819</v>
      </c>
      <c r="Q1145" s="1" cm="1">
        <f t="array" ref="Q1145">SUMPRODUCT(("T-Plg-elc-gsl_S3"=[1]OUT_TransportEnergyCons!$A$3:$A$1000)*1,("Var_Fin"=[1]OUT_TransportEnergyCons!$B$3:$B$1000)*1,ISNUMBER(SEARCH("ELC",[1]OUT_TransportEnergyCons!$C$3:$C$1000))*1,[1]OUT_TransportEnergyCons!O$3:O$1000)</f>
        <v>4.5842681324345123E-2</v>
      </c>
      <c r="S1145" s="3"/>
    </row>
    <row r="1146" spans="2:19" x14ac:dyDescent="0.5">
      <c r="B1146" s="5" t="str">
        <f t="shared" si="1358"/>
        <v>SPS1</v>
      </c>
      <c r="C1146" s="5" t="str">
        <f t="shared" si="1359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1.2732430598254704E-3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3.0641998590020775E-3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5.4114329220831753E-3</v>
      </c>
      <c r="J1146" s="1" cm="1">
        <f t="array" ref="J1146">SUMPRODUCT(("T-Plg-elc-gsl_S4"=[1]OUT_TransportEnergyCons!$A$3:$A$1000)*1,("Var_Fin"=[1]OUT_TransportEnergyCons!$B$3:$B$1000)*1,ISNUMBER(SEARCH("ELC",[1]OUT_TransportEnergyCons!$C$3:$C$1000))*1,[1]OUT_TransportEnergyCons!H$3:H$1000)</f>
        <v>9.3018510034122148E-3</v>
      </c>
      <c r="K1146" s="1" cm="1">
        <f t="array" ref="K1146">SUMPRODUCT(("T-Plg-elc-gsl_S4"=[1]OUT_TransportEnergyCons!$A$3:$A$1000)*1,("Var_Fin"=[1]OUT_TransportEnergyCons!$B$3:$B$1000)*1,ISNUMBER(SEARCH("ELC",[1]OUT_TransportEnergyCons!$C$3:$C$1000))*1,[1]OUT_TransportEnergyCons!I$3:I$1000)</f>
        <v>6.6360059325011999E-3</v>
      </c>
      <c r="L1146" s="1" cm="1">
        <f t="array" ref="L1146">SUMPRODUCT(("T-Plg-elc-gsl_S4"=[1]OUT_TransportEnergyCons!$A$3:$A$1000)*1,("Var_Fin"=[1]OUT_TransportEnergyCons!$B$3:$B$1000)*1,ISNUMBER(SEARCH("ELC",[1]OUT_TransportEnergyCons!$C$3:$C$1000))*1,[1]OUT_TransportEnergyCons!J$3:J$1000)</f>
        <v>1.2651223859822326E-2</v>
      </c>
      <c r="M1146" s="1" cm="1">
        <f t="array" ref="M1146">SUMPRODUCT(("T-Plg-elc-gsl_S4"=[1]OUT_TransportEnergyCons!$A$3:$A$1000)*1,("Var_Fin"=[1]OUT_TransportEnergyCons!$B$3:$B$1000)*1,ISNUMBER(SEARCH("ELC",[1]OUT_TransportEnergyCons!$C$3:$C$1000))*1,[1]OUT_TransportEnergyCons!K$3:K$1000)</f>
        <v>1.0762556282577487E-2</v>
      </c>
      <c r="N1146" s="1" cm="1">
        <f t="array" ref="N1146">SUMPRODUCT(("T-Plg-elc-gsl_S4"=[1]OUT_TransportEnergyCons!$A$3:$A$1000)*1,("Var_Fin"=[1]OUT_TransportEnergyCons!$B$3:$B$1000)*1,ISNUMBER(SEARCH("ELC",[1]OUT_TransportEnergyCons!$C$3:$C$1000))*1,[1]OUT_TransportEnergyCons!L$3:L$1000)</f>
        <v>7.9806494562161684E-2</v>
      </c>
      <c r="O1146" s="1" cm="1">
        <f t="array" ref="O1146">SUMPRODUCT(("T-Plg-elc-gsl_S4"=[1]OUT_TransportEnergyCons!$A$3:$A$1000)*1,("Var_Fin"=[1]OUT_TransportEnergyCons!$B$3:$B$1000)*1,ISNUMBER(SEARCH("ELC",[1]OUT_TransportEnergyCons!$C$3:$C$1000))*1,[1]OUT_TransportEnergyCons!M$3:M$1000)</f>
        <v>7.2792232709240332E-2</v>
      </c>
      <c r="P1146" s="1" cm="1">
        <f t="array" ref="P1146">SUMPRODUCT(("T-Plg-elc-gsl_S4"=[1]OUT_TransportEnergyCons!$A$3:$A$1000)*1,("Var_Fin"=[1]OUT_TransportEnergyCons!$B$3:$B$1000)*1,ISNUMBER(SEARCH("ELC",[1]OUT_TransportEnergyCons!$C$3:$C$1000))*1,[1]OUT_TransportEnergyCons!N$3:N$1000)</f>
        <v>4.9993603292958974E-2</v>
      </c>
      <c r="Q1146" s="1" cm="1">
        <f t="array" ref="Q1146">SUMPRODUCT(("T-Plg-elc-gsl_S4"=[1]OUT_TransportEnergyCons!$A$3:$A$1000)*1,("Var_Fin"=[1]OUT_TransportEnergyCons!$B$3:$B$1000)*1,ISNUMBER(SEARCH("ELC",[1]OUT_TransportEnergyCons!$C$3:$C$1000))*1,[1]OUT_TransportEnergyCons!O$3:O$1000)</f>
        <v>0.3403924462529983</v>
      </c>
      <c r="S1146" s="3"/>
    </row>
    <row r="1147" spans="2:19" x14ac:dyDescent="0.5">
      <c r="B1147" s="5" t="str">
        <f t="shared" ref="B1147:B1151" si="1360">B1146</f>
        <v>SPS1</v>
      </c>
      <c r="C1147" s="5" t="str">
        <f t="shared" ref="C1147:C1151" si="1361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7.3491963176389386E-5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1.3409479354087016E-4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2.7390054747684022E-4</v>
      </c>
      <c r="J1147" s="1" cm="1">
        <f t="array" ref="J1147">SUMPRODUCT(("T-Plg-elc-dsl_S1"=[1]OUT_TransportEnergyCons!$A$3:$A$1000)*1,("Var_Fin"=[1]OUT_TransportEnergyCons!$B$3:$B$1000)*1,ISNUMBER(SEARCH("ELC",[1]OUT_TransportEnergyCons!$C$3:$C$1000))*1,[1]OUT_TransportEnergyCons!H$3:H$1000)</f>
        <v>4.7051175680405536E-4</v>
      </c>
      <c r="K1147" s="1" cm="1">
        <f t="array" ref="K1147">SUMPRODUCT(("T-Plg-elc-dsl_S1"=[1]OUT_TransportEnergyCons!$A$3:$A$1000)*1,("Var_Fin"=[1]OUT_TransportEnergyCons!$B$3:$B$1000)*1,ISNUMBER(SEARCH("ELC",[1]OUT_TransportEnergyCons!$C$3:$C$1000))*1,[1]OUT_TransportEnergyCons!I$3:I$1000)</f>
        <v>1.0540888522235657E-3</v>
      </c>
      <c r="L1147" s="1" cm="1">
        <f t="array" ref="L1147">SUMPRODUCT(("T-Plg-elc-dsl_S1"=[1]OUT_TransportEnergyCons!$A$3:$A$1000)*1,("Var_Fin"=[1]OUT_TransportEnergyCons!$B$3:$B$1000)*1,ISNUMBER(SEARCH("ELC",[1]OUT_TransportEnergyCons!$C$3:$C$1000))*1,[1]OUT_TransportEnergyCons!J$3:J$1000)</f>
        <v>1.4003602743499334E-3</v>
      </c>
      <c r="M1147" s="1" cm="1">
        <f t="array" ref="M1147">SUMPRODUCT(("T-Plg-elc-dsl_S1"=[1]OUT_TransportEnergyCons!$A$3:$A$1000)*1,("Var_Fin"=[1]OUT_TransportEnergyCons!$B$3:$B$1000)*1,ISNUMBER(SEARCH("ELC",[1]OUT_TransportEnergyCons!$C$3:$C$1000))*1,[1]OUT_TransportEnergyCons!K$3:K$1000)</f>
        <v>2.9485702613967317E-3</v>
      </c>
      <c r="N1147" s="1" cm="1">
        <f t="array" ref="N1147">SUMPRODUCT(("T-Plg-elc-dsl_S1"=[1]OUT_TransportEnergyCons!$A$3:$A$1000)*1,("Var_Fin"=[1]OUT_TransportEnergyCons!$B$3:$B$1000)*1,ISNUMBER(SEARCH("ELC",[1]OUT_TransportEnergyCons!$C$3:$C$1000))*1,[1]OUT_TransportEnergyCons!L$3:L$1000)</f>
        <v>2.1949265181393173E-3</v>
      </c>
      <c r="O1147" s="1" cm="1">
        <f t="array" ref="O1147">SUMPRODUCT(("T-Plg-elc-dsl_S1"=[1]OUT_TransportEnergyCons!$A$3:$A$1000)*1,("Var_Fin"=[1]OUT_TransportEnergyCons!$B$3:$B$1000)*1,ISNUMBER(SEARCH("ELC",[1]OUT_TransportEnergyCons!$C$3:$C$1000))*1,[1]OUT_TransportEnergyCons!M$3:M$1000)</f>
        <v>7.669179499428853E-4</v>
      </c>
      <c r="P1147" s="1" cm="1">
        <f t="array" ref="P1147">SUMPRODUCT(("T-Plg-elc-dsl_S1"=[1]OUT_TransportEnergyCons!$A$3:$A$1000)*1,("Var_Fin"=[1]OUT_TransportEnergyCons!$B$3:$B$1000)*1,ISNUMBER(SEARCH("ELC",[1]OUT_TransportEnergyCons!$C$3:$C$1000))*1,[1]OUT_TransportEnergyCons!N$3:N$1000)</f>
        <v>3.0214956432850589E-4</v>
      </c>
      <c r="Q1147" s="1" cm="1">
        <f t="array" ref="Q1147">SUMPRODUCT(("T-Plg-elc-dsl_S1"=[1]OUT_TransportEnergyCons!$A$3:$A$1000)*1,("Var_Fin"=[1]OUT_TransportEnergyCons!$B$3:$B$1000)*1,ISNUMBER(SEARCH("ELC",[1]OUT_TransportEnergyCons!$C$3:$C$1000))*1,[1]OUT_TransportEnergyCons!O$3:O$1000)</f>
        <v>1.4230946686654225E-4</v>
      </c>
      <c r="S1147" s="3"/>
    </row>
    <row r="1148" spans="2:19" x14ac:dyDescent="0.5">
      <c r="B1148" s="5" t="str">
        <f t="shared" si="1360"/>
        <v>SPS1</v>
      </c>
      <c r="C1148" s="5" t="str">
        <f t="shared" si="1361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0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1.0240887718838375E-4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6.0788771338192557E-4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1.1680930745173474E-3</v>
      </c>
      <c r="J1148" s="1" cm="1">
        <f t="array" ref="J1148">SUMPRODUCT(("T-Plg-elc-dsl_S2"=[1]OUT_TransportEnergyCons!$A$3:$A$1000)*1,("Var_Fin"=[1]OUT_TransportEnergyCons!$B$3:$B$1000)*1,ISNUMBER(SEARCH("ELC",[1]OUT_TransportEnergyCons!$C$3:$C$1000))*1,[1]OUT_TransportEnergyCons!H$3:H$1000)</f>
        <v>3.8507256558235462E-3</v>
      </c>
      <c r="K1148" s="1" cm="1">
        <f t="array" ref="K1148">SUMPRODUCT(("T-Plg-elc-dsl_S2"=[1]OUT_TransportEnergyCons!$A$3:$A$1000)*1,("Var_Fin"=[1]OUT_TransportEnergyCons!$B$3:$B$1000)*1,ISNUMBER(SEARCH("ELC",[1]OUT_TransportEnergyCons!$C$3:$C$1000))*1,[1]OUT_TransportEnergyCons!I$3:I$1000)</f>
        <v>6.5709261286942128E-3</v>
      </c>
      <c r="L1148" s="1" cm="1">
        <f t="array" ref="L1148">SUMPRODUCT(("T-Plg-elc-dsl_S2"=[1]OUT_TransportEnergyCons!$A$3:$A$1000)*1,("Var_Fin"=[1]OUT_TransportEnergyCons!$B$3:$B$1000)*1,ISNUMBER(SEARCH("ELC",[1]OUT_TransportEnergyCons!$C$3:$C$1000))*1,[1]OUT_TransportEnergyCons!J$3:J$1000)</f>
        <v>8.1898564258463501E-3</v>
      </c>
      <c r="M1148" s="1" cm="1">
        <f t="array" ref="M1148">SUMPRODUCT(("T-Plg-elc-dsl_S2"=[1]OUT_TransportEnergyCons!$A$3:$A$1000)*1,("Var_Fin"=[1]OUT_TransportEnergyCons!$B$3:$B$1000)*1,ISNUMBER(SEARCH("ELC",[1]OUT_TransportEnergyCons!$C$3:$C$1000))*1,[1]OUT_TransportEnergyCons!K$3:K$1000)</f>
        <v>1.0854538442090904E-2</v>
      </c>
      <c r="N1148" s="1" cm="1">
        <f t="array" ref="N1148">SUMPRODUCT(("T-Plg-elc-dsl_S2"=[1]OUT_TransportEnergyCons!$A$3:$A$1000)*1,("Var_Fin"=[1]OUT_TransportEnergyCons!$B$3:$B$1000)*1,ISNUMBER(SEARCH("ELC",[1]OUT_TransportEnergyCons!$C$3:$C$1000))*1,[1]OUT_TransportEnergyCons!L$3:L$1000)</f>
        <v>7.0698501474340831E-3</v>
      </c>
      <c r="O1148" s="1" cm="1">
        <f t="array" ref="O1148">SUMPRODUCT(("T-Plg-elc-dsl_S2"=[1]OUT_TransportEnergyCons!$A$3:$A$1000)*1,("Var_Fin"=[1]OUT_TransportEnergyCons!$B$3:$B$1000)*1,ISNUMBER(SEARCH("ELC",[1]OUT_TransportEnergyCons!$C$3:$C$1000))*1,[1]OUT_TransportEnergyCons!M$3:M$1000)</f>
        <v>3.5578359483793278E-3</v>
      </c>
      <c r="P1148" s="1" cm="1">
        <f t="array" ref="P1148">SUMPRODUCT(("T-Plg-elc-dsl_S2"=[1]OUT_TransportEnergyCons!$A$3:$A$1000)*1,("Var_Fin"=[1]OUT_TransportEnergyCons!$B$3:$B$1000)*1,ISNUMBER(SEARCH("ELC",[1]OUT_TransportEnergyCons!$C$3:$C$1000))*1,[1]OUT_TransportEnergyCons!N$3:N$1000)</f>
        <v>8.7569740233443545E-4</v>
      </c>
      <c r="Q1148" s="1" cm="1">
        <f t="array" ref="Q1148">SUMPRODUCT(("T-Plg-elc-dsl_S2"=[1]OUT_TransportEnergyCons!$A$3:$A$1000)*1,("Var_Fin"=[1]OUT_TransportEnergyCons!$B$3:$B$1000)*1,ISNUMBER(SEARCH("ELC",[1]OUT_TransportEnergyCons!$C$3:$C$1000))*1,[1]OUT_TransportEnergyCons!O$3:O$1000)</f>
        <v>2.7136437626540497E-4</v>
      </c>
      <c r="S1148" s="3"/>
    </row>
    <row r="1149" spans="2:19" x14ac:dyDescent="0.5">
      <c r="B1149" s="5" t="str">
        <f t="shared" si="1360"/>
        <v>SPS1</v>
      </c>
      <c r="C1149" s="5" t="str">
        <f t="shared" si="1361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1.6015312789431006E-3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0.20724862565132168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1.1787244660414988</v>
      </c>
      <c r="J1149" s="1" cm="1">
        <f t="array" ref="J1149">SUMPRODUCT(("T-Plg-elc-dsl_S3"=[1]OUT_TransportEnergyCons!$A$3:$A$1000)*1,("Var_Fin"=[1]OUT_TransportEnergyCons!$B$3:$B$1000)*1,ISNUMBER(SEARCH("ELC",[1]OUT_TransportEnergyCons!$C$3:$C$1000))*1,[1]OUT_TransportEnergyCons!H$3:H$1000)</f>
        <v>2.2398790739706746</v>
      </c>
      <c r="K1149" s="1" cm="1">
        <f t="array" ref="K1149">SUMPRODUCT(("T-Plg-elc-dsl_S3"=[1]OUT_TransportEnergyCons!$A$3:$A$1000)*1,("Var_Fin"=[1]OUT_TransportEnergyCons!$B$3:$B$1000)*1,ISNUMBER(SEARCH("ELC",[1]OUT_TransportEnergyCons!$C$3:$C$1000))*1,[1]OUT_TransportEnergyCons!I$3:I$1000)</f>
        <v>1.6971895756872339</v>
      </c>
      <c r="L1149" s="1" cm="1">
        <f t="array" ref="L1149">SUMPRODUCT(("T-Plg-elc-dsl_S3"=[1]OUT_TransportEnergyCons!$A$3:$A$1000)*1,("Var_Fin"=[1]OUT_TransportEnergyCons!$B$3:$B$1000)*1,ISNUMBER(SEARCH("ELC",[1]OUT_TransportEnergyCons!$C$3:$C$1000))*1,[1]OUT_TransportEnergyCons!J$3:J$1000)</f>
        <v>1.5834876323573617</v>
      </c>
      <c r="M1149" s="1" cm="1">
        <f t="array" ref="M1149">SUMPRODUCT(("T-Plg-elc-dsl_S3"=[1]OUT_TransportEnergyCons!$A$3:$A$1000)*1,("Var_Fin"=[1]OUT_TransportEnergyCons!$B$3:$B$1000)*1,ISNUMBER(SEARCH("ELC",[1]OUT_TransportEnergyCons!$C$3:$C$1000))*1,[1]OUT_TransportEnergyCons!K$3:K$1000)</f>
        <v>1.7297895770827847</v>
      </c>
      <c r="N1149" s="1" cm="1">
        <f t="array" ref="N1149">SUMPRODUCT(("T-Plg-elc-dsl_S3"=[1]OUT_TransportEnergyCons!$A$3:$A$1000)*1,("Var_Fin"=[1]OUT_TransportEnergyCons!$B$3:$B$1000)*1,ISNUMBER(SEARCH("ELC",[1]OUT_TransportEnergyCons!$C$3:$C$1000))*1,[1]OUT_TransportEnergyCons!L$3:L$1000)</f>
        <v>0.96802540139824911</v>
      </c>
      <c r="O1149" s="1" cm="1">
        <f t="array" ref="O1149">SUMPRODUCT(("T-Plg-elc-dsl_S3"=[1]OUT_TransportEnergyCons!$A$3:$A$1000)*1,("Var_Fin"=[1]OUT_TransportEnergyCons!$B$3:$B$1000)*1,ISNUMBER(SEARCH("ELC",[1]OUT_TransportEnergyCons!$C$3:$C$1000))*1,[1]OUT_TransportEnergyCons!M$3:M$1000)</f>
        <v>0.47460639869008231</v>
      </c>
      <c r="P1149" s="1" cm="1">
        <f t="array" ref="P1149">SUMPRODUCT(("T-Plg-elc-dsl_S3"=[1]OUT_TransportEnergyCons!$A$3:$A$1000)*1,("Var_Fin"=[1]OUT_TransportEnergyCons!$B$3:$B$1000)*1,ISNUMBER(SEARCH("ELC",[1]OUT_TransportEnergyCons!$C$3:$C$1000))*1,[1]OUT_TransportEnergyCons!N$3:N$1000)</f>
        <v>6.6412421802638844E-2</v>
      </c>
      <c r="Q1149" s="1" cm="1">
        <f t="array" ref="Q1149">SUMPRODUCT(("T-Plg-elc-dsl_S3"=[1]OUT_TransportEnergyCons!$A$3:$A$1000)*1,("Var_Fin"=[1]OUT_TransportEnergyCons!$B$3:$B$1000)*1,ISNUMBER(SEARCH("ELC",[1]OUT_TransportEnergyCons!$C$3:$C$1000))*1,[1]OUT_TransportEnergyCons!O$3:O$1000)</f>
        <v>3.488720321135641E-4</v>
      </c>
      <c r="S1149" s="3"/>
    </row>
    <row r="1150" spans="2:19" x14ac:dyDescent="0.5">
      <c r="B1150" s="5" t="str">
        <f t="shared" si="1360"/>
        <v>SPS1</v>
      </c>
      <c r="C1150" s="5" t="str">
        <f t="shared" si="1361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2.9255807467086433E-4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1.3258921960022639E-3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2.3623460383138208E-3</v>
      </c>
      <c r="J1150" s="1" cm="1">
        <f t="array" ref="J1150">SUMPRODUCT(("T-Plg-elc-dsl_S4"=[1]OUT_TransportEnergyCons!$A$3:$A$1000)*1,("Var_Fin"=[1]OUT_TransportEnergyCons!$B$3:$B$1000)*1,ISNUMBER(SEARCH("ELC",[1]OUT_TransportEnergyCons!$C$3:$C$1000))*1,[1]OUT_TransportEnergyCons!H$3:H$1000)</f>
        <v>0.43748182526263474</v>
      </c>
      <c r="K1150" s="1" cm="1">
        <f t="array" ref="K1150">SUMPRODUCT(("T-Plg-elc-dsl_S4"=[1]OUT_TransportEnergyCons!$A$3:$A$1000)*1,("Var_Fin"=[1]OUT_TransportEnergyCons!$B$3:$B$1000)*1,ISNUMBER(SEARCH("ELC",[1]OUT_TransportEnergyCons!$C$3:$C$1000))*1,[1]OUT_TransportEnergyCons!I$3:I$1000)</f>
        <v>1.1306288061345302</v>
      </c>
      <c r="L1150" s="1" cm="1">
        <f t="array" ref="L1150">SUMPRODUCT(("T-Plg-elc-dsl_S4"=[1]OUT_TransportEnergyCons!$A$3:$A$1000)*1,("Var_Fin"=[1]OUT_TransportEnergyCons!$B$3:$B$1000)*1,ISNUMBER(SEARCH("ELC",[1]OUT_TransportEnergyCons!$C$3:$C$1000))*1,[1]OUT_TransportEnergyCons!J$3:J$1000)</f>
        <v>1.633189101403157</v>
      </c>
      <c r="M1150" s="1" cm="1">
        <f t="array" ref="M1150">SUMPRODUCT(("T-Plg-elc-dsl_S4"=[1]OUT_TransportEnergyCons!$A$3:$A$1000)*1,("Var_Fin"=[1]OUT_TransportEnergyCons!$B$3:$B$1000)*1,ISNUMBER(SEARCH("ELC",[1]OUT_TransportEnergyCons!$C$3:$C$1000))*1,[1]OUT_TransportEnergyCons!K$3:K$1000)</f>
        <v>1.5469939334637377</v>
      </c>
      <c r="N1150" s="1" cm="1">
        <f t="array" ref="N1150">SUMPRODUCT(("T-Plg-elc-dsl_S4"=[1]OUT_TransportEnergyCons!$A$3:$A$1000)*1,("Var_Fin"=[1]OUT_TransportEnergyCons!$B$3:$B$1000)*1,ISNUMBER(SEARCH("ELC",[1]OUT_TransportEnergyCons!$C$3:$C$1000))*1,[1]OUT_TransportEnergyCons!L$3:L$1000)</f>
        <v>1.4628558822154276</v>
      </c>
      <c r="O1150" s="1" cm="1">
        <f t="array" ref="O1150">SUMPRODUCT(("T-Plg-elc-dsl_S4"=[1]OUT_TransportEnergyCons!$A$3:$A$1000)*1,("Var_Fin"=[1]OUT_TransportEnergyCons!$B$3:$B$1000)*1,ISNUMBER(SEARCH("ELC",[1]OUT_TransportEnergyCons!$C$3:$C$1000))*1,[1]OUT_TransportEnergyCons!M$3:M$1000)</f>
        <v>1.7912505371701071</v>
      </c>
      <c r="P1150" s="1" cm="1">
        <f t="array" ref="P1150">SUMPRODUCT(("T-Plg-elc-dsl_S4"=[1]OUT_TransportEnergyCons!$A$3:$A$1000)*1,("Var_Fin"=[1]OUT_TransportEnergyCons!$B$3:$B$1000)*1,ISNUMBER(SEARCH("ELC",[1]OUT_TransportEnergyCons!$C$3:$C$1000))*1,[1]OUT_TransportEnergyCons!N$3:N$1000)</f>
        <v>2.2872549697364408</v>
      </c>
      <c r="Q1150" s="1" cm="1">
        <f t="array" ref="Q1150">SUMPRODUCT(("T-Plg-elc-dsl_S4"=[1]OUT_TransportEnergyCons!$A$3:$A$1000)*1,("Var_Fin"=[1]OUT_TransportEnergyCons!$B$3:$B$1000)*1,ISNUMBER(SEARCH("ELC",[1]OUT_TransportEnergyCons!$C$3:$C$1000))*1,[1]OUT_TransportEnergyCons!O$3:O$1000)</f>
        <v>2.2281480267634577</v>
      </c>
      <c r="S1150" s="3"/>
    </row>
    <row r="1151" spans="2:19" x14ac:dyDescent="0.5">
      <c r="B1151" s="5" t="str">
        <f t="shared" si="1360"/>
        <v>SPS1</v>
      </c>
      <c r="C1151" s="5" t="str">
        <f t="shared" si="1361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1.1296071450952923</v>
      </c>
      <c r="J1151" s="1">
        <f>[1]Transport!F$32</f>
        <v>1.012199747825979</v>
      </c>
      <c r="K1151" s="1">
        <f>[1]Transport!G$32</f>
        <v>1.0637793599928682</v>
      </c>
      <c r="L1151" s="1">
        <f>[1]Transport!H$32</f>
        <v>0.68733942807067516</v>
      </c>
      <c r="M1151" s="1">
        <f>[1]Transport!I$32</f>
        <v>1.6043189786750141</v>
      </c>
      <c r="N1151" s="1">
        <f>[1]Transport!J$32</f>
        <v>2.5516954802975054</v>
      </c>
      <c r="O1151" s="1">
        <f>[1]Transport!K$32</f>
        <v>2.9003206880950767</v>
      </c>
      <c r="P1151" s="1">
        <f>[1]Transport!L$32</f>
        <v>2.7026228899477225</v>
      </c>
      <c r="Q1151" s="1">
        <f>[1]Transport!M$32</f>
        <v>2.8880692448704406</v>
      </c>
      <c r="S1151" s="3"/>
    </row>
    <row r="1152" spans="2:19" x14ac:dyDescent="0.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9.0677029919629631E-4</v>
      </c>
      <c r="G1152" s="1">
        <f t="shared" ref="G1152:K1152" si="1362">SUM(G1153:G1156)</f>
        <v>2.1891833060280435E-3</v>
      </c>
      <c r="H1152" s="1">
        <f t="shared" si="1362"/>
        <v>2.1225910414626853E-3</v>
      </c>
      <c r="I1152" s="1">
        <f t="shared" si="1362"/>
        <v>1.2837717069992492E-4</v>
      </c>
      <c r="J1152" s="1">
        <f t="shared" si="1362"/>
        <v>1.0660015706477058E-4</v>
      </c>
      <c r="K1152" s="1">
        <f t="shared" si="1362"/>
        <v>8.0386279995085981E-5</v>
      </c>
      <c r="L1152" s="1">
        <f t="shared" ref="L1152:O1152" si="1363">SUM(L1153:L1156)</f>
        <v>8.183109229085799E-5</v>
      </c>
      <c r="M1152" s="1">
        <f t="shared" si="1363"/>
        <v>8.409861874402766E-5</v>
      </c>
      <c r="N1152" s="1">
        <f t="shared" si="1363"/>
        <v>6.9975394785377952E-5</v>
      </c>
      <c r="O1152" s="1">
        <f t="shared" si="1363"/>
        <v>6.9123505592891848E-5</v>
      </c>
      <c r="P1152" s="1">
        <f>SUM(P1153:P1156)</f>
        <v>6.2680691314188095E-5</v>
      </c>
      <c r="Q1152" s="1">
        <f>SUM(Q1153:Q1156)</f>
        <v>2.2039778193386699E-4</v>
      </c>
      <c r="S1152" s="3"/>
    </row>
    <row r="1153" spans="2:19" x14ac:dyDescent="0.5">
      <c r="B1153" s="5" t="str">
        <f t="shared" si="1358"/>
        <v>SPS1</v>
      </c>
      <c r="C1153" s="5" t="str">
        <f t="shared" si="1359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6.731625475021626E-5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8.7139213832359812E-5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1.1490408049346706E-5</v>
      </c>
      <c r="J1153" s="1" cm="1">
        <f t="array" ref="J1153">SUMPRODUCT(("T_C-FC-H2O-S1"=[1]OUT_TransportEnergyCons!$A$3:$A$1000)*1,("Var_Fin"=[1]OUT_TransportEnergyCons!$B$3:$B$1000)*1,ISNUMBER(SEARCH("H2",[1]OUT_TransportEnergyCons!$C$3:$C$1000))*1,[1]OUT_TransportEnergyCons!H$3:H$1000)</f>
        <v>1.4325532989849137E-5</v>
      </c>
      <c r="K1153" s="1" cm="1">
        <f t="array" ref="K1153">SUMPRODUCT(("T_C-FC-H2O-S1"=[1]OUT_TransportEnergyCons!$A$3:$A$1000)*1,("Var_Fin"=[1]OUT_TransportEnergyCons!$B$3:$B$1000)*1,ISNUMBER(SEARCH("H2",[1]OUT_TransportEnergyCons!$C$3:$C$1000))*1,[1]OUT_TransportEnergyCons!I$3:I$1000)</f>
        <v>1.4325170682485036E-5</v>
      </c>
      <c r="L1153" s="1" cm="1">
        <f t="array" ref="L1153">SUMPRODUCT(("T_C-FC-H2O-S1"=[1]OUT_TransportEnergyCons!$A$3:$A$1000)*1,("Var_Fin"=[1]OUT_TransportEnergyCons!$B$3:$B$1000)*1,ISNUMBER(SEARCH("H2",[1]OUT_TransportEnergyCons!$C$3:$C$1000))*1,[1]OUT_TransportEnergyCons!J$3:J$1000)</f>
        <v>1.3202201857935049E-5</v>
      </c>
      <c r="M1153" s="1" cm="1">
        <f t="array" ref="M1153">SUMPRODUCT(("T_C-FC-H2O-S1"=[1]OUT_TransportEnergyCons!$A$3:$A$1000)*1,("Var_Fin"=[1]OUT_TransportEnergyCons!$B$3:$B$1000)*1,ISNUMBER(SEARCH("H2",[1]OUT_TransportEnergyCons!$C$3:$C$1000))*1,[1]OUT_TransportEnergyCons!K$3:K$1000)</f>
        <v>1.2872509475736218E-5</v>
      </c>
      <c r="N1153" s="1" cm="1">
        <f t="array" ref="N1153">SUMPRODUCT(("T_C-FC-H2O-S1"=[1]OUT_TransportEnergyCons!$A$3:$A$1000)*1,("Var_Fin"=[1]OUT_TransportEnergyCons!$B$3:$B$1000)*1,ISNUMBER(SEARCH("H2",[1]OUT_TransportEnergyCons!$C$3:$C$1000))*1,[1]OUT_TransportEnergyCons!L$3:L$1000)</f>
        <v>1.0047332106556974E-5</v>
      </c>
      <c r="O1153" s="1" cm="1">
        <f t="array" ref="O1153">SUMPRODUCT(("T_C-FC-H2O-S1"=[1]OUT_TransportEnergyCons!$A$3:$A$1000)*1,("Var_Fin"=[1]OUT_TransportEnergyCons!$B$3:$B$1000)*1,ISNUMBER(SEARCH("H2",[1]OUT_TransportEnergyCons!$C$3:$C$1000))*1,[1]OUT_TransportEnergyCons!M$3:M$1000)</f>
        <v>8.5928063758417645E-6</v>
      </c>
      <c r="P1153" s="1" cm="1">
        <f t="array" ref="P1153">SUMPRODUCT(("T_C-FC-H2O-S1"=[1]OUT_TransportEnergyCons!$A$3:$A$1000)*1,("Var_Fin"=[1]OUT_TransportEnergyCons!$B$3:$B$1000)*1,ISNUMBER(SEARCH("H2",[1]OUT_TransportEnergyCons!$C$3:$C$1000))*1,[1]OUT_TransportEnergyCons!N$3:N$1000)</f>
        <v>5.0218069681045245E-6</v>
      </c>
      <c r="Q1153" s="1" cm="1">
        <f t="array" ref="Q1153">SUMPRODUCT(("T_C-FC-H2O-S1"=[1]OUT_TransportEnergyCons!$A$3:$A$1000)*1,("Var_Fin"=[1]OUT_TransportEnergyCons!$B$3:$B$1000)*1,ISNUMBER(SEARCH("H2",[1]OUT_TransportEnergyCons!$C$3:$C$1000))*1,[1]OUT_TransportEnergyCons!O$3:O$1000)</f>
        <v>2.9638470244490292E-5</v>
      </c>
      <c r="S1153" s="3"/>
    </row>
    <row r="1154" spans="2:19" x14ac:dyDescent="0.5">
      <c r="B1154" s="5" t="str">
        <f t="shared" si="1358"/>
        <v>SPS1</v>
      </c>
      <c r="C1154" s="5" t="str">
        <f t="shared" si="1359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9.1701516999813764E-5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1.5643251014686141E-4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1.8050295698061731E-4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3.3814305388471576E-5</v>
      </c>
      <c r="J1154" s="1" cm="1">
        <f t="array" ref="J1154">SUMPRODUCT(("T_C-FC-H2O-S2"=[1]OUT_TransportEnergyCons!$A$3:$A$1000)*1,("Var_Fin"=[1]OUT_TransportEnergyCons!$B$3:$B$1000)*1,ISNUMBER(SEARCH("H2",[1]OUT_TransportEnergyCons!$C$3:$C$1000))*1,[1]OUT_TransportEnergyCons!H$3:H$1000)</f>
        <v>2.7124558275554522E-5</v>
      </c>
      <c r="K1154" s="1" cm="1">
        <f t="array" ref="K1154">SUMPRODUCT(("T_C-FC-H2O-S2"=[1]OUT_TransportEnergyCons!$A$3:$A$1000)*1,("Var_Fin"=[1]OUT_TransportEnergyCons!$B$3:$B$1000)*1,ISNUMBER(SEARCH("H2",[1]OUT_TransportEnergyCons!$C$3:$C$1000))*1,[1]OUT_TransportEnergyCons!I$3:I$1000)</f>
        <v>2.1237485290234877E-5</v>
      </c>
      <c r="L1154" s="1" cm="1">
        <f t="array" ref="L1154">SUMPRODUCT(("T_C-FC-H2O-S2"=[1]OUT_TransportEnergyCons!$A$3:$A$1000)*1,("Var_Fin"=[1]OUT_TransportEnergyCons!$B$3:$B$1000)*1,ISNUMBER(SEARCH("H2",[1]OUT_TransportEnergyCons!$C$3:$C$1000))*1,[1]OUT_TransportEnergyCons!J$3:J$1000)</f>
        <v>2.1738061226587108E-5</v>
      </c>
      <c r="M1154" s="1" cm="1">
        <f t="array" ref="M1154">SUMPRODUCT(("T_C-FC-H2O-S2"=[1]OUT_TransportEnergyCons!$A$3:$A$1000)*1,("Var_Fin"=[1]OUT_TransportEnergyCons!$B$3:$B$1000)*1,ISNUMBER(SEARCH("H2",[1]OUT_TransportEnergyCons!$C$3:$C$1000))*1,[1]OUT_TransportEnergyCons!K$3:K$1000)</f>
        <v>2.2475563269116761E-5</v>
      </c>
      <c r="N1154" s="1" cm="1">
        <f t="array" ref="N1154">SUMPRODUCT(("T_C-FC-H2O-S2"=[1]OUT_TransportEnergyCons!$A$3:$A$1000)*1,("Var_Fin"=[1]OUT_TransportEnergyCons!$B$3:$B$1000)*1,ISNUMBER(SEARCH("H2",[1]OUT_TransportEnergyCons!$C$3:$C$1000))*1,[1]OUT_TransportEnergyCons!L$3:L$1000)</f>
        <v>1.8446969138063961E-5</v>
      </c>
      <c r="O1154" s="1" cm="1">
        <f t="array" ref="O1154">SUMPRODUCT(("T_C-FC-H2O-S2"=[1]OUT_TransportEnergyCons!$A$3:$A$1000)*1,("Var_Fin"=[1]OUT_TransportEnergyCons!$B$3:$B$1000)*1,ISNUMBER(SEARCH("H2",[1]OUT_TransportEnergyCons!$C$3:$C$1000))*1,[1]OUT_TransportEnergyCons!M$3:M$1000)</f>
        <v>1.8664083507672449E-5</v>
      </c>
      <c r="P1154" s="1" cm="1">
        <f t="array" ref="P1154">SUMPRODUCT(("T_C-FC-H2O-S2"=[1]OUT_TransportEnergyCons!$A$3:$A$1000)*1,("Var_Fin"=[1]OUT_TransportEnergyCons!$B$3:$B$1000)*1,ISNUMBER(SEARCH("H2",[1]OUT_TransportEnergyCons!$C$3:$C$1000))*1,[1]OUT_TransportEnergyCons!N$3:N$1000)</f>
        <v>1.6603823508760004E-5</v>
      </c>
      <c r="Q1154" s="1" cm="1">
        <f t="array" ref="Q1154">SUMPRODUCT(("T_C-FC-H2O-S2"=[1]OUT_TransportEnergyCons!$A$3:$A$1000)*1,("Var_Fin"=[1]OUT_TransportEnergyCons!$B$3:$B$1000)*1,ISNUMBER(SEARCH("H2",[1]OUT_TransportEnergyCons!$C$3:$C$1000))*1,[1]OUT_TransportEnergyCons!O$3:O$1000)</f>
        <v>5.8566109585048678E-5</v>
      </c>
      <c r="S1154" s="3"/>
    </row>
    <row r="1155" spans="2:19" x14ac:dyDescent="0.5">
      <c r="B1155" s="5" t="str">
        <f t="shared" si="1358"/>
        <v>SPS1</v>
      </c>
      <c r="C1155" s="5" t="str">
        <f t="shared" si="1359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8.1506878219648256E-4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1.8914191715887838E-3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1.7577292224230387E-3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5.6929946077704842E-5</v>
      </c>
      <c r="J1155" s="1" cm="1">
        <f t="array" ref="J1155">SUMPRODUCT(("T_C-FC-H2O-S3"=[1]OUT_TransportEnergyCons!$A$3:$A$1000)*1,("Var_Fin"=[1]OUT_TransportEnergyCons!$B$3:$B$1000)*1,ISNUMBER(SEARCH("H2",[1]OUT_TransportEnergyCons!$C$3:$C$1000))*1,[1]OUT_TransportEnergyCons!H$3:H$1000)</f>
        <v>3.7837047298459105E-5</v>
      </c>
      <c r="K1155" s="1" cm="1">
        <f t="array" ref="K1155">SUMPRODUCT(("T_C-FC-H2O-S3"=[1]OUT_TransportEnergyCons!$A$3:$A$1000)*1,("Var_Fin"=[1]OUT_TransportEnergyCons!$B$3:$B$1000)*1,ISNUMBER(SEARCH("H2",[1]OUT_TransportEnergyCons!$C$3:$C$1000))*1,[1]OUT_TransportEnergyCons!I$3:I$1000)</f>
        <v>2.2879917399528332E-5</v>
      </c>
      <c r="L1155" s="1" cm="1">
        <f t="array" ref="L1155">SUMPRODUCT(("T_C-FC-H2O-S3"=[1]OUT_TransportEnergyCons!$A$3:$A$1000)*1,("Var_Fin"=[1]OUT_TransportEnergyCons!$B$3:$B$1000)*1,ISNUMBER(SEARCH("H2",[1]OUT_TransportEnergyCons!$C$3:$C$1000))*1,[1]OUT_TransportEnergyCons!J$3:J$1000)</f>
        <v>2.3728286217617966E-5</v>
      </c>
      <c r="M1155" s="1" cm="1">
        <f t="array" ref="M1155">SUMPRODUCT(("T_C-FC-H2O-S3"=[1]OUT_TransportEnergyCons!$A$3:$A$1000)*1,("Var_Fin"=[1]OUT_TransportEnergyCons!$B$3:$B$1000)*1,ISNUMBER(SEARCH("H2",[1]OUT_TransportEnergyCons!$C$3:$C$1000))*1,[1]OUT_TransportEnergyCons!K$3:K$1000)</f>
        <v>2.5074414982931069E-5</v>
      </c>
      <c r="N1155" s="1" cm="1">
        <f t="array" ref="N1155">SUMPRODUCT(("T_C-FC-H2O-S3"=[1]OUT_TransportEnergyCons!$A$3:$A$1000)*1,("Var_Fin"=[1]OUT_TransportEnergyCons!$B$3:$B$1000)*1,ISNUMBER(SEARCH("H2",[1]OUT_TransportEnergyCons!$C$3:$C$1000))*1,[1]OUT_TransportEnergyCons!L$3:L$1000)</f>
        <v>2.2144446270800719E-5</v>
      </c>
      <c r="O1155" s="1" cm="1">
        <f t="array" ref="O1155">SUMPRODUCT(("T_C-FC-H2O-S3"=[1]OUT_TransportEnergyCons!$A$3:$A$1000)*1,("Var_Fin"=[1]OUT_TransportEnergyCons!$B$3:$B$1000)*1,ISNUMBER(SEARCH("H2",[1]OUT_TransportEnergyCons!$C$3:$C$1000))*1,[1]OUT_TransportEnergyCons!M$3:M$1000)</f>
        <v>2.2844553835723031E-5</v>
      </c>
      <c r="P1155" s="1" cm="1">
        <f t="array" ref="P1155">SUMPRODUCT(("T_C-FC-H2O-S3"=[1]OUT_TransportEnergyCons!$A$3:$A$1000)*1,("Var_Fin"=[1]OUT_TransportEnergyCons!$B$3:$B$1000)*1,ISNUMBER(SEARCH("H2",[1]OUT_TransportEnergyCons!$C$3:$C$1000))*1,[1]OUT_TransportEnergyCons!N$3:N$1000)</f>
        <v>2.5213849110275287E-5</v>
      </c>
      <c r="Q1155" s="1" cm="1">
        <f t="array" ref="Q1155">SUMPRODUCT(("T_C-FC-H2O-S3"=[1]OUT_TransportEnergyCons!$A$3:$A$1000)*1,("Var_Fin"=[1]OUT_TransportEnergyCons!$B$3:$B$1000)*1,ISNUMBER(SEARCH("H2",[1]OUT_TransportEnergyCons!$C$3:$C$1000))*1,[1]OUT_TransportEnergyCons!O$3:O$1000)</f>
        <v>7.1955279077825639E-5</v>
      </c>
      <c r="S1155" s="3"/>
    </row>
    <row r="1156" spans="2:19" x14ac:dyDescent="0.5">
      <c r="B1156" s="5" t="str">
        <f t="shared" si="1358"/>
        <v>SPS1</v>
      </c>
      <c r="C1156" s="5" t="str">
        <f t="shared" si="1359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7.4015369542182271E-5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9.7219648226669193E-5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2.6142511184401793E-5</v>
      </c>
      <c r="J1156" s="1" cm="1">
        <f t="array" ref="J1156">SUMPRODUCT(("T_C-FC-H2O-S4"=[1]OUT_TransportEnergyCons!$A$3:$A$1000)*1,("Var_Fin"=[1]OUT_TransportEnergyCons!$B$3:$B$1000)*1,ISNUMBER(SEARCH("H2",[1]OUT_TransportEnergyCons!$C$3:$C$1000))*1,[1]OUT_TransportEnergyCons!H$3:H$1000)</f>
        <v>2.7313018500907814E-5</v>
      </c>
      <c r="K1156" s="1" cm="1">
        <f t="array" ref="K1156">SUMPRODUCT(("T_C-FC-H2O-S4"=[1]OUT_TransportEnergyCons!$A$3:$A$1000)*1,("Var_Fin"=[1]OUT_TransportEnergyCons!$B$3:$B$1000)*1,ISNUMBER(SEARCH("H2",[1]OUT_TransportEnergyCons!$C$3:$C$1000))*1,[1]OUT_TransportEnergyCons!I$3:I$1000)</f>
        <v>2.1943706622837727E-5</v>
      </c>
      <c r="L1156" s="1" cm="1">
        <f t="array" ref="L1156">SUMPRODUCT(("T_C-FC-H2O-S4"=[1]OUT_TransportEnergyCons!$A$3:$A$1000)*1,("Var_Fin"=[1]OUT_TransportEnergyCons!$B$3:$B$1000)*1,ISNUMBER(SEARCH("H2",[1]OUT_TransportEnergyCons!$C$3:$C$1000))*1,[1]OUT_TransportEnergyCons!J$3:J$1000)</f>
        <v>2.3162542988717872E-5</v>
      </c>
      <c r="M1156" s="1" cm="1">
        <f t="array" ref="M1156">SUMPRODUCT(("T_C-FC-H2O-S4"=[1]OUT_TransportEnergyCons!$A$3:$A$1000)*1,("Var_Fin"=[1]OUT_TransportEnergyCons!$B$3:$B$1000)*1,ISNUMBER(SEARCH("H2",[1]OUT_TransportEnergyCons!$C$3:$C$1000))*1,[1]OUT_TransportEnergyCons!K$3:K$1000)</f>
        <v>2.3676131016243612E-5</v>
      </c>
      <c r="N1156" s="1" cm="1">
        <f t="array" ref="N1156">SUMPRODUCT(("T_C-FC-H2O-S4"=[1]OUT_TransportEnergyCons!$A$3:$A$1000)*1,("Var_Fin"=[1]OUT_TransportEnergyCons!$B$3:$B$1000)*1,ISNUMBER(SEARCH("H2",[1]OUT_TransportEnergyCons!$C$3:$C$1000))*1,[1]OUT_TransportEnergyCons!L$3:L$1000)</f>
        <v>1.9336647269956294E-5</v>
      </c>
      <c r="O1156" s="1" cm="1">
        <f t="array" ref="O1156">SUMPRODUCT(("T_C-FC-H2O-S4"=[1]OUT_TransportEnergyCons!$A$3:$A$1000)*1,("Var_Fin"=[1]OUT_TransportEnergyCons!$B$3:$B$1000)*1,ISNUMBER(SEARCH("H2",[1]OUT_TransportEnergyCons!$C$3:$C$1000))*1,[1]OUT_TransportEnergyCons!M$3:M$1000)</f>
        <v>1.9022061873654605E-5</v>
      </c>
      <c r="P1156" s="1" cm="1">
        <f t="array" ref="P1156">SUMPRODUCT(("T_C-FC-H2O-S4"=[1]OUT_TransportEnergyCons!$A$3:$A$1000)*1,("Var_Fin"=[1]OUT_TransportEnergyCons!$B$3:$B$1000)*1,ISNUMBER(SEARCH("H2",[1]OUT_TransportEnergyCons!$C$3:$C$1000))*1,[1]OUT_TransportEnergyCons!N$3:N$1000)</f>
        <v>1.5841211727048288E-5</v>
      </c>
      <c r="Q1156" s="1" cm="1">
        <f t="array" ref="Q1156">SUMPRODUCT(("T_C-FC-H2O-S4"=[1]OUT_TransportEnergyCons!$A$3:$A$1000)*1,("Var_Fin"=[1]OUT_TransportEnergyCons!$B$3:$B$1000)*1,ISNUMBER(SEARCH("H2",[1]OUT_TransportEnergyCons!$C$3:$C$1000))*1,[1]OUT_TransportEnergyCons!O$3:O$1000)</f>
        <v>6.0237923026502378E-5</v>
      </c>
      <c r="S1156" s="3"/>
    </row>
    <row r="1157" spans="2:19" x14ac:dyDescent="0.5">
      <c r="B1157" s="5" t="str">
        <f t="shared" si="1358"/>
        <v>SPS1</v>
      </c>
      <c r="C1157" s="5" t="str">
        <f t="shared" si="1359"/>
        <v>CH</v>
      </c>
      <c r="D1157" t="s">
        <v>1257</v>
      </c>
      <c r="E1157" t="s">
        <v>8</v>
      </c>
      <c r="F1157" s="1">
        <f>SUM(F1162:F1179)</f>
        <v>77.953410995649378</v>
      </c>
      <c r="G1157" s="1">
        <f t="shared" ref="G1157:K1157" si="1364">SUM(G1162:G1179)</f>
        <v>74.885053821764131</v>
      </c>
      <c r="H1157" s="1">
        <f t="shared" si="1364"/>
        <v>78.493886961338589</v>
      </c>
      <c r="I1157" s="1">
        <f t="shared" si="1364"/>
        <v>56.174602739816926</v>
      </c>
      <c r="J1157" s="1">
        <f t="shared" si="1364"/>
        <v>41.067864490243984</v>
      </c>
      <c r="K1157" s="1">
        <f t="shared" si="1364"/>
        <v>36.195338146617253</v>
      </c>
      <c r="L1157" s="1">
        <f t="shared" ref="L1157:O1157" si="1365">SUM(L1162:L1179)</f>
        <v>31.437620292502597</v>
      </c>
      <c r="M1157" s="1">
        <f t="shared" si="1365"/>
        <v>27.553149380124118</v>
      </c>
      <c r="N1157" s="1">
        <f t="shared" si="1365"/>
        <v>25.00738339052041</v>
      </c>
      <c r="O1157" s="1">
        <f t="shared" si="1365"/>
        <v>22.54243198245727</v>
      </c>
      <c r="P1157" s="1">
        <f>SUM(P1162:P1179)</f>
        <v>20.673216179708625</v>
      </c>
      <c r="Q1157" s="1">
        <f>SUM(Q1162:Q1179)</f>
        <v>19.708707896906855</v>
      </c>
      <c r="S1157" s="3"/>
    </row>
    <row r="1158" spans="2:19" x14ac:dyDescent="0.5">
      <c r="B1158" s="5" t="str">
        <f>B1157</f>
        <v>SPS1</v>
      </c>
      <c r="C1158" s="5" t="str">
        <f t="shared" si="1359"/>
        <v>CH</v>
      </c>
      <c r="D1158" t="s">
        <v>1258</v>
      </c>
      <c r="E1158" t="str">
        <f>E1157</f>
        <v>PJ/yr.</v>
      </c>
      <c r="F1158" s="1">
        <f t="shared" ref="F1158:J1158" si="1366">IF(F1157-F1159&lt;0,0,F1157-F1159)</f>
        <v>73.686011423646107</v>
      </c>
      <c r="G1158" s="1">
        <f t="shared" si="1366"/>
        <v>70.785726188499567</v>
      </c>
      <c r="H1158" s="1">
        <f t="shared" si="1366"/>
        <v>74.196809191624723</v>
      </c>
      <c r="I1158" s="1">
        <f t="shared" si="1366"/>
        <v>52.472939154845008</v>
      </c>
      <c r="J1158" s="1">
        <f t="shared" si="1366"/>
        <v>38.574670465070071</v>
      </c>
      <c r="K1158" s="1">
        <f>IF(K1157-K1159&lt;0,0,K1157-K1159)</f>
        <v>34.212797299554708</v>
      </c>
      <c r="L1158" s="1">
        <f t="shared" ref="L1158:O1158" si="1367">IF(L1157-L1159&lt;0,0,L1157-L1159)</f>
        <v>29.71550350619777</v>
      </c>
      <c r="M1158" s="1">
        <f t="shared" si="1367"/>
        <v>26.042428432864163</v>
      </c>
      <c r="N1158" s="1">
        <f t="shared" si="1367"/>
        <v>23.637257355882646</v>
      </c>
      <c r="O1158" s="1">
        <f t="shared" si="1367"/>
        <v>21.306004532484298</v>
      </c>
      <c r="P1158" s="1">
        <f>IF(P1157-P1159&lt;0,0,P1157-P1159)</f>
        <v>19.539722282893315</v>
      </c>
      <c r="Q1158" s="1">
        <f>IF(Q1157-Q1159&lt;0,0,Q1157-Q1159)</f>
        <v>18.625559746046505</v>
      </c>
      <c r="S1158" s="3"/>
    </row>
    <row r="1159" spans="2:19" x14ac:dyDescent="0.5">
      <c r="B1159" s="5" t="str">
        <f t="shared" ref="B1159:B1161" si="1368">B1158</f>
        <v>SPS1</v>
      </c>
      <c r="C1159" s="5" t="str">
        <f t="shared" si="1359"/>
        <v>CH</v>
      </c>
      <c r="D1159" t="s">
        <v>1259</v>
      </c>
      <c r="E1159" t="str">
        <f>E1158</f>
        <v>PJ/yr.</v>
      </c>
      <c r="F1159" s="1">
        <f>SUM(F1160:F1161)</f>
        <v>4.267399572003268</v>
      </c>
      <c r="G1159" s="1">
        <f t="shared" ref="G1159" si="1369">SUM(G1160:G1161)</f>
        <v>4.0993276332645641</v>
      </c>
      <c r="H1159" s="1">
        <f t="shared" ref="H1159" si="1370">SUM(H1160:H1161)</f>
        <v>4.297077769713872</v>
      </c>
      <c r="I1159" s="1">
        <f t="shared" ref="I1159" si="1371">SUM(I1160:I1161)</f>
        <v>3.7016635849719202</v>
      </c>
      <c r="J1159" s="1">
        <f t="shared" ref="J1159" si="1372">SUM(J1160:J1161)</f>
        <v>2.4931940251739122</v>
      </c>
      <c r="K1159" s="1">
        <f t="shared" ref="K1159" si="1373">SUM(K1160:K1161)</f>
        <v>1.9825408470625447</v>
      </c>
      <c r="L1159" s="1">
        <f t="shared" ref="L1159:O1159" si="1374">SUM(L1160:L1161)</f>
        <v>1.7221167863048257</v>
      </c>
      <c r="M1159" s="1">
        <f t="shared" si="1374"/>
        <v>1.5107209472599552</v>
      </c>
      <c r="N1159" s="1">
        <f t="shared" si="1374"/>
        <v>1.3701260346377642</v>
      </c>
      <c r="O1159" s="1">
        <f t="shared" si="1374"/>
        <v>1.2364274499729717</v>
      </c>
      <c r="P1159" s="1">
        <f>SUM(P1160:P1161)</f>
        <v>1.1334938968153101</v>
      </c>
      <c r="Q1159" s="1">
        <f>SUM(Q1160:Q1161)</f>
        <v>1.0831481508603489</v>
      </c>
      <c r="S1159" s="3"/>
    </row>
    <row r="1160" spans="2:19" x14ac:dyDescent="0.5">
      <c r="B1160" s="5" t="str">
        <f t="shared" si="1368"/>
        <v>SPS1</v>
      </c>
      <c r="C1160" s="5" t="str">
        <f t="shared" si="1359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4.267399572003268</v>
      </c>
      <c r="G1160" s="1">
        <f>[1]Transport!C$25/SUM([1]Transport!C$21,[1]Transport!C$25)*G1157*(G$35+G$600)/(G$35+G$600+G$39)</f>
        <v>4.0993276332645641</v>
      </c>
      <c r="H1160" s="1">
        <f>[1]Transport!D$25/SUM([1]Transport!D$21,[1]Transport!D$25)*H1157*(H$35+H$600)/(H$35+H$600+H$39)</f>
        <v>4.297077769713872</v>
      </c>
      <c r="I1160" s="1">
        <f>[1]Transport!E$25/SUM([1]Transport!E$21,[1]Transport!E$25)*I1157*(I$35+I$600)/(I$35+I$600+I$39)</f>
        <v>3.7016635849719202</v>
      </c>
      <c r="J1160" s="1">
        <f>[1]Transport!F$25/SUM([1]Transport!F$21,[1]Transport!F$25)*J1157*(J$35+J$600)/(J$35+J$600+J$39)</f>
        <v>2.4931940251739122</v>
      </c>
      <c r="K1160" s="1">
        <f>[1]Transport!G$25/SUM([1]Transport!G$21,[1]Transport!G$25)*K1157*(K$35+K$600)/(K$35+K$600+K$39)</f>
        <v>1.9825408470625447</v>
      </c>
      <c r="L1160" s="1">
        <f>[1]Transport!H$25/SUM([1]Transport!H$21,[1]Transport!H$25)*L1157*(L$35+L$600)/(L$35+L$600+L$39)</f>
        <v>1.7221167863048257</v>
      </c>
      <c r="M1160" s="1">
        <f>[1]Transport!I$25/SUM([1]Transport!I$21,[1]Transport!I$25)*M1157*(M$35+M$600)/(M$35+M$600+M$39)</f>
        <v>1.5107209472599552</v>
      </c>
      <c r="N1160" s="1">
        <f>[1]Transport!J$25/SUM([1]Transport!J$21,[1]Transport!J$25)*N1157*(N$35+N$600)/(N$35+N$600+N$39)</f>
        <v>1.3701260346377642</v>
      </c>
      <c r="O1160" s="1">
        <f>[1]Transport!K$25/SUM([1]Transport!K$21,[1]Transport!K$25)*O1157*(O$35+O$600)/(O$35+O$600+O$39)</f>
        <v>1.2364274499729717</v>
      </c>
      <c r="P1160" s="1">
        <f>[1]Transport!L$25/SUM([1]Transport!L$21,[1]Transport!L$25)*P1157*(P$35+P$600)/(P$35+P$600+P$39)</f>
        <v>1.1334938968153101</v>
      </c>
      <c r="Q1160" s="1">
        <f>[1]Transport!M$25/SUM([1]Transport!M$21,[1]Transport!M$25)*Q1157*(Q$35+Q$600)/(Q$35+Q$600+Q$39)</f>
        <v>1.0831481508603489</v>
      </c>
      <c r="S1160" s="3"/>
    </row>
    <row r="1161" spans="2:19" x14ac:dyDescent="0.5">
      <c r="B1161" s="5" t="str">
        <f t="shared" si="1368"/>
        <v>SPS1</v>
      </c>
      <c r="C1161" s="5" t="str">
        <f t="shared" si="1359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(J$39+J$719)/([1]Transport!F$21+[1]Transport!F$25)*J1157</f>
        <v>0</v>
      </c>
      <c r="K1161" s="1">
        <f>(K$39+K$719)/([1]Transport!G$21+[1]Transport!G$25)*K1157</f>
        <v>0</v>
      </c>
      <c r="L1161" s="1">
        <f>(L$39+L$719)/([1]Transport!H$21+[1]Transport!H$25)*L1157</f>
        <v>0</v>
      </c>
      <c r="M1161" s="1">
        <f>(M$39+M$719)/([1]Transport!I$21+[1]Transport!I$25)*M1157</f>
        <v>0</v>
      </c>
      <c r="N1161" s="1">
        <f>(N$39+N$719)/([1]Transport!J$21+[1]Transport!J$25)*N1157</f>
        <v>0</v>
      </c>
      <c r="O1161" s="1">
        <f>(O$39+O$719)/([1]Transport!K$21+[1]Transport!K$25)*O1157</f>
        <v>0</v>
      </c>
      <c r="P1161" s="1">
        <f>(P$39+P$719)/([1]Transport!L$21+[1]Transport!L$25)*P1157</f>
        <v>0</v>
      </c>
      <c r="Q1161" s="1">
        <f>(Q$39+Q$719)/([1]Transport!M$21+[1]Transport!M$25)*Q1157</f>
        <v>0</v>
      </c>
      <c r="S1161" s="3"/>
    </row>
    <row r="1162" spans="2:19" x14ac:dyDescent="0.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1.2541207183777914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1.2428879048567003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0.92516723777208443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0.43896546269913228</v>
      </c>
      <c r="J1162" s="1" cm="1">
        <f t="array" ref="J1162">SUMPRODUCT(("T_C-HYBGSLEXT"=[1]OUT_TransportEnergyCons!$A$3:$A$1000)*1,("Var_Fin"=[1]OUT_TransportEnergyCons!$B$3:$B$1000)*1,ISNUMBER(SEARCH("GSL",[1]OUT_TransportEnergyCons!$C$3:$C$1000))*1,[1]OUT_TransportEnergyCons!H$3:H$1000)</f>
        <v>0</v>
      </c>
      <c r="K1162" s="1" cm="1">
        <f t="array" ref="K1162">SUMPRODUCT(("T_C-HYBGSLEXT"=[1]OUT_TransportEnergyCons!$A$3:$A$1000)*1,("Var_Fin"=[1]OUT_TransportEnergyCons!$B$3:$B$1000)*1,ISNUMBER(SEARCH("GSL",[1]OUT_TransportEnergyCons!$C$3:$C$1000))*1,[1]OUT_TransportEnergyCons!I$3:I$1000)</f>
        <v>0</v>
      </c>
      <c r="L1162" s="1" cm="1">
        <f t="array" ref="L1162">SUMPRODUCT(("T_C-HYBGSLEXT"=[1]OUT_TransportEnergyCons!$A$3:$A$1000)*1,("Var_Fin"=[1]OUT_TransportEnergyCons!$B$3:$B$1000)*1,ISNUMBER(SEARCH("GSL",[1]OUT_TransportEnergyCons!$C$3:$C$1000))*1,[1]OUT_TransportEnergyCons!J$3:J$1000)</f>
        <v>0</v>
      </c>
      <c r="M1162" s="1" cm="1">
        <f t="array" ref="M1162">SUMPRODUCT(("T_C-HYBGSLEXT"=[1]OUT_TransportEnergyCons!$A$3:$A$1000)*1,("Var_Fin"=[1]OUT_TransportEnergyCons!$B$3:$B$1000)*1,ISNUMBER(SEARCH("GSL",[1]OUT_TransportEnergyCons!$C$3:$C$1000))*1,[1]OUT_TransportEnergyCons!K$3:K$1000)</f>
        <v>0</v>
      </c>
      <c r="N1162" s="1" cm="1">
        <f t="array" ref="N1162">SUMPRODUCT(("T_C-HYBGSLEXT"=[1]OUT_TransportEnergyCons!$A$3:$A$1000)*1,("Var_Fin"=[1]OUT_TransportEnergyCons!$B$3:$B$1000)*1,ISNUMBER(SEARCH("GSL",[1]OUT_TransportEnergyCons!$C$3:$C$1000))*1,[1]OUT_TransportEnergyCons!L$3:L$1000)</f>
        <v>0</v>
      </c>
      <c r="O1162" s="1" cm="1">
        <f t="array" ref="O1162">SUMPRODUCT(("T_C-HYBGSLEXT"=[1]OUT_TransportEnergyCons!$A$3:$A$1000)*1,("Var_Fin"=[1]OUT_TransportEnergyCons!$B$3:$B$1000)*1,ISNUMBER(SEARCH("GSL",[1]OUT_TransportEnergyCons!$C$3:$C$1000))*1,[1]OUT_TransportEnergyCons!M$3:M$1000)</f>
        <v>0</v>
      </c>
      <c r="P1162" s="1" cm="1">
        <f t="array" ref="P1162">SUMPRODUCT(("T_C-HYBGSLEXT"=[1]OUT_TransportEnergyCons!$A$3:$A$1000)*1,("Var_Fin"=[1]OUT_TransportEnergyCons!$B$3:$B$1000)*1,ISNUMBER(SEARCH("GSL",[1]OUT_TransportEnergyCons!$C$3:$C$1000))*1,[1]OUT_TransportEnergyCons!N$3:N$1000)</f>
        <v>0</v>
      </c>
      <c r="Q1162" s="1" cm="1">
        <f t="array" ref="Q1162">SUMPRODUCT(("T_C-HYBGSLEXT"=[1]OUT_TransportEnergyCons!$A$3:$A$1000)*1,("Var_Fin"=[1]OUT_TransportEnergyCons!$B$3:$B$1000)*1,ISNUMBER(SEARCH("GSL",[1]OUT_TransportEnergyCons!$C$3:$C$1000))*1,[1]OUT_TransportEnergyCons!O$3:O$1000)</f>
        <v>0</v>
      </c>
      <c r="S1162" s="3"/>
    </row>
    <row r="1163" spans="2:19" x14ac:dyDescent="0.5">
      <c r="B1163" s="5" t="str">
        <f t="shared" si="1358"/>
        <v>SPS1</v>
      </c>
      <c r="C1163" s="5" t="str">
        <f t="shared" si="1359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4.5037884581153889E-2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5.4539303613482977E-2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3.9309473368320899E-2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3.1176082421399954E-2</v>
      </c>
      <c r="J1163" s="1" cm="1">
        <f t="array" ref="J1163">SUMPRODUCT(("T_C-HY-GSL-S1"=[1]OUT_TransportEnergyCons!$A$3:$A$1000)*1,("Var_Fin"=[1]OUT_TransportEnergyCons!$B$3:$B$1000)*1,ISNUMBER(SEARCH("GSL",[1]OUT_TransportEnergyCons!$C$3:$C$1000))*1,[1]OUT_TransportEnergyCons!H$3:H$1000)</f>
        <v>0.29192783311430703</v>
      </c>
      <c r="K1163" s="1" cm="1">
        <f t="array" ref="K1163">SUMPRODUCT(("T_C-HY-GSL-S1"=[1]OUT_TransportEnergyCons!$A$3:$A$1000)*1,("Var_Fin"=[1]OUT_TransportEnergyCons!$B$3:$B$1000)*1,ISNUMBER(SEARCH("GSL",[1]OUT_TransportEnergyCons!$C$3:$C$1000))*1,[1]OUT_TransportEnergyCons!I$3:I$1000)</f>
        <v>0.53287276181549503</v>
      </c>
      <c r="L1163" s="1" cm="1">
        <f t="array" ref="L1163">SUMPRODUCT(("T_C-HY-GSL-S1"=[1]OUT_TransportEnergyCons!$A$3:$A$1000)*1,("Var_Fin"=[1]OUT_TransportEnergyCons!$B$3:$B$1000)*1,ISNUMBER(SEARCH("GSL",[1]OUT_TransportEnergyCons!$C$3:$C$1000))*1,[1]OUT_TransportEnergyCons!J$3:J$1000)</f>
        <v>0.41520404929422461</v>
      </c>
      <c r="M1163" s="1" cm="1">
        <f t="array" ref="M1163">SUMPRODUCT(("T_C-HY-GSL-S1"=[1]OUT_TransportEnergyCons!$A$3:$A$1000)*1,("Var_Fin"=[1]OUT_TransportEnergyCons!$B$3:$B$1000)*1,ISNUMBER(SEARCH("GSL",[1]OUT_TransportEnergyCons!$C$3:$C$1000))*1,[1]OUT_TransportEnergyCons!K$3:K$1000)</f>
        <v>0.17044354173003728</v>
      </c>
      <c r="N1163" s="1" cm="1">
        <f t="array" ref="N1163">SUMPRODUCT(("T_C-HY-GSL-S1"=[1]OUT_TransportEnergyCons!$A$3:$A$1000)*1,("Var_Fin"=[1]OUT_TransportEnergyCons!$B$3:$B$1000)*1,ISNUMBER(SEARCH("GSL",[1]OUT_TransportEnergyCons!$C$3:$C$1000))*1,[1]OUT_TransportEnergyCons!L$3:L$1000)</f>
        <v>3.1607583502682828E-2</v>
      </c>
      <c r="O1163" s="1" cm="1">
        <f t="array" ref="O1163">SUMPRODUCT(("T_C-HY-GSL-S1"=[1]OUT_TransportEnergyCons!$A$3:$A$1000)*1,("Var_Fin"=[1]OUT_TransportEnergyCons!$B$3:$B$1000)*1,ISNUMBER(SEARCH("GSL",[1]OUT_TransportEnergyCons!$C$3:$C$1000))*1,[1]OUT_TransportEnergyCons!M$3:M$1000)</f>
        <v>0.13088808737850344</v>
      </c>
      <c r="P1163" s="1" cm="1">
        <f t="array" ref="P1163">SUMPRODUCT(("T_C-HY-GSL-S1"=[1]OUT_TransportEnergyCons!$A$3:$A$1000)*1,("Var_Fin"=[1]OUT_TransportEnergyCons!$B$3:$B$1000)*1,ISNUMBER(SEARCH("GSL",[1]OUT_TransportEnergyCons!$C$3:$C$1000))*1,[1]OUT_TransportEnergyCons!N$3:N$1000)</f>
        <v>0.44543522596364521</v>
      </c>
      <c r="Q1163" s="1" cm="1">
        <f t="array" ref="Q1163">SUMPRODUCT(("T_C-HY-GSL-S1"=[1]OUT_TransportEnergyCons!$A$3:$A$1000)*1,("Var_Fin"=[1]OUT_TransportEnergyCons!$B$3:$B$1000)*1,ISNUMBER(SEARCH("GSL",[1]OUT_TransportEnergyCons!$C$3:$C$1000))*1,[1]OUT_TransportEnergyCons!O$3:O$1000)</f>
        <v>0.59505255520571876</v>
      </c>
      <c r="S1163" s="3"/>
    </row>
    <row r="1164" spans="2:19" x14ac:dyDescent="0.5">
      <c r="B1164" s="5" t="str">
        <f t="shared" si="1358"/>
        <v>SPS1</v>
      </c>
      <c r="C1164" s="5" t="str">
        <f t="shared" si="1359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0.13961187771272807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0.20758902457192971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0.26087097798774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0.20999585762772566</v>
      </c>
      <c r="J1164" s="1" cm="1">
        <f t="array" ref="J1164">SUMPRODUCT(("T_C-HY-GSL-S2"=[1]OUT_TransportEnergyCons!$A$3:$A$1000)*1,("Var_Fin"=[1]OUT_TransportEnergyCons!$B$3:$B$1000)*1,ISNUMBER(SEARCH("GSL",[1]OUT_TransportEnergyCons!$C$3:$C$1000))*1,[1]OUT_TransportEnergyCons!H$3:H$1000)</f>
        <v>1.0534816651429526</v>
      </c>
      <c r="K1164" s="1" cm="1">
        <f t="array" ref="K1164">SUMPRODUCT(("T_C-HY-GSL-S2"=[1]OUT_TransportEnergyCons!$A$3:$A$1000)*1,("Var_Fin"=[1]OUT_TransportEnergyCons!$B$3:$B$1000)*1,ISNUMBER(SEARCH("GSL",[1]OUT_TransportEnergyCons!$C$3:$C$1000))*1,[1]OUT_TransportEnergyCons!I$3:I$1000)</f>
        <v>0.90287485109461241</v>
      </c>
      <c r="L1164" s="1" cm="1">
        <f t="array" ref="L1164">SUMPRODUCT(("T_C-HY-GSL-S2"=[1]OUT_TransportEnergyCons!$A$3:$A$1000)*1,("Var_Fin"=[1]OUT_TransportEnergyCons!$B$3:$B$1000)*1,ISNUMBER(SEARCH("GSL",[1]OUT_TransportEnergyCons!$C$3:$C$1000))*1,[1]OUT_TransportEnergyCons!J$3:J$1000)</f>
        <v>0.64090677374965699</v>
      </c>
      <c r="M1164" s="1" cm="1">
        <f t="array" ref="M1164">SUMPRODUCT(("T_C-HY-GSL-S2"=[1]OUT_TransportEnergyCons!$A$3:$A$1000)*1,("Var_Fin"=[1]OUT_TransportEnergyCons!$B$3:$B$1000)*1,ISNUMBER(SEARCH("GSL",[1]OUT_TransportEnergyCons!$C$3:$C$1000))*1,[1]OUT_TransportEnergyCons!K$3:K$1000)</f>
        <v>1.3174979290797298E-2</v>
      </c>
      <c r="N1164" s="1" cm="1">
        <f t="array" ref="N1164">SUMPRODUCT(("T_C-HY-GSL-S2"=[1]OUT_TransportEnergyCons!$A$3:$A$1000)*1,("Var_Fin"=[1]OUT_TransportEnergyCons!$B$3:$B$1000)*1,ISNUMBER(SEARCH("GSL",[1]OUT_TransportEnergyCons!$C$3:$C$1000))*1,[1]OUT_TransportEnergyCons!L$3:L$1000)</f>
        <v>8.5647437687753174E-3</v>
      </c>
      <c r="O1164" s="1" cm="1">
        <f t="array" ref="O1164">SUMPRODUCT(("T_C-HY-GSL-S2"=[1]OUT_TransportEnergyCons!$A$3:$A$1000)*1,("Var_Fin"=[1]OUT_TransportEnergyCons!$B$3:$B$1000)*1,ISNUMBER(SEARCH("GSL",[1]OUT_TransportEnergyCons!$C$3:$C$1000))*1,[1]OUT_TransportEnergyCons!M$3:M$1000)</f>
        <v>1.1428421518669704E-2</v>
      </c>
      <c r="P1164" s="1" cm="1">
        <f t="array" ref="P1164">SUMPRODUCT(("T_C-HY-GSL-S2"=[1]OUT_TransportEnergyCons!$A$3:$A$1000)*1,("Var_Fin"=[1]OUT_TransportEnergyCons!$B$3:$B$1000)*1,ISNUMBER(SEARCH("GSL",[1]OUT_TransportEnergyCons!$C$3:$C$1000))*1,[1]OUT_TransportEnergyCons!N$3:N$1000)</f>
        <v>1.565810195210933E-2</v>
      </c>
      <c r="Q1164" s="1" cm="1">
        <f t="array" ref="Q1164">SUMPRODUCT(("T_C-HY-GSL-S2"=[1]OUT_TransportEnergyCons!$A$3:$A$1000)*1,("Var_Fin"=[1]OUT_TransportEnergyCons!$B$3:$B$1000)*1,ISNUMBER(SEARCH("GSL",[1]OUT_TransportEnergyCons!$C$3:$C$1000))*1,[1]OUT_TransportEnergyCons!O$3:O$1000)</f>
        <v>1.5681318838787643E-2</v>
      </c>
      <c r="S1164" s="3"/>
    </row>
    <row r="1165" spans="2:19" x14ac:dyDescent="0.5">
      <c r="B1165" s="5" t="str">
        <f t="shared" si="1358"/>
        <v>SPS1</v>
      </c>
      <c r="C1165" s="5" t="str">
        <f t="shared" si="1359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0.10347466016746465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1.1184757854725955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1.0583731009698172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0.84719893060404694</v>
      </c>
      <c r="J1165" s="1" cm="1">
        <f t="array" ref="J1165">SUMPRODUCT(("T_C-HY-GSL-S3"=[1]OUT_TransportEnergyCons!$A$3:$A$1000)*1,("Var_Fin"=[1]OUT_TransportEnergyCons!$B$3:$B$1000)*1,ISNUMBER(SEARCH("GSL",[1]OUT_TransportEnergyCons!$C$3:$C$1000))*1,[1]OUT_TransportEnergyCons!H$3:H$1000)</f>
        <v>0.27057752188771317</v>
      </c>
      <c r="K1165" s="1" cm="1">
        <f t="array" ref="K1165">SUMPRODUCT(("T_C-HY-GSL-S3"=[1]OUT_TransportEnergyCons!$A$3:$A$1000)*1,("Var_Fin"=[1]OUT_TransportEnergyCons!$B$3:$B$1000)*1,ISNUMBER(SEARCH("GSL",[1]OUT_TransportEnergyCons!$C$3:$C$1000))*1,[1]OUT_TransportEnergyCons!I$3:I$1000)</f>
        <v>4.8360226501746604E-3</v>
      </c>
      <c r="L1165" s="1" cm="1">
        <f t="array" ref="L1165">SUMPRODUCT(("T_C-HY-GSL-S3"=[1]OUT_TransportEnergyCons!$A$3:$A$1000)*1,("Var_Fin"=[1]OUT_TransportEnergyCons!$B$3:$B$1000)*1,ISNUMBER(SEARCH("GSL",[1]OUT_TransportEnergyCons!$C$3:$C$1000))*1,[1]OUT_TransportEnergyCons!J$3:J$1000)</f>
        <v>5.2623640138919417E-3</v>
      </c>
      <c r="M1165" s="1" cm="1">
        <f t="array" ref="M1165">SUMPRODUCT(("T_C-HY-GSL-S3"=[1]OUT_TransportEnergyCons!$A$3:$A$1000)*1,("Var_Fin"=[1]OUT_TransportEnergyCons!$B$3:$B$1000)*1,ISNUMBER(SEARCH("GSL",[1]OUT_TransportEnergyCons!$C$3:$C$1000))*1,[1]OUT_TransportEnergyCons!K$3:K$1000)</f>
        <v>6.30057219887029E-3</v>
      </c>
      <c r="N1165" s="1" cm="1">
        <f t="array" ref="N1165">SUMPRODUCT(("T_C-HY-GSL-S3"=[1]OUT_TransportEnergyCons!$A$3:$A$1000)*1,("Var_Fin"=[1]OUT_TransportEnergyCons!$B$3:$B$1000)*1,ISNUMBER(SEARCH("GSL",[1]OUT_TransportEnergyCons!$C$3:$C$1000))*1,[1]OUT_TransportEnergyCons!L$3:L$1000)</f>
        <v>5.8283219690920506E-3</v>
      </c>
      <c r="O1165" s="1" cm="1">
        <f t="array" ref="O1165">SUMPRODUCT(("T_C-HY-GSL-S3"=[1]OUT_TransportEnergyCons!$A$3:$A$1000)*1,("Var_Fin"=[1]OUT_TransportEnergyCons!$B$3:$B$1000)*1,ISNUMBER(SEARCH("GSL",[1]OUT_TransportEnergyCons!$C$3:$C$1000))*1,[1]OUT_TransportEnergyCons!M$3:M$1000)</f>
        <v>6.4811126924059223E-3</v>
      </c>
      <c r="P1165" s="1" cm="1">
        <f t="array" ref="P1165">SUMPRODUCT(("T_C-HY-GSL-S3"=[1]OUT_TransportEnergyCons!$A$3:$A$1000)*1,("Var_Fin"=[1]OUT_TransportEnergyCons!$B$3:$B$1000)*1,ISNUMBER(SEARCH("GSL",[1]OUT_TransportEnergyCons!$C$3:$C$1000))*1,[1]OUT_TransportEnergyCons!N$3:N$1000)</f>
        <v>6.3774745538233727E-3</v>
      </c>
      <c r="Q1165" s="1" cm="1">
        <f t="array" ref="Q1165">SUMPRODUCT(("T_C-HY-GSL-S3"=[1]OUT_TransportEnergyCons!$A$3:$A$1000)*1,("Var_Fin"=[1]OUT_TransportEnergyCons!$B$3:$B$1000)*1,ISNUMBER(SEARCH("GSL",[1]OUT_TransportEnergyCons!$C$3:$C$1000))*1,[1]OUT_TransportEnergyCons!O$3:O$1000)</f>
        <v>5.7188339411641583E-3</v>
      </c>
      <c r="S1165" s="3"/>
    </row>
    <row r="1166" spans="2:19" x14ac:dyDescent="0.5">
      <c r="B1166" s="5" t="str">
        <f t="shared" si="1358"/>
        <v>SPS1</v>
      </c>
      <c r="C1166" s="5" t="str">
        <f t="shared" si="1359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9.0305873116559965E-2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0.13670236113929832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0.13140473425975011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0.11002114087530133</v>
      </c>
      <c r="J1166" s="1" cm="1">
        <f t="array" ref="J1166">SUMPRODUCT(("T_C-HY-GSL-S4"=[1]OUT_TransportEnergyCons!$A$3:$A$1000)*1,("Var_Fin"=[1]OUT_TransportEnergyCons!$B$3:$B$1000)*1,ISNUMBER(SEARCH("GSL",[1]OUT_TransportEnergyCons!$C$3:$C$1000))*1,[1]OUT_TransportEnergyCons!H$3:H$1000)</f>
        <v>2.1230042464703315E-2</v>
      </c>
      <c r="K1166" s="1" cm="1">
        <f t="array" ref="K1166">SUMPRODUCT(("T_C-HY-GSL-S4"=[1]OUT_TransportEnergyCons!$A$3:$A$1000)*1,("Var_Fin"=[1]OUT_TransportEnergyCons!$B$3:$B$1000)*1,ISNUMBER(SEARCH("GSL",[1]OUT_TransportEnergyCons!$C$3:$C$1000))*1,[1]OUT_TransportEnergyCons!I$3:I$1000)</f>
        <v>1.4438576478394572E-2</v>
      </c>
      <c r="L1166" s="1" cm="1">
        <f t="array" ref="L1166">SUMPRODUCT(("T_C-HY-GSL-S4"=[1]OUT_TransportEnergyCons!$A$3:$A$1000)*1,("Var_Fin"=[1]OUT_TransportEnergyCons!$B$3:$B$1000)*1,ISNUMBER(SEARCH("GSL",[1]OUT_TransportEnergyCons!$C$3:$C$1000))*1,[1]OUT_TransportEnergyCons!J$3:J$1000)</f>
        <v>1.8510114940207874E-2</v>
      </c>
      <c r="M1166" s="1" cm="1">
        <f t="array" ref="M1166">SUMPRODUCT(("T_C-HY-GSL-S4"=[1]OUT_TransportEnergyCons!$A$3:$A$1000)*1,("Var_Fin"=[1]OUT_TransportEnergyCons!$B$3:$B$1000)*1,ISNUMBER(SEARCH("GSL",[1]OUT_TransportEnergyCons!$C$3:$C$1000))*1,[1]OUT_TransportEnergyCons!K$3:K$1000)</f>
        <v>1.1218095724460713</v>
      </c>
      <c r="N1166" s="1" cm="1">
        <f t="array" ref="N1166">SUMPRODUCT(("T_C-HY-GSL-S4"=[1]OUT_TransportEnergyCons!$A$3:$A$1000)*1,("Var_Fin"=[1]OUT_TransportEnergyCons!$B$3:$B$1000)*1,ISNUMBER(SEARCH("GSL",[1]OUT_TransportEnergyCons!$C$3:$C$1000))*1,[1]OUT_TransportEnergyCons!L$3:L$1000)</f>
        <v>1.0571013138121597</v>
      </c>
      <c r="O1166" s="1" cm="1">
        <f t="array" ref="O1166">SUMPRODUCT(("T_C-HY-GSL-S4"=[1]OUT_TransportEnergyCons!$A$3:$A$1000)*1,("Var_Fin"=[1]OUT_TransportEnergyCons!$B$3:$B$1000)*1,ISNUMBER(SEARCH("GSL",[1]OUT_TransportEnergyCons!$C$3:$C$1000))*1,[1]OUT_TransportEnergyCons!M$3:M$1000)</f>
        <v>0.83545758653231961</v>
      </c>
      <c r="P1166" s="1" cm="1">
        <f t="array" ref="P1166">SUMPRODUCT(("T_C-HY-GSL-S4"=[1]OUT_TransportEnergyCons!$A$3:$A$1000)*1,("Var_Fin"=[1]OUT_TransportEnergyCons!$B$3:$B$1000)*1,ISNUMBER(SEARCH("GSL",[1]OUT_TransportEnergyCons!$C$3:$C$1000))*1,[1]OUT_TransportEnergyCons!N$3:N$1000)</f>
        <v>0.27231801209699813</v>
      </c>
      <c r="Q1166" s="1" cm="1">
        <f t="array" ref="Q1166">SUMPRODUCT(("T_C-HY-GSL-S4"=[1]OUT_TransportEnergyCons!$A$3:$A$1000)*1,("Var_Fin"=[1]OUT_TransportEnergyCons!$B$3:$B$1000)*1,ISNUMBER(SEARCH("GSL",[1]OUT_TransportEnergyCons!$C$3:$C$1000))*1,[1]OUT_TransportEnergyCons!O$3:O$1000)</f>
        <v>1.2255758055342724E-2</v>
      </c>
      <c r="S1166" s="3"/>
    </row>
    <row r="1167" spans="2:19" x14ac:dyDescent="0.5">
      <c r="B1167" s="5" t="str">
        <f t="shared" si="1358"/>
        <v>SPS1</v>
      </c>
      <c r="C1167" s="5" t="str">
        <f t="shared" si="1359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63.987659101918297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54.527449517550018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46.968290079474663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12.965541349878011</v>
      </c>
      <c r="J1167" s="1" cm="1">
        <f t="array" ref="J1167">SUMPRODUCT(("T_C-ICEGSLEXT"=[1]OUT_TransportEnergyCons!$A$3:$A$1000)*1,("Var_Fin"=[1]OUT_TransportEnergyCons!$B$3:$B$1000)*1,ISNUMBER(SEARCH("GSL",[1]OUT_TransportEnergyCons!$C$3:$C$1000))*1,[1]OUT_TransportEnergyCons!H$3:H$1000)</f>
        <v>0</v>
      </c>
      <c r="K1167" s="1" cm="1">
        <f t="array" ref="K1167">SUMPRODUCT(("T_C-ICEGSLEXT"=[1]OUT_TransportEnergyCons!$A$3:$A$1000)*1,("Var_Fin"=[1]OUT_TransportEnergyCons!$B$3:$B$1000)*1,ISNUMBER(SEARCH("GSL",[1]OUT_TransportEnergyCons!$C$3:$C$1000))*1,[1]OUT_TransportEnergyCons!I$3:I$1000)</f>
        <v>0</v>
      </c>
      <c r="L1167" s="1" cm="1">
        <f t="array" ref="L1167">SUMPRODUCT(("T_C-ICEGSLEXT"=[1]OUT_TransportEnergyCons!$A$3:$A$1000)*1,("Var_Fin"=[1]OUT_TransportEnergyCons!$B$3:$B$1000)*1,ISNUMBER(SEARCH("GSL",[1]OUT_TransportEnergyCons!$C$3:$C$1000))*1,[1]OUT_TransportEnergyCons!J$3:J$1000)</f>
        <v>0</v>
      </c>
      <c r="M1167" s="1" cm="1">
        <f t="array" ref="M1167">SUMPRODUCT(("T_C-ICEGSLEXT"=[1]OUT_TransportEnergyCons!$A$3:$A$1000)*1,("Var_Fin"=[1]OUT_TransportEnergyCons!$B$3:$B$1000)*1,ISNUMBER(SEARCH("GSL",[1]OUT_TransportEnergyCons!$C$3:$C$1000))*1,[1]OUT_TransportEnergyCons!K$3:K$1000)</f>
        <v>0</v>
      </c>
      <c r="N1167" s="1" cm="1">
        <f t="array" ref="N1167">SUMPRODUCT(("T_C-ICEGSLEXT"=[1]OUT_TransportEnergyCons!$A$3:$A$1000)*1,("Var_Fin"=[1]OUT_TransportEnergyCons!$B$3:$B$1000)*1,ISNUMBER(SEARCH("GSL",[1]OUT_TransportEnergyCons!$C$3:$C$1000))*1,[1]OUT_TransportEnergyCons!L$3:L$1000)</f>
        <v>0</v>
      </c>
      <c r="O1167" s="1" cm="1">
        <f t="array" ref="O1167">SUMPRODUCT(("T_C-ICEGSLEXT"=[1]OUT_TransportEnergyCons!$A$3:$A$1000)*1,("Var_Fin"=[1]OUT_TransportEnergyCons!$B$3:$B$1000)*1,ISNUMBER(SEARCH("GSL",[1]OUT_TransportEnergyCons!$C$3:$C$1000))*1,[1]OUT_TransportEnergyCons!M$3:M$1000)</f>
        <v>0</v>
      </c>
      <c r="P1167" s="1" cm="1">
        <f t="array" ref="P1167">SUMPRODUCT(("T_C-ICEGSLEXT"=[1]OUT_TransportEnergyCons!$A$3:$A$1000)*1,("Var_Fin"=[1]OUT_TransportEnergyCons!$B$3:$B$1000)*1,ISNUMBER(SEARCH("GSL",[1]OUT_TransportEnergyCons!$C$3:$C$1000))*1,[1]OUT_TransportEnergyCons!N$3:N$1000)</f>
        <v>0</v>
      </c>
      <c r="Q1167" s="1" cm="1">
        <f t="array" ref="Q1167">SUMPRODUCT(("T_C-ICEGSLEXT"=[1]OUT_TransportEnergyCons!$A$3:$A$1000)*1,("Var_Fin"=[1]OUT_TransportEnergyCons!$B$3:$B$1000)*1,ISNUMBER(SEARCH("GSL",[1]OUT_TransportEnergyCons!$C$3:$C$1000))*1,[1]OUT_TransportEnergyCons!O$3:O$1000)</f>
        <v>0</v>
      </c>
      <c r="S1167" s="3"/>
    </row>
    <row r="1168" spans="2:19" x14ac:dyDescent="0.5">
      <c r="B1168" s="5" t="str">
        <f t="shared" si="1358"/>
        <v>SPS1</v>
      </c>
      <c r="C1168" s="5" t="str">
        <f t="shared" si="1359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0.49492416791296362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0.55158973420150648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0.38666739442009018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0.29675919244177817</v>
      </c>
      <c r="J1168" s="1" cm="1">
        <f t="array" ref="J1168">SUMPRODUCT(("T_C-ICE-GSL-S1"=[1]OUT_TransportEnergyCons!$A$3:$A$1000)*1,("Var_Fin"=[1]OUT_TransportEnergyCons!$B$3:$B$1000)*1,ISNUMBER(SEARCH("GSL",[1]OUT_TransportEnergyCons!$C$3:$C$1000))*1,[1]OUT_TransportEnergyCons!H$3:H$1000)</f>
        <v>2.2493312120969333E-2</v>
      </c>
      <c r="K1168" s="1" cm="1">
        <f t="array" ref="K1168">SUMPRODUCT(("T_C-ICE-GSL-S1"=[1]OUT_TransportEnergyCons!$A$3:$A$1000)*1,("Var_Fin"=[1]OUT_TransportEnergyCons!$B$3:$B$1000)*1,ISNUMBER(SEARCH("GSL",[1]OUT_TransportEnergyCons!$C$3:$C$1000))*1,[1]OUT_TransportEnergyCons!I$3:I$1000)</f>
        <v>6.8279265400484016E-3</v>
      </c>
      <c r="L1168" s="1" cm="1">
        <f t="array" ref="L1168">SUMPRODUCT(("T_C-ICE-GSL-S1"=[1]OUT_TransportEnergyCons!$A$3:$A$1000)*1,("Var_Fin"=[1]OUT_TransportEnergyCons!$B$3:$B$1000)*1,ISNUMBER(SEARCH("GSL",[1]OUT_TransportEnergyCons!$C$3:$C$1000))*1,[1]OUT_TransportEnergyCons!J$3:J$1000)</f>
        <v>4.3609449572540714E-3</v>
      </c>
      <c r="M1168" s="1" cm="1">
        <f t="array" ref="M1168">SUMPRODUCT(("T_C-ICE-GSL-S1"=[1]OUT_TransportEnergyCons!$A$3:$A$1000)*1,("Var_Fin"=[1]OUT_TransportEnergyCons!$B$3:$B$1000)*1,ISNUMBER(SEARCH("GSL",[1]OUT_TransportEnergyCons!$C$3:$C$1000))*1,[1]OUT_TransportEnergyCons!K$3:K$1000)</f>
        <v>2.8607148311033904E-3</v>
      </c>
      <c r="N1168" s="1" cm="1">
        <f t="array" ref="N1168">SUMPRODUCT(("T_C-ICE-GSL-S1"=[1]OUT_TransportEnergyCons!$A$3:$A$1000)*1,("Var_Fin"=[1]OUT_TransportEnergyCons!$B$3:$B$1000)*1,ISNUMBER(SEARCH("GSL",[1]OUT_TransportEnergyCons!$C$3:$C$1000))*1,[1]OUT_TransportEnergyCons!L$3:L$1000)</f>
        <v>1.6136523804243317E-3</v>
      </c>
      <c r="O1168" s="1" cm="1">
        <f t="array" ref="O1168">SUMPRODUCT(("T_C-ICE-GSL-S1"=[1]OUT_TransportEnergyCons!$A$3:$A$1000)*1,("Var_Fin"=[1]OUT_TransportEnergyCons!$B$3:$B$1000)*1,ISNUMBER(SEARCH("GSL",[1]OUT_TransportEnergyCons!$C$3:$C$1000))*1,[1]OUT_TransportEnergyCons!M$3:M$1000)</f>
        <v>1.5125895092982246E-3</v>
      </c>
      <c r="P1168" s="1" cm="1">
        <f t="array" ref="P1168">SUMPRODUCT(("T_C-ICE-GSL-S1"=[1]OUT_TransportEnergyCons!$A$3:$A$1000)*1,("Var_Fin"=[1]OUT_TransportEnergyCons!$B$3:$B$1000)*1,ISNUMBER(SEARCH("GSL",[1]OUT_TransportEnergyCons!$C$3:$C$1000))*1,[1]OUT_TransportEnergyCons!N$3:N$1000)</f>
        <v>1.6598923387393172E-3</v>
      </c>
      <c r="Q1168" s="1" cm="1">
        <f t="array" ref="Q1168">SUMPRODUCT(("T_C-ICE-GSL-S1"=[1]OUT_TransportEnergyCons!$A$3:$A$1000)*1,("Var_Fin"=[1]OUT_TransportEnergyCons!$B$3:$B$1000)*1,ISNUMBER(SEARCH("GSL",[1]OUT_TransportEnergyCons!$C$3:$C$1000))*1,[1]OUT_TransportEnergyCons!O$3:O$1000)</f>
        <v>2.1330197761449416E-3</v>
      </c>
      <c r="S1168" s="3"/>
    </row>
    <row r="1169" spans="2:19" x14ac:dyDescent="0.5">
      <c r="B1169" s="5" t="str">
        <f t="shared" si="1358"/>
        <v>SPS1</v>
      </c>
      <c r="C1169" s="5" t="str">
        <f t="shared" si="1359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3.7661979457170491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5.3082719646648391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5.2929230967049294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4.151585913860397</v>
      </c>
      <c r="J1169" s="1" cm="1">
        <f t="array" ref="J1169">SUMPRODUCT(("T_C-ICE-GSL-S2"=[1]OUT_TransportEnergyCons!$A$3:$A$1000)*1,("Var_Fin"=[1]OUT_TransportEnergyCons!$B$3:$B$1000)*1,ISNUMBER(SEARCH("GSL",[1]OUT_TransportEnergyCons!$C$3:$C$1000))*1,[1]OUT_TransportEnergyCons!H$3:H$1000)</f>
        <v>0.21247235475066611</v>
      </c>
      <c r="K1169" s="1" cm="1">
        <f t="array" ref="K1169">SUMPRODUCT(("T_C-ICE-GSL-S2"=[1]OUT_TransportEnergyCons!$A$3:$A$1000)*1,("Var_Fin"=[1]OUT_TransportEnergyCons!$B$3:$B$1000)*1,ISNUMBER(SEARCH("GSL",[1]OUT_TransportEnergyCons!$C$3:$C$1000))*1,[1]OUT_TransportEnergyCons!I$3:I$1000)</f>
        <v>3.0529368394556108E-2</v>
      </c>
      <c r="L1169" s="1" cm="1">
        <f t="array" ref="L1169">SUMPRODUCT(("T_C-ICE-GSL-S2"=[1]OUT_TransportEnergyCons!$A$3:$A$1000)*1,("Var_Fin"=[1]OUT_TransportEnergyCons!$B$3:$B$1000)*1,ISNUMBER(SEARCH("GSL",[1]OUT_TransportEnergyCons!$C$3:$C$1000))*1,[1]OUT_TransportEnergyCons!J$3:J$1000)</f>
        <v>1.3738523860948303E-2</v>
      </c>
      <c r="M1169" s="1" cm="1">
        <f t="array" ref="M1169">SUMPRODUCT(("T_C-ICE-GSL-S2"=[1]OUT_TransportEnergyCons!$A$3:$A$1000)*1,("Var_Fin"=[1]OUT_TransportEnergyCons!$B$3:$B$1000)*1,ISNUMBER(SEARCH("GSL",[1]OUT_TransportEnergyCons!$C$3:$C$1000))*1,[1]OUT_TransportEnergyCons!K$3:K$1000)</f>
        <v>7.1565451374012408E-3</v>
      </c>
      <c r="N1169" s="1" cm="1">
        <f t="array" ref="N1169">SUMPRODUCT(("T_C-ICE-GSL-S2"=[1]OUT_TransportEnergyCons!$A$3:$A$1000)*1,("Var_Fin"=[1]OUT_TransportEnergyCons!$B$3:$B$1000)*1,ISNUMBER(SEARCH("GSL",[1]OUT_TransportEnergyCons!$C$3:$C$1000))*1,[1]OUT_TransportEnergyCons!L$3:L$1000)</f>
        <v>3.9578801688137698E-3</v>
      </c>
      <c r="O1169" s="1" cm="1">
        <f t="array" ref="O1169">SUMPRODUCT(("T_C-ICE-GSL-S2"=[1]OUT_TransportEnergyCons!$A$3:$A$1000)*1,("Var_Fin"=[1]OUT_TransportEnergyCons!$B$3:$B$1000)*1,ISNUMBER(SEARCH("GSL",[1]OUT_TransportEnergyCons!$C$3:$C$1000))*1,[1]OUT_TransportEnergyCons!M$3:M$1000)</f>
        <v>3.7850619419558936E-3</v>
      </c>
      <c r="P1169" s="1" cm="1">
        <f t="array" ref="P1169">SUMPRODUCT(("T_C-ICE-GSL-S2"=[1]OUT_TransportEnergyCons!$A$3:$A$1000)*1,("Var_Fin"=[1]OUT_TransportEnergyCons!$B$3:$B$1000)*1,ISNUMBER(SEARCH("GSL",[1]OUT_TransportEnergyCons!$C$3:$C$1000))*1,[1]OUT_TransportEnergyCons!N$3:N$1000)</f>
        <v>4.2239241107155422E-3</v>
      </c>
      <c r="Q1169" s="1" cm="1">
        <f t="array" ref="Q1169">SUMPRODUCT(("T_C-ICE-GSL-S2"=[1]OUT_TransportEnergyCons!$A$3:$A$1000)*1,("Var_Fin"=[1]OUT_TransportEnergyCons!$B$3:$B$1000)*1,ISNUMBER(SEARCH("GSL",[1]OUT_TransportEnergyCons!$C$3:$C$1000))*1,[1]OUT_TransportEnergyCons!O$3:O$1000)</f>
        <v>5.2212073531902083E-3</v>
      </c>
      <c r="S1169" s="3"/>
    </row>
    <row r="1170" spans="2:19" x14ac:dyDescent="0.5">
      <c r="B1170" s="5" t="str">
        <f t="shared" si="1358"/>
        <v>SPS1</v>
      </c>
      <c r="C1170" s="5" t="str">
        <f t="shared" si="1359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3.7998756927127451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5.7434811843263187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7.524649426268839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6.2949176550645465</v>
      </c>
      <c r="J1170" s="1" cm="1">
        <f t="array" ref="J1170">SUMPRODUCT(("T_C-ICE-GSL-S3"=[1]OUT_TransportEnergyCons!$A$3:$A$1000)*1,("Var_Fin"=[1]OUT_TransportEnergyCons!$B$3:$B$1000)*1,ISNUMBER(SEARCH("GSL",[1]OUT_TransportEnergyCons!$C$3:$C$1000))*1,[1]OUT_TransportEnergyCons!H$3:H$1000)</f>
        <v>2.3047505065473586</v>
      </c>
      <c r="K1170" s="1" cm="1">
        <f t="array" ref="K1170">SUMPRODUCT(("T_C-ICE-GSL-S3"=[1]OUT_TransportEnergyCons!$A$3:$A$1000)*1,("Var_Fin"=[1]OUT_TransportEnergyCons!$B$3:$B$1000)*1,ISNUMBER(SEARCH("GSL",[1]OUT_TransportEnergyCons!$C$3:$C$1000))*1,[1]OUT_TransportEnergyCons!I$3:I$1000)</f>
        <v>0.9925063124460205</v>
      </c>
      <c r="L1170" s="1" cm="1">
        <f t="array" ref="L1170">SUMPRODUCT(("T_C-ICE-GSL-S3"=[1]OUT_TransportEnergyCons!$A$3:$A$1000)*1,("Var_Fin"=[1]OUT_TransportEnergyCons!$B$3:$B$1000)*1,ISNUMBER(SEARCH("GSL",[1]OUT_TransportEnergyCons!$C$3:$C$1000))*1,[1]OUT_TransportEnergyCons!J$3:J$1000)</f>
        <v>0.54859282586322344</v>
      </c>
      <c r="M1170" s="1" cm="1">
        <f t="array" ref="M1170">SUMPRODUCT(("T_C-ICE-GSL-S3"=[1]OUT_TransportEnergyCons!$A$3:$A$1000)*1,("Var_Fin"=[1]OUT_TransportEnergyCons!$B$3:$B$1000)*1,ISNUMBER(SEARCH("GSL",[1]OUT_TransportEnergyCons!$C$3:$C$1000))*1,[1]OUT_TransportEnergyCons!K$3:K$1000)</f>
        <v>3.6386740938702221E-2</v>
      </c>
      <c r="N1170" s="1" cm="1">
        <f t="array" ref="N1170">SUMPRODUCT(("T_C-ICE-GSL-S3"=[1]OUT_TransportEnergyCons!$A$3:$A$1000)*1,("Var_Fin"=[1]OUT_TransportEnergyCons!$B$3:$B$1000)*1,ISNUMBER(SEARCH("GSL",[1]OUT_TransportEnergyCons!$C$3:$C$1000))*1,[1]OUT_TransportEnergyCons!L$3:L$1000)</f>
        <v>9.3457179910911257E-3</v>
      </c>
      <c r="O1170" s="1" cm="1">
        <f t="array" ref="O1170">SUMPRODUCT(("T_C-ICE-GSL-S3"=[1]OUT_TransportEnergyCons!$A$3:$A$1000)*1,("Var_Fin"=[1]OUT_TransportEnergyCons!$B$3:$B$1000)*1,ISNUMBER(SEARCH("GSL",[1]OUT_TransportEnergyCons!$C$3:$C$1000))*1,[1]OUT_TransportEnergyCons!M$3:M$1000)</f>
        <v>6.739398634719021E-3</v>
      </c>
      <c r="P1170" s="1" cm="1">
        <f t="array" ref="P1170">SUMPRODUCT(("T_C-ICE-GSL-S3"=[1]OUT_TransportEnergyCons!$A$3:$A$1000)*1,("Var_Fin"=[1]OUT_TransportEnergyCons!$B$3:$B$1000)*1,ISNUMBER(SEARCH("GSL",[1]OUT_TransportEnergyCons!$C$3:$C$1000))*1,[1]OUT_TransportEnergyCons!N$3:N$1000)</f>
        <v>7.1119898156469736E-3</v>
      </c>
      <c r="Q1170" s="1" cm="1">
        <f t="array" ref="Q1170">SUMPRODUCT(("T_C-ICE-GSL-S3"=[1]OUT_TransportEnergyCons!$A$3:$A$1000)*1,("Var_Fin"=[1]OUT_TransportEnergyCons!$B$3:$B$1000)*1,ISNUMBER(SEARCH("GSL",[1]OUT_TransportEnergyCons!$C$3:$C$1000))*1,[1]OUT_TransportEnergyCons!O$3:O$1000)</f>
        <v>7.686295077229152E-3</v>
      </c>
      <c r="S1170" s="3"/>
    </row>
    <row r="1171" spans="2:19" x14ac:dyDescent="0.5">
      <c r="B1171" s="5" t="str">
        <f t="shared" si="1358"/>
        <v>SPS1</v>
      </c>
      <c r="C1171" s="5" t="str">
        <f t="shared" si="1359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3.9295308384497472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5.256526596563452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13.264377499673593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25.327716469865795</v>
      </c>
      <c r="J1171" s="1" cm="1">
        <f t="array" ref="J1171">SUMPRODUCT(("T_C-ICE-GSL-S4"=[1]OUT_TransportEnergyCons!$A$3:$A$1000)*1,("Var_Fin"=[1]OUT_TransportEnergyCons!$B$3:$B$1000)*1,ISNUMBER(SEARCH("GSL",[1]OUT_TransportEnergyCons!$C$3:$C$1000))*1,[1]OUT_TransportEnergyCons!H$3:H$1000)</f>
        <v>31.932653222041765</v>
      </c>
      <c r="K1171" s="1" cm="1">
        <f t="array" ref="K1171">SUMPRODUCT(("T_C-ICE-GSL-S4"=[1]OUT_TransportEnergyCons!$A$3:$A$1000)*1,("Var_Fin"=[1]OUT_TransportEnergyCons!$B$3:$B$1000)*1,ISNUMBER(SEARCH("GSL",[1]OUT_TransportEnergyCons!$C$3:$C$1000))*1,[1]OUT_TransportEnergyCons!I$3:I$1000)</f>
        <v>29.355494885613766</v>
      </c>
      <c r="L1171" s="1" cm="1">
        <f t="array" ref="L1171">SUMPRODUCT(("T_C-ICE-GSL-S4"=[1]OUT_TransportEnergyCons!$A$3:$A$1000)*1,("Var_Fin"=[1]OUT_TransportEnergyCons!$B$3:$B$1000)*1,ISNUMBER(SEARCH("GSL",[1]OUT_TransportEnergyCons!$C$3:$C$1000))*1,[1]OUT_TransportEnergyCons!J$3:J$1000)</f>
        <v>25.810029515547889</v>
      </c>
      <c r="M1171" s="1" cm="1">
        <f t="array" ref="M1171">SUMPRODUCT(("T_C-ICE-GSL-S4"=[1]OUT_TransportEnergyCons!$A$3:$A$1000)*1,("Var_Fin"=[1]OUT_TransportEnergyCons!$B$3:$B$1000)*1,ISNUMBER(SEARCH("GSL",[1]OUT_TransportEnergyCons!$C$3:$C$1000))*1,[1]OUT_TransportEnergyCons!K$3:K$1000)</f>
        <v>22.630998263454195</v>
      </c>
      <c r="N1171" s="1" cm="1">
        <f t="array" ref="N1171">SUMPRODUCT(("T_C-ICE-GSL-S4"=[1]OUT_TransportEnergyCons!$A$3:$A$1000)*1,("Var_Fin"=[1]OUT_TransportEnergyCons!$B$3:$B$1000)*1,ISNUMBER(SEARCH("GSL",[1]OUT_TransportEnergyCons!$C$3:$C$1000))*1,[1]OUT_TransportEnergyCons!L$3:L$1000)</f>
        <v>20.208428028327138</v>
      </c>
      <c r="O1171" s="1" cm="1">
        <f t="array" ref="O1171">SUMPRODUCT(("T_C-ICE-GSL-S4"=[1]OUT_TransportEnergyCons!$A$3:$A$1000)*1,("Var_Fin"=[1]OUT_TransportEnergyCons!$B$3:$B$1000)*1,ISNUMBER(SEARCH("GSL",[1]OUT_TransportEnergyCons!$C$3:$C$1000))*1,[1]OUT_TransportEnergyCons!M$3:M$1000)</f>
        <v>17.94560997409943</v>
      </c>
      <c r="P1171" s="1" cm="1">
        <f t="array" ref="P1171">SUMPRODUCT(("T_C-ICE-GSL-S4"=[1]OUT_TransportEnergyCons!$A$3:$A$1000)*1,("Var_Fin"=[1]OUT_TransportEnergyCons!$B$3:$B$1000)*1,ISNUMBER(SEARCH("GSL",[1]OUT_TransportEnergyCons!$C$3:$C$1000))*1,[1]OUT_TransportEnergyCons!N$3:N$1000)</f>
        <v>16.39295592373675</v>
      </c>
      <c r="Q1171" s="1" cm="1">
        <f t="array" ref="Q1171">SUMPRODUCT(("T_C-ICE-GSL-S4"=[1]OUT_TransportEnergyCons!$A$3:$A$1000)*1,("Var_Fin"=[1]OUT_TransportEnergyCons!$B$3:$B$1000)*1,ISNUMBER(SEARCH("GSL",[1]OUT_TransportEnergyCons!$C$3:$C$1000))*1,[1]OUT_TransportEnergyCons!O$3:O$1000)</f>
        <v>15.228603043933115</v>
      </c>
      <c r="S1171" s="3"/>
    </row>
    <row r="1172" spans="2:19" x14ac:dyDescent="0.5">
      <c r="B1172" s="5" t="str">
        <f t="shared" si="1358"/>
        <v>SPS1</v>
      </c>
      <c r="C1172" s="5" t="str">
        <f t="shared" si="1359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1.4405064746101724E-3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0.2041500407825905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0.20225658793189696</v>
      </c>
      <c r="J1172" s="1" cm="1">
        <f t="array" ref="J1172">SUMPRODUCT(("T_C-MHY-GSL-S1"=[1]OUT_TransportEnergyCons!$A$3:$A$1000)*1,("Var_Fin"=[1]OUT_TransportEnergyCons!$B$3:$B$1000)*1,ISNUMBER(SEARCH("GSL",[1]OUT_TransportEnergyCons!$C$3:$C$1000))*1,[1]OUT_TransportEnergyCons!H$3:H$1000)</f>
        <v>0.14776828733690475</v>
      </c>
      <c r="K1172" s="1" cm="1">
        <f t="array" ref="K1172">SUMPRODUCT(("T_C-MHY-GSL-S1"=[1]OUT_TransportEnergyCons!$A$3:$A$1000)*1,("Var_Fin"=[1]OUT_TransportEnergyCons!$B$3:$B$1000)*1,ISNUMBER(SEARCH("GSL",[1]OUT_TransportEnergyCons!$C$3:$C$1000))*1,[1]OUT_TransportEnergyCons!I$3:I$1000)</f>
        <v>3.4271513381449209E-2</v>
      </c>
      <c r="L1172" s="1" cm="1">
        <f t="array" ref="L1172">SUMPRODUCT(("T_C-MHY-GSL-S1"=[1]OUT_TransportEnergyCons!$A$3:$A$1000)*1,("Var_Fin"=[1]OUT_TransportEnergyCons!$B$3:$B$1000)*1,ISNUMBER(SEARCH("GSL",[1]OUT_TransportEnergyCons!$C$3:$C$1000))*1,[1]OUT_TransportEnergyCons!J$3:J$1000)</f>
        <v>2.9104139196571722E-3</v>
      </c>
      <c r="M1172" s="1" cm="1">
        <f t="array" ref="M1172">SUMPRODUCT(("T_C-MHY-GSL-S1"=[1]OUT_TransportEnergyCons!$A$3:$A$1000)*1,("Var_Fin"=[1]OUT_TransportEnergyCons!$B$3:$B$1000)*1,ISNUMBER(SEARCH("GSL",[1]OUT_TransportEnergyCons!$C$3:$C$1000))*1,[1]OUT_TransportEnergyCons!K$3:K$1000)</f>
        <v>2.2119963654667761E-3</v>
      </c>
      <c r="N1172" s="1" cm="1">
        <f t="array" ref="N1172">SUMPRODUCT(("T_C-MHY-GSL-S1"=[1]OUT_TransportEnergyCons!$A$3:$A$1000)*1,("Var_Fin"=[1]OUT_TransportEnergyCons!$B$3:$B$1000)*1,ISNUMBER(SEARCH("GSL",[1]OUT_TransportEnergyCons!$C$3:$C$1000))*1,[1]OUT_TransportEnergyCons!L$3:L$1000)</f>
        <v>1.6709071447511222E-3</v>
      </c>
      <c r="O1172" s="1" cm="1">
        <f t="array" ref="O1172">SUMPRODUCT(("T_C-MHY-GSL-S1"=[1]OUT_TransportEnergyCons!$A$3:$A$1000)*1,("Var_Fin"=[1]OUT_TransportEnergyCons!$B$3:$B$1000)*1,ISNUMBER(SEARCH("GSL",[1]OUT_TransportEnergyCons!$C$3:$C$1000))*1,[1]OUT_TransportEnergyCons!M$3:M$1000)</f>
        <v>2.4908869113414952E-3</v>
      </c>
      <c r="P1172" s="1" cm="1">
        <f t="array" ref="P1172">SUMPRODUCT(("T_C-MHY-GSL-S1"=[1]OUT_TransportEnergyCons!$A$3:$A$1000)*1,("Var_Fin"=[1]OUT_TransportEnergyCons!$B$3:$B$1000)*1,ISNUMBER(SEARCH("GSL",[1]OUT_TransportEnergyCons!$C$3:$C$1000))*1,[1]OUT_TransportEnergyCons!N$3:N$1000)</f>
        <v>5.5634234363325825E-3</v>
      </c>
      <c r="Q1172" s="1" cm="1">
        <f t="array" ref="Q1172">SUMPRODUCT(("T_C-MHY-GSL-S1"=[1]OUT_TransportEnergyCons!$A$3:$A$1000)*1,("Var_Fin"=[1]OUT_TransportEnergyCons!$B$3:$B$1000)*1,ISNUMBER(SEARCH("GSL",[1]OUT_TransportEnergyCons!$C$3:$C$1000))*1,[1]OUT_TransportEnergyCons!O$3:O$1000)</f>
        <v>7.3513740610473329E-3</v>
      </c>
      <c r="S1172" s="3"/>
    </row>
    <row r="1173" spans="2:19" x14ac:dyDescent="0.5">
      <c r="B1173" s="5" t="str">
        <f t="shared" si="1358"/>
        <v>SPS1</v>
      </c>
      <c r="C1173" s="5" t="str">
        <f t="shared" si="1359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1.2825993832900333E-3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1.3445674138439594E-2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1.7249868788950237E-2</v>
      </c>
      <c r="J1173" s="1" cm="1">
        <f t="array" ref="J1173">SUMPRODUCT(("T_C-MHY-GSL-S2"=[1]OUT_TransportEnergyCons!$A$3:$A$1000)*1,("Var_Fin"=[1]OUT_TransportEnergyCons!$B$3:$B$1000)*1,ISNUMBER(SEARCH("GSL",[1]OUT_TransportEnergyCons!$C$3:$C$1000))*1,[1]OUT_TransportEnergyCons!H$3:H$1000)</f>
        <v>1.5422732221948071E-2</v>
      </c>
      <c r="K1173" s="1" cm="1">
        <f t="array" ref="K1173">SUMPRODUCT(("T_C-MHY-GSL-S2"=[1]OUT_TransportEnergyCons!$A$3:$A$1000)*1,("Var_Fin"=[1]OUT_TransportEnergyCons!$B$3:$B$1000)*1,ISNUMBER(SEARCH("GSL",[1]OUT_TransportEnergyCons!$C$3:$C$1000))*1,[1]OUT_TransportEnergyCons!I$3:I$1000)</f>
        <v>9.1467048803539862E-3</v>
      </c>
      <c r="L1173" s="1" cm="1">
        <f t="array" ref="L1173">SUMPRODUCT(("T_C-MHY-GSL-S2"=[1]OUT_TransportEnergyCons!$A$3:$A$1000)*1,("Var_Fin"=[1]OUT_TransportEnergyCons!$B$3:$B$1000)*1,ISNUMBER(SEARCH("GSL",[1]OUT_TransportEnergyCons!$C$3:$C$1000))*1,[1]OUT_TransportEnergyCons!J$3:J$1000)</f>
        <v>5.1098853936754731E-3</v>
      </c>
      <c r="M1173" s="1" cm="1">
        <f t="array" ref="M1173">SUMPRODUCT(("T_C-MHY-GSL-S2"=[1]OUT_TransportEnergyCons!$A$3:$A$1000)*1,("Var_Fin"=[1]OUT_TransportEnergyCons!$B$3:$B$1000)*1,ISNUMBER(SEARCH("GSL",[1]OUT_TransportEnergyCons!$C$3:$C$1000))*1,[1]OUT_TransportEnergyCons!K$3:K$1000)</f>
        <v>4.0972622703531417E-3</v>
      </c>
      <c r="N1173" s="1" cm="1">
        <f t="array" ref="N1173">SUMPRODUCT(("T_C-MHY-GSL-S2"=[1]OUT_TransportEnergyCons!$A$3:$A$1000)*1,("Var_Fin"=[1]OUT_TransportEnergyCons!$B$3:$B$1000)*1,ISNUMBER(SEARCH("GSL",[1]OUT_TransportEnergyCons!$C$3:$C$1000))*1,[1]OUT_TransportEnergyCons!L$3:L$1000)</f>
        <v>3.2790522989916541E-3</v>
      </c>
      <c r="O1173" s="1" cm="1">
        <f t="array" ref="O1173">SUMPRODUCT(("T_C-MHY-GSL-S2"=[1]OUT_TransportEnergyCons!$A$3:$A$1000)*1,("Var_Fin"=[1]OUT_TransportEnergyCons!$B$3:$B$1000)*1,ISNUMBER(SEARCH("GSL",[1]OUT_TransportEnergyCons!$C$3:$C$1000))*1,[1]OUT_TransportEnergyCons!M$3:M$1000)</f>
        <v>4.3659424710028273E-3</v>
      </c>
      <c r="P1173" s="1" cm="1">
        <f t="array" ref="P1173">SUMPRODUCT(("T_C-MHY-GSL-S2"=[1]OUT_TransportEnergyCons!$A$3:$A$1000)*1,("Var_Fin"=[1]OUT_TransportEnergyCons!$B$3:$B$1000)*1,ISNUMBER(SEARCH("GSL",[1]OUT_TransportEnergyCons!$C$3:$C$1000))*1,[1]OUT_TransportEnergyCons!N$3:N$1000)</f>
        <v>6.5018192547254376E-3</v>
      </c>
      <c r="Q1173" s="1" cm="1">
        <f t="array" ref="Q1173">SUMPRODUCT(("T_C-MHY-GSL-S2"=[1]OUT_TransportEnergyCons!$A$3:$A$1000)*1,("Var_Fin"=[1]OUT_TransportEnergyCons!$B$3:$B$1000)*1,ISNUMBER(SEARCH("GSL",[1]OUT_TransportEnergyCons!$C$3:$C$1000))*1,[1]OUT_TransportEnergyCons!O$3:O$1000)</f>
        <v>7.2936579905318651E-3</v>
      </c>
      <c r="S1173" s="3"/>
    </row>
    <row r="1174" spans="2:19" x14ac:dyDescent="0.5">
      <c r="B1174" s="5" t="str">
        <f t="shared" si="1358"/>
        <v>SPS1</v>
      </c>
      <c r="C1174" s="5" t="str">
        <f t="shared" si="1359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2.0107854751874018E-3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1.0191801501085195E-2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1.4642128259063754E-2</v>
      </c>
      <c r="J1174" s="1" cm="1">
        <f t="array" ref="J1174">SUMPRODUCT(("T_C-MHY-GSL-S3"=[1]OUT_TransportEnergyCons!$A$3:$A$1000)*1,("Var_Fin"=[1]OUT_TransportEnergyCons!$B$3:$B$1000)*1,ISNUMBER(SEARCH("GSL",[1]OUT_TransportEnergyCons!$C$3:$C$1000))*1,[1]OUT_TransportEnergyCons!H$3:H$1000)</f>
        <v>1.3126937784150753E-2</v>
      </c>
      <c r="K1174" s="1" cm="1">
        <f t="array" ref="K1174">SUMPRODUCT(("T_C-MHY-GSL-S3"=[1]OUT_TransportEnergyCons!$A$3:$A$1000)*1,("Var_Fin"=[1]OUT_TransportEnergyCons!$B$3:$B$1000)*1,ISNUMBER(SEARCH("GSL",[1]OUT_TransportEnergyCons!$C$3:$C$1000))*1,[1]OUT_TransportEnergyCons!I$3:I$1000)</f>
        <v>8.974206404275209E-3</v>
      </c>
      <c r="L1174" s="1" cm="1">
        <f t="array" ref="L1174">SUMPRODUCT(("T_C-MHY-GSL-S3"=[1]OUT_TransportEnergyCons!$A$3:$A$1000)*1,("Var_Fin"=[1]OUT_TransportEnergyCons!$B$3:$B$1000)*1,ISNUMBER(SEARCH("GSL",[1]OUT_TransportEnergyCons!$C$3:$C$1000))*1,[1]OUT_TransportEnergyCons!J$3:J$1000)</f>
        <v>6.7203714814630076E-3</v>
      </c>
      <c r="M1174" s="1" cm="1">
        <f t="array" ref="M1174">SUMPRODUCT(("T_C-MHY-GSL-S3"=[1]OUT_TransportEnergyCons!$A$3:$A$1000)*1,("Var_Fin"=[1]OUT_TransportEnergyCons!$B$3:$B$1000)*1,ISNUMBER(SEARCH("GSL",[1]OUT_TransportEnergyCons!$C$3:$C$1000))*1,[1]OUT_TransportEnergyCons!K$3:K$1000)</f>
        <v>6.3074890899307359E-3</v>
      </c>
      <c r="N1174" s="1" cm="1">
        <f t="array" ref="N1174">SUMPRODUCT(("T_C-MHY-GSL-S3"=[1]OUT_TransportEnergyCons!$A$3:$A$1000)*1,("Var_Fin"=[1]OUT_TransportEnergyCons!$B$3:$B$1000)*1,ISNUMBER(SEARCH("GSL",[1]OUT_TransportEnergyCons!$C$3:$C$1000))*1,[1]OUT_TransportEnergyCons!L$3:L$1000)</f>
        <v>5.3842002558537926E-3</v>
      </c>
      <c r="O1174" s="1" cm="1">
        <f t="array" ref="O1174">SUMPRODUCT(("T_C-MHY-GSL-S3"=[1]OUT_TransportEnergyCons!$A$3:$A$1000)*1,("Var_Fin"=[1]OUT_TransportEnergyCons!$B$3:$B$1000)*1,ISNUMBER(SEARCH("GSL",[1]OUT_TransportEnergyCons!$C$3:$C$1000))*1,[1]OUT_TransportEnergyCons!M$3:M$1000)</f>
        <v>7.0926387202981285E-3</v>
      </c>
      <c r="P1174" s="1" cm="1">
        <f t="array" ref="P1174">SUMPRODUCT(("T_C-MHY-GSL-S3"=[1]OUT_TransportEnergyCons!$A$3:$A$1000)*1,("Var_Fin"=[1]OUT_TransportEnergyCons!$B$3:$B$1000)*1,ISNUMBER(SEARCH("GSL",[1]OUT_TransportEnergyCons!$C$3:$C$1000))*1,[1]OUT_TransportEnergyCons!N$3:N$1000)</f>
        <v>1.0072603714473539E-2</v>
      </c>
      <c r="Q1174" s="1" cm="1">
        <f t="array" ref="Q1174">SUMPRODUCT(("T_C-MHY-GSL-S3"=[1]OUT_TransportEnergyCons!$A$3:$A$1000)*1,("Var_Fin"=[1]OUT_TransportEnergyCons!$B$3:$B$1000)*1,ISNUMBER(SEARCH("GSL",[1]OUT_TransportEnergyCons!$C$3:$C$1000))*1,[1]OUT_TransportEnergyCons!O$3:O$1000)</f>
        <v>9.969022420617462E-3</v>
      </c>
      <c r="S1174" s="3"/>
    </row>
    <row r="1175" spans="2:19" x14ac:dyDescent="0.5">
      <c r="B1175" s="5" t="str">
        <f t="shared" si="1358"/>
        <v>SPS1</v>
      </c>
      <c r="C1175" s="5" t="str">
        <f t="shared" si="1359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2.6233355559386546E-3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1.0133675764267829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3.9577643313510178</v>
      </c>
      <c r="J1175" s="1" cm="1">
        <f t="array" ref="J1175">SUMPRODUCT(("T_C-MHY-GSL-S4"=[1]OUT_TransportEnergyCons!$A$3:$A$1000)*1,("Var_Fin"=[1]OUT_TransportEnergyCons!$B$3:$B$1000)*1,ISNUMBER(SEARCH("GSL",[1]OUT_TransportEnergyCons!$C$3:$C$1000))*1,[1]OUT_TransportEnergyCons!H$3:H$1000)</f>
        <v>3.7087454967504536</v>
      </c>
      <c r="K1175" s="1" cm="1">
        <f t="array" ref="K1175">SUMPRODUCT(("T_C-MHY-GSL-S4"=[1]OUT_TransportEnergyCons!$A$3:$A$1000)*1,("Var_Fin"=[1]OUT_TransportEnergyCons!$B$3:$B$1000)*1,ISNUMBER(SEARCH("GSL",[1]OUT_TransportEnergyCons!$C$3:$C$1000))*1,[1]OUT_TransportEnergyCons!I$3:I$1000)</f>
        <v>3.7803221078715019</v>
      </c>
      <c r="L1175" s="1" cm="1">
        <f t="array" ref="L1175">SUMPRODUCT(("T_C-MHY-GSL-S4"=[1]OUT_TransportEnergyCons!$A$3:$A$1000)*1,("Var_Fin"=[1]OUT_TransportEnergyCons!$B$3:$B$1000)*1,ISNUMBER(SEARCH("GSL",[1]OUT_TransportEnergyCons!$C$3:$C$1000))*1,[1]OUT_TransportEnergyCons!J$3:J$1000)</f>
        <v>3.5759543020400755</v>
      </c>
      <c r="M1175" s="1" cm="1">
        <f t="array" ref="M1175">SUMPRODUCT(("T_C-MHY-GSL-S4"=[1]OUT_TransportEnergyCons!$A$3:$A$1000)*1,("Var_Fin"=[1]OUT_TransportEnergyCons!$B$3:$B$1000)*1,ISNUMBER(SEARCH("GSL",[1]OUT_TransportEnergyCons!$C$3:$C$1000))*1,[1]OUT_TransportEnergyCons!K$3:K$1000)</f>
        <v>3.4258875291777322</v>
      </c>
      <c r="N1175" s="1" cm="1">
        <f t="array" ref="N1175">SUMPRODUCT(("T_C-MHY-GSL-S4"=[1]OUT_TransportEnergyCons!$A$3:$A$1000)*1,("Var_Fin"=[1]OUT_TransportEnergyCons!$B$3:$B$1000)*1,ISNUMBER(SEARCH("GSL",[1]OUT_TransportEnergyCons!$C$3:$C$1000))*1,[1]OUT_TransportEnergyCons!L$3:L$1000)</f>
        <v>3.2677287570782898</v>
      </c>
      <c r="O1175" s="1" cm="1">
        <f t="array" ref="O1175">SUMPRODUCT(("T_C-MHY-GSL-S4"=[1]OUT_TransportEnergyCons!$A$3:$A$1000)*1,("Var_Fin"=[1]OUT_TransportEnergyCons!$B$3:$B$1000)*1,ISNUMBER(SEARCH("GSL",[1]OUT_TransportEnergyCons!$C$3:$C$1000))*1,[1]OUT_TransportEnergyCons!M$3:M$1000)</f>
        <v>3.1533873614129315</v>
      </c>
      <c r="P1175" s="1" cm="1">
        <f t="array" ref="P1175">SUMPRODUCT(("T_C-MHY-GSL-S4"=[1]OUT_TransportEnergyCons!$A$3:$A$1000)*1,("Var_Fin"=[1]OUT_TransportEnergyCons!$B$3:$B$1000)*1,ISNUMBER(SEARCH("GSL",[1]OUT_TransportEnergyCons!$C$3:$C$1000))*1,[1]OUT_TransportEnergyCons!N$3:N$1000)</f>
        <v>3.0543176298759249</v>
      </c>
      <c r="Q1175" s="1" cm="1">
        <f t="array" ref="Q1175">SUMPRODUCT(("T_C-MHY-GSL-S4"=[1]OUT_TransportEnergyCons!$A$3:$A$1000)*1,("Var_Fin"=[1]OUT_TransportEnergyCons!$B$3:$B$1000)*1,ISNUMBER(SEARCH("GSL",[1]OUT_TransportEnergyCons!$C$3:$C$1000))*1,[1]OUT_TransportEnergyCons!O$3:O$1000)</f>
        <v>3.0091253731936969</v>
      </c>
      <c r="S1175" s="3"/>
    </row>
    <row r="1176" spans="2:19" x14ac:dyDescent="0.5">
      <c r="B1176" s="5" t="str">
        <f t="shared" si="1358"/>
        <v>SPS1</v>
      </c>
      <c r="C1176" s="5" t="str">
        <f t="shared" si="1359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3.0321380092599869E-4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1.6999182326215417E-3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2.312111424931772E-3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2.4286388720003819E-3</v>
      </c>
      <c r="J1176" s="1" cm="1">
        <f t="array" ref="J1176">SUMPRODUCT(("T-Plg-GSL-mix_S1"=[1]OUT_TransportEnergyCons!$A$3:$A$1000)*1,("Var_Fin"=[1]OUT_TransportEnergyCons!$B$3:$B$1000)*1,ISNUMBER(SEARCH("GSL",[1]OUT_TransportEnergyCons!$C$3:$C$1000))*1,[1]OUT_TransportEnergyCons!H$3:H$1000)</f>
        <v>2.2076245107956675E-3</v>
      </c>
      <c r="K1176" s="1" cm="1">
        <f t="array" ref="K1176">SUMPRODUCT(("T-Plg-GSL-mix_S1"=[1]OUT_TransportEnergyCons!$A$3:$A$1000)*1,("Var_Fin"=[1]OUT_TransportEnergyCons!$B$3:$B$1000)*1,ISNUMBER(SEARCH("GSL",[1]OUT_TransportEnergyCons!$C$3:$C$1000))*1,[1]OUT_TransportEnergyCons!I$3:I$1000)</f>
        <v>2.008106306609254E-3</v>
      </c>
      <c r="L1176" s="1" cm="1">
        <f t="array" ref="L1176">SUMPRODUCT(("T-Plg-GSL-mix_S1"=[1]OUT_TransportEnergyCons!$A$3:$A$1000)*1,("Var_Fin"=[1]OUT_TransportEnergyCons!$B$3:$B$1000)*1,ISNUMBER(SEARCH("GSL",[1]OUT_TransportEnergyCons!$C$3:$C$1000))*1,[1]OUT_TransportEnergyCons!J$3:J$1000)</f>
        <v>2.2803304286656092E-3</v>
      </c>
      <c r="M1176" s="1" cm="1">
        <f t="array" ref="M1176">SUMPRODUCT(("T-Plg-GSL-mix_S1"=[1]OUT_TransportEnergyCons!$A$3:$A$1000)*1,("Var_Fin"=[1]OUT_TransportEnergyCons!$B$3:$B$1000)*1,ISNUMBER(SEARCH("GSL",[1]OUT_TransportEnergyCons!$C$3:$C$1000))*1,[1]OUT_TransportEnergyCons!K$3:K$1000)</f>
        <v>1.7807019687880619E-3</v>
      </c>
      <c r="N1176" s="1" cm="1">
        <f t="array" ref="N1176">SUMPRODUCT(("T-Plg-GSL-mix_S1"=[1]OUT_TransportEnergyCons!$A$3:$A$1000)*1,("Var_Fin"=[1]OUT_TransportEnergyCons!$B$3:$B$1000)*1,ISNUMBER(SEARCH("GSL",[1]OUT_TransportEnergyCons!$C$3:$C$1000))*1,[1]OUT_TransportEnergyCons!L$3:L$1000)</f>
        <v>3.1839266217131095E-3</v>
      </c>
      <c r="O1176" s="1" cm="1">
        <f t="array" ref="O1176">SUMPRODUCT(("T-Plg-GSL-mix_S1"=[1]OUT_TransportEnergyCons!$A$3:$A$1000)*1,("Var_Fin"=[1]OUT_TransportEnergyCons!$B$3:$B$1000)*1,ISNUMBER(SEARCH("GSL",[1]OUT_TransportEnergyCons!$C$3:$C$1000))*1,[1]OUT_TransportEnergyCons!M$3:M$1000)</f>
        <v>5.5901986112861842E-3</v>
      </c>
      <c r="P1176" s="1" cm="1">
        <f t="array" ref="P1176">SUMPRODUCT(("T-Plg-GSL-mix_S1"=[1]OUT_TransportEnergyCons!$A$3:$A$1000)*1,("Var_Fin"=[1]OUT_TransportEnergyCons!$B$3:$B$1000)*1,ISNUMBER(SEARCH("GSL",[1]OUT_TransportEnergyCons!$C$3:$C$1000))*1,[1]OUT_TransportEnergyCons!N$3:N$1000)</f>
        <v>8.1058930209586266E-3</v>
      </c>
      <c r="Q1176" s="1" cm="1">
        <f t="array" ref="Q1176">SUMPRODUCT(("T-Plg-GSL-mix_S1"=[1]OUT_TransportEnergyCons!$A$3:$A$1000)*1,("Var_Fin"=[1]OUT_TransportEnergyCons!$B$3:$B$1000)*1,ISNUMBER(SEARCH("GSL",[1]OUT_TransportEnergyCons!$C$3:$C$1000))*1,[1]OUT_TransportEnergyCons!O$3:O$1000)</f>
        <v>1.2222561210501501E-2</v>
      </c>
      <c r="S1176" s="3"/>
    </row>
    <row r="1177" spans="2:19" x14ac:dyDescent="0.5">
      <c r="B1177" s="5" t="str">
        <f t="shared" si="1358"/>
        <v>SPS1</v>
      </c>
      <c r="C1177" s="5" t="str">
        <f t="shared" si="1359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8.527180007699818E-2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0.16558766272258546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0.16056703173089309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0.13070943180387282</v>
      </c>
      <c r="J1177" s="1" cm="1">
        <f t="array" ref="J1177">SUMPRODUCT(("T-Plg-GSL-mix_S2"=[1]OUT_TransportEnergyCons!$A$3:$A$1000)*1,("Var_Fin"=[1]OUT_TransportEnergyCons!$B$3:$B$1000)*1,ISNUMBER(SEARCH("GSL",[1]OUT_TransportEnergyCons!$C$3:$C$1000))*1,[1]OUT_TransportEnergyCons!H$3:H$1000)</f>
        <v>1.9662685496369268E-2</v>
      </c>
      <c r="K1177" s="1" cm="1">
        <f t="array" ref="K1177">SUMPRODUCT(("T-Plg-GSL-mix_S2"=[1]OUT_TransportEnergyCons!$A$3:$A$1000)*1,("Var_Fin"=[1]OUT_TransportEnergyCons!$B$3:$B$1000)*1,ISNUMBER(SEARCH("GSL",[1]OUT_TransportEnergyCons!$C$3:$C$1000))*1,[1]OUT_TransportEnergyCons!I$3:I$1000)</f>
        <v>8.3779625074572647E-3</v>
      </c>
      <c r="L1177" s="1" cm="1">
        <f t="array" ref="L1177">SUMPRODUCT(("T-Plg-GSL-mix_S2"=[1]OUT_TransportEnergyCons!$A$3:$A$1000)*1,("Var_Fin"=[1]OUT_TransportEnergyCons!$B$3:$B$1000)*1,ISNUMBER(SEARCH("GSL",[1]OUT_TransportEnergyCons!$C$3:$C$1000))*1,[1]OUT_TransportEnergyCons!J$3:J$1000)</f>
        <v>7.3490735675755415E-3</v>
      </c>
      <c r="M1177" s="1" cm="1">
        <f t="array" ref="M1177">SUMPRODUCT(("T-Plg-GSL-mix_S2"=[1]OUT_TransportEnergyCons!$A$3:$A$1000)*1,("Var_Fin"=[1]OUT_TransportEnergyCons!$B$3:$B$1000)*1,ISNUMBER(SEARCH("GSL",[1]OUT_TransportEnergyCons!$C$3:$C$1000))*1,[1]OUT_TransportEnergyCons!K$3:K$1000)</f>
        <v>4.7050116510869485E-3</v>
      </c>
      <c r="N1177" s="1" cm="1">
        <f t="array" ref="N1177">SUMPRODUCT(("T-Plg-GSL-mix_S2"=[1]OUT_TransportEnergyCons!$A$3:$A$1000)*1,("Var_Fin"=[1]OUT_TransportEnergyCons!$B$3:$B$1000)*1,ISNUMBER(SEARCH("GSL",[1]OUT_TransportEnergyCons!$C$3:$C$1000))*1,[1]OUT_TransportEnergyCons!L$3:L$1000)</f>
        <v>7.9414389483947363E-3</v>
      </c>
      <c r="O1177" s="1" cm="1">
        <f t="array" ref="O1177">SUMPRODUCT(("T-Plg-GSL-mix_S2"=[1]OUT_TransportEnergyCons!$A$3:$A$1000)*1,("Var_Fin"=[1]OUT_TransportEnergyCons!$B$3:$B$1000)*1,ISNUMBER(SEARCH("GSL",[1]OUT_TransportEnergyCons!$C$3:$C$1000))*1,[1]OUT_TransportEnergyCons!M$3:M$1000)</f>
        <v>7.7277777259001298E-2</v>
      </c>
      <c r="P1177" s="1" cm="1">
        <f t="array" ref="P1177">SUMPRODUCT(("T-Plg-GSL-mix_S2"=[1]OUT_TransportEnergyCons!$A$3:$A$1000)*1,("Var_Fin"=[1]OUT_TransportEnergyCons!$B$3:$B$1000)*1,ISNUMBER(SEARCH("GSL",[1]OUT_TransportEnergyCons!$C$3:$C$1000))*1,[1]OUT_TransportEnergyCons!N$3:N$1000)</f>
        <v>0.18014810888889624</v>
      </c>
      <c r="Q1177" s="1" cm="1">
        <f t="array" ref="Q1177">SUMPRODUCT(("T-Plg-GSL-mix_S2"=[1]OUT_TransportEnergyCons!$A$3:$A$1000)*1,("Var_Fin"=[1]OUT_TransportEnergyCons!$B$3:$B$1000)*1,ISNUMBER(SEARCH("GSL",[1]OUT_TransportEnergyCons!$C$3:$C$1000))*1,[1]OUT_TransportEnergyCons!O$3:O$1000)</f>
        <v>0.24249562865155869</v>
      </c>
      <c r="S1177" s="3"/>
    </row>
    <row r="1178" spans="2:19" x14ac:dyDescent="0.5">
      <c r="B1178" s="5" t="str">
        <f t="shared" si="1358"/>
        <v>SPS1</v>
      </c>
      <c r="C1178" s="5" t="str">
        <f t="shared" si="1359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9.1472964509032487E-2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0.25625379865477543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0.94172834571086561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0.93787678396128271</v>
      </c>
      <c r="J1178" s="1" cm="1">
        <f t="array" ref="J1178">SUMPRODUCT(("T-Plg-GSL-mix_S3"=[1]OUT_TransportEnergyCons!$A$3:$A$1000)*1,("Var_Fin"=[1]OUT_TransportEnergyCons!$B$3:$B$1000)*1,ISNUMBER(SEARCH("GSL",[1]OUT_TransportEnergyCons!$C$3:$C$1000))*1,[1]OUT_TransportEnergyCons!H$3:H$1000)</f>
        <v>1.0050553046730426</v>
      </c>
      <c r="K1178" s="1" cm="1">
        <f t="array" ref="K1178">SUMPRODUCT(("T-Plg-GSL-mix_S3"=[1]OUT_TransportEnergyCons!$A$3:$A$1000)*1,("Var_Fin"=[1]OUT_TransportEnergyCons!$B$3:$B$1000)*1,ISNUMBER(SEARCH("GSL",[1]OUT_TransportEnergyCons!$C$3:$C$1000))*1,[1]OUT_TransportEnergyCons!I$3:I$1000)</f>
        <v>0.49083628583965466</v>
      </c>
      <c r="L1178" s="1" cm="1">
        <f t="array" ref="L1178">SUMPRODUCT(("T-Plg-GSL-mix_S3"=[1]OUT_TransportEnergyCons!$A$3:$A$1000)*1,("Var_Fin"=[1]OUT_TransportEnergyCons!$B$3:$B$1000)*1,ISNUMBER(SEARCH("GSL",[1]OUT_TransportEnergyCons!$C$3:$C$1000))*1,[1]OUT_TransportEnergyCons!J$3:J$1000)</f>
        <v>0.35180104069615287</v>
      </c>
      <c r="M1178" s="1" cm="1">
        <f t="array" ref="M1178">SUMPRODUCT(("T-Plg-GSL-mix_S3"=[1]OUT_TransportEnergyCons!$A$3:$A$1000)*1,("Var_Fin"=[1]OUT_TransportEnergyCons!$B$3:$B$1000)*1,ISNUMBER(SEARCH("GSL",[1]OUT_TransportEnergyCons!$C$3:$C$1000))*1,[1]OUT_TransportEnergyCons!K$3:K$1000)</f>
        <v>0.10317944033721883</v>
      </c>
      <c r="N1178" s="1" cm="1">
        <f t="array" ref="N1178">SUMPRODUCT(("T-Plg-GSL-mix_S3"=[1]OUT_TransportEnergyCons!$A$3:$A$1000)*1,("Var_Fin"=[1]OUT_TransportEnergyCons!$B$3:$B$1000)*1,ISNUMBER(SEARCH("GSL",[1]OUT_TransportEnergyCons!$C$3:$C$1000))*1,[1]OUT_TransportEnergyCons!L$3:L$1000)</f>
        <v>0.27690004451840888</v>
      </c>
      <c r="O1178" s="1" cm="1">
        <f t="array" ref="O1178">SUMPRODUCT(("T-Plg-GSL-mix_S3"=[1]OUT_TransportEnergyCons!$A$3:$A$1000)*1,("Var_Fin"=[1]OUT_TransportEnergyCons!$B$3:$B$1000)*1,ISNUMBER(SEARCH("GSL",[1]OUT_TransportEnergyCons!$C$3:$C$1000))*1,[1]OUT_TransportEnergyCons!M$3:M$1000)</f>
        <v>0.24646896556665923</v>
      </c>
      <c r="P1178" s="1" cm="1">
        <f t="array" ref="P1178">SUMPRODUCT(("T-Plg-GSL-mix_S3"=[1]OUT_TransportEnergyCons!$A$3:$A$1000)*1,("Var_Fin"=[1]OUT_TransportEnergyCons!$B$3:$B$1000)*1,ISNUMBER(SEARCH("GSL",[1]OUT_TransportEnergyCons!$C$3:$C$1000))*1,[1]OUT_TransportEnergyCons!N$3:N$1000)</f>
        <v>0.19140775995559189</v>
      </c>
      <c r="Q1178" s="1" cm="1">
        <f t="array" ref="Q1178">SUMPRODUCT(("T-Plg-GSL-mix_S3"=[1]OUT_TransportEnergyCons!$A$3:$A$1000)*1,("Var_Fin"=[1]OUT_TransportEnergyCons!$B$3:$B$1000)*1,ISNUMBER(SEARCH("GSL",[1]OUT_TransportEnergyCons!$C$3:$C$1000))*1,[1]OUT_TransportEnergyCons!O$3:O$1000)</f>
        <v>5.7889964708382945E-2</v>
      </c>
      <c r="S1178" s="3"/>
    </row>
    <row r="1179" spans="2:19" x14ac:dyDescent="0.5">
      <c r="B1179" s="5" t="str">
        <f t="shared" si="1358"/>
        <v>SPS1</v>
      </c>
      <c r="C1179" s="5" t="str">
        <f t="shared" si="1359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0.16562425659591376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0.30664183830497777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0.29609135872317749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0.2377969135107163</v>
      </c>
      <c r="J1179" s="1" cm="1">
        <f t="array" ref="J1179">SUMPRODUCT(("T-Plg-GSL-mix_S4"=[1]OUT_TransportEnergyCons!$A$3:$A$1000)*1,("Var_Fin"=[1]OUT_TransportEnergyCons!$B$3:$B$1000)*1,ISNUMBER(SEARCH("GSL",[1]OUT_TransportEnergyCons!$C$3:$C$1000))*1,[1]OUT_TransportEnergyCons!H$3:H$1000)</f>
        <v>4.6288963399880673E-2</v>
      </c>
      <c r="K1179" s="1" cm="1">
        <f t="array" ref="K1179">SUMPRODUCT(("T-Plg-GSL-mix_S4"=[1]OUT_TransportEnergyCons!$A$3:$A$1000)*1,("Var_Fin"=[1]OUT_TransportEnergyCons!$B$3:$B$1000)*1,ISNUMBER(SEARCH("GSL",[1]OUT_TransportEnergyCons!$C$3:$C$1000))*1,[1]OUT_TransportEnergyCons!I$3:I$1000)</f>
        <v>2.1020554392875139E-2</v>
      </c>
      <c r="L1179" s="1" cm="1">
        <f t="array" ref="L1179">SUMPRODUCT(("T-Plg-GSL-mix_S4"=[1]OUT_TransportEnergyCons!$A$3:$A$1000)*1,("Var_Fin"=[1]OUT_TransportEnergyCons!$B$3:$B$1000)*1,ISNUMBER(SEARCH("GSL",[1]OUT_TransportEnergyCons!$C$3:$C$1000))*1,[1]OUT_TransportEnergyCons!J$3:J$1000)</f>
        <v>2.8889762748037926E-2</v>
      </c>
      <c r="M1179" s="1" cm="1">
        <f t="array" ref="M1179">SUMPRODUCT(("T-Plg-GSL-mix_S4"=[1]OUT_TransportEnergyCons!$A$3:$A$1000)*1,("Var_Fin"=[1]OUT_TransportEnergyCons!$B$3:$B$1000)*1,ISNUMBER(SEARCH("GSL",[1]OUT_TransportEnergyCons!$C$3:$C$1000))*1,[1]OUT_TransportEnergyCons!K$3:K$1000)</f>
        <v>1.5849019236367962E-2</v>
      </c>
      <c r="N1179" s="1" cm="1">
        <f t="array" ref="N1179">SUMPRODUCT(("T-Plg-GSL-mix_S4"=[1]OUT_TransportEnergyCons!$A$3:$A$1000)*1,("Var_Fin"=[1]OUT_TransportEnergyCons!$B$3:$B$1000)*1,ISNUMBER(SEARCH("GSL",[1]OUT_TransportEnergyCons!$C$3:$C$1000))*1,[1]OUT_TransportEnergyCons!L$3:L$1000)</f>
        <v>0.11484782173382907</v>
      </c>
      <c r="O1179" s="1" cm="1">
        <f t="array" ref="O1179">SUMPRODUCT(("T-Plg-GSL-mix_S4"=[1]OUT_TransportEnergyCons!$A$3:$A$1000)*1,("Var_Fin"=[1]OUT_TransportEnergyCons!$B$3:$B$1000)*1,ISNUMBER(SEARCH("GSL",[1]OUT_TransportEnergyCons!$C$3:$C$1000))*1,[1]OUT_TransportEnergyCons!M$3:M$1000)</f>
        <v>0.10385597919744061</v>
      </c>
      <c r="P1179" s="1" cm="1">
        <f t="array" ref="P1179">SUMPRODUCT(("T-Plg-GSL-mix_S4"=[1]OUT_TransportEnergyCons!$A$3:$A$1000)*1,("Var_Fin"=[1]OUT_TransportEnergyCons!$B$3:$B$1000)*1,ISNUMBER(SEARCH("GSL",[1]OUT_TransportEnergyCons!$C$3:$C$1000))*1,[1]OUT_TransportEnergyCons!N$3:N$1000)</f>
        <v>7.1358396993293369E-2</v>
      </c>
      <c r="Q1179" s="1" cm="1">
        <f t="array" ref="Q1179">SUMPRODUCT(("T-Plg-GSL-mix_S4"=[1]OUT_TransportEnergyCons!$A$3:$A$1000)*1,("Var_Fin"=[1]OUT_TransportEnergyCons!$B$3:$B$1000)*1,ISNUMBER(SEARCH("GSL",[1]OUT_TransportEnergyCons!$C$3:$C$1000))*1,[1]OUT_TransportEnergyCons!O$3:O$1000)</f>
        <v>0.4900082824898272</v>
      </c>
      <c r="S1179" s="3"/>
    </row>
    <row r="1180" spans="2:19" x14ac:dyDescent="0.5">
      <c r="B1180" s="5" t="str">
        <f t="shared" si="1358"/>
        <v>SPS1</v>
      </c>
      <c r="C1180" s="5" t="str">
        <f t="shared" si="1359"/>
        <v>CH</v>
      </c>
      <c r="D1180" t="s">
        <v>1280</v>
      </c>
      <c r="E1180" t="s">
        <v>8</v>
      </c>
      <c r="F1180" s="1">
        <f>SUM(F1185:F1202)</f>
        <v>60.361029340376938</v>
      </c>
      <c r="G1180" s="1">
        <f t="shared" ref="G1180:K1180" si="1375">SUM(G1185:G1202)</f>
        <v>59.217280769466385</v>
      </c>
      <c r="H1180" s="1">
        <f t="shared" si="1375"/>
        <v>48.110269162964457</v>
      </c>
      <c r="I1180" s="1">
        <f t="shared" si="1375"/>
        <v>32.043491148178731</v>
      </c>
      <c r="J1180" s="1">
        <f t="shared" si="1375"/>
        <v>15.886078331865477</v>
      </c>
      <c r="K1180" s="1">
        <f t="shared" si="1375"/>
        <v>14.076274980134672</v>
      </c>
      <c r="L1180" s="1">
        <f t="shared" ref="L1180:O1180" si="1376">SUM(L1185:L1202)</f>
        <v>10.679495021710132</v>
      </c>
      <c r="M1180" s="1">
        <f t="shared" si="1376"/>
        <v>8.443922846334722</v>
      </c>
      <c r="N1180" s="1">
        <f t="shared" si="1376"/>
        <v>7.187673042696046</v>
      </c>
      <c r="O1180" s="1">
        <f t="shared" si="1376"/>
        <v>6.474307538731134</v>
      </c>
      <c r="P1180" s="1">
        <f>SUM(P1185:P1202)</f>
        <v>6.04471988666028</v>
      </c>
      <c r="Q1180" s="1">
        <f>SUM(Q1185:Q1202)</f>
        <v>5.8098036384818492</v>
      </c>
      <c r="S1180" s="3"/>
    </row>
    <row r="1181" spans="2:19" x14ac:dyDescent="0.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58.86067693437699</v>
      </c>
      <c r="G1181" s="1">
        <f t="shared" ref="G1181:K1181" si="1377">IF(G1180-G1182&lt;0,0,G1180-G1182)</f>
        <v>57.667674213535967</v>
      </c>
      <c r="H1181" s="1">
        <f t="shared" si="1377"/>
        <v>45.953562966916365</v>
      </c>
      <c r="I1181" s="1">
        <f t="shared" si="1377"/>
        <v>30.991540133550828</v>
      </c>
      <c r="J1181" s="1">
        <f t="shared" si="1377"/>
        <v>15.326107409816156</v>
      </c>
      <c r="K1181" s="1">
        <f t="shared" si="1377"/>
        <v>13.526664889454125</v>
      </c>
      <c r="L1181" s="1">
        <f t="shared" ref="L1181:O1181" si="1378">IF(L1180-L1182&lt;0,0,L1180-L1182)</f>
        <v>10.258014735477953</v>
      </c>
      <c r="M1181" s="1">
        <f t="shared" si="1378"/>
        <v>8.1055778814540425</v>
      </c>
      <c r="N1181" s="1">
        <f t="shared" si="1378"/>
        <v>6.8966378051128876</v>
      </c>
      <c r="O1181" s="1">
        <f t="shared" si="1378"/>
        <v>6.1667173832959374</v>
      </c>
      <c r="P1181" s="1">
        <f>IF(P1180-P1182&lt;0,0,P1180-P1182)</f>
        <v>5.69647807938005</v>
      </c>
      <c r="Q1181" s="1">
        <f>IF(Q1180-Q1182&lt;0,0,Q1180-Q1182)</f>
        <v>5.4548990543080196</v>
      </c>
      <c r="S1181" s="3"/>
    </row>
    <row r="1182" spans="2:19" x14ac:dyDescent="0.5">
      <c r="B1182" s="5" t="str">
        <f t="shared" ref="B1182:B1184" si="1379">B1181</f>
        <v>SPS1</v>
      </c>
      <c r="C1182" s="5" t="str">
        <f t="shared" ref="C1182:C1184" si="1380">C1181</f>
        <v>CH</v>
      </c>
      <c r="D1182" t="s">
        <v>1282</v>
      </c>
      <c r="E1182" t="str">
        <f t="shared" ref="E1182:E1184" si="1381">E1181</f>
        <v>PJ/yr.</v>
      </c>
      <c r="F1182" s="1">
        <f>SUM(F1183:F1184)</f>
        <v>1.5003524059999505</v>
      </c>
      <c r="G1182" s="1">
        <f t="shared" ref="G1182" si="1382">SUM(G1183:G1184)</f>
        <v>1.5496065559304155</v>
      </c>
      <c r="H1182" s="1">
        <f t="shared" ref="H1182" si="1383">SUM(H1183:H1184)</f>
        <v>2.1567061960480909</v>
      </c>
      <c r="I1182" s="1">
        <f t="shared" ref="I1182" si="1384">SUM(I1183:I1184)</f>
        <v>1.0519510146279034</v>
      </c>
      <c r="J1182" s="1">
        <f t="shared" ref="J1182" si="1385">SUM(J1183:J1184)</f>
        <v>0.5599709220493202</v>
      </c>
      <c r="K1182" s="1">
        <f t="shared" ref="K1182" si="1386">SUM(K1183:K1184)</f>
        <v>0.54961009068054612</v>
      </c>
      <c r="L1182" s="1">
        <f t="shared" ref="L1182:O1182" si="1387">SUM(L1183:L1184)</f>
        <v>0.42148028623217831</v>
      </c>
      <c r="M1182" s="1">
        <f t="shared" si="1387"/>
        <v>0.33834496488067994</v>
      </c>
      <c r="N1182" s="1">
        <f t="shared" si="1387"/>
        <v>0.29103523758315869</v>
      </c>
      <c r="O1182" s="1">
        <f t="shared" si="1387"/>
        <v>0.30759015543519658</v>
      </c>
      <c r="P1182" s="1">
        <f>SUM(P1183:P1184)</f>
        <v>0.34824180728023024</v>
      </c>
      <c r="Q1182" s="1">
        <f>SUM(Q1183:Q1184)</f>
        <v>0.35490458417383003</v>
      </c>
      <c r="S1182" s="3"/>
    </row>
    <row r="1183" spans="2:19" x14ac:dyDescent="0.5">
      <c r="B1183" s="5" t="str">
        <f t="shared" si="1379"/>
        <v>SPS1</v>
      </c>
      <c r="C1183" s="5" t="str">
        <f t="shared" si="1380"/>
        <v>CH</v>
      </c>
      <c r="D1183" t="s">
        <v>1283</v>
      </c>
      <c r="E1183" t="str">
        <f t="shared" si="1381"/>
        <v>PJ/yr.</v>
      </c>
      <c r="F1183" s="1">
        <f>[1]Transport!B$26/SUM([1]Transport!B$22,[1]Transport!B$26)*F1180*(F$34+F$582)/(F$34+F$582+F$38)</f>
        <v>1.5003524059999505</v>
      </c>
      <c r="G1183" s="1">
        <f>[1]Transport!C$26/SUM([1]Transport!C$22,[1]Transport!C$26)*G1180*(G$34+G$582)/(G$34+G$582+G$38)</f>
        <v>1.5496065559304155</v>
      </c>
      <c r="H1183" s="1">
        <f>[1]Transport!D$26/SUM([1]Transport!D$22,[1]Transport!D$26)*H1180*(H$34+H$582)/(H$34+H$582+H$38)</f>
        <v>2.1567061960480909</v>
      </c>
      <c r="I1183" s="1">
        <f>[1]Transport!E$26/SUM([1]Transport!E$22,[1]Transport!E$26)*I1180*(I$34+I$582)/(I$34+I$582+I$38)</f>
        <v>1.0519510146279034</v>
      </c>
      <c r="J1183" s="1">
        <f>[1]Transport!F$26/SUM([1]Transport!F$22,[1]Transport!F$26)*J1180*(J$34+J$582)/(J$34+J$582+J$38)</f>
        <v>0.5599709220493202</v>
      </c>
      <c r="K1183" s="1">
        <f>[1]Transport!G$26/SUM([1]Transport!G$22,[1]Transport!G$26)*K1180*(K$34+K$582)/(K$34+K$582+K$38)</f>
        <v>0.54961009068054612</v>
      </c>
      <c r="L1183" s="1">
        <f>[1]Transport!H$26/SUM([1]Transport!H$22,[1]Transport!H$26)*L1180*(L$34+L$582)/(L$34+L$582+L$38)</f>
        <v>0.42148028623217831</v>
      </c>
      <c r="M1183" s="1">
        <f>[1]Transport!I$26/SUM([1]Transport!I$22,[1]Transport!I$26)*M1180*(M$34+M$582)/(M$34+M$582+M$38)</f>
        <v>0.33834496488067994</v>
      </c>
      <c r="N1183" s="1">
        <f>[1]Transport!J$26/SUM([1]Transport!J$22,[1]Transport!J$26)*N1180*(N$34+N$582)/(N$34+N$582+N$38)</f>
        <v>0.29103523758315869</v>
      </c>
      <c r="O1183" s="1">
        <f>[1]Transport!K$26/SUM([1]Transport!K$22,[1]Transport!K$26)*O1180*(O$34+O$582)/(O$34+O$582+O$38)</f>
        <v>0.30759015543519658</v>
      </c>
      <c r="P1183" s="1">
        <f>[1]Transport!L$26/SUM([1]Transport!L$22,[1]Transport!L$26)*P1180*(P$34+P$582)/(P$34+P$582+P$38)</f>
        <v>0.34824180728023024</v>
      </c>
      <c r="Q1183" s="1">
        <f>[1]Transport!M$26/SUM([1]Transport!M$22,[1]Transport!M$26)*Q1180*(Q$34+Q$582)/(Q$34+Q$582+Q$38)</f>
        <v>0.35490458417383003</v>
      </c>
      <c r="S1183" s="3"/>
    </row>
    <row r="1184" spans="2:19" x14ac:dyDescent="0.5">
      <c r="B1184" s="5" t="str">
        <f t="shared" si="1379"/>
        <v>SPS1</v>
      </c>
      <c r="C1184" s="5" t="str">
        <f t="shared" si="1380"/>
        <v>CH</v>
      </c>
      <c r="D1184" t="s">
        <v>1284</v>
      </c>
      <c r="E1184" t="str">
        <f t="shared" si="1381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(J$38+J$718)/([1]Transport!F$22+[1]Transport!F$26)*J1180</f>
        <v>0</v>
      </c>
      <c r="K1184" s="1">
        <f>(K$38+K$718)/([1]Transport!G$22+[1]Transport!G$26)*K1180</f>
        <v>0</v>
      </c>
      <c r="L1184" s="1">
        <f>(L$38+L$718)/([1]Transport!H$22+[1]Transport!H$26)*L1180</f>
        <v>0</v>
      </c>
      <c r="M1184" s="1">
        <f>(M$38+M$718)/([1]Transport!I$22+[1]Transport!I$26)*M1180</f>
        <v>0</v>
      </c>
      <c r="N1184" s="1">
        <f>(N$38+N$718)/([1]Transport!J$22+[1]Transport!J$26)*N1180</f>
        <v>0</v>
      </c>
      <c r="O1184" s="1">
        <f>(O$38+O$718)/([1]Transport!K$22+[1]Transport!K$26)*O1180</f>
        <v>0</v>
      </c>
      <c r="P1184" s="1">
        <f>(P$38+P$718)/([1]Transport!L$22+[1]Transport!L$26)*P1180</f>
        <v>0</v>
      </c>
      <c r="Q1184" s="1">
        <f>(Q$38+Q$718)/([1]Transport!M$22+[1]Transport!M$26)*Q1180</f>
        <v>0</v>
      </c>
      <c r="R1184" s="1"/>
      <c r="S1184" s="3"/>
    </row>
    <row r="1185" spans="2:19" x14ac:dyDescent="0.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SUMPRODUCT(("T_C-HYBDSLEXT"=[1]OUT_TransportEnergyCons!$A$3:$A$1000)*1,("Var_Fin"=[1]OUT_TransportEnergyCons!$B$3:$B$1000)*1,ISNUMBER(SEARCH("DSL",[1]OUT_TransportEnergyCons!$C$3:$C$1000))*1,[1]OUT_TransportEnergyCons!H$3:H$1000)</f>
        <v>0</v>
      </c>
      <c r="K1185" s="1" cm="1">
        <f t="array" ref="K1185">SUMPRODUCT(("T_C-HYBDSLEXT"=[1]OUT_TransportEnergyCons!$A$3:$A$1000)*1,("Var_Fin"=[1]OUT_TransportEnergyCons!$B$3:$B$1000)*1,ISNUMBER(SEARCH("DSL",[1]OUT_TransportEnergyCons!$C$3:$C$1000))*1,[1]OUT_TransportEnergyCons!I$3:I$1000)</f>
        <v>0</v>
      </c>
      <c r="L1185" s="1" cm="1">
        <f t="array" ref="L1185">SUMPRODUCT(("T_C-HYBDSLEXT"=[1]OUT_TransportEnergyCons!$A$3:$A$1000)*1,("Var_Fin"=[1]OUT_TransportEnergyCons!$B$3:$B$1000)*1,ISNUMBER(SEARCH("DSL",[1]OUT_TransportEnergyCons!$C$3:$C$1000))*1,[1]OUT_TransportEnergyCons!J$3:J$1000)</f>
        <v>0</v>
      </c>
      <c r="M1185" s="1" cm="1">
        <f t="array" ref="M1185">SUMPRODUCT(("T_C-HYBDSLEXT"=[1]OUT_TransportEnergyCons!$A$3:$A$1000)*1,("Var_Fin"=[1]OUT_TransportEnergyCons!$B$3:$B$1000)*1,ISNUMBER(SEARCH("DSL",[1]OUT_TransportEnergyCons!$C$3:$C$1000))*1,[1]OUT_TransportEnergyCons!K$3:K$1000)</f>
        <v>0</v>
      </c>
      <c r="N1185" s="1" cm="1">
        <f t="array" ref="N1185">SUMPRODUCT(("T_C-HYBDSLEXT"=[1]OUT_TransportEnergyCons!$A$3:$A$1000)*1,("Var_Fin"=[1]OUT_TransportEnergyCons!$B$3:$B$1000)*1,ISNUMBER(SEARCH("DSL",[1]OUT_TransportEnergyCons!$C$3:$C$1000))*1,[1]OUT_TransportEnergyCons!L$3:L$1000)</f>
        <v>0</v>
      </c>
      <c r="O1185" s="1" cm="1">
        <f t="array" ref="O1185">SUMPRODUCT(("T_C-HYBDSLEXT"=[1]OUT_TransportEnergyCons!$A$3:$A$1000)*1,("Var_Fin"=[1]OUT_TransportEnergyCons!$B$3:$B$1000)*1,ISNUMBER(SEARCH("DSL",[1]OUT_TransportEnergyCons!$C$3:$C$1000))*1,[1]OUT_TransportEnergyCons!M$3:M$1000)</f>
        <v>0</v>
      </c>
      <c r="P1185" s="1" cm="1">
        <f t="array" ref="P1185">SUMPRODUCT(("T_C-HYBDSLEXT"=[1]OUT_TransportEnergyCons!$A$3:$A$1000)*1,("Var_Fin"=[1]OUT_TransportEnergyCons!$B$3:$B$1000)*1,ISNUMBER(SEARCH("DSL",[1]OUT_TransportEnergyCons!$C$3:$C$1000))*1,[1]OUT_TransportEnergyCons!N$3:N$1000)</f>
        <v>0</v>
      </c>
      <c r="Q1185" s="1" cm="1">
        <f t="array" ref="Q1185">SUMPRODUCT(("T_C-HYBDSLEXT"=[1]OUT_TransportEnergyCons!$A$3:$A$1000)*1,("Var_Fin"=[1]OUT_TransportEnergyCons!$B$3:$B$1000)*1,ISNUMBER(SEARCH("DSL",[1]OUT_TransportEnergyCons!$C$3:$C$1000))*1,[1]OUT_TransportEnergyCons!O$3:O$1000)</f>
        <v>0</v>
      </c>
      <c r="S1185" s="3"/>
    </row>
    <row r="1186" spans="2:19" x14ac:dyDescent="0.5">
      <c r="B1186" s="5" t="str">
        <f t="shared" si="1358"/>
        <v>SPS1</v>
      </c>
      <c r="C1186" s="5" t="str">
        <f t="shared" si="1359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3.3077162479926088E-5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0.14640343168570322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9.8570958610549209E-2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8.0093997965174996E-2</v>
      </c>
      <c r="J1186" s="1" cm="1">
        <f t="array" ref="J1186">SUMPRODUCT(("T_C-HY-DSL-S1"=[1]OUT_TransportEnergyCons!$A$3:$A$1000)*1,("Var_Fin"=[1]OUT_TransportEnergyCons!$B$3:$B$1000)*1,ISNUMBER(SEARCH("DSL",[1]OUT_TransportEnergyCons!$C$3:$C$1000))*1,[1]OUT_TransportEnergyCons!H$3:H$1000)</f>
        <v>0.75609588244900916</v>
      </c>
      <c r="K1186" s="1" cm="1">
        <f t="array" ref="K1186">SUMPRODUCT(("T_C-HY-DSL-S1"=[1]OUT_TransportEnergyCons!$A$3:$A$1000)*1,("Var_Fin"=[1]OUT_TransportEnergyCons!$B$3:$B$1000)*1,ISNUMBER(SEARCH("DSL",[1]OUT_TransportEnergyCons!$C$3:$C$1000))*1,[1]OUT_TransportEnergyCons!I$3:I$1000)</f>
        <v>0.84343843896044757</v>
      </c>
      <c r="L1186" s="1" cm="1">
        <f t="array" ref="L1186">SUMPRODUCT(("T_C-HY-DSL-S1"=[1]OUT_TransportEnergyCons!$A$3:$A$1000)*1,("Var_Fin"=[1]OUT_TransportEnergyCons!$B$3:$B$1000)*1,ISNUMBER(SEARCH("DSL",[1]OUT_TransportEnergyCons!$C$3:$C$1000))*1,[1]OUT_TransportEnergyCons!J$3:J$1000)</f>
        <v>1.0214493934249163</v>
      </c>
      <c r="M1186" s="1" cm="1">
        <f t="array" ref="M1186">SUMPRODUCT(("T_C-HY-DSL-S1"=[1]OUT_TransportEnergyCons!$A$3:$A$1000)*1,("Var_Fin"=[1]OUT_TransportEnergyCons!$B$3:$B$1000)*1,ISNUMBER(SEARCH("DSL",[1]OUT_TransportEnergyCons!$C$3:$C$1000))*1,[1]OUT_TransportEnergyCons!K$3:K$1000)</f>
        <v>0.46697093964111752</v>
      </c>
      <c r="N1186" s="1" cm="1">
        <f t="array" ref="N1186">SUMPRODUCT(("T_C-HY-DSL-S1"=[1]OUT_TransportEnergyCons!$A$3:$A$1000)*1,("Var_Fin"=[1]OUT_TransportEnergyCons!$B$3:$B$1000)*1,ISNUMBER(SEARCH("DSL",[1]OUT_TransportEnergyCons!$C$3:$C$1000))*1,[1]OUT_TransportEnergyCons!L$3:L$1000)</f>
        <v>0.49378426082845833</v>
      </c>
      <c r="O1186" s="1" cm="1">
        <f t="array" ref="O1186">SUMPRODUCT(("T_C-HY-DSL-S1"=[1]OUT_TransportEnergyCons!$A$3:$A$1000)*1,("Var_Fin"=[1]OUT_TransportEnergyCons!$B$3:$B$1000)*1,ISNUMBER(SEARCH("DSL",[1]OUT_TransportEnergyCons!$C$3:$C$1000))*1,[1]OUT_TransportEnergyCons!M$3:M$1000)</f>
        <v>0.35716922714223531</v>
      </c>
      <c r="P1186" s="1" cm="1">
        <f t="array" ref="P1186">SUMPRODUCT(("T_C-HY-DSL-S1"=[1]OUT_TransportEnergyCons!$A$3:$A$1000)*1,("Var_Fin"=[1]OUT_TransportEnergyCons!$B$3:$B$1000)*1,ISNUMBER(SEARCH("DSL",[1]OUT_TransportEnergyCons!$C$3:$C$1000))*1,[1]OUT_TransportEnergyCons!N$3:N$1000)</f>
        <v>2.6666279409646057E-3</v>
      </c>
      <c r="Q1186" s="1" cm="1">
        <f t="array" ref="Q1186">SUMPRODUCT(("T_C-HY-DSL-S1"=[1]OUT_TransportEnergyCons!$A$3:$A$1000)*1,("Var_Fin"=[1]OUT_TransportEnergyCons!$B$3:$B$1000)*1,ISNUMBER(SEARCH("DSL",[1]OUT_TransportEnergyCons!$C$3:$C$1000))*1,[1]OUT_TransportEnergyCons!O$3:O$1000)</f>
        <v>2.686680778455827E-3</v>
      </c>
      <c r="R1186" s="1"/>
      <c r="S1186" s="3"/>
    </row>
    <row r="1187" spans="2:19" x14ac:dyDescent="0.5">
      <c r="B1187" s="5" t="str">
        <f t="shared" si="1358"/>
        <v>SPS1</v>
      </c>
      <c r="C1187" s="5" t="str">
        <f t="shared" si="1359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2.6628023192714809E-3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0.58074437877394436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0.81938828514295015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0.68047339435990506</v>
      </c>
      <c r="J1187" s="1" cm="1">
        <f t="array" ref="J1187">SUMPRODUCT(("T_C-HY-DSL-S2"=[1]OUT_TransportEnergyCons!$A$3:$A$1000)*1,("Var_Fin"=[1]OUT_TransportEnergyCons!$B$3:$B$1000)*1,ISNUMBER(SEARCH("DSL",[1]OUT_TransportEnergyCons!$C$3:$C$1000))*1,[1]OUT_TransportEnergyCons!H$3:H$1000)</f>
        <v>0.33590156486965528</v>
      </c>
      <c r="K1187" s="1" cm="1">
        <f t="array" ref="K1187">SUMPRODUCT(("T_C-HY-DSL-S2"=[1]OUT_TransportEnergyCons!$A$3:$A$1000)*1,("Var_Fin"=[1]OUT_TransportEnergyCons!$B$3:$B$1000)*1,ISNUMBER(SEARCH("DSL",[1]OUT_TransportEnergyCons!$C$3:$C$1000))*1,[1]OUT_TransportEnergyCons!I$3:I$1000)</f>
        <v>3.8527489902484453E-2</v>
      </c>
      <c r="L1187" s="1" cm="1">
        <f t="array" ref="L1187">SUMPRODUCT(("T_C-HY-DSL-S2"=[1]OUT_TransportEnergyCons!$A$3:$A$1000)*1,("Var_Fin"=[1]OUT_TransportEnergyCons!$B$3:$B$1000)*1,ISNUMBER(SEARCH("DSL",[1]OUT_TransportEnergyCons!$C$3:$C$1000))*1,[1]OUT_TransportEnergyCons!J$3:J$1000)</f>
        <v>2.564891326961732E-2</v>
      </c>
      <c r="M1187" s="1" cm="1">
        <f t="array" ref="M1187">SUMPRODUCT(("T_C-HY-DSL-S2"=[1]OUT_TransportEnergyCons!$A$3:$A$1000)*1,("Var_Fin"=[1]OUT_TransportEnergyCons!$B$3:$B$1000)*1,ISNUMBER(SEARCH("DSL",[1]OUT_TransportEnergyCons!$C$3:$C$1000))*1,[1]OUT_TransportEnergyCons!K$3:K$1000)</f>
        <v>1.8274007672985336E-2</v>
      </c>
      <c r="N1187" s="1" cm="1">
        <f t="array" ref="N1187">SUMPRODUCT(("T_C-HY-DSL-S2"=[1]OUT_TransportEnergyCons!$A$3:$A$1000)*1,("Var_Fin"=[1]OUT_TransportEnergyCons!$B$3:$B$1000)*1,ISNUMBER(SEARCH("DSL",[1]OUT_TransportEnergyCons!$C$3:$C$1000))*1,[1]OUT_TransportEnergyCons!L$3:L$1000)</f>
        <v>1.3466678168493052E-2</v>
      </c>
      <c r="O1187" s="1" cm="1">
        <f t="array" ref="O1187">SUMPRODUCT(("T_C-HY-DSL-S2"=[1]OUT_TransportEnergyCons!$A$3:$A$1000)*1,("Var_Fin"=[1]OUT_TransportEnergyCons!$B$3:$B$1000)*1,ISNUMBER(SEARCH("DSL",[1]OUT_TransportEnergyCons!$C$3:$C$1000))*1,[1]OUT_TransportEnergyCons!M$3:M$1000)</f>
        <v>1.5537520467544422E-2</v>
      </c>
      <c r="P1187" s="1" cm="1">
        <f t="array" ref="P1187">SUMPRODUCT(("T_C-HY-DSL-S2"=[1]OUT_TransportEnergyCons!$A$3:$A$1000)*1,("Var_Fin"=[1]OUT_TransportEnergyCons!$B$3:$B$1000)*1,ISNUMBER(SEARCH("DSL",[1]OUT_TransportEnergyCons!$C$3:$C$1000))*1,[1]OUT_TransportEnergyCons!N$3:N$1000)</f>
        <v>0.39617593072791518</v>
      </c>
      <c r="Q1187" s="1" cm="1">
        <f t="array" ref="Q1187">SUMPRODUCT(("T_C-HY-DSL-S2"=[1]OUT_TransportEnergyCons!$A$3:$A$1000)*1,("Var_Fin"=[1]OUT_TransportEnergyCons!$B$3:$B$1000)*1,ISNUMBER(SEARCH("DSL",[1]OUT_TransportEnergyCons!$C$3:$C$1000))*1,[1]OUT_TransportEnergyCons!O$3:O$1000)</f>
        <v>0.4464578819977944</v>
      </c>
      <c r="S1187" s="3"/>
    </row>
    <row r="1188" spans="2:19" x14ac:dyDescent="0.5">
      <c r="B1188" s="5" t="str">
        <f t="shared" si="1358"/>
        <v>SPS1</v>
      </c>
      <c r="C1188" s="5" t="str">
        <f t="shared" si="1359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2.8303252582378674E-2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4.8146175445581932E-2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4.6623864294457834E-2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3.6090057133847823E-2</v>
      </c>
      <c r="J1188" s="1" cm="1">
        <f t="array" ref="J1188">SUMPRODUCT(("T_C-HY-DSL-S3"=[1]OUT_TransportEnergyCons!$A$3:$A$1000)*1,("Var_Fin"=[1]OUT_TransportEnergyCons!$B$3:$B$1000)*1,ISNUMBER(SEARCH("DSL",[1]OUT_TransportEnergyCons!$C$3:$C$1000))*1,[1]OUT_TransportEnergyCons!H$3:H$1000)</f>
        <v>9.6372276417022503E-3</v>
      </c>
      <c r="K1188" s="1" cm="1">
        <f t="array" ref="K1188">SUMPRODUCT(("T_C-HY-DSL-S3"=[1]OUT_TransportEnergyCons!$A$3:$A$1000)*1,("Var_Fin"=[1]OUT_TransportEnergyCons!$B$3:$B$1000)*1,ISNUMBER(SEARCH("DSL",[1]OUT_TransportEnergyCons!$C$3:$C$1000))*1,[1]OUT_TransportEnergyCons!I$3:I$1000)</f>
        <v>3.9652580534614065E-3</v>
      </c>
      <c r="L1188" s="1" cm="1">
        <f t="array" ref="L1188">SUMPRODUCT(("T_C-HY-DSL-S3"=[1]OUT_TransportEnergyCons!$A$3:$A$1000)*1,("Var_Fin"=[1]OUT_TransportEnergyCons!$B$3:$B$1000)*1,ISNUMBER(SEARCH("DSL",[1]OUT_TransportEnergyCons!$C$3:$C$1000))*1,[1]OUT_TransportEnergyCons!J$3:J$1000)</f>
        <v>4.8399662529034623E-3</v>
      </c>
      <c r="M1188" s="1" cm="1">
        <f t="array" ref="M1188">SUMPRODUCT(("T_C-HY-DSL-S3"=[1]OUT_TransportEnergyCons!$A$3:$A$1000)*1,("Var_Fin"=[1]OUT_TransportEnergyCons!$B$3:$B$1000)*1,ISNUMBER(SEARCH("DSL",[1]OUT_TransportEnergyCons!$C$3:$C$1000))*1,[1]OUT_TransportEnergyCons!K$3:K$1000)</f>
        <v>6.197040587117281E-3</v>
      </c>
      <c r="N1188" s="1" cm="1">
        <f t="array" ref="N1188">SUMPRODUCT(("T_C-HY-DSL-S3"=[1]OUT_TransportEnergyCons!$A$3:$A$1000)*1,("Var_Fin"=[1]OUT_TransportEnergyCons!$B$3:$B$1000)*1,ISNUMBER(SEARCH("DSL",[1]OUT_TransportEnergyCons!$C$3:$C$1000))*1,[1]OUT_TransportEnergyCons!L$3:L$1000)</f>
        <v>6.040583977884182E-3</v>
      </c>
      <c r="O1188" s="1" cm="1">
        <f t="array" ref="O1188">SUMPRODUCT(("T_C-HY-DSL-S3"=[1]OUT_TransportEnergyCons!$A$3:$A$1000)*1,("Var_Fin"=[1]OUT_TransportEnergyCons!$B$3:$B$1000)*1,ISNUMBER(SEARCH("DSL",[1]OUT_TransportEnergyCons!$C$3:$C$1000))*1,[1]OUT_TransportEnergyCons!M$3:M$1000)</f>
        <v>7.3285821959511417E-3</v>
      </c>
      <c r="P1188" s="1" cm="1">
        <f t="array" ref="P1188">SUMPRODUCT(("T_C-HY-DSL-S3"=[1]OUT_TransportEnergyCons!$A$3:$A$1000)*1,("Var_Fin"=[1]OUT_TransportEnergyCons!$B$3:$B$1000)*1,ISNUMBER(SEARCH("DSL",[1]OUT_TransportEnergyCons!$C$3:$C$1000))*1,[1]OUT_TransportEnergyCons!N$3:N$1000)</f>
        <v>9.1094802360534577E-3</v>
      </c>
      <c r="Q1188" s="1" cm="1">
        <f t="array" ref="Q1188">SUMPRODUCT(("T_C-HY-DSL-S3"=[1]OUT_TransportEnergyCons!$A$3:$A$1000)*1,("Var_Fin"=[1]OUT_TransportEnergyCons!$B$3:$B$1000)*1,ISNUMBER(SEARCH("DSL",[1]OUT_TransportEnergyCons!$C$3:$C$1000))*1,[1]OUT_TransportEnergyCons!O$3:O$1000)</f>
        <v>1.3562581908471393E-2</v>
      </c>
      <c r="S1188" s="3"/>
    </row>
    <row r="1189" spans="2:19" x14ac:dyDescent="0.5">
      <c r="B1189" s="5" t="str">
        <f t="shared" si="1358"/>
        <v>SPS1</v>
      </c>
      <c r="C1189" s="5" t="str">
        <f t="shared" si="1359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3.4735485004650436E-2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7.372348496296173E-2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7.0442038812178059E-2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5.8655363763804286E-2</v>
      </c>
      <c r="J1189" s="1" cm="1">
        <f t="array" ref="J1189">SUMPRODUCT(("T_C-HY-DSL-S4"=[1]OUT_TransportEnergyCons!$A$3:$A$1000)*1,("Var_Fin"=[1]OUT_TransportEnergyCons!$B$3:$B$1000)*1,ISNUMBER(SEARCH("DSL",[1]OUT_TransportEnergyCons!$C$3:$C$1000))*1,[1]OUT_TransportEnergyCons!H$3:H$1000)</f>
        <v>1.7238513285168875E-2</v>
      </c>
      <c r="K1189" s="1" cm="1">
        <f t="array" ref="K1189">SUMPRODUCT(("T_C-HY-DSL-S4"=[1]OUT_TransportEnergyCons!$A$3:$A$1000)*1,("Var_Fin"=[1]OUT_TransportEnergyCons!$B$3:$B$1000)*1,ISNUMBER(SEARCH("DSL",[1]OUT_TransportEnergyCons!$C$3:$C$1000))*1,[1]OUT_TransportEnergyCons!I$3:I$1000)</f>
        <v>8.5640671608100839E-3</v>
      </c>
      <c r="L1189" s="1" cm="1">
        <f t="array" ref="L1189">SUMPRODUCT(("T_C-HY-DSL-S4"=[1]OUT_TransportEnergyCons!$A$3:$A$1000)*1,("Var_Fin"=[1]OUT_TransportEnergyCons!$B$3:$B$1000)*1,ISNUMBER(SEARCH("DSL",[1]OUT_TransportEnergyCons!$C$3:$C$1000))*1,[1]OUT_TransportEnergyCons!J$3:J$1000)</f>
        <v>0.13993986153123747</v>
      </c>
      <c r="M1189" s="1" cm="1">
        <f t="array" ref="M1189">SUMPRODUCT(("T_C-HY-DSL-S4"=[1]OUT_TransportEnergyCons!$A$3:$A$1000)*1,("Var_Fin"=[1]OUT_TransportEnergyCons!$B$3:$B$1000)*1,ISNUMBER(SEARCH("DSL",[1]OUT_TransportEnergyCons!$C$3:$C$1000))*1,[1]OUT_TransportEnergyCons!K$3:K$1000)</f>
        <v>1.14292874515867</v>
      </c>
      <c r="N1189" s="1" cm="1">
        <f t="array" ref="N1189">SUMPRODUCT(("T_C-HY-DSL-S4"=[1]OUT_TransportEnergyCons!$A$3:$A$1000)*1,("Var_Fin"=[1]OUT_TransportEnergyCons!$B$3:$B$1000)*1,ISNUMBER(SEARCH("DSL",[1]OUT_TransportEnergyCons!$C$3:$C$1000))*1,[1]OUT_TransportEnergyCons!L$3:L$1000)</f>
        <v>1.0828551751189375</v>
      </c>
      <c r="O1189" s="1" cm="1">
        <f t="array" ref="O1189">SUMPRODUCT(("T_C-HY-DSL-S4"=[1]OUT_TransportEnergyCons!$A$3:$A$1000)*1,("Var_Fin"=[1]OUT_TransportEnergyCons!$B$3:$B$1000)*1,ISNUMBER(SEARCH("DSL",[1]OUT_TransportEnergyCons!$C$3:$C$1000))*1,[1]OUT_TransportEnergyCons!M$3:M$1000)</f>
        <v>0.75388169613532818</v>
      </c>
      <c r="P1189" s="1" cm="1">
        <f t="array" ref="P1189">SUMPRODUCT(("T_C-HY-DSL-S4"=[1]OUT_TransportEnergyCons!$A$3:$A$1000)*1,("Var_Fin"=[1]OUT_TransportEnergyCons!$B$3:$B$1000)*1,ISNUMBER(SEARCH("DSL",[1]OUT_TransportEnergyCons!$C$3:$C$1000))*1,[1]OUT_TransportEnergyCons!N$3:N$1000)</f>
        <v>0.16692840942631482</v>
      </c>
      <c r="Q1189" s="1" cm="1">
        <f t="array" ref="Q1189">SUMPRODUCT(("T_C-HY-DSL-S4"=[1]OUT_TransportEnergyCons!$A$3:$A$1000)*1,("Var_Fin"=[1]OUT_TransportEnergyCons!$B$3:$B$1000)*1,ISNUMBER(SEARCH("DSL",[1]OUT_TransportEnergyCons!$C$3:$C$1000))*1,[1]OUT_TransportEnergyCons!O$3:O$1000)</f>
        <v>6.5137105280087315E-2</v>
      </c>
      <c r="S1189" s="3"/>
    </row>
    <row r="1190" spans="2:19" x14ac:dyDescent="0.5">
      <c r="B1190" s="5" t="str">
        <f t="shared" si="1358"/>
        <v>SPS1</v>
      </c>
      <c r="C1190" s="5" t="str">
        <f t="shared" si="1359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52.132092113102665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48.700917366086131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35.237545922034137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15.372595729609186</v>
      </c>
      <c r="J1190" s="1" cm="1">
        <f t="array" ref="J1190">SUMPRODUCT(("T_C-ICEDSLEXT"=[1]OUT_TransportEnergyCons!$A$3:$A$1000)*1,("Var_Fin"=[1]OUT_TransportEnergyCons!$B$3:$B$1000)*1,ISNUMBER(SEARCH("DSL",[1]OUT_TransportEnergyCons!$C$3:$C$1000))*1,[1]OUT_TransportEnergyCons!H$3:H$1000)</f>
        <v>0</v>
      </c>
      <c r="K1190" s="1" cm="1">
        <f t="array" ref="K1190">SUMPRODUCT(("T_C-ICEDSLEXT"=[1]OUT_TransportEnergyCons!$A$3:$A$1000)*1,("Var_Fin"=[1]OUT_TransportEnergyCons!$B$3:$B$1000)*1,ISNUMBER(SEARCH("DSL",[1]OUT_TransportEnergyCons!$C$3:$C$1000))*1,[1]OUT_TransportEnergyCons!I$3:I$1000)</f>
        <v>0</v>
      </c>
      <c r="L1190" s="1" cm="1">
        <f t="array" ref="L1190">SUMPRODUCT(("T_C-ICEDSLEXT"=[1]OUT_TransportEnergyCons!$A$3:$A$1000)*1,("Var_Fin"=[1]OUT_TransportEnergyCons!$B$3:$B$1000)*1,ISNUMBER(SEARCH("DSL",[1]OUT_TransportEnergyCons!$C$3:$C$1000))*1,[1]OUT_TransportEnergyCons!J$3:J$1000)</f>
        <v>0</v>
      </c>
      <c r="M1190" s="1" cm="1">
        <f t="array" ref="M1190">SUMPRODUCT(("T_C-ICEDSLEXT"=[1]OUT_TransportEnergyCons!$A$3:$A$1000)*1,("Var_Fin"=[1]OUT_TransportEnergyCons!$B$3:$B$1000)*1,ISNUMBER(SEARCH("DSL",[1]OUT_TransportEnergyCons!$C$3:$C$1000))*1,[1]OUT_TransportEnergyCons!K$3:K$1000)</f>
        <v>0</v>
      </c>
      <c r="N1190" s="1" cm="1">
        <f t="array" ref="N1190">SUMPRODUCT(("T_C-ICEDSLEXT"=[1]OUT_TransportEnergyCons!$A$3:$A$1000)*1,("Var_Fin"=[1]OUT_TransportEnergyCons!$B$3:$B$1000)*1,ISNUMBER(SEARCH("DSL",[1]OUT_TransportEnergyCons!$C$3:$C$1000))*1,[1]OUT_TransportEnergyCons!L$3:L$1000)</f>
        <v>0</v>
      </c>
      <c r="O1190" s="1" cm="1">
        <f t="array" ref="O1190">SUMPRODUCT(("T_C-ICEDSLEXT"=[1]OUT_TransportEnergyCons!$A$3:$A$1000)*1,("Var_Fin"=[1]OUT_TransportEnergyCons!$B$3:$B$1000)*1,ISNUMBER(SEARCH("DSL",[1]OUT_TransportEnergyCons!$C$3:$C$1000))*1,[1]OUT_TransportEnergyCons!M$3:M$1000)</f>
        <v>0</v>
      </c>
      <c r="P1190" s="1" cm="1">
        <f t="array" ref="P1190">SUMPRODUCT(("T_C-ICEDSLEXT"=[1]OUT_TransportEnergyCons!$A$3:$A$1000)*1,("Var_Fin"=[1]OUT_TransportEnergyCons!$B$3:$B$1000)*1,ISNUMBER(SEARCH("DSL",[1]OUT_TransportEnergyCons!$C$3:$C$1000))*1,[1]OUT_TransportEnergyCons!N$3:N$1000)</f>
        <v>0</v>
      </c>
      <c r="Q1190" s="1" cm="1">
        <f t="array" ref="Q1190">SUMPRODUCT(("T_C-ICEDSLEXT"=[1]OUT_TransportEnergyCons!$A$3:$A$1000)*1,("Var_Fin"=[1]OUT_TransportEnergyCons!$B$3:$B$1000)*1,ISNUMBER(SEARCH("DSL",[1]OUT_TransportEnergyCons!$C$3:$C$1000))*1,[1]OUT_TransportEnergyCons!O$3:O$1000)</f>
        <v>0</v>
      </c>
      <c r="S1190" s="3"/>
    </row>
    <row r="1191" spans="2:19" x14ac:dyDescent="0.5">
      <c r="B1191" s="5" t="str">
        <f t="shared" si="1358"/>
        <v>SPS1</v>
      </c>
      <c r="C1191" s="5" t="str">
        <f t="shared" si="1359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4.9986744836853459E-3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6.7150113664648679E-3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6.3618807308553835E-3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6.9133265851393216E-3</v>
      </c>
      <c r="J1191" s="1" cm="1">
        <f t="array" ref="J1191">SUMPRODUCT(("T_C-ICE-DSL-S1"=[1]OUT_TransportEnergyCons!$A$3:$A$1000)*1,("Var_Fin"=[1]OUT_TransportEnergyCons!$B$3:$B$1000)*1,ISNUMBER(SEARCH("DSL",[1]OUT_TransportEnergyCons!$C$3:$C$1000))*1,[1]OUT_TransportEnergyCons!H$3:H$1000)</f>
        <v>6.8798143414912603E-3</v>
      </c>
      <c r="K1191" s="1" cm="1">
        <f t="array" ref="K1191">SUMPRODUCT(("T_C-ICE-DSL-S1"=[1]OUT_TransportEnergyCons!$A$3:$A$1000)*1,("Var_Fin"=[1]OUT_TransportEnergyCons!$B$3:$B$1000)*1,ISNUMBER(SEARCH("DSL",[1]OUT_TransportEnergyCons!$C$3:$C$1000))*1,[1]OUT_TransportEnergyCons!I$3:I$1000)</f>
        <v>4.172015125023807E-2</v>
      </c>
      <c r="L1191" s="1" cm="1">
        <f t="array" ref="L1191">SUMPRODUCT(("T_C-ICE-DSL-S1"=[1]OUT_TransportEnergyCons!$A$3:$A$1000)*1,("Var_Fin"=[1]OUT_TransportEnergyCons!$B$3:$B$1000)*1,ISNUMBER(SEARCH("DSL",[1]OUT_TransportEnergyCons!$C$3:$C$1000))*1,[1]OUT_TransportEnergyCons!J$3:J$1000)</f>
        <v>3.4223481030362608E-2</v>
      </c>
      <c r="M1191" s="1" cm="1">
        <f t="array" ref="M1191">SUMPRODUCT(("T_C-ICE-DSL-S1"=[1]OUT_TransportEnergyCons!$A$3:$A$1000)*1,("Var_Fin"=[1]OUT_TransportEnergyCons!$B$3:$B$1000)*1,ISNUMBER(SEARCH("DSL",[1]OUT_TransportEnergyCons!$C$3:$C$1000))*1,[1]OUT_TransportEnergyCons!K$3:K$1000)</f>
        <v>2.4129224263773626E-2</v>
      </c>
      <c r="N1191" s="1" cm="1">
        <f t="array" ref="N1191">SUMPRODUCT(("T_C-ICE-DSL-S1"=[1]OUT_TransportEnergyCons!$A$3:$A$1000)*1,("Var_Fin"=[1]OUT_TransportEnergyCons!$B$3:$B$1000)*1,ISNUMBER(SEARCH("DSL",[1]OUT_TransportEnergyCons!$C$3:$C$1000))*1,[1]OUT_TransportEnergyCons!L$3:L$1000)</f>
        <v>4.3083524261188621E-3</v>
      </c>
      <c r="O1191" s="1" cm="1">
        <f t="array" ref="O1191">SUMPRODUCT(("T_C-ICE-DSL-S1"=[1]OUT_TransportEnergyCons!$A$3:$A$1000)*1,("Var_Fin"=[1]OUT_TransportEnergyCons!$B$3:$B$1000)*1,ISNUMBER(SEARCH("DSL",[1]OUT_TransportEnergyCons!$C$3:$C$1000))*1,[1]OUT_TransportEnergyCons!M$3:M$1000)</f>
        <v>1.1083022741586496E-3</v>
      </c>
      <c r="P1191" s="1" cm="1">
        <f t="array" ref="P1191">SUMPRODUCT(("T_C-ICE-DSL-S1"=[1]OUT_TransportEnergyCons!$A$3:$A$1000)*1,("Var_Fin"=[1]OUT_TransportEnergyCons!$B$3:$B$1000)*1,ISNUMBER(SEARCH("DSL",[1]OUT_TransportEnergyCons!$C$3:$C$1000))*1,[1]OUT_TransportEnergyCons!N$3:N$1000)</f>
        <v>6.6797214580974359E-4</v>
      </c>
      <c r="Q1191" s="1" cm="1">
        <f t="array" ref="Q1191">SUMPRODUCT(("T_C-ICE-DSL-S1"=[1]OUT_TransportEnergyCons!$A$3:$A$1000)*1,("Var_Fin"=[1]OUT_TransportEnergyCons!$B$3:$B$1000)*1,ISNUMBER(SEARCH("DSL",[1]OUT_TransportEnergyCons!$C$3:$C$1000))*1,[1]OUT_TransportEnergyCons!O$3:O$1000)</f>
        <v>6.024457053710752E-4</v>
      </c>
      <c r="S1191" s="3"/>
    </row>
    <row r="1192" spans="2:19" x14ac:dyDescent="0.5">
      <c r="B1192" s="5" t="str">
        <f t="shared" si="1358"/>
        <v>SPS1</v>
      </c>
      <c r="C1192" s="5" t="str">
        <f t="shared" si="1359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1.2151067434957155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1.2840756509584308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1.2753432504197471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0.77398108965375945</v>
      </c>
      <c r="J1192" s="1" cm="1">
        <f t="array" ref="J1192">SUMPRODUCT(("T_C-ICE-DSL-S2"=[1]OUT_TransportEnergyCons!$A$3:$A$1000)*1,("Var_Fin"=[1]OUT_TransportEnergyCons!$B$3:$B$1000)*1,ISNUMBER(SEARCH("DSL",[1]OUT_TransportEnergyCons!$C$3:$C$1000))*1,[1]OUT_TransportEnergyCons!H$3:H$1000)</f>
        <v>2.90827375501359E-2</v>
      </c>
      <c r="K1192" s="1" cm="1">
        <f t="array" ref="K1192">SUMPRODUCT(("T_C-ICE-DSL-S2"=[1]OUT_TransportEnergyCons!$A$3:$A$1000)*1,("Var_Fin"=[1]OUT_TransportEnergyCons!$B$3:$B$1000)*1,ISNUMBER(SEARCH("DSL",[1]OUT_TransportEnergyCons!$C$3:$C$1000))*1,[1]OUT_TransportEnergyCons!I$3:I$1000)</f>
        <v>7.9999102640501037E-3</v>
      </c>
      <c r="L1192" s="1" cm="1">
        <f t="array" ref="L1192">SUMPRODUCT(("T_C-ICE-DSL-S2"=[1]OUT_TransportEnergyCons!$A$3:$A$1000)*1,("Var_Fin"=[1]OUT_TransportEnergyCons!$B$3:$B$1000)*1,ISNUMBER(SEARCH("DSL",[1]OUT_TransportEnergyCons!$C$3:$C$1000))*1,[1]OUT_TransportEnergyCons!J$3:J$1000)</f>
        <v>6.3860004585501486E-3</v>
      </c>
      <c r="M1192" s="1" cm="1">
        <f t="array" ref="M1192">SUMPRODUCT(("T_C-ICE-DSL-S2"=[1]OUT_TransportEnergyCons!$A$3:$A$1000)*1,("Var_Fin"=[1]OUT_TransportEnergyCons!$B$3:$B$1000)*1,ISNUMBER(SEARCH("DSL",[1]OUT_TransportEnergyCons!$C$3:$C$1000))*1,[1]OUT_TransportEnergyCons!K$3:K$1000)</f>
        <v>5.3744280474492508E-3</v>
      </c>
      <c r="N1192" s="1" cm="1">
        <f t="array" ref="N1192">SUMPRODUCT(("T_C-ICE-DSL-S2"=[1]OUT_TransportEnergyCons!$A$3:$A$1000)*1,("Var_Fin"=[1]OUT_TransportEnergyCons!$B$3:$B$1000)*1,ISNUMBER(SEARCH("DSL",[1]OUT_TransportEnergyCons!$C$3:$C$1000))*1,[1]OUT_TransportEnergyCons!L$3:L$1000)</f>
        <v>3.2925875425517384E-3</v>
      </c>
      <c r="O1192" s="1" cm="1">
        <f t="array" ref="O1192">SUMPRODUCT(("T_C-ICE-DSL-S2"=[1]OUT_TransportEnergyCons!$A$3:$A$1000)*1,("Var_Fin"=[1]OUT_TransportEnergyCons!$B$3:$B$1000)*1,ISNUMBER(SEARCH("DSL",[1]OUT_TransportEnergyCons!$C$3:$C$1000))*1,[1]OUT_TransportEnergyCons!M$3:M$1000)</f>
        <v>2.2907317039043903E-3</v>
      </c>
      <c r="P1192" s="1" cm="1">
        <f t="array" ref="P1192">SUMPRODUCT(("T_C-ICE-DSL-S2"=[1]OUT_TransportEnergyCons!$A$3:$A$1000)*1,("Var_Fin"=[1]OUT_TransportEnergyCons!$B$3:$B$1000)*1,ISNUMBER(SEARCH("DSL",[1]OUT_TransportEnergyCons!$C$3:$C$1000))*1,[1]OUT_TransportEnergyCons!N$3:N$1000)</f>
        <v>1.3878579660388519E-3</v>
      </c>
      <c r="Q1192" s="1" cm="1">
        <f t="array" ref="Q1192">SUMPRODUCT(("T_C-ICE-DSL-S2"=[1]OUT_TransportEnergyCons!$A$3:$A$1000)*1,("Var_Fin"=[1]OUT_TransportEnergyCons!$B$3:$B$1000)*1,ISNUMBER(SEARCH("DSL",[1]OUT_TransportEnergyCons!$C$3:$C$1000))*1,[1]OUT_TransportEnergyCons!O$3:O$1000)</f>
        <v>1.2053724146749174E-3</v>
      </c>
      <c r="S1192" s="3"/>
    </row>
    <row r="1193" spans="2:19" x14ac:dyDescent="0.5">
      <c r="B1193" s="5" t="str">
        <f t="shared" si="1358"/>
        <v>SPS1</v>
      </c>
      <c r="C1193" s="5" t="str">
        <f t="shared" si="1359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5.0134949540147016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5.3280859687408952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5.2782561987300074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4.0338684068969517</v>
      </c>
      <c r="J1193" s="1" cm="1">
        <f t="array" ref="J1193">SUMPRODUCT(("T_C-ICE-DSL-S3"=[1]OUT_TransportEnergyCons!$A$3:$A$1000)*1,("Var_Fin"=[1]OUT_TransportEnergyCons!$B$3:$B$1000)*1,ISNUMBER(SEARCH("DSL",[1]OUT_TransportEnergyCons!$C$3:$C$1000))*1,[1]OUT_TransportEnergyCons!H$3:H$1000)</f>
        <v>0.144854634046401</v>
      </c>
      <c r="K1193" s="1" cm="1">
        <f t="array" ref="K1193">SUMPRODUCT(("T_C-ICE-DSL-S3"=[1]OUT_TransportEnergyCons!$A$3:$A$1000)*1,("Var_Fin"=[1]OUT_TransportEnergyCons!$B$3:$B$1000)*1,ISNUMBER(SEARCH("DSL",[1]OUT_TransportEnergyCons!$C$3:$C$1000))*1,[1]OUT_TransportEnergyCons!I$3:I$1000)</f>
        <v>7.6319909934249855E-3</v>
      </c>
      <c r="L1193" s="1" cm="1">
        <f t="array" ref="L1193">SUMPRODUCT(("T_C-ICE-DSL-S3"=[1]OUT_TransportEnergyCons!$A$3:$A$1000)*1,("Var_Fin"=[1]OUT_TransportEnergyCons!$B$3:$B$1000)*1,ISNUMBER(SEARCH("DSL",[1]OUT_TransportEnergyCons!$C$3:$C$1000))*1,[1]OUT_TransportEnergyCons!J$3:J$1000)</f>
        <v>6.8405215635615017E-3</v>
      </c>
      <c r="M1193" s="1" cm="1">
        <f t="array" ref="M1193">SUMPRODUCT(("T_C-ICE-DSL-S3"=[1]OUT_TransportEnergyCons!$A$3:$A$1000)*1,("Var_Fin"=[1]OUT_TransportEnergyCons!$B$3:$B$1000)*1,ISNUMBER(SEARCH("DSL",[1]OUT_TransportEnergyCons!$C$3:$C$1000))*1,[1]OUT_TransportEnergyCons!K$3:K$1000)</f>
        <v>7.5818095594834805E-3</v>
      </c>
      <c r="N1193" s="1" cm="1">
        <f t="array" ref="N1193">SUMPRODUCT(("T_C-ICE-DSL-S3"=[1]OUT_TransportEnergyCons!$A$3:$A$1000)*1,("Var_Fin"=[1]OUT_TransportEnergyCons!$B$3:$B$1000)*1,ISNUMBER(SEARCH("DSL",[1]OUT_TransportEnergyCons!$C$3:$C$1000))*1,[1]OUT_TransportEnergyCons!L$3:L$1000)</f>
        <v>5.0913083299558874E-3</v>
      </c>
      <c r="O1193" s="1" cm="1">
        <f t="array" ref="O1193">SUMPRODUCT(("T_C-ICE-DSL-S3"=[1]OUT_TransportEnergyCons!$A$3:$A$1000)*1,("Var_Fin"=[1]OUT_TransportEnergyCons!$B$3:$B$1000)*1,ISNUMBER(SEARCH("DSL",[1]OUT_TransportEnergyCons!$C$3:$C$1000))*1,[1]OUT_TransportEnergyCons!M$3:M$1000)</f>
        <v>3.5791662764410618E-3</v>
      </c>
      <c r="P1193" s="1" cm="1">
        <f t="array" ref="P1193">SUMPRODUCT(("T_C-ICE-DSL-S3"=[1]OUT_TransportEnergyCons!$A$3:$A$1000)*1,("Var_Fin"=[1]OUT_TransportEnergyCons!$B$3:$B$1000)*1,ISNUMBER(SEARCH("DSL",[1]OUT_TransportEnergyCons!$C$3:$C$1000))*1,[1]OUT_TransportEnergyCons!N$3:N$1000)</f>
        <v>1.9047063873913821E-3</v>
      </c>
      <c r="Q1193" s="1" cm="1">
        <f t="array" ref="Q1193">SUMPRODUCT(("T_C-ICE-DSL-S3"=[1]OUT_TransportEnergyCons!$A$3:$A$1000)*1,("Var_Fin"=[1]OUT_TransportEnergyCons!$B$3:$B$1000)*1,ISNUMBER(SEARCH("DSL",[1]OUT_TransportEnergyCons!$C$3:$C$1000))*1,[1]OUT_TransportEnergyCons!O$3:O$1000)</f>
        <v>1.4828910825030659E-3</v>
      </c>
      <c r="S1193" s="3"/>
    </row>
    <row r="1194" spans="2:19" x14ac:dyDescent="0.5">
      <c r="B1194" s="5" t="str">
        <f t="shared" si="1358"/>
        <v>SPS1</v>
      </c>
      <c r="C1194" s="5" t="str">
        <f t="shared" si="1359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1.9239299858666083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2.2110678073983157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2.1717397620583645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1.6553743974898574</v>
      </c>
      <c r="J1194" s="1" cm="1">
        <f t="array" ref="J1194">SUMPRODUCT(("T_C-ICE-DSL-S4"=[1]OUT_TransportEnergyCons!$A$3:$A$1000)*1,("Var_Fin"=[1]OUT_TransportEnergyCons!$B$3:$B$1000)*1,ISNUMBER(SEARCH("DSL",[1]OUT_TransportEnergyCons!$C$3:$C$1000))*1,[1]OUT_TransportEnergyCons!H$3:H$1000)</f>
        <v>0.11085408111096225</v>
      </c>
      <c r="K1194" s="1" cm="1">
        <f t="array" ref="K1194">SUMPRODUCT(("T_C-ICE-DSL-S4"=[1]OUT_TransportEnergyCons!$A$3:$A$1000)*1,("Var_Fin"=[1]OUT_TransportEnergyCons!$B$3:$B$1000)*1,ISNUMBER(SEARCH("DSL",[1]OUT_TransportEnergyCons!$C$3:$C$1000))*1,[1]OUT_TransportEnergyCons!I$3:I$1000)</f>
        <v>5.9173752584679067E-3</v>
      </c>
      <c r="L1194" s="1" cm="1">
        <f t="array" ref="L1194">SUMPRODUCT(("T_C-ICE-DSL-S4"=[1]OUT_TransportEnergyCons!$A$3:$A$1000)*1,("Var_Fin"=[1]OUT_TransportEnergyCons!$B$3:$B$1000)*1,ISNUMBER(SEARCH("DSL",[1]OUT_TransportEnergyCons!$C$3:$C$1000))*1,[1]OUT_TransportEnergyCons!J$3:J$1000)</f>
        <v>5.7329191871145751E-3</v>
      </c>
      <c r="M1194" s="1" cm="1">
        <f t="array" ref="M1194">SUMPRODUCT(("T_C-ICE-DSL-S4"=[1]OUT_TransportEnergyCons!$A$3:$A$1000)*1,("Var_Fin"=[1]OUT_TransportEnergyCons!$B$3:$B$1000)*1,ISNUMBER(SEARCH("DSL",[1]OUT_TransportEnergyCons!$C$3:$C$1000))*1,[1]OUT_TransportEnergyCons!K$3:K$1000)</f>
        <v>6.9323380122938748E-3</v>
      </c>
      <c r="N1194" s="1" cm="1">
        <f t="array" ref="N1194">SUMPRODUCT(("T_C-ICE-DSL-S4"=[1]OUT_TransportEnergyCons!$A$3:$A$1000)*1,("Var_Fin"=[1]OUT_TransportEnergyCons!$B$3:$B$1000)*1,ISNUMBER(SEARCH("DSL",[1]OUT_TransportEnergyCons!$C$3:$C$1000))*1,[1]OUT_TransportEnergyCons!L$3:L$1000)</f>
        <v>4.914317642637573E-3</v>
      </c>
      <c r="O1194" s="1" cm="1">
        <f t="array" ref="O1194">SUMPRODUCT(("T_C-ICE-DSL-S4"=[1]OUT_TransportEnergyCons!$A$3:$A$1000)*1,("Var_Fin"=[1]OUT_TransportEnergyCons!$B$3:$B$1000)*1,ISNUMBER(SEARCH("DSL",[1]OUT_TransportEnergyCons!$C$3:$C$1000))*1,[1]OUT_TransportEnergyCons!M$3:M$1000)</f>
        <v>3.3517507572951855E-3</v>
      </c>
      <c r="P1194" s="1" cm="1">
        <f t="array" ref="P1194">SUMPRODUCT(("T_C-ICE-DSL-S4"=[1]OUT_TransportEnergyCons!$A$3:$A$1000)*1,("Var_Fin"=[1]OUT_TransportEnergyCons!$B$3:$B$1000)*1,ISNUMBER(SEARCH("DSL",[1]OUT_TransportEnergyCons!$C$3:$C$1000))*1,[1]OUT_TransportEnergyCons!N$3:N$1000)</f>
        <v>1.6265717132954069E-3</v>
      </c>
      <c r="Q1194" s="1" cm="1">
        <f t="array" ref="Q1194">SUMPRODUCT(("T_C-ICE-DSL-S4"=[1]OUT_TransportEnergyCons!$A$3:$A$1000)*1,("Var_Fin"=[1]OUT_TransportEnergyCons!$B$3:$B$1000)*1,ISNUMBER(SEARCH("DSL",[1]OUT_TransportEnergyCons!$C$3:$C$1000))*1,[1]OUT_TransportEnergyCons!O$3:O$1000)</f>
        <v>1.2914148464330481E-3</v>
      </c>
      <c r="S1194" s="3"/>
    </row>
    <row r="1195" spans="2:19" x14ac:dyDescent="0.5">
      <c r="B1195" s="5" t="str">
        <f t="shared" si="1358"/>
        <v>SPS1</v>
      </c>
      <c r="C1195" s="5" t="str">
        <f t="shared" si="1359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1.4809173096180833E-3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0.83200599200104419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2.1196810058083306</v>
      </c>
      <c r="J1195" s="1" cm="1">
        <f t="array" ref="J1195">SUMPRODUCT(("T_C-MHY-DSL-S1"=[1]OUT_TransportEnergyCons!$A$3:$A$1000)*1,("Var_Fin"=[1]OUT_TransportEnergyCons!$B$3:$B$1000)*1,ISNUMBER(SEARCH("DSL",[1]OUT_TransportEnergyCons!$C$3:$C$1000))*1,[1]OUT_TransportEnergyCons!H$3:H$1000)</f>
        <v>1.8900468243257991</v>
      </c>
      <c r="K1195" s="1" cm="1">
        <f t="array" ref="K1195">SUMPRODUCT(("T_C-MHY-DSL-S1"=[1]OUT_TransportEnergyCons!$A$3:$A$1000)*1,("Var_Fin"=[1]OUT_TransportEnergyCons!$B$3:$B$1000)*1,ISNUMBER(SEARCH("DSL",[1]OUT_TransportEnergyCons!$C$3:$C$1000))*1,[1]OUT_TransportEnergyCons!I$3:I$1000)</f>
        <v>1.1406022307520434</v>
      </c>
      <c r="L1195" s="1" cm="1">
        <f t="array" ref="L1195">SUMPRODUCT(("T_C-MHY-DSL-S1"=[1]OUT_TransportEnergyCons!$A$3:$A$1000)*1,("Var_Fin"=[1]OUT_TransportEnergyCons!$B$3:$B$1000)*1,ISNUMBER(SEARCH("DSL",[1]OUT_TransportEnergyCons!$C$3:$C$1000))*1,[1]OUT_TransportEnergyCons!J$3:J$1000)</f>
        <v>0.30423065903977214</v>
      </c>
      <c r="M1195" s="1" cm="1">
        <f t="array" ref="M1195">SUMPRODUCT(("T_C-MHY-DSL-S1"=[1]OUT_TransportEnergyCons!$A$3:$A$1000)*1,("Var_Fin"=[1]OUT_TransportEnergyCons!$B$3:$B$1000)*1,ISNUMBER(SEARCH("DSL",[1]OUT_TransportEnergyCons!$C$3:$C$1000))*1,[1]OUT_TransportEnergyCons!K$3:K$1000)</f>
        <v>0.11315568845288727</v>
      </c>
      <c r="N1195" s="1" cm="1">
        <f t="array" ref="N1195">SUMPRODUCT(("T_C-MHY-DSL-S1"=[1]OUT_TransportEnergyCons!$A$3:$A$1000)*1,("Var_Fin"=[1]OUT_TransportEnergyCons!$B$3:$B$1000)*1,ISNUMBER(SEARCH("DSL",[1]OUT_TransportEnergyCons!$C$3:$C$1000))*1,[1]OUT_TransportEnergyCons!L$3:L$1000)</f>
        <v>1.6752036553941113E-2</v>
      </c>
      <c r="O1195" s="1" cm="1">
        <f t="array" ref="O1195">SUMPRODUCT(("T_C-MHY-DSL-S1"=[1]OUT_TransportEnergyCons!$A$3:$A$1000)*1,("Var_Fin"=[1]OUT_TransportEnergyCons!$B$3:$B$1000)*1,ISNUMBER(SEARCH("DSL",[1]OUT_TransportEnergyCons!$C$3:$C$1000))*1,[1]OUT_TransportEnergyCons!M$3:M$1000)</f>
        <v>2.9487766048204109E-3</v>
      </c>
      <c r="P1195" s="1" cm="1">
        <f t="array" ref="P1195">SUMPRODUCT(("T_C-MHY-DSL-S1"=[1]OUT_TransportEnergyCons!$A$3:$A$1000)*1,("Var_Fin"=[1]OUT_TransportEnergyCons!$B$3:$B$1000)*1,ISNUMBER(SEARCH("DSL",[1]OUT_TransportEnergyCons!$C$3:$C$1000))*1,[1]OUT_TransportEnergyCons!N$3:N$1000)</f>
        <v>3.280254846326078E-3</v>
      </c>
      <c r="Q1195" s="1" cm="1">
        <f t="array" ref="Q1195">SUMPRODUCT(("T_C-MHY-DSL-S1"=[1]OUT_TransportEnergyCons!$A$3:$A$1000)*1,("Var_Fin"=[1]OUT_TransportEnergyCons!$B$3:$B$1000)*1,ISNUMBER(SEARCH("DSL",[1]OUT_TransportEnergyCons!$C$3:$C$1000))*1,[1]OUT_TransportEnergyCons!O$3:O$1000)</f>
        <v>3.4256251765462718E-3</v>
      </c>
      <c r="S1195" s="3"/>
    </row>
    <row r="1196" spans="2:19" x14ac:dyDescent="0.5">
      <c r="B1196" s="5" t="str">
        <f t="shared" si="1358"/>
        <v>SPS1</v>
      </c>
      <c r="C1196" s="5" t="str">
        <f t="shared" si="1359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1.2306062983338643E-3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8.5722800713874739E-3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1.8048592295067268E-2</v>
      </c>
      <c r="J1196" s="1" cm="1">
        <f t="array" ref="J1196">SUMPRODUCT(("T_C-MHY-DSL-S2"=[1]OUT_TransportEnergyCons!$A$3:$A$1000)*1,("Var_Fin"=[1]OUT_TransportEnergyCons!$B$3:$B$1000)*1,ISNUMBER(SEARCH("DSL",[1]OUT_TransportEnergyCons!$C$3:$C$1000))*1,[1]OUT_TransportEnergyCons!H$3:H$1000)</f>
        <v>3.9919181135563891E-2</v>
      </c>
      <c r="K1196" s="1" cm="1">
        <f t="array" ref="K1196">SUMPRODUCT(("T_C-MHY-DSL-S2"=[1]OUT_TransportEnergyCons!$A$3:$A$1000)*1,("Var_Fin"=[1]OUT_TransportEnergyCons!$B$3:$B$1000)*1,ISNUMBER(SEARCH("DSL",[1]OUT_TransportEnergyCons!$C$3:$C$1000))*1,[1]OUT_TransportEnergyCons!I$3:I$1000)</f>
        <v>4.2096895011052529E-2</v>
      </c>
      <c r="L1196" s="1" cm="1">
        <f t="array" ref="L1196">SUMPRODUCT(("T_C-MHY-DSL-S2"=[1]OUT_TransportEnergyCons!$A$3:$A$1000)*1,("Var_Fin"=[1]OUT_TransportEnergyCons!$B$3:$B$1000)*1,ISNUMBER(SEARCH("DSL",[1]OUT_TransportEnergyCons!$C$3:$C$1000))*1,[1]OUT_TransportEnergyCons!J$3:J$1000)</f>
        <v>2.4626461920820689E-2</v>
      </c>
      <c r="M1196" s="1" cm="1">
        <f t="array" ref="M1196">SUMPRODUCT(("T_C-MHY-DSL-S2"=[1]OUT_TransportEnergyCons!$A$3:$A$1000)*1,("Var_Fin"=[1]OUT_TransportEnergyCons!$B$3:$B$1000)*1,ISNUMBER(SEARCH("DSL",[1]OUT_TransportEnergyCons!$C$3:$C$1000))*1,[1]OUT_TransportEnergyCons!K$3:K$1000)</f>
        <v>1.1695202720315965E-2</v>
      </c>
      <c r="N1196" s="1" cm="1">
        <f t="array" ref="N1196">SUMPRODUCT(("T_C-MHY-DSL-S2"=[1]OUT_TransportEnergyCons!$A$3:$A$1000)*1,("Var_Fin"=[1]OUT_TransportEnergyCons!$B$3:$B$1000)*1,ISNUMBER(SEARCH("DSL",[1]OUT_TransportEnergyCons!$C$3:$C$1000))*1,[1]OUT_TransportEnergyCons!L$3:L$1000)</f>
        <v>7.4088669409532754E-3</v>
      </c>
      <c r="O1196" s="1" cm="1">
        <f t="array" ref="O1196">SUMPRODUCT(("T_C-MHY-DSL-S2"=[1]OUT_TransportEnergyCons!$A$3:$A$1000)*1,("Var_Fin"=[1]OUT_TransportEnergyCons!$B$3:$B$1000)*1,ISNUMBER(SEARCH("DSL",[1]OUT_TransportEnergyCons!$C$3:$C$1000))*1,[1]OUT_TransportEnergyCons!M$3:M$1000)</f>
        <v>8.8477653647180913E-3</v>
      </c>
      <c r="P1196" s="1" cm="1">
        <f t="array" ref="P1196">SUMPRODUCT(("T_C-MHY-DSL-S2"=[1]OUT_TransportEnergyCons!$A$3:$A$1000)*1,("Var_Fin"=[1]OUT_TransportEnergyCons!$B$3:$B$1000)*1,ISNUMBER(SEARCH("DSL",[1]OUT_TransportEnergyCons!$C$3:$C$1000))*1,[1]OUT_TransportEnergyCons!N$3:N$1000)</f>
        <v>1.2093528364234222E-2</v>
      </c>
      <c r="Q1196" s="1" cm="1">
        <f t="array" ref="Q1196">SUMPRODUCT(("T_C-MHY-DSL-S2"=[1]OUT_TransportEnergyCons!$A$3:$A$1000)*1,("Var_Fin"=[1]OUT_TransportEnergyCons!$B$3:$B$1000)*1,ISNUMBER(SEARCH("DSL",[1]OUT_TransportEnergyCons!$C$3:$C$1000))*1,[1]OUT_TransportEnergyCons!O$3:O$1000)</f>
        <v>1.6191615455792979E-2</v>
      </c>
      <c r="S1196" s="3"/>
    </row>
    <row r="1197" spans="2:19" x14ac:dyDescent="0.5">
      <c r="B1197" s="5" t="str">
        <f t="shared" si="1358"/>
        <v>SPS1</v>
      </c>
      <c r="C1197" s="5" t="str">
        <f t="shared" si="1359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1.8500793296518862E-3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7.4454002472561604E-3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1.4268950954502457E-2</v>
      </c>
      <c r="J1197" s="1" cm="1">
        <f t="array" ref="J1197">SUMPRODUCT(("T_C-MHY-DSL-S3"=[1]OUT_TransportEnergyCons!$A$3:$A$1000)*1,("Var_Fin"=[1]OUT_TransportEnergyCons!$B$3:$B$1000)*1,ISNUMBER(SEARCH("DSL",[1]OUT_TransportEnergyCons!$C$3:$C$1000))*1,[1]OUT_TransportEnergyCons!H$3:H$1000)</f>
        <v>0.12871359352591241</v>
      </c>
      <c r="K1197" s="1" cm="1">
        <f t="array" ref="K1197">SUMPRODUCT(("T_C-MHY-DSL-S3"=[1]OUT_TransportEnergyCons!$A$3:$A$1000)*1,("Var_Fin"=[1]OUT_TransportEnergyCons!$B$3:$B$1000)*1,ISNUMBER(SEARCH("DSL",[1]OUT_TransportEnergyCons!$C$3:$C$1000))*1,[1]OUT_TransportEnergyCons!I$3:I$1000)</f>
        <v>1.0534601769285088</v>
      </c>
      <c r="L1197" s="1" cm="1">
        <f t="array" ref="L1197">SUMPRODUCT(("T_C-MHY-DSL-S3"=[1]OUT_TransportEnergyCons!$A$3:$A$1000)*1,("Var_Fin"=[1]OUT_TransportEnergyCons!$B$3:$B$1000)*1,ISNUMBER(SEARCH("DSL",[1]OUT_TransportEnergyCons!$C$3:$C$1000))*1,[1]OUT_TransportEnergyCons!J$3:J$1000)</f>
        <v>2.0172547574540771</v>
      </c>
      <c r="M1197" s="1" cm="1">
        <f t="array" ref="M1197">SUMPRODUCT(("T_C-MHY-DSL-S3"=[1]OUT_TransportEnergyCons!$A$3:$A$1000)*1,("Var_Fin"=[1]OUT_TransportEnergyCons!$B$3:$B$1000)*1,ISNUMBER(SEARCH("DSL",[1]OUT_TransportEnergyCons!$C$3:$C$1000))*1,[1]OUT_TransportEnergyCons!K$3:K$1000)</f>
        <v>2.1943125391152352</v>
      </c>
      <c r="N1197" s="1" cm="1">
        <f t="array" ref="N1197">SUMPRODUCT(("T_C-MHY-DSL-S3"=[1]OUT_TransportEnergyCons!$A$3:$A$1000)*1,("Var_Fin"=[1]OUT_TransportEnergyCons!$B$3:$B$1000)*1,ISNUMBER(SEARCH("DSL",[1]OUT_TransportEnergyCons!$C$3:$C$1000))*1,[1]OUT_TransportEnergyCons!L$3:L$1000)</f>
        <v>2.210774734356983</v>
      </c>
      <c r="O1197" s="1" cm="1">
        <f t="array" ref="O1197">SUMPRODUCT(("T_C-MHY-DSL-S3"=[1]OUT_TransportEnergyCons!$A$3:$A$1000)*1,("Var_Fin"=[1]OUT_TransportEnergyCons!$B$3:$B$1000)*1,ISNUMBER(SEARCH("DSL",[1]OUT_TransportEnergyCons!$C$3:$C$1000))*1,[1]OUT_TransportEnergyCons!M$3:M$1000)</f>
        <v>2.1626260742897037</v>
      </c>
      <c r="P1197" s="1" cm="1">
        <f t="array" ref="P1197">SUMPRODUCT(("T_C-MHY-DSL-S3"=[1]OUT_TransportEnergyCons!$A$3:$A$1000)*1,("Var_Fin"=[1]OUT_TransportEnergyCons!$B$3:$B$1000)*1,ISNUMBER(SEARCH("DSL",[1]OUT_TransportEnergyCons!$C$3:$C$1000))*1,[1]OUT_TransportEnergyCons!N$3:N$1000)</f>
        <v>2.1059291433509086</v>
      </c>
      <c r="Q1197" s="1" cm="1">
        <f t="array" ref="Q1197">SUMPRODUCT(("T_C-MHY-DSL-S3"=[1]OUT_TransportEnergyCons!$A$3:$A$1000)*1,("Var_Fin"=[1]OUT_TransportEnergyCons!$B$3:$B$1000)*1,ISNUMBER(SEARCH("DSL",[1]OUT_TransportEnergyCons!$C$3:$C$1000))*1,[1]OUT_TransportEnergyCons!O$3:O$1000)</f>
        <v>2.0715894513942676</v>
      </c>
      <c r="S1197" s="3"/>
    </row>
    <row r="1198" spans="2:19" x14ac:dyDescent="0.5">
      <c r="B1198" s="5" t="str">
        <f t="shared" si="1358"/>
        <v>SPS1</v>
      </c>
      <c r="C1198" s="5" t="str">
        <f t="shared" si="1359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1.1874045506907746E-3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3.1186602543624752E-3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4.6640420191858606E-3</v>
      </c>
      <c r="J1198" s="1" cm="1">
        <f t="array" ref="J1198">SUMPRODUCT(("T_C-MHY-DSL-S4"=[1]OUT_TransportEnergyCons!$A$3:$A$1000)*1,("Var_Fin"=[1]OUT_TransportEnergyCons!$B$3:$B$1000)*1,ISNUMBER(SEARCH("DSL",[1]OUT_TransportEnergyCons!$C$3:$C$1000))*1,[1]OUT_TransportEnergyCons!H$3:H$1000)</f>
        <v>6.8359188224923909E-3</v>
      </c>
      <c r="K1198" s="1" cm="1">
        <f t="array" ref="K1198">SUMPRODUCT(("T_C-MHY-DSL-S4"=[1]OUT_TransportEnergyCons!$A$3:$A$1000)*1,("Var_Fin"=[1]OUT_TransportEnergyCons!$B$3:$B$1000)*1,ISNUMBER(SEARCH("DSL",[1]OUT_TransportEnergyCons!$C$3:$C$1000))*1,[1]OUT_TransportEnergyCons!I$3:I$1000)</f>
        <v>1.3289541569616981E-2</v>
      </c>
      <c r="L1198" s="1" cm="1">
        <f t="array" ref="L1198">SUMPRODUCT(("T_C-MHY-DSL-S4"=[1]OUT_TransportEnergyCons!$A$3:$A$1000)*1,("Var_Fin"=[1]OUT_TransportEnergyCons!$B$3:$B$1000)*1,ISNUMBER(SEARCH("DSL",[1]OUT_TransportEnergyCons!$C$3:$C$1000))*1,[1]OUT_TransportEnergyCons!J$3:J$1000)</f>
        <v>1.7616840631495413E-2</v>
      </c>
      <c r="M1198" s="1" cm="1">
        <f t="array" ref="M1198">SUMPRODUCT(("T_C-MHY-DSL-S4"=[1]OUT_TransportEnergyCons!$A$3:$A$1000)*1,("Var_Fin"=[1]OUT_TransportEnergyCons!$B$3:$B$1000)*1,ISNUMBER(SEARCH("DSL",[1]OUT_TransportEnergyCons!$C$3:$C$1000))*1,[1]OUT_TransportEnergyCons!K$3:K$1000)</f>
        <v>2.6120280148918144E-2</v>
      </c>
      <c r="N1198" s="1" cm="1">
        <f t="array" ref="N1198">SUMPRODUCT(("T_C-MHY-DSL-S4"=[1]OUT_TransportEnergyCons!$A$3:$A$1000)*1,("Var_Fin"=[1]OUT_TransportEnergyCons!$B$3:$B$1000)*1,ISNUMBER(SEARCH("DSL",[1]OUT_TransportEnergyCons!$C$3:$C$1000))*1,[1]OUT_TransportEnergyCons!L$3:L$1000)</f>
        <v>2.758510091736081E-2</v>
      </c>
      <c r="O1198" s="1" cm="1">
        <f t="array" ref="O1198">SUMPRODUCT(("T_C-MHY-DSL-S4"=[1]OUT_TransportEnergyCons!$A$3:$A$1000)*1,("Var_Fin"=[1]OUT_TransportEnergyCons!$B$3:$B$1000)*1,ISNUMBER(SEARCH("DSL",[1]OUT_TransportEnergyCons!$C$3:$C$1000))*1,[1]OUT_TransportEnergyCons!M$3:M$1000)</f>
        <v>2.1413714543683075E-2</v>
      </c>
      <c r="P1198" s="1" cm="1">
        <f t="array" ref="P1198">SUMPRODUCT(("T_C-MHY-DSL-S4"=[1]OUT_TransportEnergyCons!$A$3:$A$1000)*1,("Var_Fin"=[1]OUT_TransportEnergyCons!$B$3:$B$1000)*1,ISNUMBER(SEARCH("DSL",[1]OUT_TransportEnergyCons!$C$3:$C$1000))*1,[1]OUT_TransportEnergyCons!N$3:N$1000)</f>
        <v>1.1369723202128047E-2</v>
      </c>
      <c r="Q1198" s="1" cm="1">
        <f t="array" ref="Q1198">SUMPRODUCT(("T_C-MHY-DSL-S4"=[1]OUT_TransportEnergyCons!$A$3:$A$1000)*1,("Var_Fin"=[1]OUT_TransportEnergyCons!$B$3:$B$1000)*1,ISNUMBER(SEARCH("DSL",[1]OUT_TransportEnergyCons!$C$3:$C$1000))*1,[1]OUT_TransportEnergyCons!O$3:O$1000)</f>
        <v>1.1985428513811406E-2</v>
      </c>
      <c r="S1198" s="3"/>
    </row>
    <row r="1199" spans="2:19" x14ac:dyDescent="0.5">
      <c r="B1199" s="5" t="str">
        <f t="shared" si="1358"/>
        <v>SPS1</v>
      </c>
      <c r="C1199" s="5" t="str">
        <f t="shared" si="1359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1.8087501610701822E-5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1.6287139609014341E-3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2.3537704774466602E-3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2.7814619220202018E-3</v>
      </c>
      <c r="J1199" s="1" cm="1">
        <f t="array" ref="J1199">SUMPRODUCT(("T-Plg-DSL-mix_S1"=[1]OUT_TransportEnergyCons!$A$3:$A$1000)*1,("Var_Fin"=[1]OUT_TransportEnergyCons!$B$3:$B$1000)*1,ISNUMBER(SEARCH("DSL",[1]OUT_TransportEnergyCons!$C$3:$C$1000))*1,[1]OUT_TransportEnergyCons!H$3:H$1000)</f>
        <v>3.4608036759091465E-3</v>
      </c>
      <c r="K1199" s="1" cm="1">
        <f t="array" ref="K1199">SUMPRODUCT(("T-Plg-DSL-mix_S1"=[1]OUT_TransportEnergyCons!$A$3:$A$1000)*1,("Var_Fin"=[1]OUT_TransportEnergyCons!$B$3:$B$1000)*1,ISNUMBER(SEARCH("DSL",[1]OUT_TransportEnergyCons!$C$3:$C$1000))*1,[1]OUT_TransportEnergyCons!I$3:I$1000)</f>
        <v>4.9387303646862418E-3</v>
      </c>
      <c r="L1199" s="1" cm="1">
        <f t="array" ref="L1199">SUMPRODUCT(("T-Plg-DSL-mix_S1"=[1]OUT_TransportEnergyCons!$A$3:$A$1000)*1,("Var_Fin"=[1]OUT_TransportEnergyCons!$B$3:$B$1000)*1,ISNUMBER(SEARCH("DSL",[1]OUT_TransportEnergyCons!$C$3:$C$1000))*1,[1]OUT_TransportEnergyCons!J$3:J$1000)</f>
        <v>4.8185187543751977E-3</v>
      </c>
      <c r="M1199" s="1" cm="1">
        <f t="array" ref="M1199">SUMPRODUCT(("T-Plg-DSL-mix_S1"=[1]OUT_TransportEnergyCons!$A$3:$A$1000)*1,("Var_Fin"=[1]OUT_TransportEnergyCons!$B$3:$B$1000)*1,ISNUMBER(SEARCH("DSL",[1]OUT_TransportEnergyCons!$C$3:$C$1000))*1,[1]OUT_TransportEnergyCons!K$3:K$1000)</f>
        <v>6.7163142801004586E-3</v>
      </c>
      <c r="N1199" s="1" cm="1">
        <f t="array" ref="N1199">SUMPRODUCT(("T-Plg-DSL-mix_S1"=[1]OUT_TransportEnergyCons!$A$3:$A$1000)*1,("Var_Fin"=[1]OUT_TransportEnergyCons!$B$3:$B$1000)*1,ISNUMBER(SEARCH("DSL",[1]OUT_TransportEnergyCons!$C$3:$C$1000))*1,[1]OUT_TransportEnergyCons!L$3:L$1000)</f>
        <v>4.9406153495960203E-3</v>
      </c>
      <c r="O1199" s="1" cm="1">
        <f t="array" ref="O1199">SUMPRODUCT(("T-Plg-DSL-mix_S1"=[1]OUT_TransportEnergyCons!$A$3:$A$1000)*1,("Var_Fin"=[1]OUT_TransportEnergyCons!$B$3:$B$1000)*1,ISNUMBER(SEARCH("DSL",[1]OUT_TransportEnergyCons!$C$3:$C$1000))*1,[1]OUT_TransportEnergyCons!M$3:M$1000)</f>
        <v>1.8130615912498977E-3</v>
      </c>
      <c r="P1199" s="1" cm="1">
        <f t="array" ref="P1199">SUMPRODUCT(("T-Plg-DSL-mix_S1"=[1]OUT_TransportEnergyCons!$A$3:$A$1000)*1,("Var_Fin"=[1]OUT_TransportEnergyCons!$B$3:$B$1000)*1,ISNUMBER(SEARCH("DSL",[1]OUT_TransportEnergyCons!$C$3:$C$1000))*1,[1]OUT_TransportEnergyCons!N$3:N$1000)</f>
        <v>8.3987548743063363E-4</v>
      </c>
      <c r="Q1199" s="1" cm="1">
        <f t="array" ref="Q1199">SUMPRODUCT(("T-Plg-DSL-mix_S1"=[1]OUT_TransportEnergyCons!$A$3:$A$1000)*1,("Var_Fin"=[1]OUT_TransportEnergyCons!$B$3:$B$1000)*1,ISNUMBER(SEARCH("DSL",[1]OUT_TransportEnergyCons!$C$3:$C$1000))*1,[1]OUT_TransportEnergyCons!O$3:O$1000)</f>
        <v>6.2957625933018695E-4</v>
      </c>
      <c r="S1199" s="3"/>
    </row>
    <row r="1200" spans="2:19" x14ac:dyDescent="0.5">
      <c r="B1200" s="5" t="str">
        <f t="shared" si="1358"/>
        <v>SPS1</v>
      </c>
      <c r="C1200" s="5" t="str">
        <f t="shared" si="1359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1.1013037950719145E-5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2.0023818187617616E-3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9.8585335223100052E-3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1.1862616939869964E-2</v>
      </c>
      <c r="J1200" s="1" cm="1">
        <f t="array" ref="J1200">SUMPRODUCT(("T-Plg-DSL-mix_S2"=[1]OUT_TransportEnergyCons!$A$3:$A$1000)*1,("Var_Fin"=[1]OUT_TransportEnergyCons!$B$3:$B$1000)*1,ISNUMBER(SEARCH("DSL",[1]OUT_TransportEnergyCons!$C$3:$C$1000))*1,[1]OUT_TransportEnergyCons!H$3:H$1000)</f>
        <v>2.5400013646931553E-2</v>
      </c>
      <c r="K1200" s="1" cm="1">
        <f t="array" ref="K1200">SUMPRODUCT(("T-Plg-DSL-mix_S2"=[1]OUT_TransportEnergyCons!$A$3:$A$1000)*1,("Var_Fin"=[1]OUT_TransportEnergyCons!$B$3:$B$1000)*1,ISNUMBER(SEARCH("DSL",[1]OUT_TransportEnergyCons!$C$3:$C$1000))*1,[1]OUT_TransportEnergyCons!I$3:I$1000)</f>
        <v>2.9024429549764589E-2</v>
      </c>
      <c r="L1200" s="1" cm="1">
        <f t="array" ref="L1200">SUMPRODUCT(("T-Plg-DSL-mix_S2"=[1]OUT_TransportEnergyCons!$A$3:$A$1000)*1,("Var_Fin"=[1]OUT_TransportEnergyCons!$B$3:$B$1000)*1,ISNUMBER(SEARCH("DSL",[1]OUT_TransportEnergyCons!$C$3:$C$1000))*1,[1]OUT_TransportEnergyCons!J$3:J$1000)</f>
        <v>2.3565318160652143E-2</v>
      </c>
      <c r="M1200" s="1" cm="1">
        <f t="array" ref="M1200">SUMPRODUCT(("T-Plg-DSL-mix_S2"=[1]OUT_TransportEnergyCons!$A$3:$A$1000)*1,("Var_Fin"=[1]OUT_TransportEnergyCons!$B$3:$B$1000)*1,ISNUMBER(SEARCH("DSL",[1]OUT_TransportEnergyCons!$C$3:$C$1000))*1,[1]OUT_TransportEnergyCons!K$3:K$1000)</f>
        <v>1.965392353921985E-2</v>
      </c>
      <c r="N1200" s="1" cm="1">
        <f t="array" ref="N1200">SUMPRODUCT(("T-Plg-DSL-mix_S2"=[1]OUT_TransportEnergyCons!$A$3:$A$1000)*1,("Var_Fin"=[1]OUT_TransportEnergyCons!$B$3:$B$1000)*1,ISNUMBER(SEARCH("DSL",[1]OUT_TransportEnergyCons!$C$3:$C$1000))*1,[1]OUT_TransportEnergyCons!L$3:L$1000)</f>
        <v>1.2584789297158528E-2</v>
      </c>
      <c r="O1200" s="1" cm="1">
        <f t="array" ref="O1200">SUMPRODUCT(("T-Plg-DSL-mix_S2"=[1]OUT_TransportEnergyCons!$A$3:$A$1000)*1,("Var_Fin"=[1]OUT_TransportEnergyCons!$B$3:$B$1000)*1,ISNUMBER(SEARCH("DSL",[1]OUT_TransportEnergyCons!$C$3:$C$1000))*1,[1]OUT_TransportEnergyCons!M$3:M$1000)</f>
        <v>7.0854674495062159E-3</v>
      </c>
      <c r="P1200" s="1" cm="1">
        <f t="array" ref="P1200">SUMPRODUCT(("T-Plg-DSL-mix_S2"=[1]OUT_TransportEnergyCons!$A$3:$A$1000)*1,("Var_Fin"=[1]OUT_TransportEnergyCons!$B$3:$B$1000)*1,ISNUMBER(SEARCH("DSL",[1]OUT_TransportEnergyCons!$C$3:$C$1000))*1,[1]OUT_TransportEnergyCons!N$3:N$1000)</f>
        <v>2.1178326140366692E-3</v>
      </c>
      <c r="Q1200" s="1" cm="1">
        <f t="array" ref="Q1200">SUMPRODUCT(("T-Plg-DSL-mix_S2"=[1]OUT_TransportEnergyCons!$A$3:$A$1000)*1,("Var_Fin"=[1]OUT_TransportEnergyCons!$B$3:$B$1000)*1,ISNUMBER(SEARCH("DSL",[1]OUT_TransportEnergyCons!$C$3:$C$1000))*1,[1]OUT_TransportEnergyCons!O$3:O$1000)</f>
        <v>1.1337929224732033E-3</v>
      </c>
      <c r="S1200" s="3"/>
    </row>
    <row r="1201" spans="2:19" x14ac:dyDescent="0.5">
      <c r="B1201" s="5" t="str">
        <f t="shared" si="1358"/>
        <v>SPS1</v>
      </c>
      <c r="C1201" s="5" t="str">
        <f t="shared" si="1359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1.1342558896685714E-4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0.8026558774029261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2.2096945961256496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7.1360133112183757</v>
      </c>
      <c r="J1201" s="1" cm="1">
        <f t="array" ref="J1201">SUMPRODUCT(("T-Plg-DSL-mix_S3"=[1]OUT_TransportEnergyCons!$A$3:$A$1000)*1,("Var_Fin"=[1]OUT_TransportEnergyCons!$B$3:$B$1000)*1,ISNUMBER(SEARCH("DSL",[1]OUT_TransportEnergyCons!$C$3:$C$1000))*1,[1]OUT_TransportEnergyCons!H$3:H$1000)</f>
        <v>10.15732820467101</v>
      </c>
      <c r="K1201" s="1" cm="1">
        <f t="array" ref="K1201">SUMPRODUCT(("T-Plg-DSL-mix_S3"=[1]OUT_TransportEnergyCons!$A$3:$A$1000)*1,("Var_Fin"=[1]OUT_TransportEnergyCons!$B$3:$B$1000)*1,ISNUMBER(SEARCH("DSL",[1]OUT_TransportEnergyCons!$C$3:$C$1000))*1,[1]OUT_TransportEnergyCons!I$3:I$1000)</f>
        <v>6.4385145115186617</v>
      </c>
      <c r="L1201" s="1" cm="1">
        <f t="array" ref="L1201">SUMPRODUCT(("T-Plg-DSL-mix_S3"=[1]OUT_TransportEnergyCons!$A$3:$A$1000)*1,("Var_Fin"=[1]OUT_TransportEnergyCons!$B$3:$B$1000)*1,ISNUMBER(SEARCH("DSL",[1]OUT_TransportEnergyCons!$C$3:$C$1000))*1,[1]OUT_TransportEnergyCons!J$3:J$1000)</f>
        <v>3.2021033097234941</v>
      </c>
      <c r="M1201" s="1" cm="1">
        <f t="array" ref="M1201">SUMPRODUCT(("T-Plg-DSL-mix_S3"=[1]OUT_TransportEnergyCons!$A$3:$A$1000)*1,("Var_Fin"=[1]OUT_TransportEnergyCons!$B$3:$B$1000)*1,ISNUMBER(SEARCH("DSL",[1]OUT_TransportEnergyCons!$C$3:$C$1000))*1,[1]OUT_TransportEnergyCons!K$3:K$1000)</f>
        <v>2.1626154833349731</v>
      </c>
      <c r="N1201" s="1" cm="1">
        <f t="array" ref="N1201">SUMPRODUCT(("T-Plg-DSL-mix_S3"=[1]OUT_TransportEnergyCons!$A$3:$A$1000)*1,("Var_Fin"=[1]OUT_TransportEnergyCons!$B$3:$B$1000)*1,ISNUMBER(SEARCH("DSL",[1]OUT_TransportEnergyCons!$C$3:$C$1000))*1,[1]OUT_TransportEnergyCons!L$3:L$1000)</f>
        <v>1.2003268978035253</v>
      </c>
      <c r="O1201" s="1" cm="1">
        <f t="array" ref="O1201">SUMPRODUCT(("T-Plg-DSL-mix_S3"=[1]OUT_TransportEnergyCons!$A$3:$A$1000)*1,("Var_Fin"=[1]OUT_TransportEnergyCons!$B$3:$B$1000)*1,ISNUMBER(SEARCH("DSL",[1]OUT_TransportEnergyCons!$C$3:$C$1000))*1,[1]OUT_TransportEnergyCons!M$3:M$1000)</f>
        <v>0.5826424276616019</v>
      </c>
      <c r="P1201" s="1" cm="1">
        <f t="array" ref="P1201">SUMPRODUCT(("T-Plg-DSL-mix_S3"=[1]OUT_TransportEnergyCons!$A$3:$A$1000)*1,("Var_Fin"=[1]OUT_TransportEnergyCons!$B$3:$B$1000)*1,ISNUMBER(SEARCH("DSL",[1]OUT_TransportEnergyCons!$C$3:$C$1000))*1,[1]OUT_TransportEnergyCons!N$3:N$1000)</f>
        <v>8.1544965283505438E-2</v>
      </c>
      <c r="Q1201" s="1" cm="1">
        <f t="array" ref="Q1201">SUMPRODUCT(("T-Plg-DSL-mix_S3"=[1]OUT_TransportEnergyCons!$A$3:$A$1000)*1,("Var_Fin"=[1]OUT_TransportEnergyCons!$B$3:$B$1000)*1,ISNUMBER(SEARCH("DSL",[1]OUT_TransportEnergyCons!$C$3:$C$1000))*1,[1]OUT_TransportEnergyCons!O$3:O$1000)</f>
        <v>1.2929231447370657E-3</v>
      </c>
      <c r="S1201" s="3"/>
    </row>
    <row r="1202" spans="2:19" x14ac:dyDescent="0.5">
      <c r="B1202" s="5" t="str">
        <f t="shared" si="1358"/>
        <v>SPS1</v>
      </c>
      <c r="C1202" s="5" t="str">
        <f t="shared" si="1359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5.5297262162608283E-3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2.5365513377065219E-2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3.2947769431741221E-2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3.8125403563751381E-2</v>
      </c>
      <c r="J1202" s="1" cm="1">
        <f t="array" ref="J1202">SUMPRODUCT(("T-Plg-DSL-mix_S4"=[1]OUT_TransportEnergyCons!$A$3:$A$1000)*1,("Var_Fin"=[1]OUT_TransportEnergyCons!$B$3:$B$1000)*1,ISNUMBER(SEARCH("DSL",[1]OUT_TransportEnergyCons!$C$3:$C$1000))*1,[1]OUT_TransportEnergyCons!H$3:H$1000)</f>
        <v>2.2238293367673316</v>
      </c>
      <c r="K1202" s="1" cm="1">
        <f t="array" ref="K1202">SUMPRODUCT(("T-Plg-DSL-mix_S4"=[1]OUT_TransportEnergyCons!$A$3:$A$1000)*1,("Var_Fin"=[1]OUT_TransportEnergyCons!$B$3:$B$1000)*1,ISNUMBER(SEARCH("DSL",[1]OUT_TransportEnergyCons!$C$3:$C$1000))*1,[1]OUT_TransportEnergyCons!I$3:I$1000)</f>
        <v>4.3965837825969523</v>
      </c>
      <c r="L1202" s="1" cm="1">
        <f t="array" ref="L1202">SUMPRODUCT(("T-Plg-DSL-mix_S4"=[1]OUT_TransportEnergyCons!$A$3:$A$1000)*1,("Var_Fin"=[1]OUT_TransportEnergyCons!$B$3:$B$1000)*1,ISNUMBER(SEARCH("DSL",[1]OUT_TransportEnergyCons!$C$3:$C$1000))*1,[1]OUT_TransportEnergyCons!J$3:J$1000)</f>
        <v>3.8402180993071822</v>
      </c>
      <c r="M1202" s="1" cm="1">
        <f t="array" ref="M1202">SUMPRODUCT(("T-Plg-DSL-mix_S4"=[1]OUT_TransportEnergyCons!$A$3:$A$1000)*1,("Var_Fin"=[1]OUT_TransportEnergyCons!$B$3:$B$1000)*1,ISNUMBER(SEARCH("DSL",[1]OUT_TransportEnergyCons!$C$3:$C$1000))*1,[1]OUT_TransportEnergyCons!K$3:K$1000)</f>
        <v>2.2312648818001817</v>
      </c>
      <c r="N1202" s="1" cm="1">
        <f t="array" ref="N1202">SUMPRODUCT(("T-Plg-DSL-mix_S4"=[1]OUT_TransportEnergyCons!$A$3:$A$1000)*1,("Var_Fin"=[1]OUT_TransportEnergyCons!$B$3:$B$1000)*1,ISNUMBER(SEARCH("DSL",[1]OUT_TransportEnergyCons!$C$3:$C$1000))*1,[1]OUT_TransportEnergyCons!L$3:L$1000)</f>
        <v>2.0935467374414913</v>
      </c>
      <c r="O1202" s="1" cm="1">
        <f t="array" ref="O1202">SUMPRODUCT(("T-Plg-DSL-mix_S4"=[1]OUT_TransportEnergyCons!$A$3:$A$1000)*1,("Var_Fin"=[1]OUT_TransportEnergyCons!$B$3:$B$1000)*1,ISNUMBER(SEARCH("DSL",[1]OUT_TransportEnergyCons!$C$3:$C$1000))*1,[1]OUT_TransportEnergyCons!M$3:M$1000)</f>
        <v>2.5426832742729917</v>
      </c>
      <c r="P1202" s="1" cm="1">
        <f t="array" ref="P1202">SUMPRODUCT(("T-Plg-DSL-mix_S4"=[1]OUT_TransportEnergyCons!$A$3:$A$1000)*1,("Var_Fin"=[1]OUT_TransportEnergyCons!$B$3:$B$1000)*1,ISNUMBER(SEARCH("DSL",[1]OUT_TransportEnergyCons!$C$3:$C$1000))*1,[1]OUT_TransportEnergyCons!N$3:N$1000)</f>
        <v>3.2470770069679267</v>
      </c>
      <c r="Q1202" s="1" cm="1">
        <f t="array" ref="Q1202">SUMPRODUCT(("T-Plg-DSL-mix_S4"=[1]OUT_TransportEnergyCons!$A$3:$A$1000)*1,("Var_Fin"=[1]OUT_TransportEnergyCons!$B$3:$B$1000)*1,ISNUMBER(SEARCH("DSL",[1]OUT_TransportEnergyCons!$C$3:$C$1000))*1,[1]OUT_TransportEnergyCons!O$3:O$1000)</f>
        <v>3.1711288516011003</v>
      </c>
      <c r="S1202" s="3"/>
    </row>
    <row r="1203" spans="2:19" x14ac:dyDescent="0.5">
      <c r="B1203" s="5" t="str">
        <f t="shared" si="1358"/>
        <v>SPS1</v>
      </c>
      <c r="C1203" s="5" t="str">
        <f t="shared" si="1359"/>
        <v>CH</v>
      </c>
      <c r="D1203" t="s">
        <v>1303</v>
      </c>
      <c r="E1203" t="s">
        <v>8</v>
      </c>
      <c r="F1203" s="1">
        <f>SUM(F1208:F1212)</f>
        <v>0.10948177113445169</v>
      </c>
      <c r="G1203" s="1">
        <f t="shared" ref="G1203:K1203" si="1388">SUM(G1208:G1212)</f>
        <v>8.9081761553026564E-2</v>
      </c>
      <c r="H1203" s="1">
        <f t="shared" si="1388"/>
        <v>9.9141162356180229E-2</v>
      </c>
      <c r="I1203" s="1">
        <f t="shared" si="1388"/>
        <v>8.6029456303798825E-4</v>
      </c>
      <c r="J1203" s="1">
        <f t="shared" si="1388"/>
        <v>5.9131710395079811E-4</v>
      </c>
      <c r="K1203" s="1">
        <f t="shared" si="1388"/>
        <v>5.6720511377990974E-4</v>
      </c>
      <c r="L1203" s="1">
        <f t="shared" ref="L1203:O1203" si="1389">SUM(L1208:L1212)</f>
        <v>5.5684583096011911E-4</v>
      </c>
      <c r="M1203" s="1">
        <f t="shared" si="1389"/>
        <v>5.2752124108697762E-4</v>
      </c>
      <c r="N1203" s="1">
        <f>SUM(N1208:N1212)</f>
        <v>4.647580451502039E-4</v>
      </c>
      <c r="O1203" s="1">
        <f t="shared" si="1389"/>
        <v>4.5073561771177096E-4</v>
      </c>
      <c r="P1203" s="1">
        <f>SUM(P1208:P1212)</f>
        <v>4.1885104256561323E-4</v>
      </c>
      <c r="Q1203" s="1">
        <f>SUM(Q1208:Q1212)</f>
        <v>4.311566985191269E-4</v>
      </c>
      <c r="S1203" s="3"/>
    </row>
    <row r="1204" spans="2:19" x14ac:dyDescent="0.5">
      <c r="B1204" s="5" t="str">
        <f t="shared" si="1358"/>
        <v>SPS1</v>
      </c>
      <c r="C1204" s="5" t="str">
        <f t="shared" si="1359"/>
        <v>CH</v>
      </c>
      <c r="D1204" t="s">
        <v>1335</v>
      </c>
      <c r="E1204" t="s">
        <v>8</v>
      </c>
      <c r="F1204" s="1">
        <f>IF(F1203-F1205&lt;0,0,F1203-F1205)</f>
        <v>0.10107128399768021</v>
      </c>
      <c r="G1204" s="1">
        <f t="shared" ref="G1204:K1204" si="1390">IF(G1203-G1205&lt;0,0,G1203-G1205)</f>
        <v>7.8130575550746345E-2</v>
      </c>
      <c r="H1204" s="1">
        <f t="shared" si="1390"/>
        <v>9.4555778919553302E-2</v>
      </c>
      <c r="I1204" s="1">
        <f t="shared" si="1390"/>
        <v>5.8586653926490139E-4</v>
      </c>
      <c r="J1204" s="1">
        <f t="shared" si="1390"/>
        <v>0</v>
      </c>
      <c r="K1204" s="1">
        <f t="shared" si="1390"/>
        <v>0</v>
      </c>
      <c r="L1204" s="1">
        <f t="shared" ref="L1204:O1204" si="1391">IF(L1203-L1205&lt;0,0,L1203-L1205)</f>
        <v>0</v>
      </c>
      <c r="M1204" s="1">
        <f t="shared" si="1391"/>
        <v>0</v>
      </c>
      <c r="N1204" s="1">
        <f>IF(N1203-N1205&lt;0,0,N1203-N1205)</f>
        <v>0</v>
      </c>
      <c r="O1204" s="1">
        <f t="shared" si="1391"/>
        <v>0</v>
      </c>
      <c r="P1204" s="1">
        <f>IF(P1203-P1205&lt;0,0,P1203-P1205)</f>
        <v>0</v>
      </c>
      <c r="Q1204" s="1">
        <f>IF(Q1203-Q1205&lt;0,0,Q1203-Q1205)</f>
        <v>0</v>
      </c>
      <c r="S1204" s="3"/>
    </row>
    <row r="1205" spans="2:19" x14ac:dyDescent="0.5">
      <c r="B1205" s="5" t="str">
        <f t="shared" si="1358"/>
        <v>SPS1</v>
      </c>
      <c r="C1205" s="5" t="str">
        <f t="shared" si="1359"/>
        <v>CH</v>
      </c>
      <c r="D1205" t="s">
        <v>1336</v>
      </c>
      <c r="E1205" t="s">
        <v>8</v>
      </c>
      <c r="F1205" s="1">
        <f>SUM(F1206:F1207)</f>
        <v>8.4104871367714721E-3</v>
      </c>
      <c r="G1205" s="1">
        <f t="shared" ref="G1205" si="1392">SUM(G1206:G1207)</f>
        <v>1.0951186002280212E-2</v>
      </c>
      <c r="H1205" s="1">
        <f t="shared" ref="H1205" si="1393">SUM(H1206:H1207)</f>
        <v>4.5853834366269223E-3</v>
      </c>
      <c r="I1205" s="1">
        <f t="shared" ref="I1205" si="1394">SUM(I1206:I1207)</f>
        <v>2.7442802377308681E-4</v>
      </c>
      <c r="J1205" s="1">
        <f t="shared" ref="J1205" si="1395">SUM(J1206:J1207)</f>
        <v>0.1278227655035121</v>
      </c>
      <c r="K1205" s="1">
        <f t="shared" ref="K1205" si="1396">SUM(K1206:K1207)</f>
        <v>0.17927047751222885</v>
      </c>
      <c r="L1205" s="1">
        <f t="shared" ref="L1205:O1205" si="1397">SUM(L1206:L1207)</f>
        <v>2.1813576423919262E-2</v>
      </c>
      <c r="M1205" s="1">
        <f t="shared" si="1397"/>
        <v>2.3940229886693285E-2</v>
      </c>
      <c r="N1205" s="1">
        <f t="shared" si="1397"/>
        <v>2.8006084884742304E-2</v>
      </c>
      <c r="O1205" s="1">
        <f t="shared" si="1397"/>
        <v>2.1531209797569187E-2</v>
      </c>
      <c r="P1205" s="1">
        <f>SUM(P1206:P1207)</f>
        <v>6.6514674279190902E-2</v>
      </c>
      <c r="Q1205" s="1">
        <f>SUM(Q1206:Q1207)</f>
        <v>1.8604952893458437E-2</v>
      </c>
      <c r="S1205" s="3"/>
    </row>
    <row r="1206" spans="2:19" x14ac:dyDescent="0.5">
      <c r="B1206" s="5" t="str">
        <f t="shared" si="1358"/>
        <v>SPS1</v>
      </c>
      <c r="C1206" s="5" t="str">
        <f t="shared" si="1359"/>
        <v>CH</v>
      </c>
      <c r="D1206" t="s">
        <v>1337</v>
      </c>
      <c r="E1206" t="s">
        <v>8</v>
      </c>
      <c r="F1206" s="1">
        <f>IF(SUM([1]Transport!B$24,[1]Transport!B$27)=0,0,[1]Transport!B$27/SUM([1]Transport!B$24,[1]Transport!B$27)*F1203*(F$47+F$614)/(F$47+F$614+F$49))</f>
        <v>8.4104871367714721E-3</v>
      </c>
      <c r="G1206" s="1">
        <f>IF(SUM([1]Transport!C$24,[1]Transport!C$27)=0,0,[1]Transport!C$27/SUM([1]Transport!C$24,[1]Transport!C$27)*G1203*(G$47+G$614)/(G$47+G$614+G$49))</f>
        <v>1.0951186002280212E-2</v>
      </c>
      <c r="H1206" s="1">
        <f>IF(SUM([1]Transport!D$24,[1]Transport!D$27)=0,0,[1]Transport!D$27/SUM([1]Transport!D$24,[1]Transport!D$27)*H1203*(H$47+H$614)/(H$47+H$614+H$49))</f>
        <v>4.5853834366269223E-3</v>
      </c>
      <c r="I1206" s="1">
        <f>IF(SUM([1]Transport!E$24,[1]Transport!E$27)=0,0,[1]Transport!E$27/SUM([1]Transport!E$24,[1]Transport!E$27)*I1203*(I$47+I$614)/(I$47+I$614+I$49))</f>
        <v>2.7442802377308681E-4</v>
      </c>
      <c r="J1206" s="1">
        <f>IF(SUM([1]Transport!F$24,[1]Transport!F$27)=0,0,[1]Transport!F$27/SUM([1]Transport!F$24,[1]Transport!F$27)*J1203*(J$47+J$614)/(J$47+J$614+J$49))</f>
        <v>1.7806090147702274E-4</v>
      </c>
      <c r="K1206" s="1">
        <f>IF(SUM([1]Transport!G$24,[1]Transport!G$27)=0,0,[1]Transport!G$27/SUM([1]Transport!G$24,[1]Transport!G$27)*K1203*(K$47+K$614)/(K$47+K$614+K$49))</f>
        <v>2.0694373165545887E-5</v>
      </c>
      <c r="L1206" s="1">
        <f>IF(SUM([1]Transport!H$24,[1]Transport!H$27)=0,0,[1]Transport!H$27/SUM([1]Transport!H$24,[1]Transport!H$27)*L1203*(L$47+L$614)/(L$47+L$614+L$49))</f>
        <v>2.8065198145650969E-5</v>
      </c>
      <c r="M1206" s="1">
        <f>IF(SUM([1]Transport!I$24,[1]Transport!I$27)=0,0,[1]Transport!I$27/SUM([1]Transport!I$24,[1]Transport!I$27)*M1203*(M$47+M$614)/(M$47+M$614+M$49))</f>
        <v>5.1799525832114786E-5</v>
      </c>
      <c r="N1206" s="1">
        <f>IF(SUM([1]Transport!J$24,[1]Transport!J$27)=0,0,[1]Transport!J$27/SUM([1]Transport!J$24,[1]Transport!J$27)*N1203*(N$47+N$614)/(N$47+N$614+N$49))</f>
        <v>3.069302386732529E-5</v>
      </c>
      <c r="O1206" s="1">
        <f>IF(SUM([1]Transport!K$24,[1]Transport!K$27)=0,0,[1]Transport!K$27/SUM([1]Transport!K$24,[1]Transport!K$27)*O1203*(O$47+O$614)/(O$47+O$614+O$49))</f>
        <v>4.835872537153769E-5</v>
      </c>
      <c r="P1206" s="1">
        <f>IF(SUM([1]Transport!L$24,[1]Transport!L$27)=0,0,[1]Transport!L$27/SUM([1]Transport!L$24,[1]Transport!L$27)*P1203*(P$47+P$614)/(P$47+P$614+P$49))</f>
        <v>3.6028495477619607E-5</v>
      </c>
      <c r="Q1206" s="1">
        <f>IF(SUM([1]Transport!M$24,[1]Transport!M$27)=0,0,[1]Transport!M$27/SUM([1]Transport!M$24,[1]Transport!M$27)*Q1203*(Q$47+Q$614)/(Q$47+Q$614+Q$49))</f>
        <v>6.9780774824453431E-5</v>
      </c>
      <c r="S1206" s="3"/>
    </row>
    <row r="1207" spans="2:19" x14ac:dyDescent="0.5">
      <c r="B1207" s="5" t="str">
        <f t="shared" si="1358"/>
        <v>SPS1</v>
      </c>
      <c r="C1207" s="5" t="str">
        <f t="shared" si="1359"/>
        <v>CH</v>
      </c>
      <c r="D1207" t="s">
        <v>1338</v>
      </c>
      <c r="E1207" t="s">
        <v>8</v>
      </c>
      <c r="F1207" s="1">
        <f>IF(([1]Transport!B$24+[1]Transport!B$27)=0,0,(F$49+F$716)/([1]Transport!B$24+[1]Transport!B$27)*F1203)</f>
        <v>0</v>
      </c>
      <c r="G1207" s="1">
        <f>IF(([1]Transport!C$24+[1]Transport!C$27)=0,0,(G$49+G$716)/([1]Transport!C$24+[1]Transport!C$27)*G1203)</f>
        <v>0</v>
      </c>
      <c r="H1207" s="1">
        <f>IF(([1]Transport!D$24+[1]Transport!D$27)=0,0,(H$49+H$716)/([1]Transport!D$24+[1]Transport!D$27)*H1203)</f>
        <v>0</v>
      </c>
      <c r="I1207" s="1">
        <f>IF(([1]Transport!E$24+[1]Transport!E$27)=0,0,(I$49+I$716)/([1]Transport!E$24+[1]Transport!E$27)*I1203)</f>
        <v>0</v>
      </c>
      <c r="J1207" s="1">
        <f>IF(([1]Transport!F$24+[1]Transport!F$27)=0,0,(J$49+J$716)/([1]Transport!F$24+[1]Transport!F$27)*J1203)</f>
        <v>0.12764470460203509</v>
      </c>
      <c r="K1207" s="1">
        <f>IF(([1]Transport!G$24+[1]Transport!G$27)=0,0,(K$49+K$716)/([1]Transport!G$24+[1]Transport!G$27)*K1203)</f>
        <v>0.17924978313906331</v>
      </c>
      <c r="L1207" s="1">
        <f>IF(([1]Transport!H$24+[1]Transport!H$27)=0,0,(L$49+L$716)/([1]Transport!H$24+[1]Transport!H$27)*L1203)</f>
        <v>2.1785511225773612E-2</v>
      </c>
      <c r="M1207" s="1">
        <f>IF(([1]Transport!I$24+[1]Transport!I$27)=0,0,(M$49+M$716)/([1]Transport!I$24+[1]Transport!I$27)*M1203)</f>
        <v>2.3888430360861169E-2</v>
      </c>
      <c r="N1207" s="1">
        <f>IF(([1]Transport!J$24+[1]Transport!J$27)=0,0,(N$49+N$716)/([1]Transport!J$24+[1]Transport!J$27)*N1203)</f>
        <v>2.7975391860874978E-2</v>
      </c>
      <c r="O1207" s="1">
        <f>IF(([1]Transport!K$24+[1]Transport!K$27)=0,0,(O$49+O$716)/([1]Transport!K$24+[1]Transport!K$27)*O1203)</f>
        <v>2.1482851072197648E-2</v>
      </c>
      <c r="P1207" s="1">
        <f>IF(([1]Transport!L$24+[1]Transport!L$27)=0,0,(P$49+P$716)/([1]Transport!L$24+[1]Transport!L$27)*P1203)</f>
        <v>6.6478645783713278E-2</v>
      </c>
      <c r="Q1207" s="1">
        <f>IF(([1]Transport!M$24+[1]Transport!M$27)=0,0,(Q$49+Q$716)/([1]Transport!M$24+[1]Transport!M$27)*Q1203)</f>
        <v>1.8535172118633984E-2</v>
      </c>
      <c r="S1207" s="3"/>
    </row>
    <row r="1208" spans="2:19" x14ac:dyDescent="0.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SUMPRODUCT(("T_C-ICENGAEXT"=[1]OUT_TransportEnergyCons!$A$3:$A$1000)*1,("Var_Fin"=[1]OUT_TransportEnergyCons!$B$3:$B$1000)*1,ISNUMBER(SEARCH("NGA",[1]OUT_TransportEnergyCons!$C$3:$C$1000))*1,[1]OUT_TransportEnergyCons!H$3:H$1000)</f>
        <v>0</v>
      </c>
      <c r="K1208" s="1" cm="1">
        <f t="array" ref="K1208">SUMPRODUCT(("T_C-ICENGAEXT"=[1]OUT_TransportEnergyCons!$A$3:$A$1000)*1,("Var_Fin"=[1]OUT_TransportEnergyCons!$B$3:$B$1000)*1,ISNUMBER(SEARCH("NGA",[1]OUT_TransportEnergyCons!$C$3:$C$1000))*1,[1]OUT_TransportEnergyCons!I$3:I$1000)</f>
        <v>0</v>
      </c>
      <c r="L1208" s="1" cm="1">
        <f t="array" ref="L1208">SUMPRODUCT(("T_C-ICENGAEXT"=[1]OUT_TransportEnergyCons!$A$3:$A$1000)*1,("Var_Fin"=[1]OUT_TransportEnergyCons!$B$3:$B$1000)*1,ISNUMBER(SEARCH("NGA",[1]OUT_TransportEnergyCons!$C$3:$C$1000))*1,[1]OUT_TransportEnergyCons!J$3:J$1000)</f>
        <v>0</v>
      </c>
      <c r="M1208" s="1" cm="1">
        <f t="array" ref="M1208">SUMPRODUCT(("T_C-ICENGAEXT"=[1]OUT_TransportEnergyCons!$A$3:$A$1000)*1,("Var_Fin"=[1]OUT_TransportEnergyCons!$B$3:$B$1000)*1,ISNUMBER(SEARCH("NGA",[1]OUT_TransportEnergyCons!$C$3:$C$1000))*1,[1]OUT_TransportEnergyCons!K$3:K$1000)</f>
        <v>0</v>
      </c>
      <c r="N1208" s="1" cm="1">
        <f t="array" ref="N1208">SUMPRODUCT(("T_C-ICENGAEXT"=[1]OUT_TransportEnergyCons!$A$3:$A$1000)*1,("Var_Fin"=[1]OUT_TransportEnergyCons!$B$3:$B$1000)*1,ISNUMBER(SEARCH("NGA",[1]OUT_TransportEnergyCons!$C$3:$C$1000))*1,[1]OUT_TransportEnergyCons!L$3:L$1000)</f>
        <v>0</v>
      </c>
      <c r="O1208" s="1" cm="1">
        <f t="array" ref="O1208">SUMPRODUCT(("T_C-ICENGAEXT"=[1]OUT_TransportEnergyCons!$A$3:$A$1000)*1,("Var_Fin"=[1]OUT_TransportEnergyCons!$B$3:$B$1000)*1,ISNUMBER(SEARCH("NGA",[1]OUT_TransportEnergyCons!$C$3:$C$1000))*1,[1]OUT_TransportEnergyCons!M$3:M$1000)</f>
        <v>0</v>
      </c>
      <c r="P1208" s="1" cm="1">
        <f t="array" ref="P1208">SUMPRODUCT(("T_C-ICENGAEXT"=[1]OUT_TransportEnergyCons!$A$3:$A$1000)*1,("Var_Fin"=[1]OUT_TransportEnergyCons!$B$3:$B$1000)*1,ISNUMBER(SEARCH("NGA",[1]OUT_TransportEnergyCons!$C$3:$C$1000))*1,[1]OUT_TransportEnergyCons!N$3:N$1000)</f>
        <v>0</v>
      </c>
      <c r="Q1208" s="1" cm="1">
        <f t="array" ref="Q1208">SUMPRODUCT(("T_C-ICENGAEXT"=[1]OUT_TransportEnergyCons!$A$3:$A$1000)*1,("Var_Fin"=[1]OUT_TransportEnergyCons!$B$3:$B$1000)*1,ISNUMBER(SEARCH("NGA",[1]OUT_TransportEnergyCons!$C$3:$C$1000))*1,[1]OUT_TransportEnergyCons!O$3:O$1000)</f>
        <v>0</v>
      </c>
      <c r="S1208" s="3"/>
    </row>
    <row r="1209" spans="2:19" x14ac:dyDescent="0.5">
      <c r="B1209" s="5" t="str">
        <f t="shared" si="1358"/>
        <v>SPS1</v>
      </c>
      <c r="C1209" s="5" t="str">
        <f t="shared" si="1359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3.494803820886318E-3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3.0001700917071934E-3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3.0514531809540946E-3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1.6566341998430949E-4</v>
      </c>
      <c r="J1209" s="1" cm="1">
        <f t="array" ref="J1209">SUMPRODUCT(("T_C-ICE-NGA-S1"=[1]OUT_TransportEnergyCons!$A$3:$A$1000)*1,("Var_Fin"=[1]OUT_TransportEnergyCons!$B$3:$B$1000)*1,ISNUMBER(SEARCH("NGA",[1]OUT_TransportEnergyCons!$C$3:$C$1000))*1,[1]OUT_TransportEnergyCons!H$3:H$1000)</f>
        <v>8.5468877614943705E-5</v>
      </c>
      <c r="K1209" s="1" cm="1">
        <f t="array" ref="K1209">SUMPRODUCT(("T_C-ICE-NGA-S1"=[1]OUT_TransportEnergyCons!$A$3:$A$1000)*1,("Var_Fin"=[1]OUT_TransportEnergyCons!$B$3:$B$1000)*1,ISNUMBER(SEARCH("NGA",[1]OUT_TransportEnergyCons!$C$3:$C$1000))*1,[1]OUT_TransportEnergyCons!I$3:I$1000)</f>
        <v>7.3575363394161401E-5</v>
      </c>
      <c r="L1209" s="1" cm="1">
        <f t="array" ref="L1209">SUMPRODUCT(("T_C-ICE-NGA-S1"=[1]OUT_TransportEnergyCons!$A$3:$A$1000)*1,("Var_Fin"=[1]OUT_TransportEnergyCons!$B$3:$B$1000)*1,ISNUMBER(SEARCH("NGA",[1]OUT_TransportEnergyCons!$C$3:$C$1000))*1,[1]OUT_TransportEnergyCons!J$3:J$1000)</f>
        <v>6.8158299715666301E-5</v>
      </c>
      <c r="M1209" s="1" cm="1">
        <f t="array" ref="M1209">SUMPRODUCT(("T_C-ICE-NGA-S1"=[1]OUT_TransportEnergyCons!$A$3:$A$1000)*1,("Var_Fin"=[1]OUT_TransportEnergyCons!$B$3:$B$1000)*1,ISNUMBER(SEARCH("NGA",[1]OUT_TransportEnergyCons!$C$3:$C$1000))*1,[1]OUT_TransportEnergyCons!K$3:K$1000)</f>
        <v>6.7729735218267494E-5</v>
      </c>
      <c r="N1209" s="1" cm="1">
        <f t="array" ref="N1209">SUMPRODUCT(("T_C-ICE-NGA-S1"=[1]OUT_TransportEnergyCons!$A$3:$A$1000)*1,("Var_Fin"=[1]OUT_TransportEnergyCons!$B$3:$B$1000)*1,ISNUMBER(SEARCH("NGA",[1]OUT_TransportEnergyCons!$C$3:$C$1000))*1,[1]OUT_TransportEnergyCons!L$3:L$1000)</f>
        <v>5.7952103304732543E-5</v>
      </c>
      <c r="O1209" s="1" cm="1">
        <f t="array" ref="O1209">SUMPRODUCT(("T_C-ICE-NGA-S1"=[1]OUT_TransportEnergyCons!$A$3:$A$1000)*1,("Var_Fin"=[1]OUT_TransportEnergyCons!$B$3:$B$1000)*1,ISNUMBER(SEARCH("NGA",[1]OUT_TransportEnergyCons!$C$3:$C$1000))*1,[1]OUT_TransportEnergyCons!M$3:M$1000)</f>
        <v>5.8932020842570567E-5</v>
      </c>
      <c r="P1209" s="1" cm="1">
        <f t="array" ref="P1209">SUMPRODUCT(("T_C-ICE-NGA-S1"=[1]OUT_TransportEnergyCons!$A$3:$A$1000)*1,("Var_Fin"=[1]OUT_TransportEnergyCons!$B$3:$B$1000)*1,ISNUMBER(SEARCH("NGA",[1]OUT_TransportEnergyCons!$C$3:$C$1000))*1,[1]OUT_TransportEnergyCons!N$3:N$1000)</f>
        <v>5.5970152646070488E-5</v>
      </c>
      <c r="Q1209" s="1" cm="1">
        <f t="array" ref="Q1209">SUMPRODUCT(("T_C-ICE-NGA-S1"=[1]OUT_TransportEnergyCons!$A$3:$A$1000)*1,("Var_Fin"=[1]OUT_TransportEnergyCons!$B$3:$B$1000)*1,ISNUMBER(SEARCH("NGA",[1]OUT_TransportEnergyCons!$C$3:$C$1000))*1,[1]OUT_TransportEnergyCons!O$3:O$1000)</f>
        <v>5.912686619640951E-5</v>
      </c>
      <c r="S1209" s="3"/>
    </row>
    <row r="1210" spans="2:19" x14ac:dyDescent="0.5">
      <c r="B1210" s="5" t="str">
        <f t="shared" si="1358"/>
        <v>SPS1</v>
      </c>
      <c r="C1210" s="5" t="str">
        <f t="shared" si="1359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5.3905607848601989E-2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3.520321924073419E-2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4.7327951927882292E-2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1.1496705940471799E-4</v>
      </c>
      <c r="J1210" s="1" cm="1">
        <f t="array" ref="J1210">SUMPRODUCT(("T_C-ICE-NGA-S2"=[1]OUT_TransportEnergyCons!$A$3:$A$1000)*1,("Var_Fin"=[1]OUT_TransportEnergyCons!$B$3:$B$1000)*1,ISNUMBER(SEARCH("NGA",[1]OUT_TransportEnergyCons!$C$3:$C$1000))*1,[1]OUT_TransportEnergyCons!H$3:H$1000)</f>
        <v>1.4455369429804265E-4</v>
      </c>
      <c r="K1210" s="1" cm="1">
        <f t="array" ref="K1210">SUMPRODUCT(("T_C-ICE-NGA-S2"=[1]OUT_TransportEnergyCons!$A$3:$A$1000)*1,("Var_Fin"=[1]OUT_TransportEnergyCons!$B$3:$B$1000)*1,ISNUMBER(SEARCH("NGA",[1]OUT_TransportEnergyCons!$C$3:$C$1000))*1,[1]OUT_TransportEnergyCons!I$3:I$1000)</f>
        <v>1.511846708996333E-4</v>
      </c>
      <c r="L1210" s="1" cm="1">
        <f t="array" ref="L1210">SUMPRODUCT(("T_C-ICE-NGA-S2"=[1]OUT_TransportEnergyCons!$A$3:$A$1000)*1,("Var_Fin"=[1]OUT_TransportEnergyCons!$B$3:$B$1000)*1,ISNUMBER(SEARCH("NGA",[1]OUT_TransportEnergyCons!$C$3:$C$1000))*1,[1]OUT_TransportEnergyCons!J$3:J$1000)</f>
        <v>1.4844684647240502E-4</v>
      </c>
      <c r="M1210" s="1" cm="1">
        <f t="array" ref="M1210">SUMPRODUCT(("T_C-ICE-NGA-S2"=[1]OUT_TransportEnergyCons!$A$3:$A$1000)*1,("Var_Fin"=[1]OUT_TransportEnergyCons!$B$3:$B$1000)*1,ISNUMBER(SEARCH("NGA",[1]OUT_TransportEnergyCons!$C$3:$C$1000))*1,[1]OUT_TransportEnergyCons!K$3:K$1000)</f>
        <v>1.3915813244196453E-4</v>
      </c>
      <c r="N1210" s="1" cm="1">
        <f t="array" ref="N1210">SUMPRODUCT(("T_C-ICE-NGA-S2"=[1]OUT_TransportEnergyCons!$A$3:$A$1000)*1,("Var_Fin"=[1]OUT_TransportEnergyCons!$B$3:$B$1000)*1,ISNUMBER(SEARCH("NGA",[1]OUT_TransportEnergyCons!$C$3:$C$1000))*1,[1]OUT_TransportEnergyCons!L$3:L$1000)</f>
        <v>1.2212720889863564E-4</v>
      </c>
      <c r="O1210" s="1" cm="1">
        <f t="array" ref="O1210">SUMPRODUCT(("T_C-ICE-NGA-S2"=[1]OUT_TransportEnergyCons!$A$3:$A$1000)*1,("Var_Fin"=[1]OUT_TransportEnergyCons!$B$3:$B$1000)*1,ISNUMBER(SEARCH("NGA",[1]OUT_TransportEnergyCons!$C$3:$C$1000))*1,[1]OUT_TransportEnergyCons!M$3:M$1000)</f>
        <v>1.1921924287175977E-4</v>
      </c>
      <c r="P1210" s="1" cm="1">
        <f t="array" ref="P1210">SUMPRODUCT(("T_C-ICE-NGA-S2"=[1]OUT_TransportEnergyCons!$A$3:$A$1000)*1,("Var_Fin"=[1]OUT_TransportEnergyCons!$B$3:$B$1000)*1,ISNUMBER(SEARCH("NGA",[1]OUT_TransportEnergyCons!$C$3:$C$1000))*1,[1]OUT_TransportEnergyCons!N$3:N$1000)</f>
        <v>1.1286883823360594E-4</v>
      </c>
      <c r="Q1210" s="1" cm="1">
        <f t="array" ref="Q1210">SUMPRODUCT(("T_C-ICE-NGA-S2"=[1]OUT_TransportEnergyCons!$A$3:$A$1000)*1,("Var_Fin"=[1]OUT_TransportEnergyCons!$B$3:$B$1000)*1,ISNUMBER(SEARCH("NGA",[1]OUT_TransportEnergyCons!$C$3:$C$1000))*1,[1]OUT_TransportEnergyCons!O$3:O$1000)</f>
        <v>1.1687725527280069E-4</v>
      </c>
      <c r="S1210" s="3"/>
    </row>
    <row r="1211" spans="2:19" x14ac:dyDescent="0.5">
      <c r="B1211" s="5" t="str">
        <f t="shared" si="1358"/>
        <v>SPS1</v>
      </c>
      <c r="C1211" s="5" t="str">
        <f t="shared" si="1359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4.2037821028348349E-3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3.82525918273415E-3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4.8479857925015279E-3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5.0155437322095238E-4</v>
      </c>
      <c r="J1211" s="1" cm="1">
        <f t="array" ref="J1211">SUMPRODUCT(("T_C-ICE-NGA-S3"=[1]OUT_TransportEnergyCons!$A$3:$A$1000)*1,("Var_Fin"=[1]OUT_TransportEnergyCons!$B$3:$B$1000)*1,ISNUMBER(SEARCH("NGA",[1]OUT_TransportEnergyCons!$C$3:$C$1000))*1,[1]OUT_TransportEnergyCons!H$3:H$1000)</f>
        <v>2.2094470342665903E-4</v>
      </c>
      <c r="K1211" s="1" cm="1">
        <f t="array" ref="K1211">SUMPRODUCT(("T_C-ICE-NGA-S3"=[1]OUT_TransportEnergyCons!$A$3:$A$1000)*1,("Var_Fin"=[1]OUT_TransportEnergyCons!$B$3:$B$1000)*1,ISNUMBER(SEARCH("NGA",[1]OUT_TransportEnergyCons!$C$3:$C$1000))*1,[1]OUT_TransportEnergyCons!I$3:I$1000)</f>
        <v>1.8133390954092342E-4</v>
      </c>
      <c r="L1211" s="1" cm="1">
        <f t="array" ref="L1211">SUMPRODUCT(("T_C-ICE-NGA-S3"=[1]OUT_TransportEnergyCons!$A$3:$A$1000)*1,("Var_Fin"=[1]OUT_TransportEnergyCons!$B$3:$B$1000)*1,ISNUMBER(SEARCH("NGA",[1]OUT_TransportEnergyCons!$C$3:$C$1000))*1,[1]OUT_TransportEnergyCons!J$3:J$1000)</f>
        <v>1.7975794481873235E-4</v>
      </c>
      <c r="M1211" s="1" cm="1">
        <f t="array" ref="M1211">SUMPRODUCT(("T_C-ICE-NGA-S3"=[1]OUT_TransportEnergyCons!$A$3:$A$1000)*1,("Var_Fin"=[1]OUT_TransportEnergyCons!$B$3:$B$1000)*1,ISNUMBER(SEARCH("NGA",[1]OUT_TransportEnergyCons!$C$3:$C$1000))*1,[1]OUT_TransportEnergyCons!K$3:K$1000)</f>
        <v>1.7077955217703126E-4</v>
      </c>
      <c r="N1211" s="1" cm="1">
        <f t="array" ref="N1211">SUMPRODUCT(("T_C-ICE-NGA-S3"=[1]OUT_TransportEnergyCons!$A$3:$A$1000)*1,("Var_Fin"=[1]OUT_TransportEnergyCons!$B$3:$B$1000)*1,ISNUMBER(SEARCH("NGA",[1]OUT_TransportEnergyCons!$C$3:$C$1000))*1,[1]OUT_TransportEnergyCons!L$3:L$1000)</f>
        <v>1.5054869777384892E-4</v>
      </c>
      <c r="O1211" s="1" cm="1">
        <f t="array" ref="O1211">SUMPRODUCT(("T_C-ICE-NGA-S3"=[1]OUT_TransportEnergyCons!$A$3:$A$1000)*1,("Var_Fin"=[1]OUT_TransportEnergyCons!$B$3:$B$1000)*1,ISNUMBER(SEARCH("NGA",[1]OUT_TransportEnergyCons!$C$3:$C$1000))*1,[1]OUT_TransportEnergyCons!M$3:M$1000)</f>
        <v>1.4475346756387893E-4</v>
      </c>
      <c r="P1211" s="1" cm="1">
        <f t="array" ref="P1211">SUMPRODUCT(("T_C-ICE-NGA-S3"=[1]OUT_TransportEnergyCons!$A$3:$A$1000)*1,("Var_Fin"=[1]OUT_TransportEnergyCons!$B$3:$B$1000)*1,ISNUMBER(SEARCH("NGA",[1]OUT_TransportEnergyCons!$C$3:$C$1000))*1,[1]OUT_TransportEnergyCons!N$3:N$1000)</f>
        <v>1.3446883950324605E-4</v>
      </c>
      <c r="Q1211" s="1" cm="1">
        <f t="array" ref="Q1211">SUMPRODUCT(("T_C-ICE-NGA-S3"=[1]OUT_TransportEnergyCons!$A$3:$A$1000)*1,("Var_Fin"=[1]OUT_TransportEnergyCons!$B$3:$B$1000)*1,ISNUMBER(SEARCH("NGA",[1]OUT_TransportEnergyCons!$C$3:$C$1000))*1,[1]OUT_TransportEnergyCons!O$3:O$1000)</f>
        <v>1.3769778361281159E-4</v>
      </c>
      <c r="S1211" s="3"/>
    </row>
    <row r="1212" spans="2:19" x14ac:dyDescent="0.5">
      <c r="B1212" s="5" t="str">
        <f t="shared" si="1358"/>
        <v>SPS1</v>
      </c>
      <c r="C1212" s="5" t="str">
        <f t="shared" si="1359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4.7877577362128554E-2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4.7053113037851028E-2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4.3913771454842314E-2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7.8109710428008461E-5</v>
      </c>
      <c r="J1212" s="1" cm="1">
        <f t="array" ref="J1212">SUMPRODUCT(("T_C-ICE-NGA-S4"=[1]OUT_TransportEnergyCons!$A$3:$A$1000)*1,("Var_Fin"=[1]OUT_TransportEnergyCons!$B$3:$B$1000)*1,ISNUMBER(SEARCH("NGA",[1]OUT_TransportEnergyCons!$C$3:$C$1000))*1,[1]OUT_TransportEnergyCons!H$3:H$1000)</f>
        <v>1.4034982861115274E-4</v>
      </c>
      <c r="K1212" s="1" cm="1">
        <f t="array" ref="K1212">SUMPRODUCT(("T_C-ICE-NGA-S4"=[1]OUT_TransportEnergyCons!$A$3:$A$1000)*1,("Var_Fin"=[1]OUT_TransportEnergyCons!$B$3:$B$1000)*1,ISNUMBER(SEARCH("NGA",[1]OUT_TransportEnergyCons!$C$3:$C$1000))*1,[1]OUT_TransportEnergyCons!I$3:I$1000)</f>
        <v>1.611111699451916E-4</v>
      </c>
      <c r="L1212" s="1" cm="1">
        <f t="array" ref="L1212">SUMPRODUCT(("T_C-ICE-NGA-S4"=[1]OUT_TransportEnergyCons!$A$3:$A$1000)*1,("Var_Fin"=[1]OUT_TransportEnergyCons!$B$3:$B$1000)*1,ISNUMBER(SEARCH("NGA",[1]OUT_TransportEnergyCons!$C$3:$C$1000))*1,[1]OUT_TransportEnergyCons!J$3:J$1000)</f>
        <v>1.6048273995331543E-4</v>
      </c>
      <c r="M1212" s="1" cm="1">
        <f t="array" ref="M1212">SUMPRODUCT(("T_C-ICE-NGA-S4"=[1]OUT_TransportEnergyCons!$A$3:$A$1000)*1,("Var_Fin"=[1]OUT_TransportEnergyCons!$B$3:$B$1000)*1,ISNUMBER(SEARCH("NGA",[1]OUT_TransportEnergyCons!$C$3:$C$1000))*1,[1]OUT_TransportEnergyCons!K$3:K$1000)</f>
        <v>1.4985382124971429E-4</v>
      </c>
      <c r="N1212" s="1" cm="1">
        <f t="array" ref="N1212">SUMPRODUCT(("T_C-ICE-NGA-S4"=[1]OUT_TransportEnergyCons!$A$3:$A$1000)*1,("Var_Fin"=[1]OUT_TransportEnergyCons!$B$3:$B$1000)*1,ISNUMBER(SEARCH("NGA",[1]OUT_TransportEnergyCons!$C$3:$C$1000))*1,[1]OUT_TransportEnergyCons!L$3:L$1000)</f>
        <v>1.3413003517298677E-4</v>
      </c>
      <c r="O1212" s="1" cm="1">
        <f t="array" ref="O1212">SUMPRODUCT(("T_C-ICE-NGA-S4"=[1]OUT_TransportEnergyCons!$A$3:$A$1000)*1,("Var_Fin"=[1]OUT_TransportEnergyCons!$B$3:$B$1000)*1,ISNUMBER(SEARCH("NGA",[1]OUT_TransportEnergyCons!$C$3:$C$1000))*1,[1]OUT_TransportEnergyCons!M$3:M$1000)</f>
        <v>1.278308864335617E-4</v>
      </c>
      <c r="P1212" s="1" cm="1">
        <f t="array" ref="P1212">SUMPRODUCT(("T_C-ICE-NGA-S4"=[1]OUT_TransportEnergyCons!$A$3:$A$1000)*1,("Var_Fin"=[1]OUT_TransportEnergyCons!$B$3:$B$1000)*1,ISNUMBER(SEARCH("NGA",[1]OUT_TransportEnergyCons!$C$3:$C$1000))*1,[1]OUT_TransportEnergyCons!N$3:N$1000)</f>
        <v>1.1554321218269074E-4</v>
      </c>
      <c r="Q1212" s="1" cm="1">
        <f t="array" ref="Q1212">SUMPRODUCT(("T_C-ICE-NGA-S4"=[1]OUT_TransportEnergyCons!$A$3:$A$1000)*1,("Var_Fin"=[1]OUT_TransportEnergyCons!$B$3:$B$1000)*1,ISNUMBER(SEARCH("NGA",[1]OUT_TransportEnergyCons!$C$3:$C$1000))*1,[1]OUT_TransportEnergyCons!O$3:O$1000)</f>
        <v>1.1745479343710508E-4</v>
      </c>
      <c r="S1212" s="3"/>
    </row>
    <row r="1213" spans="2:19" x14ac:dyDescent="0.5">
      <c r="B1213" s="5" t="str">
        <f t="shared" si="1358"/>
        <v>SPS1</v>
      </c>
      <c r="C1213" s="5" t="str">
        <f t="shared" si="1359"/>
        <v>CH</v>
      </c>
      <c r="D1213" s="2" t="s">
        <v>1132</v>
      </c>
      <c r="E1213" s="2" t="s">
        <v>1131</v>
      </c>
      <c r="F1213" s="3">
        <f>SUM(F1214:F1263)</f>
        <v>49.003521566174797</v>
      </c>
      <c r="G1213" s="3">
        <f t="shared" ref="G1213:K1213" si="1398">SUM(G1214:G1263)</f>
        <v>55.671324822203488</v>
      </c>
      <c r="H1213" s="3">
        <f t="shared" si="1398"/>
        <v>60.261492142988864</v>
      </c>
      <c r="I1213" s="3">
        <f t="shared" si="1398"/>
        <v>62.33946796994983</v>
      </c>
      <c r="J1213" s="3">
        <f t="shared" si="1398"/>
        <v>62.620565895697737</v>
      </c>
      <c r="K1213" s="3">
        <f t="shared" si="1398"/>
        <v>62.344610141764555</v>
      </c>
      <c r="L1213" s="3">
        <f t="shared" ref="L1213:O1213" si="1399">SUM(L1214:L1263)</f>
        <v>61.747637908722261</v>
      </c>
      <c r="M1213" s="3">
        <f t="shared" si="1399"/>
        <v>61.150703535988931</v>
      </c>
      <c r="N1213" s="3">
        <f t="shared" si="1399"/>
        <v>60.955478767221244</v>
      </c>
      <c r="O1213" s="3">
        <f t="shared" si="1399"/>
        <v>60.753236536722063</v>
      </c>
      <c r="P1213" s="3">
        <f>SUM(P1214:P1263)</f>
        <v>60.588958685389841</v>
      </c>
      <c r="Q1213" s="3">
        <f>SUM(Q1214:Q1263)</f>
        <v>60.552250554514075</v>
      </c>
      <c r="S1213" s="3"/>
    </row>
    <row r="1214" spans="2:19" x14ac:dyDescent="0.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0.41617641659437327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0.36009872303572055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0.27729153493387981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0.13869267713440994</v>
      </c>
      <c r="J1214" s="1" cm="1">
        <f t="array" ref="J1214">SUMPRODUCT(("T_C-BATELCEXT"=[1]OUT_TransportEnergyCons!$A$3:$A$1000)*1,("var_fout"=[1]OUT_TransportEnergyCons!$B$3:$B$1000)*1,ISNUMBER(SEARCH("TPCAR",[1]OUT_TransportEnergyCons!$C$3:$C$1000))*1,[1]OUT_TransportEnergyCons!H$3:H$1000)</f>
        <v>0</v>
      </c>
      <c r="K1214" s="1" cm="1">
        <f t="array" ref="K1214">SUMPRODUCT(("T_C-BATELCEXT"=[1]OUT_TransportEnergyCons!$A$3:$A$1000)*1,("var_fout"=[1]OUT_TransportEnergyCons!$B$3:$B$1000)*1,ISNUMBER(SEARCH("TPCAR",[1]OUT_TransportEnergyCons!$C$3:$C$1000))*1,[1]OUT_TransportEnergyCons!I$3:I$1000)</f>
        <v>0</v>
      </c>
      <c r="L1214" s="1" cm="1">
        <f t="array" ref="L1214">SUMPRODUCT(("T_C-BATELCEXT"=[1]OUT_TransportEnergyCons!$A$3:$A$1000)*1,("var_fout"=[1]OUT_TransportEnergyCons!$B$3:$B$1000)*1,ISNUMBER(SEARCH("TPCAR",[1]OUT_TransportEnergyCons!$C$3:$C$1000))*1,[1]OUT_TransportEnergyCons!J$3:J$1000)</f>
        <v>0</v>
      </c>
      <c r="M1214" s="1" cm="1">
        <f t="array" ref="M1214">SUMPRODUCT(("T_C-BATELCEXT"=[1]OUT_TransportEnergyCons!$A$3:$A$1000)*1,("var_fout"=[1]OUT_TransportEnergyCons!$B$3:$B$1000)*1,ISNUMBER(SEARCH("TPCAR",[1]OUT_TransportEnergyCons!$C$3:$C$1000))*1,[1]OUT_TransportEnergyCons!K$3:K$1000)</f>
        <v>0</v>
      </c>
      <c r="N1214" s="1" cm="1">
        <f t="array" ref="N1214">SUMPRODUCT(("T_C-BATELCEXT"=[1]OUT_TransportEnergyCons!$A$3:$A$1000)*1,("var_fout"=[1]OUT_TransportEnergyCons!$B$3:$B$1000)*1,ISNUMBER(SEARCH("TPCAR",[1]OUT_TransportEnergyCons!$C$3:$C$1000))*1,[1]OUT_TransportEnergyCons!L$3:L$1000)</f>
        <v>0</v>
      </c>
      <c r="O1214" s="1" cm="1">
        <f t="array" ref="O1214">SUMPRODUCT(("T_C-BATELCEXT"=[1]OUT_TransportEnergyCons!$A$3:$A$1000)*1,("var_fout"=[1]OUT_TransportEnergyCons!$B$3:$B$1000)*1,ISNUMBER(SEARCH("TPCAR",[1]OUT_TransportEnergyCons!$C$3:$C$1000))*1,[1]OUT_TransportEnergyCons!M$3:M$1000)</f>
        <v>0</v>
      </c>
      <c r="P1214" s="1" cm="1">
        <f t="array" ref="P1214">SUMPRODUCT(("T_C-BATELCEXT"=[1]OUT_TransportEnergyCons!$A$3:$A$1000)*1,("var_fout"=[1]OUT_TransportEnergyCons!$B$3:$B$1000)*1,ISNUMBER(SEARCH("TPCAR",[1]OUT_TransportEnergyCons!$C$3:$C$1000))*1,[1]OUT_TransportEnergyCons!N$3:N$1000)</f>
        <v>0</v>
      </c>
      <c r="Q1214" s="1" cm="1">
        <f t="array" ref="Q1214">SUMPRODUCT(("T_C-BATELCEXT"=[1]OUT_TransportEnergyCons!$A$3:$A$1000)*1,("var_fout"=[1]OUT_TransportEnergyCons!$B$3:$B$1000)*1,ISNUMBER(SEARCH("TPCAR",[1]OUT_TransportEnergyCons!$C$3:$C$1000))*1,[1]OUT_TransportEnergyCons!O$3:O$1000)</f>
        <v>0</v>
      </c>
      <c r="S1214" s="3"/>
    </row>
    <row r="1215" spans="2:19" x14ac:dyDescent="0.5">
      <c r="B1215" s="5" t="str">
        <f t="shared" si="1358"/>
        <v>SPS1</v>
      </c>
      <c r="C1215" s="5" t="str">
        <f t="shared" si="1359"/>
        <v>CH</v>
      </c>
      <c r="D1215" t="s">
        <v>1134</v>
      </c>
      <c r="E1215" t="str">
        <f t="shared" ref="E1215:E1263" si="1400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1.450637217079555E-2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4.9195473214606836E-2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3.8248897155383099E-2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3.5761672977414442E-2</v>
      </c>
      <c r="J1215" s="1" cm="1">
        <f t="array" ref="J1215">SUMPRODUCT(("T_C-BAT-ELC-S1"=[1]OUT_TransportEnergyCons!$A$3:$A$1000)*1,("var_fout"=[1]OUT_TransportEnergyCons!$B$3:$B$1000)*1,ISNUMBER(SEARCH("TPCAR",[1]OUT_TransportEnergyCons!$C$3:$C$1000))*1,[1]OUT_TransportEnergyCons!H$3:H$1000)</f>
        <v>2.0037766749295777E-2</v>
      </c>
      <c r="K1215" s="1" cm="1">
        <f t="array" ref="K1215">SUMPRODUCT(("T_C-BAT-ELC-S1"=[1]OUT_TransportEnergyCons!$A$3:$A$1000)*1,("var_fout"=[1]OUT_TransportEnergyCons!$B$3:$B$1000)*1,ISNUMBER(SEARCH("TPCAR",[1]OUT_TransportEnergyCons!$C$3:$C$1000))*1,[1]OUT_TransportEnergyCons!I$3:I$1000)</f>
        <v>0.25168188028432831</v>
      </c>
      <c r="L1215" s="1" cm="1">
        <f t="array" ref="L1215">SUMPRODUCT(("T_C-BAT-ELC-S1"=[1]OUT_TransportEnergyCons!$A$3:$A$1000)*1,("var_fout"=[1]OUT_TransportEnergyCons!$B$3:$B$1000)*1,ISNUMBER(SEARCH("TPCAR",[1]OUT_TransportEnergyCons!$C$3:$C$1000))*1,[1]OUT_TransportEnergyCons!J$3:J$1000)</f>
        <v>0.76436999499693947</v>
      </c>
      <c r="M1215" s="1" cm="1">
        <f t="array" ref="M1215">SUMPRODUCT(("T_C-BAT-ELC-S1"=[1]OUT_TransportEnergyCons!$A$3:$A$1000)*1,("var_fout"=[1]OUT_TransportEnergyCons!$B$3:$B$1000)*1,ISNUMBER(SEARCH("TPCAR",[1]OUT_TransportEnergyCons!$C$3:$C$1000))*1,[1]OUT_TransportEnergyCons!K$3:K$1000)</f>
        <v>1.6901513733707885</v>
      </c>
      <c r="N1215" s="1" cm="1">
        <f t="array" ref="N1215">SUMPRODUCT(("T_C-BAT-ELC-S1"=[1]OUT_TransportEnergyCons!$A$3:$A$1000)*1,("var_fout"=[1]OUT_TransportEnergyCons!$B$3:$B$1000)*1,ISNUMBER(SEARCH("TPCAR",[1]OUT_TransportEnergyCons!$C$3:$C$1000))*1,[1]OUT_TransportEnergyCons!L$3:L$1000)</f>
        <v>1.8451155998381692</v>
      </c>
      <c r="O1215" s="1" cm="1">
        <f t="array" ref="O1215">SUMPRODUCT(("T_C-BAT-ELC-S1"=[1]OUT_TransportEnergyCons!$A$3:$A$1000)*1,("var_fout"=[1]OUT_TransportEnergyCons!$B$3:$B$1000)*1,ISNUMBER(SEARCH("TPCAR",[1]OUT_TransportEnergyCons!$C$3:$C$1000))*1,[1]OUT_TransportEnergyCons!M$3:M$1000)</f>
        <v>1.8354611176829017</v>
      </c>
      <c r="P1215" s="1" cm="1">
        <f t="array" ref="P1215">SUMPRODUCT(("T_C-BAT-ELC-S1"=[1]OUT_TransportEnergyCons!$A$3:$A$1000)*1,("var_fout"=[1]OUT_TransportEnergyCons!$B$3:$B$1000)*1,ISNUMBER(SEARCH("TPCAR",[1]OUT_TransportEnergyCons!$C$3:$C$1000))*1,[1]OUT_TransportEnergyCons!N$3:N$1000)</f>
        <v>1.8694340688679054</v>
      </c>
      <c r="Q1215" s="1" cm="1">
        <f t="array" ref="Q1215">SUMPRODUCT(("T_C-BAT-ELC-S1"=[1]OUT_TransportEnergyCons!$A$3:$A$1000)*1,("var_fout"=[1]OUT_TransportEnergyCons!$B$3:$B$1000)*1,ISNUMBER(SEARCH("TPCAR",[1]OUT_TransportEnergyCons!$C$3:$C$1000))*1,[1]OUT_TransportEnergyCons!O$3:O$1000)</f>
        <v>1.6810997891927879</v>
      </c>
      <c r="S1215" s="3"/>
    </row>
    <row r="1216" spans="2:19" x14ac:dyDescent="0.5">
      <c r="B1216" s="5" t="str">
        <f t="shared" si="1358"/>
        <v>SPS1</v>
      </c>
      <c r="C1216" s="5" t="str">
        <f t="shared" si="1359"/>
        <v>CH</v>
      </c>
      <c r="D1216" t="s">
        <v>1135</v>
      </c>
      <c r="E1216" t="str">
        <f t="shared" si="1400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9.7009318321932561E-2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0.15500607019255466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2.727573701406877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9.9220733524336424</v>
      </c>
      <c r="J1216" s="1" cm="1">
        <f t="array" ref="J1216">SUMPRODUCT(("T_C-BAT-ELC-S2"=[1]OUT_TransportEnergyCons!$A$3:$A$1000)*1,("var_fout"=[1]OUT_TransportEnergyCons!$B$3:$B$1000)*1,ISNUMBER(SEARCH("TPCAR",[1]OUT_TransportEnergyCons!$C$3:$C$1000))*1,[1]OUT_TransportEnergyCons!H$3:H$1000)</f>
        <v>16.635135284870159</v>
      </c>
      <c r="K1216" s="1" cm="1">
        <f t="array" ref="K1216">SUMPRODUCT(("T_C-BAT-ELC-S2"=[1]OUT_TransportEnergyCons!$A$3:$A$1000)*1,("var_fout"=[1]OUT_TransportEnergyCons!$B$3:$B$1000)*1,ISNUMBER(SEARCH("TPCAR",[1]OUT_TransportEnergyCons!$C$3:$C$1000))*1,[1]OUT_TransportEnergyCons!I$3:I$1000)</f>
        <v>17.560998146108723</v>
      </c>
      <c r="L1216" s="1" cm="1">
        <f t="array" ref="L1216">SUMPRODUCT(("T_C-BAT-ELC-S2"=[1]OUT_TransportEnergyCons!$A$3:$A$1000)*1,("var_fout"=[1]OUT_TransportEnergyCons!$B$3:$B$1000)*1,ISNUMBER(SEARCH("TPCAR",[1]OUT_TransportEnergyCons!$C$3:$C$1000))*1,[1]OUT_TransportEnergyCons!J$3:J$1000)</f>
        <v>17.643025210919628</v>
      </c>
      <c r="M1216" s="1" cm="1">
        <f t="array" ref="M1216">SUMPRODUCT(("T_C-BAT-ELC-S2"=[1]OUT_TransportEnergyCons!$A$3:$A$1000)*1,("var_fout"=[1]OUT_TransportEnergyCons!$B$3:$B$1000)*1,ISNUMBER(SEARCH("TPCAR",[1]OUT_TransportEnergyCons!$C$3:$C$1000))*1,[1]OUT_TransportEnergyCons!K$3:K$1000)</f>
        <v>17.962983997960141</v>
      </c>
      <c r="N1216" s="1" cm="1">
        <f t="array" ref="N1216">SUMPRODUCT(("T_C-BAT-ELC-S2"=[1]OUT_TransportEnergyCons!$A$3:$A$1000)*1,("var_fout"=[1]OUT_TransportEnergyCons!$B$3:$B$1000)*1,ISNUMBER(SEARCH("TPCAR",[1]OUT_TransportEnergyCons!$C$3:$C$1000))*1,[1]OUT_TransportEnergyCons!L$3:L$1000)</f>
        <v>17.923068565583126</v>
      </c>
      <c r="O1216" s="1" cm="1">
        <f t="array" ref="O1216">SUMPRODUCT(("T_C-BAT-ELC-S2"=[1]OUT_TransportEnergyCons!$A$3:$A$1000)*1,("var_fout"=[1]OUT_TransportEnergyCons!$B$3:$B$1000)*1,ISNUMBER(SEARCH("TPCAR",[1]OUT_TransportEnergyCons!$C$3:$C$1000))*1,[1]OUT_TransportEnergyCons!M$3:M$1000)</f>
        <v>17.745182285595781</v>
      </c>
      <c r="P1216" s="1" cm="1">
        <f t="array" ref="P1216">SUMPRODUCT(("T_C-BAT-ELC-S2"=[1]OUT_TransportEnergyCons!$A$3:$A$1000)*1,("var_fout"=[1]OUT_TransportEnergyCons!$B$3:$B$1000)*1,ISNUMBER(SEARCH("TPCAR",[1]OUT_TransportEnergyCons!$C$3:$C$1000))*1,[1]OUT_TransportEnergyCons!N$3:N$1000)</f>
        <v>17.148653497170493</v>
      </c>
      <c r="Q1216" s="1" cm="1">
        <f t="array" ref="Q1216">SUMPRODUCT(("T_C-BAT-ELC-S2"=[1]OUT_TransportEnergyCons!$A$3:$A$1000)*1,("var_fout"=[1]OUT_TransportEnergyCons!$B$3:$B$1000)*1,ISNUMBER(SEARCH("TPCAR",[1]OUT_TransportEnergyCons!$C$3:$C$1000))*1,[1]OUT_TransportEnergyCons!O$3:O$1000)</f>
        <v>16.980193728862879</v>
      </c>
      <c r="S1216" s="3"/>
    </row>
    <row r="1217" spans="2:19" x14ac:dyDescent="0.5">
      <c r="B1217" s="5" t="str">
        <f t="shared" si="1358"/>
        <v>SPS1</v>
      </c>
      <c r="C1217" s="5" t="str">
        <f t="shared" si="1359"/>
        <v>CH</v>
      </c>
      <c r="D1217" t="s">
        <v>1136</v>
      </c>
      <c r="E1217" t="str">
        <f t="shared" si="1400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6.1297721828822066E-2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0.12946848459503535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0.16843286162451224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2.6163867153093943</v>
      </c>
      <c r="J1217" s="1" cm="1">
        <f t="array" ref="J1217">SUMPRODUCT(("T_C-BAT-ELC-S3"=[1]OUT_TransportEnergyCons!$A$3:$A$1000)*1,("var_fout"=[1]OUT_TransportEnergyCons!$B$3:$B$1000)*1,ISNUMBER(SEARCH("TPCAR",[1]OUT_TransportEnergyCons!$C$3:$C$1000))*1,[1]OUT_TransportEnergyCons!H$3:H$1000)</f>
        <v>7.5648971549640462</v>
      </c>
      <c r="K1217" s="1" cm="1">
        <f t="array" ref="K1217">SUMPRODUCT(("T_C-BAT-ELC-S3"=[1]OUT_TransportEnergyCons!$A$3:$A$1000)*1,("var_fout"=[1]OUT_TransportEnergyCons!$B$3:$B$1000)*1,ISNUMBER(SEARCH("TPCAR",[1]OUT_TransportEnergyCons!$C$3:$C$1000))*1,[1]OUT_TransportEnergyCons!I$3:I$1000)</f>
        <v>10.715149103244645</v>
      </c>
      <c r="L1217" s="1" cm="1">
        <f t="array" ref="L1217">SUMPRODUCT(("T_C-BAT-ELC-S3"=[1]OUT_TransportEnergyCons!$A$3:$A$1000)*1,("var_fout"=[1]OUT_TransportEnergyCons!$B$3:$B$1000)*1,ISNUMBER(SEARCH("TPCAR",[1]OUT_TransportEnergyCons!$C$3:$C$1000))*1,[1]OUT_TransportEnergyCons!J$3:J$1000)</f>
        <v>11.256936327989896</v>
      </c>
      <c r="M1217" s="1" cm="1">
        <f t="array" ref="M1217">SUMPRODUCT(("T_C-BAT-ELC-S3"=[1]OUT_TransportEnergyCons!$A$3:$A$1000)*1,("var_fout"=[1]OUT_TransportEnergyCons!$B$3:$B$1000)*1,ISNUMBER(SEARCH("TPCAR",[1]OUT_TransportEnergyCons!$C$3:$C$1000))*1,[1]OUT_TransportEnergyCons!K$3:K$1000)</f>
        <v>10.97197744332092</v>
      </c>
      <c r="N1217" s="1" cm="1">
        <f t="array" ref="N1217">SUMPRODUCT(("T_C-BAT-ELC-S3"=[1]OUT_TransportEnergyCons!$A$3:$A$1000)*1,("var_fout"=[1]OUT_TransportEnergyCons!$B$3:$B$1000)*1,ISNUMBER(SEARCH("TPCAR",[1]OUT_TransportEnergyCons!$C$3:$C$1000))*1,[1]OUT_TransportEnergyCons!L$3:L$1000)</f>
        <v>12.556985522141176</v>
      </c>
      <c r="O1217" s="1" cm="1">
        <f t="array" ref="O1217">SUMPRODUCT(("T_C-BAT-ELC-S3"=[1]OUT_TransportEnergyCons!$A$3:$A$1000)*1,("var_fout"=[1]OUT_TransportEnergyCons!$B$3:$B$1000)*1,ISNUMBER(SEARCH("TPCAR",[1]OUT_TransportEnergyCons!$C$3:$C$1000))*1,[1]OUT_TransportEnergyCons!M$3:M$1000)</f>
        <v>13.498013526424364</v>
      </c>
      <c r="P1217" s="1" cm="1">
        <f t="array" ref="P1217">SUMPRODUCT(("T_C-BAT-ELC-S3"=[1]OUT_TransportEnergyCons!$A$3:$A$1000)*1,("var_fout"=[1]OUT_TransportEnergyCons!$B$3:$B$1000)*1,ISNUMBER(SEARCH("TPCAR",[1]OUT_TransportEnergyCons!$C$3:$C$1000))*1,[1]OUT_TransportEnergyCons!N$3:N$1000)</f>
        <v>14.764772837338901</v>
      </c>
      <c r="Q1217" s="1" cm="1">
        <f t="array" ref="Q1217">SUMPRODUCT(("T_C-BAT-ELC-S3"=[1]OUT_TransportEnergyCons!$A$3:$A$1000)*1,("var_fout"=[1]OUT_TransportEnergyCons!$B$3:$B$1000)*1,ISNUMBER(SEARCH("TPCAR",[1]OUT_TransportEnergyCons!$C$3:$C$1000))*1,[1]OUT_TransportEnergyCons!O$3:O$1000)</f>
        <v>15.261034421584226</v>
      </c>
      <c r="S1217" s="3"/>
    </row>
    <row r="1218" spans="2:19" x14ac:dyDescent="0.5">
      <c r="B1218" s="5" t="str">
        <f t="shared" ref="B1218:B1264" si="1401">B1217</f>
        <v>SPS1</v>
      </c>
      <c r="C1218" s="5" t="str">
        <f t="shared" ref="C1218:C1264" si="1402">C1217</f>
        <v>CH</v>
      </c>
      <c r="D1218" t="s">
        <v>1137</v>
      </c>
      <c r="E1218" t="str">
        <f t="shared" si="1400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0.19325866390992077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1.2218205608299249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2.1423559844964259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3.8898565038514143</v>
      </c>
      <c r="J1218" s="1" cm="1">
        <f t="array" ref="J1218">SUMPRODUCT(("T_C-BAT-ELC-S4"=[1]OUT_TransportEnergyCons!$A$3:$A$1000)*1,("var_fout"=[1]OUT_TransportEnergyCons!$B$3:$B$1000)*1,ISNUMBER(SEARCH("TPCAR",[1]OUT_TransportEnergyCons!$C$3:$C$1000))*1,[1]OUT_TransportEnergyCons!H$3:H$1000)</f>
        <v>4.1904648274085181</v>
      </c>
      <c r="K1218" s="1" cm="1">
        <f t="array" ref="K1218">SUMPRODUCT(("T_C-BAT-ELC-S4"=[1]OUT_TransportEnergyCons!$A$3:$A$1000)*1,("var_fout"=[1]OUT_TransportEnergyCons!$B$3:$B$1000)*1,ISNUMBER(SEARCH("TPCAR",[1]OUT_TransportEnergyCons!$C$3:$C$1000))*1,[1]OUT_TransportEnergyCons!I$3:I$1000)</f>
        <v>2.6299716703238767</v>
      </c>
      <c r="L1218" s="1" cm="1">
        <f t="array" ref="L1218">SUMPRODUCT(("T_C-BAT-ELC-S4"=[1]OUT_TransportEnergyCons!$A$3:$A$1000)*1,("var_fout"=[1]OUT_TransportEnergyCons!$B$3:$B$1000)*1,ISNUMBER(SEARCH("TPCAR",[1]OUT_TransportEnergyCons!$C$3:$C$1000))*1,[1]OUT_TransportEnergyCons!J$3:J$1000)</f>
        <v>2.764130706671764</v>
      </c>
      <c r="M1218" s="1" cm="1">
        <f t="array" ref="M1218">SUMPRODUCT(("T_C-BAT-ELC-S4"=[1]OUT_TransportEnergyCons!$A$3:$A$1000)*1,("var_fout"=[1]OUT_TransportEnergyCons!$B$3:$B$1000)*1,ISNUMBER(SEARCH("TPCAR",[1]OUT_TransportEnergyCons!$C$3:$C$1000))*1,[1]OUT_TransportEnergyCons!K$3:K$1000)</f>
        <v>2.905132215273122</v>
      </c>
      <c r="N1218" s="1" cm="1">
        <f t="array" ref="N1218">SUMPRODUCT(("T_C-BAT-ELC-S4"=[1]OUT_TransportEnergyCons!$A$3:$A$1000)*1,("var_fout"=[1]OUT_TransportEnergyCons!$B$3:$B$1000)*1,ISNUMBER(SEARCH("TPCAR",[1]OUT_TransportEnergyCons!$C$3:$C$1000))*1,[1]OUT_TransportEnergyCons!L$3:L$1000)</f>
        <v>3.053326650489653</v>
      </c>
      <c r="O1218" s="1" cm="1">
        <f t="array" ref="O1218">SUMPRODUCT(("T_C-BAT-ELC-S4"=[1]OUT_TransportEnergyCons!$A$3:$A$1000)*1,("var_fout"=[1]OUT_TransportEnergyCons!$B$3:$B$1000)*1,ISNUMBER(SEARCH("TPCAR",[1]OUT_TransportEnergyCons!$C$3:$C$1000))*1,[1]OUT_TransportEnergyCons!M$3:M$1000)</f>
        <v>3.2090782303591618</v>
      </c>
      <c r="P1218" s="1" cm="1">
        <f t="array" ref="P1218">SUMPRODUCT(("T_C-BAT-ELC-S4"=[1]OUT_TransportEnergyCons!$A$3:$A$1000)*1,("var_fout"=[1]OUT_TransportEnergyCons!$B$3:$B$1000)*1,ISNUMBER(SEARCH("TPCAR",[1]OUT_TransportEnergyCons!$C$3:$C$1000))*1,[1]OUT_TransportEnergyCons!N$3:N$1000)</f>
        <v>3.3727752362169516</v>
      </c>
      <c r="Q1218" s="1" cm="1">
        <f t="array" ref="Q1218">SUMPRODUCT(("T_C-BAT-ELC-S4"=[1]OUT_TransportEnergyCons!$A$3:$A$1000)*1,("var_fout"=[1]OUT_TransportEnergyCons!$B$3:$B$1000)*1,ISNUMBER(SEARCH("TPCAR",[1]OUT_TransportEnergyCons!$C$3:$C$1000))*1,[1]OUT_TransportEnergyCons!O$3:O$1000)</f>
        <v>3.5448268853308469</v>
      </c>
      <c r="S1218" s="3"/>
    </row>
    <row r="1219" spans="2:19" x14ac:dyDescent="0.5">
      <c r="B1219" s="5" t="str">
        <f t="shared" si="1401"/>
        <v>SPS1</v>
      </c>
      <c r="C1219" s="5" t="str">
        <f t="shared" si="1402"/>
        <v>CH</v>
      </c>
      <c r="D1219" t="s">
        <v>1138</v>
      </c>
      <c r="E1219" t="str">
        <f t="shared" si="1400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2.1546509943249772E-4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1.3504528368163769E-3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1.8856417766103118E-3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2.1593691105641277E-3</v>
      </c>
      <c r="J1219" s="1" cm="1">
        <f t="array" ref="J1219">SUMPRODUCT(("T_C-PEV-GSL-S1"=[1]OUT_TransportEnergyCons!$A$3:$A$1000)*1,("var_fout"=[1]OUT_TransportEnergyCons!$B$3:$B$1000)*1,ISNUMBER(SEARCH("TPCAR",[1]OUT_TransportEnergyCons!$C$3:$C$1000))*1,[1]OUT_TransportEnergyCons!H$3:H$1000)</f>
        <v>2.1642051972251752E-3</v>
      </c>
      <c r="K1219" s="1" cm="1">
        <f t="array" ref="K1219">SUMPRODUCT(("T_C-PEV-GSL-S1"=[1]OUT_TransportEnergyCons!$A$3:$A$1000)*1,("var_fout"=[1]OUT_TransportEnergyCons!$B$3:$B$1000)*1,ISNUMBER(SEARCH("TPCAR",[1]OUT_TransportEnergyCons!$C$3:$C$1000))*1,[1]OUT_TransportEnergyCons!I$3:I$1000)</f>
        <v>2.3016397573023886E-3</v>
      </c>
      <c r="L1219" s="1" cm="1">
        <f t="array" ref="L1219">SUMPRODUCT(("T_C-PEV-GSL-S1"=[1]OUT_TransportEnergyCons!$A$3:$A$1000)*1,("var_fout"=[1]OUT_TransportEnergyCons!$B$3:$B$1000)*1,ISNUMBER(SEARCH("TPCAR",[1]OUT_TransportEnergyCons!$C$3:$C$1000))*1,[1]OUT_TransportEnergyCons!J$3:J$1000)</f>
        <v>3.0991069215850478E-3</v>
      </c>
      <c r="M1219" s="1" cm="1">
        <f t="array" ref="M1219">SUMPRODUCT(("T_C-PEV-GSL-S1"=[1]OUT_TransportEnergyCons!$A$3:$A$1000)*1,("var_fout"=[1]OUT_TransportEnergyCons!$B$3:$B$1000)*1,ISNUMBER(SEARCH("TPCAR",[1]OUT_TransportEnergyCons!$C$3:$C$1000))*1,[1]OUT_TransportEnergyCons!K$3:K$1000)</f>
        <v>3.0168268310140863E-3</v>
      </c>
      <c r="N1219" s="1" cm="1">
        <f t="array" ref="N1219">SUMPRODUCT(("T_C-PEV-GSL-S1"=[1]OUT_TransportEnergyCons!$A$3:$A$1000)*1,("var_fout"=[1]OUT_TransportEnergyCons!$B$3:$B$1000)*1,ISNUMBER(SEARCH("TPCAR",[1]OUT_TransportEnergyCons!$C$3:$C$1000))*1,[1]OUT_TransportEnergyCons!L$3:L$1000)</f>
        <v>5.7373961667040322E-3</v>
      </c>
      <c r="O1219" s="1" cm="1">
        <f t="array" ref="O1219">SUMPRODUCT(("T_C-PEV-GSL-S1"=[1]OUT_TransportEnergyCons!$A$3:$A$1000)*1,("var_fout"=[1]OUT_TransportEnergyCons!$B$3:$B$1000)*1,ISNUMBER(SEARCH("TPCAR",[1]OUT_TransportEnergyCons!$C$3:$C$1000))*1,[1]OUT_TransportEnergyCons!M$3:M$1000)</f>
        <v>1.0893253882673419E-2</v>
      </c>
      <c r="P1219" s="1" cm="1">
        <f t="array" ref="P1219">SUMPRODUCT(("T_C-PEV-GSL-S1"=[1]OUT_TransportEnergyCons!$A$3:$A$1000)*1,("var_fout"=[1]OUT_TransportEnergyCons!$B$3:$B$1000)*1,ISNUMBER(SEARCH("TPCAR",[1]OUT_TransportEnergyCons!$C$3:$C$1000))*1,[1]OUT_TransportEnergyCons!N$3:N$1000)</f>
        <v>1.6087049689311076E-2</v>
      </c>
      <c r="Q1219" s="1" cm="1">
        <f t="array" ref="Q1219">SUMPRODUCT(("T_C-PEV-GSL-S1"=[1]OUT_TransportEnergyCons!$A$3:$A$1000)*1,("var_fout"=[1]OUT_TransportEnergyCons!$B$3:$B$1000)*1,ISNUMBER(SEARCH("TPCAR",[1]OUT_TransportEnergyCons!$C$3:$C$1000))*1,[1]OUT_TransportEnergyCons!O$3:O$1000)</f>
        <v>2.4807863021724195E-2</v>
      </c>
      <c r="S1219" s="3"/>
    </row>
    <row r="1220" spans="2:19" x14ac:dyDescent="0.5">
      <c r="B1220" s="5" t="str">
        <f t="shared" si="1401"/>
        <v>SPS1</v>
      </c>
      <c r="C1220" s="5" t="str">
        <f t="shared" si="1402"/>
        <v>CH</v>
      </c>
      <c r="D1220" t="s">
        <v>1139</v>
      </c>
      <c r="E1220" t="str">
        <f t="shared" si="1400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5.3191561915259956E-2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9.9358654440764263E-2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9.8296674217347599E-2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8.1890722903180155E-2</v>
      </c>
      <c r="J1220" s="1" cm="1">
        <f t="array" ref="J1220">SUMPRODUCT(("T_C-PEV-GSL-S2"=[1]OUT_TransportEnergyCons!$A$3:$A$1000)*1,("var_fout"=[1]OUT_TransportEnergyCons!$B$3:$B$1000)*1,ISNUMBER(SEARCH("TPCAR",[1]OUT_TransportEnergyCons!$C$3:$C$1000))*1,[1]OUT_TransportEnergyCons!H$3:H$1000)</f>
        <v>1.6430264762754599E-2</v>
      </c>
      <c r="K1220" s="1" cm="1">
        <f t="array" ref="K1220">SUMPRODUCT(("T_C-PEV-GSL-S2"=[1]OUT_TransportEnergyCons!$A$3:$A$1000)*1,("var_fout"=[1]OUT_TransportEnergyCons!$B$3:$B$1000)*1,ISNUMBER(SEARCH("TPCAR",[1]OUT_TransportEnergyCons!$C$3:$C$1000))*1,[1]OUT_TransportEnergyCons!I$3:I$1000)</f>
        <v>8.467649869080135E-3</v>
      </c>
      <c r="L1220" s="1" cm="1">
        <f t="array" ref="L1220">SUMPRODUCT(("T_C-PEV-GSL-S2"=[1]OUT_TransportEnergyCons!$A$3:$A$1000)*1,("var_fout"=[1]OUT_TransportEnergyCons!$B$3:$B$1000)*1,ISNUMBER(SEARCH("TPCAR",[1]OUT_TransportEnergyCons!$C$3:$C$1000))*1,[1]OUT_TransportEnergyCons!J$3:J$1000)</f>
        <v>9.1241537849854615E-3</v>
      </c>
      <c r="M1220" s="1" cm="1">
        <f t="array" ref="M1220">SUMPRODUCT(("T_C-PEV-GSL-S2"=[1]OUT_TransportEnergyCons!$A$3:$A$1000)*1,("var_fout"=[1]OUT_TransportEnergyCons!$B$3:$B$1000)*1,ISNUMBER(SEARCH("TPCAR",[1]OUT_TransportEnergyCons!$C$3:$C$1000))*1,[1]OUT_TransportEnergyCons!K$3:K$1000)</f>
        <v>7.556704051495125E-3</v>
      </c>
      <c r="N1220" s="1" cm="1">
        <f t="array" ref="N1220">SUMPRODUCT(("T_C-PEV-GSL-S2"=[1]OUT_TransportEnergyCons!$A$3:$A$1000)*1,("var_fout"=[1]OUT_TransportEnergyCons!$B$3:$B$1000)*1,ISNUMBER(SEARCH("TPCAR",[1]OUT_TransportEnergyCons!$C$3:$C$1000))*1,[1]OUT_TransportEnergyCons!L$3:L$1000)</f>
        <v>1.3624292267513728E-2</v>
      </c>
      <c r="O1220" s="1" cm="1">
        <f t="array" ref="O1220">SUMPRODUCT(("T_C-PEV-GSL-S2"=[1]OUT_TransportEnergyCons!$A$3:$A$1000)*1,("var_fout"=[1]OUT_TransportEnergyCons!$B$3:$B$1000)*1,ISNUMBER(SEARCH("TPCAR",[1]OUT_TransportEnergyCons!$C$3:$C$1000))*1,[1]OUT_TransportEnergyCons!M$3:M$1000)</f>
        <v>0.13316494328089909</v>
      </c>
      <c r="P1220" s="1" cm="1">
        <f t="array" ref="P1220">SUMPRODUCT(("T_C-PEV-GSL-S2"=[1]OUT_TransportEnergyCons!$A$3:$A$1000)*1,("var_fout"=[1]OUT_TransportEnergyCons!$B$3:$B$1000)*1,ISNUMBER(SEARCH("TPCAR",[1]OUT_TransportEnergyCons!$C$3:$C$1000))*1,[1]OUT_TransportEnergyCons!N$3:N$1000)</f>
        <v>0.3066202393897246</v>
      </c>
      <c r="Q1220" s="1" cm="1">
        <f t="array" ref="Q1220">SUMPRODUCT(("T_C-PEV-GSL-S2"=[1]OUT_TransportEnergyCons!$A$3:$A$1000)*1,("var_fout"=[1]OUT_TransportEnergyCons!$B$3:$B$1000)*1,ISNUMBER(SEARCH("TPCAR",[1]OUT_TransportEnergyCons!$C$3:$C$1000))*1,[1]OUT_TransportEnergyCons!O$3:O$1000)</f>
        <v>0.41179146427327362</v>
      </c>
      <c r="S1220" s="3"/>
    </row>
    <row r="1221" spans="2:19" x14ac:dyDescent="0.5">
      <c r="B1221" s="5" t="str">
        <f t="shared" si="1401"/>
        <v>SPS1</v>
      </c>
      <c r="C1221" s="5" t="str">
        <f t="shared" si="1402"/>
        <v>CH</v>
      </c>
      <c r="D1221" t="s">
        <v>1140</v>
      </c>
      <c r="E1221" t="str">
        <f t="shared" si="1400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4.9901762350496849E-2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0.16612955798561319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0.63570939155084827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0.72554757411440918</v>
      </c>
      <c r="J1221" s="1" cm="1">
        <f t="array" ref="J1221">SUMPRODUCT(("T_C-PEV-GSL-S3"=[1]OUT_TransportEnergyCons!$A$3:$A$1000)*1,("var_fout"=[1]OUT_TransportEnergyCons!$B$3:$B$1000)*1,ISNUMBER(SEARCH("TPCAR",[1]OUT_TransportEnergyCons!$C$3:$C$1000))*1,[1]OUT_TransportEnergyCons!H$3:H$1000)</f>
        <v>0.90889709704643418</v>
      </c>
      <c r="K1221" s="1" cm="1">
        <f t="array" ref="K1221">SUMPRODUCT(("T_C-PEV-GSL-S3"=[1]OUT_TransportEnergyCons!$A$3:$A$1000)*1,("var_fout"=[1]OUT_TransportEnergyCons!$B$3:$B$1000)*1,ISNUMBER(SEARCH("TPCAR",[1]OUT_TransportEnergyCons!$C$3:$C$1000))*1,[1]OUT_TransportEnergyCons!I$3:I$1000)</f>
        <v>0.54101641809564305</v>
      </c>
      <c r="L1221" s="1" cm="1">
        <f t="array" ref="L1221">SUMPRODUCT(("T_C-PEV-GSL-S3"=[1]OUT_TransportEnergyCons!$A$3:$A$1000)*1,("var_fout"=[1]OUT_TransportEnergyCons!$B$3:$B$1000)*1,ISNUMBER(SEARCH("TPCAR",[1]OUT_TransportEnergyCons!$C$3:$C$1000))*1,[1]OUT_TransportEnergyCons!J$3:J$1000)</f>
        <v>0.50914868970572735</v>
      </c>
      <c r="M1221" s="1" cm="1">
        <f t="array" ref="M1221">SUMPRODUCT(("T_C-PEV-GSL-S3"=[1]OUT_TransportEnergyCons!$A$3:$A$1000)*1,("var_fout"=[1]OUT_TransportEnergyCons!$B$3:$B$1000)*1,ISNUMBER(SEARCH("TPCAR",[1]OUT_TransportEnergyCons!$C$3:$C$1000))*1,[1]OUT_TransportEnergyCons!K$3:K$1000)</f>
        <v>0.20652813802161463</v>
      </c>
      <c r="N1221" s="1" cm="1">
        <f t="array" ref="N1221">SUMPRODUCT(("T_C-PEV-GSL-S3"=[1]OUT_TransportEnergyCons!$A$3:$A$1000)*1,("var_fout"=[1]OUT_TransportEnergyCons!$B$3:$B$1000)*1,ISNUMBER(SEARCH("TPCAR",[1]OUT_TransportEnergyCons!$C$3:$C$1000))*1,[1]OUT_TransportEnergyCons!L$3:L$1000)</f>
        <v>0.59236421092300606</v>
      </c>
      <c r="O1221" s="1" cm="1">
        <f t="array" ref="O1221">SUMPRODUCT(("T_C-PEV-GSL-S3"=[1]OUT_TransportEnergyCons!$A$3:$A$1000)*1,("var_fout"=[1]OUT_TransportEnergyCons!$B$3:$B$1000)*1,ISNUMBER(SEARCH("TPCAR",[1]OUT_TransportEnergyCons!$C$3:$C$1000))*1,[1]OUT_TransportEnergyCons!M$3:M$1000)</f>
        <v>0.55712136598955952</v>
      </c>
      <c r="P1221" s="1" cm="1">
        <f t="array" ref="P1221">SUMPRODUCT(("T_C-PEV-GSL-S3"=[1]OUT_TransportEnergyCons!$A$3:$A$1000)*1,("var_fout"=[1]OUT_TransportEnergyCons!$B$3:$B$1000)*1,ISNUMBER(SEARCH("TPCAR",[1]OUT_TransportEnergyCons!$C$3:$C$1000))*1,[1]OUT_TransportEnergyCons!N$3:N$1000)</f>
        <v>0.43267144234515809</v>
      </c>
      <c r="Q1221" s="1" cm="1">
        <f t="array" ref="Q1221">SUMPRODUCT(("T_C-PEV-GSL-S3"=[1]OUT_TransportEnergyCons!$A$3:$A$1000)*1,("var_fout"=[1]OUT_TransportEnergyCons!$B$3:$B$1000)*1,ISNUMBER(SEARCH("TPCAR",[1]OUT_TransportEnergyCons!$C$3:$C$1000))*1,[1]OUT_TransportEnergyCons!O$3:O$1000)</f>
        <v>0.13053250788274534</v>
      </c>
      <c r="S1221" s="3"/>
    </row>
    <row r="1222" spans="2:19" x14ac:dyDescent="0.5">
      <c r="B1222" s="5" t="str">
        <f t="shared" si="1401"/>
        <v>SPS1</v>
      </c>
      <c r="C1222" s="5" t="str">
        <f t="shared" si="1402"/>
        <v>CH</v>
      </c>
      <c r="D1222" t="s">
        <v>1141</v>
      </c>
      <c r="E1222" t="str">
        <f t="shared" si="1400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8.6084148896009433E-2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0.16108476479314021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0.15800630273861277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0.13084678458403343</v>
      </c>
      <c r="J1222" s="1" cm="1">
        <f t="array" ref="J1222">SUMPRODUCT(("T_C-PEV-GSL-S4"=[1]OUT_TransportEnergyCons!$A$3:$A$1000)*1,("var_fout"=[1]OUT_TransportEnergyCons!$B$3:$B$1000)*1,ISNUMBER(SEARCH("TPCAR",[1]OUT_TransportEnergyCons!$C$3:$C$1000))*1,[1]OUT_TransportEnergyCons!H$3:H$1000)</f>
        <v>3.7489538692854027E-2</v>
      </c>
      <c r="K1222" s="1" cm="1">
        <f t="array" ref="K1222">SUMPRODUCT(("T_C-PEV-GSL-S4"=[1]OUT_TransportEnergyCons!$A$3:$A$1000)*1,("var_fout"=[1]OUT_TransportEnergyCons!$B$3:$B$1000)*1,ISNUMBER(SEARCH("TPCAR",[1]OUT_TransportEnergyCons!$C$3:$C$1000))*1,[1]OUT_TransportEnergyCons!I$3:I$1000)</f>
        <v>2.0826068965858945E-2</v>
      </c>
      <c r="L1222" s="1" cm="1">
        <f t="array" ref="L1222">SUMPRODUCT(("T_C-PEV-GSL-S4"=[1]OUT_TransportEnergyCons!$A$3:$A$1000)*1,("var_fout"=[1]OUT_TransportEnergyCons!$B$3:$B$1000)*1,ISNUMBER(SEARCH("TPCAR",[1]OUT_TransportEnergyCons!$C$3:$C$1000))*1,[1]OUT_TransportEnergyCons!J$3:J$1000)</f>
        <v>3.5812311312997787E-2</v>
      </c>
      <c r="M1222" s="1" cm="1">
        <f t="array" ref="M1222">SUMPRODUCT(("T_C-PEV-GSL-S4"=[1]OUT_TransportEnergyCons!$A$3:$A$1000)*1,("var_fout"=[1]OUT_TransportEnergyCons!$B$3:$B$1000)*1,ISNUMBER(SEARCH("TPCAR",[1]OUT_TransportEnergyCons!$C$3:$C$1000))*1,[1]OUT_TransportEnergyCons!K$3:K$1000)</f>
        <v>2.6405534116009665E-2</v>
      </c>
      <c r="N1222" s="1" cm="1">
        <f t="array" ref="N1222">SUMPRODUCT(("T_C-PEV-GSL-S4"=[1]OUT_TransportEnergyCons!$A$3:$A$1000)*1,("var_fout"=[1]OUT_TransportEnergyCons!$B$3:$B$1000)*1,ISNUMBER(SEARCH("TPCAR",[1]OUT_TransportEnergyCons!$C$3:$C$1000))*1,[1]OUT_TransportEnergyCons!L$3:L$1000)</f>
        <v>0.20955933381982969</v>
      </c>
      <c r="O1222" s="1" cm="1">
        <f t="array" ref="O1222">SUMPRODUCT(("T_C-PEV-GSL-S4"=[1]OUT_TransportEnergyCons!$A$3:$A$1000)*1,("var_fout"=[1]OUT_TransportEnergyCons!$B$3:$B$1000)*1,ISNUMBER(SEARCH("TPCAR",[1]OUT_TransportEnergyCons!$C$3:$C$1000))*1,[1]OUT_TransportEnergyCons!M$3:M$1000)</f>
        <v>0.19950996515926617</v>
      </c>
      <c r="P1222" s="1" cm="1">
        <f t="array" ref="P1222">SUMPRODUCT(("T_C-PEV-GSL-S4"=[1]OUT_TransportEnergyCons!$A$3:$A$1000)*1,("var_fout"=[1]OUT_TransportEnergyCons!$B$3:$B$1000)*1,ISNUMBER(SEARCH("TPCAR",[1]OUT_TransportEnergyCons!$C$3:$C$1000))*1,[1]OUT_TransportEnergyCons!N$3:N$1000)</f>
        <v>0.13695840518269872</v>
      </c>
      <c r="Q1222" s="1" cm="1">
        <f t="array" ref="Q1222">SUMPRODUCT(("T_C-PEV-GSL-S4"=[1]OUT_TransportEnergyCons!$A$3:$A$1000)*1,("var_fout"=[1]OUT_TransportEnergyCons!$B$3:$B$1000)*1,ISNUMBER(SEARCH("TPCAR",[1]OUT_TransportEnergyCons!$C$3:$C$1000))*1,[1]OUT_TransportEnergyCons!O$3:O$1000)</f>
        <v>0.95031361382856172</v>
      </c>
      <c r="S1222" s="3"/>
    </row>
    <row r="1223" spans="2:19" x14ac:dyDescent="0.5">
      <c r="B1223" s="5" t="str">
        <f t="shared" si="1401"/>
        <v>SPS1</v>
      </c>
      <c r="C1223" s="5" t="str">
        <f t="shared" si="1402"/>
        <v>CH</v>
      </c>
      <c r="D1223" t="s">
        <v>1142</v>
      </c>
      <c r="E1223" t="str">
        <f t="shared" si="1400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1.3175039196489355E-5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1.3174180553372245E-3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1.9568700173221627E-3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2.5222406138292355E-3</v>
      </c>
      <c r="J1223" s="1" cm="1">
        <f t="array" ref="J1223">SUMPRODUCT(("T_C-PEV-DSL-S1"=[1]OUT_TransportEnergyCons!$A$3:$A$1000)*1,("var_fout"=[1]OUT_TransportEnergyCons!$B$3:$B$1000)*1,ISNUMBER(SEARCH("TPCAR",[1]OUT_TransportEnergyCons!$C$3:$C$1000))*1,[1]OUT_TransportEnergyCons!H$3:H$1000)</f>
        <v>3.4630568804921223E-3</v>
      </c>
      <c r="K1223" s="1" cm="1">
        <f t="array" ref="K1223">SUMPRODUCT(("T_C-PEV-DSL-S1"=[1]OUT_TransportEnergyCons!$A$3:$A$1000)*1,("var_fout"=[1]OUT_TransportEnergyCons!$B$3:$B$1000)*1,ISNUMBER(SEARCH("TPCAR",[1]OUT_TransportEnergyCons!$C$3:$C$1000))*1,[1]OUT_TransportEnergyCons!I$3:I$1000)</f>
        <v>5.7780647372672658E-3</v>
      </c>
      <c r="L1223" s="1" cm="1">
        <f t="array" ref="L1223">SUMPRODUCT(("T_C-PEV-DSL-S1"=[1]OUT_TransportEnergyCons!$A$3:$A$1000)*1,("var_fout"=[1]OUT_TransportEnergyCons!$B$3:$B$1000)*1,ISNUMBER(SEARCH("TPCAR",[1]OUT_TransportEnergyCons!$C$3:$C$1000))*1,[1]OUT_TransportEnergyCons!J$3:J$1000)</f>
        <v>6.7199424566574189E-3</v>
      </c>
      <c r="M1223" s="1" cm="1">
        <f t="array" ref="M1223">SUMPRODUCT(("T_C-PEV-DSL-S1"=[1]OUT_TransportEnergyCons!$A$3:$A$1000)*1,("var_fout"=[1]OUT_TransportEnergyCons!$B$3:$B$1000)*1,ISNUMBER(SEARCH("TPCAR",[1]OUT_TransportEnergyCons!$C$3:$C$1000))*1,[1]OUT_TransportEnergyCons!K$3:K$1000)</f>
        <v>1.1952047060085647E-2</v>
      </c>
      <c r="N1223" s="1" cm="1">
        <f t="array" ref="N1223">SUMPRODUCT(("T_C-PEV-DSL-S1"=[1]OUT_TransportEnergyCons!$A$3:$A$1000)*1,("var_fout"=[1]OUT_TransportEnergyCons!$B$3:$B$1000)*1,ISNUMBER(SEARCH("TPCAR",[1]OUT_TransportEnergyCons!$C$3:$C$1000))*1,[1]OUT_TransportEnergyCons!L$3:L$1000)</f>
        <v>9.1271265012866972E-3</v>
      </c>
      <c r="O1223" s="1" cm="1">
        <f t="array" ref="O1223">SUMPRODUCT(("T_C-PEV-DSL-S1"=[1]OUT_TransportEnergyCons!$A$3:$A$1000)*1,("var_fout"=[1]OUT_TransportEnergyCons!$B$3:$B$1000)*1,ISNUMBER(SEARCH("TPCAR",[1]OUT_TransportEnergyCons!$C$3:$C$1000))*1,[1]OUT_TransportEnergyCons!M$3:M$1000)</f>
        <v>3.4831906833416425E-3</v>
      </c>
      <c r="P1223" s="1" cm="1">
        <f t="array" ref="P1223">SUMPRODUCT(("T_C-PEV-DSL-S1"=[1]OUT_TransportEnergyCons!$A$3:$A$1000)*1,("var_fout"=[1]OUT_TransportEnergyCons!$B$3:$B$1000)*1,ISNUMBER(SEARCH("TPCAR",[1]OUT_TransportEnergyCons!$C$3:$C$1000))*1,[1]OUT_TransportEnergyCons!N$3:N$1000)</f>
        <v>1.5035220124641848E-3</v>
      </c>
      <c r="Q1223" s="1" cm="1">
        <f t="array" ref="Q1223">SUMPRODUCT(("T_C-PEV-DSL-S1"=[1]OUT_TransportEnergyCons!$A$3:$A$1000)*1,("var_fout"=[1]OUT_TransportEnergyCons!$B$3:$B$1000)*1,ISNUMBER(SEARCH("TPCAR",[1]OUT_TransportEnergyCons!$C$3:$C$1000))*1,[1]OUT_TransportEnergyCons!O$3:O$1000)</f>
        <v>9.6943108065736749E-4</v>
      </c>
      <c r="S1223" s="3"/>
    </row>
    <row r="1224" spans="2:19" x14ac:dyDescent="0.5">
      <c r="B1224" s="5" t="str">
        <f t="shared" si="1401"/>
        <v>SPS1</v>
      </c>
      <c r="C1224" s="5" t="str">
        <f t="shared" si="1402"/>
        <v>CH</v>
      </c>
      <c r="D1224" t="s">
        <v>1143</v>
      </c>
      <c r="E1224" t="str">
        <f t="shared" si="1400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6.4724008987354073E-6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1.3458969412056879E-3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6.7849917236796021E-3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8.8183808106579893E-3</v>
      </c>
      <c r="J1224" s="1" cm="1">
        <f t="array" ref="J1224">SUMPRODUCT(("T_C-PEV-DSL-S2"=[1]OUT_TransportEnergyCons!$A$3:$A$1000)*1,("var_fout"=[1]OUT_TransportEnergyCons!$B$3:$B$1000)*1,ISNUMBER(SEARCH("TPCAR",[1]OUT_TransportEnergyCons!$C$3:$C$1000))*1,[1]OUT_TransportEnergyCons!H$3:H$1000)</f>
        <v>2.1517108720592742E-2</v>
      </c>
      <c r="K1224" s="1" cm="1">
        <f t="array" ref="K1224">SUMPRODUCT(("T_C-PEV-DSL-S2"=[1]OUT_TransportEnergyCons!$A$3:$A$1000)*1,("var_fout"=[1]OUT_TransportEnergyCons!$B$3:$B$1000)*1,ISNUMBER(SEARCH("TPCAR",[1]OUT_TransportEnergyCons!$C$3:$C$1000))*1,[1]OUT_TransportEnergyCons!I$3:I$1000)</f>
        <v>2.8654183660402895E-2</v>
      </c>
      <c r="L1224" s="1" cm="1">
        <f t="array" ref="L1224">SUMPRODUCT(("T_C-PEV-DSL-S2"=[1]OUT_TransportEnergyCons!$A$3:$A$1000)*1,("var_fout"=[1]OUT_TransportEnergyCons!$B$3:$B$1000)*1,ISNUMBER(SEARCH("TPCAR",[1]OUT_TransportEnergyCons!$C$3:$C$1000))*1,[1]OUT_TransportEnergyCons!J$3:J$1000)</f>
        <v>2.9633594283632648E-2</v>
      </c>
      <c r="M1224" s="1" cm="1">
        <f t="array" ref="M1224">SUMPRODUCT(("T_C-PEV-DSL-S2"=[1]OUT_TransportEnergyCons!$A$3:$A$1000)*1,("var_fout"=[1]OUT_TransportEnergyCons!$B$3:$B$1000)*1,ISNUMBER(SEARCH("TPCAR",[1]OUT_TransportEnergyCons!$C$3:$C$1000))*1,[1]OUT_TransportEnergyCons!K$3:K$1000)</f>
        <v>3.3062780468735328E-2</v>
      </c>
      <c r="N1224" s="1" cm="1">
        <f t="array" ref="N1224">SUMPRODUCT(("T_C-PEV-DSL-S2"=[1]OUT_TransportEnergyCons!$A$3:$A$1000)*1,("var_fout"=[1]OUT_TransportEnergyCons!$B$3:$B$1000)*1,ISNUMBER(SEARCH("TPCAR",[1]OUT_TransportEnergyCons!$C$3:$C$1000))*1,[1]OUT_TransportEnergyCons!L$3:L$1000)</f>
        <v>2.2127581947955239E-2</v>
      </c>
      <c r="O1224" s="1" cm="1">
        <f t="array" ref="O1224">SUMPRODUCT(("T_C-PEV-DSL-S2"=[1]OUT_TransportEnergyCons!$A$3:$A$1000)*1,("var_fout"=[1]OUT_TransportEnergyCons!$B$3:$B$1000)*1,ISNUMBER(SEARCH("TPCAR",[1]OUT_TransportEnergyCons!$C$3:$C$1000))*1,[1]OUT_TransportEnergyCons!M$3:M$1000)</f>
        <v>1.2440345626483775E-2</v>
      </c>
      <c r="P1224" s="1" cm="1">
        <f t="array" ref="P1224">SUMPRODUCT(("T_C-PEV-DSL-S2"=[1]OUT_TransportEnergyCons!$A$3:$A$1000)*1,("var_fout"=[1]OUT_TransportEnergyCons!$B$3:$B$1000)*1,ISNUMBER(SEARCH("TPCAR",[1]OUT_TransportEnergyCons!$C$3:$C$1000))*1,[1]OUT_TransportEnergyCons!N$3:N$1000)</f>
        <v>3.358115889707569E-3</v>
      </c>
      <c r="Q1224" s="1" cm="1">
        <f t="array" ref="Q1224">SUMPRODUCT(("T_C-PEV-DSL-S2"=[1]OUT_TransportEnergyCons!$A$3:$A$1000)*1,("var_fout"=[1]OUT_TransportEnergyCons!$B$3:$B$1000)*1,ISNUMBER(SEARCH("TPCAR",[1]OUT_TransportEnergyCons!$C$3:$C$1000))*1,[1]OUT_TransportEnergyCons!O$3:O$1000)</f>
        <v>1.4836235401244483E-3</v>
      </c>
      <c r="S1224" s="3"/>
    </row>
    <row r="1225" spans="2:19" x14ac:dyDescent="0.5">
      <c r="B1225" s="5" t="str">
        <f t="shared" si="1401"/>
        <v>SPS1</v>
      </c>
      <c r="C1225" s="5" t="str">
        <f t="shared" si="1402"/>
        <v>CH</v>
      </c>
      <c r="D1225" t="s">
        <v>1144</v>
      </c>
      <c r="E1225" t="str">
        <f t="shared" si="1400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6.2319201224702575E-5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0.44658227061745503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1.5136422414726556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5.6019656441515524</v>
      </c>
      <c r="J1225" s="1" cm="1">
        <f t="array" ref="J1225">SUMPRODUCT(("T_C-PEV-DSL-S3"=[1]OUT_TransportEnergyCons!$A$3:$A$1000)*1,("var_fout"=[1]OUT_TransportEnergyCons!$B$3:$B$1000)*1,ISNUMBER(SEARCH("TPCAR",[1]OUT_TransportEnergyCons!$C$3:$C$1000))*1,[1]OUT_TransportEnergyCons!H$3:H$1000)</f>
        <v>9.0177768541818608</v>
      </c>
      <c r="K1225" s="1" cm="1">
        <f t="array" ref="K1225">SUMPRODUCT(("T_C-PEV-DSL-S3"=[1]OUT_TransportEnergyCons!$A$3:$A$1000)*1,("var_fout"=[1]OUT_TransportEnergyCons!$B$3:$B$1000)*1,ISNUMBER(SEARCH("TPCAR",[1]OUT_TransportEnergyCons!$C$3:$C$1000))*1,[1]OUT_TransportEnergyCons!I$3:I$1000)</f>
        <v>6.3862342276105224</v>
      </c>
      <c r="L1225" s="1" cm="1">
        <f t="array" ref="L1225">SUMPRODUCT(("T_C-PEV-DSL-S3"=[1]OUT_TransportEnergyCons!$A$3:$A$1000)*1,("var_fout"=[1]OUT_TransportEnergyCons!$B$3:$B$1000)*1,ISNUMBER(SEARCH("TPCAR",[1]OUT_TransportEnergyCons!$C$3:$C$1000))*1,[1]OUT_TransportEnergyCons!J$3:J$1000)</f>
        <v>4.6055813774428289</v>
      </c>
      <c r="M1225" s="1" cm="1">
        <f t="array" ref="M1225">SUMPRODUCT(("T_C-PEV-DSL-S3"=[1]OUT_TransportEnergyCons!$A$3:$A$1000)*1,("var_fout"=[1]OUT_TransportEnergyCons!$B$3:$B$1000)*1,ISNUMBER(SEARCH("TPCAR",[1]OUT_TransportEnergyCons!$C$3:$C$1000))*1,[1]OUT_TransportEnergyCons!K$3:K$1000)</f>
        <v>4.4278267860724423</v>
      </c>
      <c r="N1225" s="1" cm="1">
        <f t="array" ref="N1225">SUMPRODUCT(("T_C-PEV-DSL-S3"=[1]OUT_TransportEnergyCons!$A$3:$A$1000)*1,("var_fout"=[1]OUT_TransportEnergyCons!$B$3:$B$1000)*1,ISNUMBER(SEARCH("TPCAR",[1]OUT_TransportEnergyCons!$C$3:$C$1000))*1,[1]OUT_TransportEnergyCons!L$3:L$1000)</f>
        <v>2.606888943157903</v>
      </c>
      <c r="O1225" s="1" cm="1">
        <f t="array" ref="O1225">SUMPRODUCT(("T_C-PEV-DSL-S3"=[1]OUT_TransportEnergyCons!$A$3:$A$1000)*1,("var_fout"=[1]OUT_TransportEnergyCons!$B$3:$B$1000)*1,ISNUMBER(SEARCH("TPCAR",[1]OUT_TransportEnergyCons!$C$3:$C$1000))*1,[1]OUT_TransportEnergyCons!M$3:M$1000)</f>
        <v>1.3361062205886316</v>
      </c>
      <c r="P1225" s="1" cm="1">
        <f t="array" ref="P1225">SUMPRODUCT(("T_C-PEV-DSL-S3"=[1]OUT_TransportEnergyCons!$A$3:$A$1000)*1,("var_fout"=[1]OUT_TransportEnergyCons!$B$3:$B$1000)*1,ISNUMBER(SEARCH("TPCAR",[1]OUT_TransportEnergyCons!$C$3:$C$1000))*1,[1]OUT_TransportEnergyCons!N$3:N$1000)</f>
        <v>0.18514720055129172</v>
      </c>
      <c r="Q1225" s="1" cm="1">
        <f t="array" ref="Q1225">SUMPRODUCT(("T_C-PEV-DSL-S3"=[1]OUT_TransportEnergyCons!$A$3:$A$1000)*1,("var_fout"=[1]OUT_TransportEnergyCons!$B$3:$B$1000)*1,ISNUMBER(SEARCH("TPCAR",[1]OUT_TransportEnergyCons!$C$3:$C$1000))*1,[1]OUT_TransportEnergyCons!O$3:O$1000)</f>
        <v>1.6544289586328683E-3</v>
      </c>
      <c r="S1225" s="3"/>
    </row>
    <row r="1226" spans="2:19" x14ac:dyDescent="0.5">
      <c r="B1226" s="5" t="str">
        <f t="shared" si="1401"/>
        <v>SPS1</v>
      </c>
      <c r="C1226" s="5" t="str">
        <f t="shared" si="1402"/>
        <v>CH</v>
      </c>
      <c r="D1226" t="s">
        <v>1145</v>
      </c>
      <c r="E1226" t="str">
        <f t="shared" si="1400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2.9138112561144214E-3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1.3761056730711938E-2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1.914604083384126E-2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2.3258104166794309E-2</v>
      </c>
      <c r="J1226" s="1" cm="1">
        <f t="array" ref="J1226">SUMPRODUCT(("T_C-PEV-DSL-S4"=[1]OUT_TransportEnergyCons!$A$3:$A$1000)*1,("var_fout"=[1]OUT_TransportEnergyCons!$B$3:$B$1000)*1,ISNUMBER(SEARCH("TPCAR",[1]OUT_TransportEnergyCons!$C$3:$C$1000))*1,[1]OUT_TransportEnergyCons!H$3:H$1000)</f>
        <v>1.7873052903124891</v>
      </c>
      <c r="K1226" s="1" cm="1">
        <f t="array" ref="K1226">SUMPRODUCT(("T_C-PEV-DSL-S4"=[1]OUT_TransportEnergyCons!$A$3:$A$1000)*1,("var_fout"=[1]OUT_TransportEnergyCons!$B$3:$B$1000)*1,ISNUMBER(SEARCH("TPCAR",[1]OUT_TransportEnergyCons!$C$3:$C$1000))*1,[1]OUT_TransportEnergyCons!I$3:I$1000)</f>
        <v>4.0990148463533922</v>
      </c>
      <c r="L1226" s="1" cm="1">
        <f t="array" ref="L1226">SUMPRODUCT(("T_C-PEV-DSL-S4"=[1]OUT_TransportEnergyCons!$A$3:$A$1000)*1,("var_fout"=[1]OUT_TransportEnergyCons!$B$3:$B$1000)*1,ISNUMBER(SEARCH("TPCAR",[1]OUT_TransportEnergyCons!$C$3:$C$1000))*1,[1]OUT_TransportEnergyCons!J$3:J$1000)</f>
        <v>4.7532523855302911</v>
      </c>
      <c r="M1226" s="1" cm="1">
        <f t="array" ref="M1226">SUMPRODUCT(("T_C-PEV-DSL-S4"=[1]OUT_TransportEnergyCons!$A$3:$A$1000)*1,("var_fout"=[1]OUT_TransportEnergyCons!$B$3:$B$1000)*1,ISNUMBER(SEARCH("TPCAR",[1]OUT_TransportEnergyCons!$C$3:$C$1000))*1,[1]OUT_TransportEnergyCons!K$3:K$1000)</f>
        <v>3.9261848886703374</v>
      </c>
      <c r="N1226" s="1" cm="1">
        <f t="array" ref="N1226">SUMPRODUCT(("T_C-PEV-DSL-S4"=[1]OUT_TransportEnergyCons!$A$3:$A$1000)*1,("var_fout"=[1]OUT_TransportEnergyCons!$B$3:$B$1000)*1,ISNUMBER(SEARCH("TPCAR",[1]OUT_TransportEnergyCons!$C$3:$C$1000))*1,[1]OUT_TransportEnergyCons!L$3:L$1000)</f>
        <v>3.8938751789379684</v>
      </c>
      <c r="O1226" s="1" cm="1">
        <f t="array" ref="O1226">SUMPRODUCT(("T_C-PEV-DSL-S4"=[1]OUT_TransportEnergyCons!$A$3:$A$1000)*1,("var_fout"=[1]OUT_TransportEnergyCons!$B$3:$B$1000)*1,ISNUMBER(SEARCH("TPCAR",[1]OUT_TransportEnergyCons!$C$3:$C$1000))*1,[1]OUT_TransportEnergyCons!M$3:M$1000)</f>
        <v>4.9834619995779139</v>
      </c>
      <c r="P1226" s="1" cm="1">
        <f t="array" ref="P1226">SUMPRODUCT(("T_C-PEV-DSL-S4"=[1]OUT_TransportEnergyCons!$A$3:$A$1000)*1,("var_fout"=[1]OUT_TransportEnergyCons!$B$3:$B$1000)*1,ISNUMBER(SEARCH("TPCAR",[1]OUT_TransportEnergyCons!$C$3:$C$1000))*1,[1]OUT_TransportEnergyCons!N$3:N$1000)</f>
        <v>6.3658957724108927</v>
      </c>
      <c r="Q1226" s="1" cm="1">
        <f t="array" ref="Q1226">SUMPRODUCT(("T_C-PEV-DSL-S4"=[1]OUT_TransportEnergyCons!$A$3:$A$1000)*1,("var_fout"=[1]OUT_TransportEnergyCons!$B$3:$B$1000)*1,ISNUMBER(SEARCH("TPCAR",[1]OUT_TransportEnergyCons!$C$3:$C$1000))*1,[1]OUT_TransportEnergyCons!O$3:O$1000)</f>
        <v>6.2191047651077591</v>
      </c>
      <c r="S1226" s="3"/>
    </row>
    <row r="1227" spans="2:19" x14ac:dyDescent="0.5">
      <c r="B1227" s="5" t="str">
        <f t="shared" si="1401"/>
        <v>SPS1</v>
      </c>
      <c r="C1227" s="5" t="str">
        <f t="shared" si="1402"/>
        <v>CH</v>
      </c>
      <c r="D1227" t="s">
        <v>1146</v>
      </c>
      <c r="E1227" t="str">
        <f t="shared" si="1400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7.3816962962001059E-5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9.5554218574237364E-5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1.2600032912469489E-5</v>
      </c>
      <c r="J1227" s="1" cm="1">
        <f t="array" ref="J1227">SUMPRODUCT(("T_C-FC-H2O-S1"=[1]OUT_TransportEnergyCons!$A$3:$A$1000)*1,("var_fout"=[1]OUT_TransportEnergyCons!$B$3:$B$1000)*1,ISNUMBER(SEARCH("TPCAR",[1]OUT_TransportEnergyCons!$C$3:$C$1000))*1,[1]OUT_TransportEnergyCons!H$3:H$1000)</f>
        <v>1.6076368308732057E-5</v>
      </c>
      <c r="K1227" s="1" cm="1">
        <f t="array" ref="K1227">SUMPRODUCT(("T_C-FC-H2O-S1"=[1]OUT_TransportEnergyCons!$A$3:$A$1000)*1,("var_fout"=[1]OUT_TransportEnergyCons!$B$3:$B$1000)*1,ISNUMBER(SEARCH("TPCAR",[1]OUT_TransportEnergyCons!$C$3:$C$1000))*1,[1]OUT_TransportEnergyCons!I$3:I$1000)</f>
        <v>1.7091939858238117E-5</v>
      </c>
      <c r="L1227" s="1" cm="1">
        <f t="array" ref="L1227">SUMPRODUCT(("T_C-FC-H2O-S1"=[1]OUT_TransportEnergyCons!$A$3:$A$1000)*1,("var_fout"=[1]OUT_TransportEnergyCons!$B$3:$B$1000)*1,ISNUMBER(SEARCH("TPCAR",[1]OUT_TransportEnergyCons!$C$3:$C$1000))*1,[1]OUT_TransportEnergyCons!J$3:J$1000)</f>
        <v>1.6538137631704285E-5</v>
      </c>
      <c r="M1227" s="1" cm="1">
        <f t="array" ref="M1227">SUMPRODUCT(("T_C-FC-H2O-S1"=[1]OUT_TransportEnergyCons!$A$3:$A$1000)*1,("var_fout"=[1]OUT_TransportEnergyCons!$B$3:$B$1000)*1,ISNUMBER(SEARCH("TPCAR",[1]OUT_TransportEnergyCons!$C$3:$C$1000))*1,[1]OUT_TransportEnergyCons!K$3:K$1000)</f>
        <v>1.7039562932851769E-5</v>
      </c>
      <c r="N1227" s="1" cm="1">
        <f t="array" ref="N1227">SUMPRODUCT(("T_C-FC-H2O-S1"=[1]OUT_TransportEnergyCons!$A$3:$A$1000)*1,("var_fout"=[1]OUT_TransportEnergyCons!$B$3:$B$1000)*1,ISNUMBER(SEARCH("TPCAR",[1]OUT_TransportEnergyCons!$C$3:$C$1000))*1,[1]OUT_TransportEnergyCons!L$3:L$1000)</f>
        <v>1.4047913867059976E-5</v>
      </c>
      <c r="O1227" s="1" cm="1">
        <f t="array" ref="O1227">SUMPRODUCT(("T_C-FC-H2O-S1"=[1]OUT_TransportEnergyCons!$A$3:$A$1000)*1,("var_fout"=[1]OUT_TransportEnergyCons!$B$3:$B$1000)*1,ISNUMBER(SEARCH("TPCAR",[1]OUT_TransportEnergyCons!$C$3:$C$1000))*1,[1]OUT_TransportEnergyCons!M$3:M$1000)</f>
        <v>1.2849118815745181E-5</v>
      </c>
      <c r="P1227" s="1" cm="1">
        <f t="array" ref="P1227">SUMPRODUCT(("T_C-FC-H2O-S1"=[1]OUT_TransportEnergyCons!$A$3:$A$1000)*1,("var_fout"=[1]OUT_TransportEnergyCons!$B$3:$B$1000)*1,ISNUMBER(SEARCH("TPCAR",[1]OUT_TransportEnergyCons!$C$3:$C$1000))*1,[1]OUT_TransportEnergyCons!N$3:N$1000)</f>
        <v>7.8352180880299675E-6</v>
      </c>
      <c r="Q1227" s="1" cm="1">
        <f t="array" ref="Q1227">SUMPRODUCT(("T_C-FC-H2O-S1"=[1]OUT_TransportEnergyCons!$A$3:$A$1000)*1,("var_fout"=[1]OUT_TransportEnergyCons!$B$3:$B$1000)*1,ISNUMBER(SEARCH("TPCAR",[1]OUT_TransportEnergyCons!$C$3:$C$1000))*1,[1]OUT_TransportEnergyCons!O$3:O$1000)</f>
        <v>4.6761470565242244E-5</v>
      </c>
      <c r="S1227" s="3"/>
    </row>
    <row r="1228" spans="2:19" x14ac:dyDescent="0.5">
      <c r="B1228" s="5" t="str">
        <f t="shared" si="1401"/>
        <v>SPS1</v>
      </c>
      <c r="C1228" s="5" t="str">
        <f t="shared" si="1402"/>
        <v>CH</v>
      </c>
      <c r="D1228" t="s">
        <v>1147</v>
      </c>
      <c r="E1228" t="str">
        <f t="shared" si="1400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8.1751462060300107E-5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1.3945883161665292E-4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1.6091751938414385E-4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3.01452908796116E-5</v>
      </c>
      <c r="J1228" s="1" cm="1">
        <f t="array" ref="J1228">SUMPRODUCT(("T_C-FC-H2O-S2"=[1]OUT_TransportEnergyCons!$A$3:$A$1000)*1,("var_fout"=[1]OUT_TransportEnergyCons!$B$3:$B$1000)*1,ISNUMBER(SEARCH("TPCAR",[1]OUT_TransportEnergyCons!$C$3:$C$1000))*1,[1]OUT_TransportEnergyCons!H$3:H$1000)</f>
        <v>2.4686271834937457E-5</v>
      </c>
      <c r="K1228" s="1" cm="1">
        <f t="array" ref="K1228">SUMPRODUCT(("T_C-FC-H2O-S2"=[1]OUT_TransportEnergyCons!$A$3:$A$1000)*1,("var_fout"=[1]OUT_TransportEnergyCons!$B$3:$B$1000)*1,ISNUMBER(SEARCH("TPCAR",[1]OUT_TransportEnergyCons!$C$3:$C$1000))*1,[1]OUT_TransportEnergyCons!I$3:I$1000)</f>
        <v>2.0510243924836898E-5</v>
      </c>
      <c r="L1228" s="1" cm="1">
        <f t="array" ref="L1228">SUMPRODUCT(("T_C-FC-H2O-S2"=[1]OUT_TransportEnergyCons!$A$3:$A$1000)*1,("var_fout"=[1]OUT_TransportEnergyCons!$B$3:$B$1000)*1,ISNUMBER(SEARCH("TPCAR",[1]OUT_TransportEnergyCons!$C$3:$C$1000))*1,[1]OUT_TransportEnergyCons!J$3:J$1000)</f>
        <v>2.2226769831040061E-5</v>
      </c>
      <c r="M1228" s="1" cm="1">
        <f t="array" ref="M1228">SUMPRODUCT(("T_C-FC-H2O-S2"=[1]OUT_TransportEnergyCons!$A$3:$A$1000)*1,("var_fout"=[1]OUT_TransportEnergyCons!$B$3:$B$1000)*1,ISNUMBER(SEARCH("TPCAR",[1]OUT_TransportEnergyCons!$C$3:$C$1000))*1,[1]OUT_TransportEnergyCons!K$3:K$1000)</f>
        <v>2.4312993537633245E-5</v>
      </c>
      <c r="N1228" s="1" cm="1">
        <f t="array" ref="N1228">SUMPRODUCT(("T_C-FC-H2O-S2"=[1]OUT_TransportEnergyCons!$A$3:$A$1000)*1,("var_fout"=[1]OUT_TransportEnergyCons!$B$3:$B$1000)*1,ISNUMBER(SEARCH("TPCAR",[1]OUT_TransportEnergyCons!$C$3:$C$1000))*1,[1]OUT_TransportEnergyCons!L$3:L$1000)</f>
        <v>2.1211040994469752E-5</v>
      </c>
      <c r="O1228" s="1" cm="1">
        <f t="array" ref="O1228">SUMPRODUCT(("T_C-FC-H2O-S2"=[1]OUT_TransportEnergyCons!$A$3:$A$1000)*1,("var_fout"=[1]OUT_TransportEnergyCons!$B$3:$B$1000)*1,ISNUMBER(SEARCH("TPCAR",[1]OUT_TransportEnergyCons!$C$3:$C$1000))*1,[1]OUT_TransportEnergyCons!M$3:M$1000)</f>
        <v>2.3043751312440158E-5</v>
      </c>
      <c r="P1228" s="1" cm="1">
        <f t="array" ref="P1228">SUMPRODUCT(("T_C-FC-H2O-S2"=[1]OUT_TransportEnergyCons!$A$3:$A$1000)*1,("var_fout"=[1]OUT_TransportEnergyCons!$B$3:$B$1000)*1,ISNUMBER(SEARCH("TPCAR",[1]OUT_TransportEnergyCons!$C$3:$C$1000))*1,[1]OUT_TransportEnergyCons!N$3:N$1000)</f>
        <v>2.1237533117758832E-5</v>
      </c>
      <c r="Q1228" s="1" cm="1">
        <f t="array" ref="Q1228">SUMPRODUCT(("T_C-FC-H2O-S2"=[1]OUT_TransportEnergyCons!$A$3:$A$1000)*1,("var_fout"=[1]OUT_TransportEnergyCons!$B$3:$B$1000)*1,ISNUMBER(SEARCH("TPCAR",[1]OUT_TransportEnergyCons!$C$3:$C$1000))*1,[1]OUT_TransportEnergyCons!O$3:O$1000)</f>
        <v>7.6183515295208994E-5</v>
      </c>
      <c r="S1228" s="3"/>
    </row>
    <row r="1229" spans="2:19" x14ac:dyDescent="0.5">
      <c r="B1229" s="5" t="str">
        <f t="shared" si="1401"/>
        <v>SPS1</v>
      </c>
      <c r="C1229" s="5" t="str">
        <f t="shared" si="1402"/>
        <v>CH</v>
      </c>
      <c r="D1229" t="s">
        <v>1148</v>
      </c>
      <c r="E1229" t="str">
        <f t="shared" si="1400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6.7651122371238084E-4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1.5698875067652021E-3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1.4589241708066933E-3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4.7252144025341662E-5</v>
      </c>
      <c r="J1229" s="1" cm="1">
        <f t="array" ref="J1229">SUMPRODUCT(("T_C-FC-H2O-S3"=[1]OUT_TransportEnergyCons!$A$3:$A$1000)*1,("var_fout"=[1]OUT_TransportEnergyCons!$B$3:$B$1000)*1,ISNUMBER(SEARCH("TPCAR",[1]OUT_TransportEnergyCons!$C$3:$C$1000))*1,[1]OUT_TransportEnergyCons!H$3:H$1000)</f>
        <v>3.1937471495064375E-5</v>
      </c>
      <c r="K1229" s="1" cm="1">
        <f t="array" ref="K1229">SUMPRODUCT(("T_C-FC-H2O-S3"=[1]OUT_TransportEnergyCons!$A$3:$A$1000)*1,("var_fout"=[1]OUT_TransportEnergyCons!$B$3:$B$1000)*1,ISNUMBER(SEARCH("TPCAR",[1]OUT_TransportEnergyCons!$C$3:$C$1000))*1,[1]OUT_TransportEnergyCons!I$3:I$1000)</f>
        <v>2.0515634206943278E-5</v>
      </c>
      <c r="L1229" s="1" cm="1">
        <f t="array" ref="L1229">SUMPRODUCT(("T_C-FC-H2O-S3"=[1]OUT_TransportEnergyCons!$A$3:$A$1000)*1,("var_fout"=[1]OUT_TransportEnergyCons!$B$3:$B$1000)*1,ISNUMBER(SEARCH("TPCAR",[1]OUT_TransportEnergyCons!$C$3:$C$1000))*1,[1]OUT_TransportEnergyCons!J$3:J$1000)</f>
        <v>2.2613723978054876E-5</v>
      </c>
      <c r="M1229" s="1" cm="1">
        <f t="array" ref="M1229">SUMPRODUCT(("T_C-FC-H2O-S3"=[1]OUT_TransportEnergyCons!$A$3:$A$1000)*1,("var_fout"=[1]OUT_TransportEnergyCons!$B$3:$B$1000)*1,ISNUMBER(SEARCH("TPCAR",[1]OUT_TransportEnergyCons!$C$3:$C$1000))*1,[1]OUT_TransportEnergyCons!K$3:K$1000)</f>
        <v>2.5299093942054327E-5</v>
      </c>
      <c r="N1229" s="1" cm="1">
        <f t="array" ref="N1229">SUMPRODUCT(("T_C-FC-H2O-S3"=[1]OUT_TransportEnergyCons!$A$3:$A$1000)*1,("var_fout"=[1]OUT_TransportEnergyCons!$B$3:$B$1000)*1,ISNUMBER(SEARCH("TPCAR",[1]OUT_TransportEnergyCons!$C$3:$C$1000))*1,[1]OUT_TransportEnergyCons!L$3:L$1000)</f>
        <v>2.3756484158535624E-5</v>
      </c>
      <c r="O1229" s="1" cm="1">
        <f t="array" ref="O1229">SUMPRODUCT(("T_C-FC-H2O-S3"=[1]OUT_TransportEnergyCons!$A$3:$A$1000)*1,("var_fout"=[1]OUT_TransportEnergyCons!$B$3:$B$1000)*1,ISNUMBER(SEARCH("TPCAR",[1]OUT_TransportEnergyCons!$C$3:$C$1000))*1,[1]OUT_TransportEnergyCons!M$3:M$1000)</f>
        <v>2.6375960369814829E-5</v>
      </c>
      <c r="P1229" s="1" cm="1">
        <f t="array" ref="P1229">SUMPRODUCT(("T_C-FC-H2O-S3"=[1]OUT_TransportEnergyCons!$A$3:$A$1000)*1,("var_fout"=[1]OUT_TransportEnergyCons!$B$3:$B$1000)*1,ISNUMBER(SEARCH("TPCAR",[1]OUT_TransportEnergyCons!$C$3:$C$1000))*1,[1]OUT_TransportEnergyCons!N$3:N$1000)</f>
        <v>3.0134792485708743E-5</v>
      </c>
      <c r="Q1229" s="1" cm="1">
        <f t="array" ref="Q1229">SUMPRODUCT(("T_C-FC-H2O-S3"=[1]OUT_TransportEnergyCons!$A$3:$A$1000)*1,("var_fout"=[1]OUT_TransportEnergyCons!$B$3:$B$1000)*1,ISNUMBER(SEARCH("TPCAR",[1]OUT_TransportEnergyCons!$C$3:$C$1000))*1,[1]OUT_TransportEnergyCons!O$3:O$1000)</f>
        <v>8.7451837281917342E-5</v>
      </c>
      <c r="S1229" s="3"/>
    </row>
    <row r="1230" spans="2:19" x14ac:dyDescent="0.5">
      <c r="B1230" s="5" t="str">
        <f t="shared" si="1401"/>
        <v>SPS1</v>
      </c>
      <c r="C1230" s="5" t="str">
        <f t="shared" si="1402"/>
        <v>CH</v>
      </c>
      <c r="D1230" t="s">
        <v>1149</v>
      </c>
      <c r="E1230" t="str">
        <f t="shared" si="1400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6.1932569259302053E-5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8.134881490704032E-5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2.1874819980697577E-5</v>
      </c>
      <c r="J1230" s="1" cm="1">
        <f t="array" ref="J1230">SUMPRODUCT(("T_C-FC-H2O-S4"=[1]OUT_TransportEnergyCons!$A$3:$A$1000)*1,("var_fout"=[1]OUT_TransportEnergyCons!$B$3:$B$1000)*1,ISNUMBER(SEARCH("TPCAR",[1]OUT_TransportEnergyCons!$C$3:$C$1000))*1,[1]OUT_TransportEnergyCons!H$3:H$1000)</f>
        <v>2.3319528548770525E-5</v>
      </c>
      <c r="K1230" s="1" cm="1">
        <f t="array" ref="K1230">SUMPRODUCT(("T_C-FC-H2O-S4"=[1]OUT_TransportEnergyCons!$A$3:$A$1000)*1,("var_fout"=[1]OUT_TransportEnergyCons!$B$3:$B$1000)*1,ISNUMBER(SEARCH("TPCAR",[1]OUT_TransportEnergyCons!$C$3:$C$1000))*1,[1]OUT_TransportEnergyCons!I$3:I$1000)</f>
        <v>1.9830375917914783E-5</v>
      </c>
      <c r="L1230" s="1" cm="1">
        <f t="array" ref="L1230">SUMPRODUCT(("T_C-FC-H2O-S4"=[1]OUT_TransportEnergyCons!$A$3:$A$1000)*1,("var_fout"=[1]OUT_TransportEnergyCons!$B$3:$B$1000)*1,ISNUMBER(SEARCH("TPCAR",[1]OUT_TransportEnergyCons!$C$3:$C$1000))*1,[1]OUT_TransportEnergyCons!J$3:J$1000)</f>
        <v>2.2072473684272204E-5</v>
      </c>
      <c r="M1230" s="1" cm="1">
        <f t="array" ref="M1230">SUMPRODUCT(("T_C-FC-H2O-S4"=[1]OUT_TransportEnergyCons!$A$3:$A$1000)*1,("var_fout"=[1]OUT_TransportEnergyCons!$B$3:$B$1000)*1,ISNUMBER(SEARCH("TPCAR",[1]OUT_TransportEnergyCons!$C$3:$C$1000))*1,[1]OUT_TransportEnergyCons!K$3:K$1000)</f>
        <v>2.3780901712082852E-5</v>
      </c>
      <c r="N1230" s="1" cm="1">
        <f t="array" ref="N1230">SUMPRODUCT(("T_C-FC-H2O-S4"=[1]OUT_TransportEnergyCons!$A$3:$A$1000)*1,("var_fout"=[1]OUT_TransportEnergyCons!$B$3:$B$1000)*1,ISNUMBER(SEARCH("TPCAR",[1]OUT_TransportEnergyCons!$C$3:$C$1000))*1,[1]OUT_TransportEnergyCons!L$3:L$1000)</f>
        <v>2.0560400904660997E-5</v>
      </c>
      <c r="O1230" s="1" cm="1">
        <f t="array" ref="O1230">SUMPRODUCT(("T_C-FC-H2O-S4"=[1]OUT_TransportEnergyCons!$A$3:$A$1000)*1,("var_fout"=[1]OUT_TransportEnergyCons!$B$3:$B$1000)*1,ISNUMBER(SEARCH("TPCAR",[1]OUT_TransportEnergyCons!$C$3:$C$1000))*1,[1]OUT_TransportEnergyCons!M$3:M$1000)</f>
        <v>2.1621902703586118E-5</v>
      </c>
      <c r="P1230" s="1" cm="1">
        <f t="array" ref="P1230">SUMPRODUCT(("T_C-FC-H2O-S4"=[1]OUT_TransportEnergyCons!$A$3:$A$1000)*1,("var_fout"=[1]OUT_TransportEnergyCons!$B$3:$B$1000)*1,ISNUMBER(SEARCH("TPCAR",[1]OUT_TransportEnergyCons!$C$3:$C$1000))*1,[1]OUT_TransportEnergyCons!N$3:N$1000)</f>
        <v>1.8622955994135487E-5</v>
      </c>
      <c r="Q1230" s="1" cm="1">
        <f t="array" ref="Q1230">SUMPRODUCT(("T_C-FC-H2O-S4"=[1]OUT_TransportEnergyCons!$A$3:$A$1000)*1,("var_fout"=[1]OUT_TransportEnergyCons!$B$3:$B$1000)*1,ISNUMBER(SEARCH("TPCAR",[1]OUT_TransportEnergyCons!$C$3:$C$1000))*1,[1]OUT_TransportEnergyCons!O$3:O$1000)</f>
        <v>7.1968445464274706E-5</v>
      </c>
      <c r="S1230" s="3"/>
    </row>
    <row r="1231" spans="2:19" x14ac:dyDescent="0.5">
      <c r="B1231" s="5" t="str">
        <f t="shared" si="1401"/>
        <v>SPS1</v>
      </c>
      <c r="C1231" s="5" t="str">
        <f t="shared" si="1402"/>
        <v>CH</v>
      </c>
      <c r="D1231" t="s">
        <v>1233</v>
      </c>
      <c r="E1231" t="str">
        <f t="shared" si="1400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0.61927897524450926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0.62769842363513007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0.48283321780761168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0.24142207383114306</v>
      </c>
      <c r="J1231" s="1" cm="1">
        <f t="array" ref="J1231">SUMPRODUCT(("T_C-HYBGSLEXT"=[1]OUT_TransportEnergyCons!$A$3:$A$1000)*1,("var_fout"=[1]OUT_TransportEnergyCons!$B$3:$B$1000)*1,ISNUMBER(SEARCH("TPCAR",[1]OUT_TransportEnergyCons!$C$3:$C$1000))*1,[1]OUT_TransportEnergyCons!H$3:H$1000)</f>
        <v>0</v>
      </c>
      <c r="K1231" s="1" cm="1">
        <f t="array" ref="K1231">SUMPRODUCT(("T_C-HYBGSLEXT"=[1]OUT_TransportEnergyCons!$A$3:$A$1000)*1,("var_fout"=[1]OUT_TransportEnergyCons!$B$3:$B$1000)*1,ISNUMBER(SEARCH("TPCAR",[1]OUT_TransportEnergyCons!$C$3:$C$1000))*1,[1]OUT_TransportEnergyCons!I$3:I$1000)</f>
        <v>0</v>
      </c>
      <c r="L1231" s="1" cm="1">
        <f t="array" ref="L1231">SUMPRODUCT(("T_C-HYBGSLEXT"=[1]OUT_TransportEnergyCons!$A$3:$A$1000)*1,("var_fout"=[1]OUT_TransportEnergyCons!$B$3:$B$1000)*1,ISNUMBER(SEARCH("TPCAR",[1]OUT_TransportEnergyCons!$C$3:$C$1000))*1,[1]OUT_TransportEnergyCons!J$3:J$1000)</f>
        <v>0</v>
      </c>
      <c r="M1231" s="1" cm="1">
        <f t="array" ref="M1231">SUMPRODUCT(("T_C-HYBGSLEXT"=[1]OUT_TransportEnergyCons!$A$3:$A$1000)*1,("var_fout"=[1]OUT_TransportEnergyCons!$B$3:$B$1000)*1,ISNUMBER(SEARCH("TPCAR",[1]OUT_TransportEnergyCons!$C$3:$C$1000))*1,[1]OUT_TransportEnergyCons!K$3:K$1000)</f>
        <v>0</v>
      </c>
      <c r="N1231" s="1" cm="1">
        <f t="array" ref="N1231">SUMPRODUCT(("T_C-HYBGSLEXT"=[1]OUT_TransportEnergyCons!$A$3:$A$1000)*1,("var_fout"=[1]OUT_TransportEnergyCons!$B$3:$B$1000)*1,ISNUMBER(SEARCH("TPCAR",[1]OUT_TransportEnergyCons!$C$3:$C$1000))*1,[1]OUT_TransportEnergyCons!L$3:L$1000)</f>
        <v>0</v>
      </c>
      <c r="O1231" s="1" cm="1">
        <f t="array" ref="O1231">SUMPRODUCT(("T_C-HYBGSLEXT"=[1]OUT_TransportEnergyCons!$A$3:$A$1000)*1,("var_fout"=[1]OUT_TransportEnergyCons!$B$3:$B$1000)*1,ISNUMBER(SEARCH("TPCAR",[1]OUT_TransportEnergyCons!$C$3:$C$1000))*1,[1]OUT_TransportEnergyCons!M$3:M$1000)</f>
        <v>0</v>
      </c>
      <c r="P1231" s="1" cm="1">
        <f t="array" ref="P1231">SUMPRODUCT(("T_C-HYBGSLEXT"=[1]OUT_TransportEnergyCons!$A$3:$A$1000)*1,("var_fout"=[1]OUT_TransportEnergyCons!$B$3:$B$1000)*1,ISNUMBER(SEARCH("TPCAR",[1]OUT_TransportEnergyCons!$C$3:$C$1000))*1,[1]OUT_TransportEnergyCons!N$3:N$1000)</f>
        <v>0</v>
      </c>
      <c r="Q1231" s="1" cm="1">
        <f t="array" ref="Q1231">SUMPRODUCT(("T_C-HYBGSLEXT"=[1]OUT_TransportEnergyCons!$A$3:$A$1000)*1,("var_fout"=[1]OUT_TransportEnergyCons!$B$3:$B$1000)*1,ISNUMBER(SEARCH("TPCAR",[1]OUT_TransportEnergyCons!$C$3:$C$1000))*1,[1]OUT_TransportEnergyCons!O$3:O$1000)</f>
        <v>0</v>
      </c>
      <c r="S1231" s="3"/>
    </row>
    <row r="1232" spans="2:19" x14ac:dyDescent="0.5">
      <c r="B1232" s="5" t="str">
        <f t="shared" si="1401"/>
        <v>SPS1</v>
      </c>
      <c r="C1232" s="5" t="str">
        <f t="shared" si="1402"/>
        <v>CH</v>
      </c>
      <c r="D1232" t="s">
        <v>1150</v>
      </c>
      <c r="E1232" t="str">
        <f t="shared" si="1400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5.1048039034533067E-2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6.3434101848276067E-2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4.559315350908949E-2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3.7217790105401855E-2</v>
      </c>
      <c r="J1232" s="1" cm="1">
        <f t="array" ref="J1232">SUMPRODUCT(("T_C-HY-GSL-S1"=[1]OUT_TransportEnergyCons!$A$3:$A$1000)*1,("var_fout"=[1]OUT_TransportEnergyCons!$B$3:$B$1000)*1,ISNUMBER(SEARCH("TPCAR",[1]OUT_TransportEnergyCons!$C$3:$C$1000))*1,[1]OUT_TransportEnergyCons!H$3:H$1000)</f>
        <v>0.27096429436421077</v>
      </c>
      <c r="K1232" s="1" cm="1">
        <f t="array" ref="K1232">SUMPRODUCT(("T_C-HY-GSL-S1"=[1]OUT_TransportEnergyCons!$A$3:$A$1000)*1,("var_fout"=[1]OUT_TransportEnergyCons!$B$3:$B$1000)*1,ISNUMBER(SEARCH("TPCAR",[1]OUT_TransportEnergyCons!$C$3:$C$1000))*1,[1]OUT_TransportEnergyCons!I$3:I$1000)</f>
        <v>0.50486363892415242</v>
      </c>
      <c r="L1232" s="1" cm="1">
        <f t="array" ref="L1232">SUMPRODUCT(("T_C-HY-GSL-S1"=[1]OUT_TransportEnergyCons!$A$3:$A$1000)*1,("var_fout"=[1]OUT_TransportEnergyCons!$B$3:$B$1000)*1,ISNUMBER(SEARCH("TPCAR",[1]OUT_TransportEnergyCons!$C$3:$C$1000))*1,[1]OUT_TransportEnergyCons!J$3:J$1000)</f>
        <v>0.39424408592390631</v>
      </c>
      <c r="M1232" s="1" cm="1">
        <f t="array" ref="M1232">SUMPRODUCT(("T_C-HY-GSL-S1"=[1]OUT_TransportEnergyCons!$A$3:$A$1000)*1,("var_fout"=[1]OUT_TransportEnergyCons!$B$3:$B$1000)*1,ISNUMBER(SEARCH("TPCAR",[1]OUT_TransportEnergyCons!$C$3:$C$1000))*1,[1]OUT_TransportEnergyCons!K$3:K$1000)</f>
        <v>0.1653212933733329</v>
      </c>
      <c r="N1232" s="1" cm="1">
        <f t="array" ref="N1232">SUMPRODUCT(("T_C-HY-GSL-S1"=[1]OUT_TransportEnergyCons!$A$3:$A$1000)*1,("var_fout"=[1]OUT_TransportEnergyCons!$B$3:$B$1000)*1,ISNUMBER(SEARCH("TPCAR",[1]OUT_TransportEnergyCons!$C$3:$C$1000))*1,[1]OUT_TransportEnergyCons!L$3:L$1000)</f>
        <v>3.2148471746629312E-2</v>
      </c>
      <c r="O1232" s="1" cm="1">
        <f t="array" ref="O1232">SUMPRODUCT(("T_C-HY-GSL-S1"=[1]OUT_TransportEnergyCons!$A$3:$A$1000)*1,("var_fout"=[1]OUT_TransportEnergyCons!$B$3:$B$1000)*1,ISNUMBER(SEARCH("TPCAR",[1]OUT_TransportEnergyCons!$C$3:$C$1000))*1,[1]OUT_TransportEnergyCons!M$3:M$1000)</f>
        <v>0.15408825584030941</v>
      </c>
      <c r="P1232" s="1" cm="1">
        <f t="array" ref="P1232">SUMPRODUCT(("T_C-HY-GSL-S1"=[1]OUT_TransportEnergyCons!$A$3:$A$1000)*1,("var_fout"=[1]OUT_TransportEnergyCons!$B$3:$B$1000)*1,ISNUMBER(SEARCH("TPCAR",[1]OUT_TransportEnergyCons!$C$3:$C$1000))*1,[1]OUT_TransportEnergyCons!N$3:N$1000)</f>
        <v>0.52485809040428266</v>
      </c>
      <c r="Q1232" s="1" cm="1">
        <f t="array" ref="Q1232">SUMPRODUCT(("T_C-HY-GSL-S1"=[1]OUT_TransportEnergyCons!$A$3:$A$1000)*1,("var_fout"=[1]OUT_TransportEnergyCons!$B$3:$B$1000)*1,ISNUMBER(SEARCH("TPCAR",[1]OUT_TransportEnergyCons!$C$3:$C$1000))*1,[1]OUT_TransportEnergyCons!O$3:O$1000)</f>
        <v>0.70121740816243971</v>
      </c>
      <c r="S1232" s="3"/>
    </row>
    <row r="1233" spans="2:19" x14ac:dyDescent="0.5">
      <c r="B1233" s="5" t="str">
        <f t="shared" si="1401"/>
        <v>SPS1</v>
      </c>
      <c r="C1233" s="5" t="str">
        <f t="shared" si="1402"/>
        <v>CH</v>
      </c>
      <c r="D1233" t="s">
        <v>1151</v>
      </c>
      <c r="E1233" t="str">
        <f t="shared" si="1400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0.2222048643024486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0.39518374610877288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0.49124690181025349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0.40366727615204612</v>
      </c>
      <c r="J1233" s="1" cm="1">
        <f t="array" ref="J1233">SUMPRODUCT(("T_C-HY-GSL-S2"=[1]OUT_TransportEnergyCons!$A$3:$A$1000)*1,("var_fout"=[1]OUT_TransportEnergyCons!$B$3:$B$1000)*1,ISNUMBER(SEARCH("TPCAR",[1]OUT_TransportEnergyCons!$C$3:$C$1000))*1,[1]OUT_TransportEnergyCons!H$3:H$1000)</f>
        <v>0.88453253767826212</v>
      </c>
      <c r="K1233" s="1" cm="1">
        <f t="array" ref="K1233">SUMPRODUCT(("T_C-HY-GSL-S2"=[1]OUT_TransportEnergyCons!$A$3:$A$1000)*1,("var_fout"=[1]OUT_TransportEnergyCons!$B$3:$B$1000)*1,ISNUMBER(SEARCH("TPCAR",[1]OUT_TransportEnergyCons!$C$3:$C$1000))*1,[1]OUT_TransportEnergyCons!I$3:I$1000)</f>
        <v>0.69972900715586206</v>
      </c>
      <c r="L1233" s="1" cm="1">
        <f t="array" ref="L1233">SUMPRODUCT(("T_C-HY-GSL-S2"=[1]OUT_TransportEnergyCons!$A$3:$A$1000)*1,("var_fout"=[1]OUT_TransportEnergyCons!$B$3:$B$1000)*1,ISNUMBER(SEARCH("TPCAR",[1]OUT_TransportEnergyCons!$C$3:$C$1000))*1,[1]OUT_TransportEnergyCons!J$3:J$1000)</f>
        <v>0.49275667479914737</v>
      </c>
      <c r="M1233" s="1" cm="1">
        <f t="array" ref="M1233">SUMPRODUCT(("T_C-HY-GSL-S2"=[1]OUT_TransportEnergyCons!$A$3:$A$1000)*1,("var_fout"=[1]OUT_TransportEnergyCons!$B$3:$B$1000)*1,ISNUMBER(SEARCH("TPCAR",[1]OUT_TransportEnergyCons!$C$3:$C$1000))*1,[1]OUT_TransportEnergyCons!K$3:K$1000)</f>
        <v>1.1046330084563105E-2</v>
      </c>
      <c r="N1233" s="1" cm="1">
        <f t="array" ref="N1233">SUMPRODUCT(("T_C-HY-GSL-S2"=[1]OUT_TransportEnergyCons!$A$3:$A$1000)*1,("var_fout"=[1]OUT_TransportEnergyCons!$B$3:$B$1000)*1,ISNUMBER(SEARCH("TPCAR",[1]OUT_TransportEnergyCons!$C$3:$C$1000))*1,[1]OUT_TransportEnergyCons!L$3:L$1000)</f>
        <v>7.6086245477763569E-3</v>
      </c>
      <c r="O1233" s="1" cm="1">
        <f t="array" ref="O1233">SUMPRODUCT(("T_C-HY-GSL-S2"=[1]OUT_TransportEnergyCons!$A$3:$A$1000)*1,("var_fout"=[1]OUT_TransportEnergyCons!$B$3:$B$1000)*1,ISNUMBER(SEARCH("TPCAR",[1]OUT_TransportEnergyCons!$C$3:$C$1000))*1,[1]OUT_TransportEnergyCons!M$3:M$1000)</f>
        <v>1.0903331304115277E-2</v>
      </c>
      <c r="P1233" s="1" cm="1">
        <f t="array" ref="P1233">SUMPRODUCT(("T_C-HY-GSL-S2"=[1]OUT_TransportEnergyCons!$A$3:$A$1000)*1,("var_fout"=[1]OUT_TransportEnergyCons!$B$3:$B$1000)*1,ISNUMBER(SEARCH("TPCAR",[1]OUT_TransportEnergyCons!$C$3:$C$1000))*1,[1]OUT_TransportEnergyCons!N$3:N$1000)</f>
        <v>1.530760035277833E-2</v>
      </c>
      <c r="Q1233" s="1" cm="1">
        <f t="array" ref="Q1233">SUMPRODUCT(("T_C-HY-GSL-S2"=[1]OUT_TransportEnergyCons!$A$3:$A$1000)*1,("var_fout"=[1]OUT_TransportEnergyCons!$B$3:$B$1000)*1,ISNUMBER(SEARCH("TPCAR",[1]OUT_TransportEnergyCons!$C$3:$C$1000))*1,[1]OUT_TransportEnergyCons!O$3:O$1000)</f>
        <v>1.5455923394248618E-2</v>
      </c>
      <c r="S1233" s="3"/>
    </row>
    <row r="1234" spans="2:19" x14ac:dyDescent="0.5">
      <c r="B1234" s="5" t="str">
        <f t="shared" si="1401"/>
        <v>SPS1</v>
      </c>
      <c r="C1234" s="5" t="str">
        <f t="shared" si="1402"/>
        <v>CH</v>
      </c>
      <c r="D1234" t="s">
        <v>1152</v>
      </c>
      <c r="E1234" t="str">
        <f t="shared" si="1400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0.20178379156350526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2.7854201390224484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2.6325297924779218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2.1208023166811354</v>
      </c>
      <c r="J1234" s="1" cm="1">
        <f t="array" ref="J1234">SUMPRODUCT(("T_C-HY-GSL-S3"=[1]OUT_TransportEnergyCons!$A$3:$A$1000)*1,("var_fout"=[1]OUT_TransportEnergyCons!$B$3:$B$1000)*1,ISNUMBER(SEARCH("TPCAR",[1]OUT_TransportEnergyCons!$C$3:$C$1000))*1,[1]OUT_TransportEnergyCons!H$3:H$1000)</f>
        <v>0.68442742112358068</v>
      </c>
      <c r="K1234" s="1" cm="1">
        <f t="array" ref="K1234">SUMPRODUCT(("T_C-HY-GSL-S3"=[1]OUT_TransportEnergyCons!$A$3:$A$1000)*1,("var_fout"=[1]OUT_TransportEnergyCons!$B$3:$B$1000)*1,ISNUMBER(SEARCH("TPCAR",[1]OUT_TransportEnergyCons!$C$3:$C$1000))*1,[1]OUT_TransportEnergyCons!I$3:I$1000)</f>
        <v>3.4854657285975461E-3</v>
      </c>
      <c r="L1234" s="1" cm="1">
        <f t="array" ref="L1234">SUMPRODUCT(("T_C-HY-GSL-S3"=[1]OUT_TransportEnergyCons!$A$3:$A$1000)*1,("var_fout"=[1]OUT_TransportEnergyCons!$B$3:$B$1000)*1,ISNUMBER(SEARCH("TPCAR",[1]OUT_TransportEnergyCons!$C$3:$C$1000))*1,[1]OUT_TransportEnergyCons!J$3:J$1000)</f>
        <v>3.8493152188283693E-3</v>
      </c>
      <c r="M1234" s="1" cm="1">
        <f t="array" ref="M1234">SUMPRODUCT(("T_C-HY-GSL-S3"=[1]OUT_TransportEnergyCons!$A$3:$A$1000)*1,("var_fout"=[1]OUT_TransportEnergyCons!$B$3:$B$1000)*1,ISNUMBER(SEARCH("TPCAR",[1]OUT_TransportEnergyCons!$C$3:$C$1000))*1,[1]OUT_TransportEnergyCons!K$3:K$1000)</f>
        <v>4.8750386511020698E-3</v>
      </c>
      <c r="N1234" s="1" cm="1">
        <f t="array" ref="N1234">SUMPRODUCT(("T_C-HY-GSL-S3"=[1]OUT_TransportEnergyCons!$A$3:$A$1000)*1,("var_fout"=[1]OUT_TransportEnergyCons!$B$3:$B$1000)*1,ISNUMBER(SEARCH("TPCAR",[1]OUT_TransportEnergyCons!$C$3:$C$1000))*1,[1]OUT_TransportEnergyCons!L$3:L$1000)</f>
        <v>4.7157376303485826E-3</v>
      </c>
      <c r="O1234" s="1" cm="1">
        <f t="array" ref="O1234">SUMPRODUCT(("T_C-HY-GSL-S3"=[1]OUT_TransportEnergyCons!$A$3:$A$1000)*1,("var_fout"=[1]OUT_TransportEnergyCons!$B$3:$B$1000)*1,ISNUMBER(SEARCH("TPCAR",[1]OUT_TransportEnergyCons!$C$3:$C$1000))*1,[1]OUT_TransportEnergyCons!M$3:M$1000)</f>
        <v>5.5067796765138361E-3</v>
      </c>
      <c r="P1234" s="1" cm="1">
        <f t="array" ref="P1234">SUMPRODUCT(("T_C-HY-GSL-S3"=[1]OUT_TransportEnergyCons!$A$3:$A$1000)*1,("var_fout"=[1]OUT_TransportEnergyCons!$B$3:$B$1000)*1,ISNUMBER(SEARCH("TPCAR",[1]OUT_TransportEnergyCons!$C$3:$C$1000))*1,[1]OUT_TransportEnergyCons!N$3:N$1000)</f>
        <v>5.582596660512828E-3</v>
      </c>
      <c r="Q1234" s="1" cm="1">
        <f t="array" ref="Q1234">SUMPRODUCT(("T_C-HY-GSL-S3"=[1]OUT_TransportEnergyCons!$A$3:$A$1000)*1,("var_fout"=[1]OUT_TransportEnergyCons!$B$3:$B$1000)*1,ISNUMBER(SEARCH("TPCAR",[1]OUT_TransportEnergyCons!$C$3:$C$1000))*1,[1]OUT_TransportEnergyCons!O$3:O$1000)</f>
        <v>5.082956184573017E-3</v>
      </c>
      <c r="S1234" s="3"/>
    </row>
    <row r="1235" spans="2:19" x14ac:dyDescent="0.5">
      <c r="B1235" s="5" t="str">
        <f t="shared" si="1401"/>
        <v>SPS1</v>
      </c>
      <c r="C1235" s="5" t="str">
        <f t="shared" si="1402"/>
        <v>CH</v>
      </c>
      <c r="D1235" t="s">
        <v>1153</v>
      </c>
      <c r="E1235" t="str">
        <f t="shared" si="1400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0.10297123327124491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0.18187632860570987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0.1745385664172184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0.14692902530107202</v>
      </c>
      <c r="J1235" s="1" cm="1">
        <f t="array" ref="J1235">SUMPRODUCT(("T_C-HY-GSL-S4"=[1]OUT_TransportEnergyCons!$A$3:$A$1000)*1,("var_fout"=[1]OUT_TransportEnergyCons!$B$3:$B$1000)*1,ISNUMBER(SEARCH("TPCAR",[1]OUT_TransportEnergyCons!$C$3:$C$1000))*1,[1]OUT_TransportEnergyCons!H$3:H$1000)</f>
        <v>2.9424820753773704E-2</v>
      </c>
      <c r="K1235" s="1" cm="1">
        <f t="array" ref="K1235">SUMPRODUCT(("T_C-HY-GSL-S4"=[1]OUT_TransportEnergyCons!$A$3:$A$1000)*1,("var_fout"=[1]OUT_TransportEnergyCons!$B$3:$B$1000)*1,ISNUMBER(SEARCH("TPCAR",[1]OUT_TransportEnergyCons!$C$3:$C$1000))*1,[1]OUT_TransportEnergyCons!I$3:I$1000)</f>
        <v>1.0191932693090157E-2</v>
      </c>
      <c r="L1235" s="1" cm="1">
        <f t="array" ref="L1235">SUMPRODUCT(("T_C-HY-GSL-S4"=[1]OUT_TransportEnergyCons!$A$3:$A$1000)*1,("var_fout"=[1]OUT_TransportEnergyCons!$B$3:$B$1000)*1,ISNUMBER(SEARCH("TPCAR",[1]OUT_TransportEnergyCons!$C$3:$C$1000))*1,[1]OUT_TransportEnergyCons!J$3:J$1000)</f>
        <v>1.3385847394795288E-2</v>
      </c>
      <c r="M1235" s="1" cm="1">
        <f t="array" ref="M1235">SUMPRODUCT(("T_C-HY-GSL-S4"=[1]OUT_TransportEnergyCons!$A$3:$A$1000)*1,("var_fout"=[1]OUT_TransportEnergyCons!$B$3:$B$1000)*1,ISNUMBER(SEARCH("TPCAR",[1]OUT_TransportEnergyCons!$C$3:$C$1000))*1,[1]OUT_TransportEnergyCons!K$3:K$1000)</f>
        <v>0.87759379844317231</v>
      </c>
      <c r="N1235" s="1" cm="1">
        <f t="array" ref="N1235">SUMPRODUCT(("T_C-HY-GSL-S4"=[1]OUT_TransportEnergyCons!$A$3:$A$1000)*1,("var_fout"=[1]OUT_TransportEnergyCons!$B$3:$B$1000)*1,ISNUMBER(SEARCH("TPCAR",[1]OUT_TransportEnergyCons!$C$3:$C$1000))*1,[1]OUT_TransportEnergyCons!L$3:L$1000)</f>
        <v>0.83831565933192143</v>
      </c>
      <c r="O1235" s="1" cm="1">
        <f t="array" ref="O1235">SUMPRODUCT(("T_C-HY-GSL-S4"=[1]OUT_TransportEnergyCons!$A$3:$A$1000)*1,("var_fout"=[1]OUT_TransportEnergyCons!$B$3:$B$1000)*1,ISNUMBER(SEARCH("TPCAR",[1]OUT_TransportEnergyCons!$C$3:$C$1000))*1,[1]OUT_TransportEnergyCons!M$3:M$1000)</f>
        <v>0.66528676246980278</v>
      </c>
      <c r="P1235" s="1" cm="1">
        <f t="array" ref="P1235">SUMPRODUCT(("T_C-HY-GSL-S4"=[1]OUT_TransportEnergyCons!$A$3:$A$1000)*1,("var_fout"=[1]OUT_TransportEnergyCons!$B$3:$B$1000)*1,ISNUMBER(SEARCH("TPCAR",[1]OUT_TransportEnergyCons!$C$3:$C$1000))*1,[1]OUT_TransportEnergyCons!N$3:N$1000)</f>
        <v>0.22110880719796153</v>
      </c>
      <c r="Q1235" s="1" cm="1">
        <f t="array" ref="Q1235">SUMPRODUCT(("T_C-HY-GSL-S4"=[1]OUT_TransportEnergyCons!$A$3:$A$1000)*1,("var_fout"=[1]OUT_TransportEnergyCons!$B$3:$B$1000)*1,ISNUMBER(SEARCH("TPCAR",[1]OUT_TransportEnergyCons!$C$3:$C$1000))*1,[1]OUT_TransportEnergyCons!O$3:O$1000)</f>
        <v>1.0546487687863173E-2</v>
      </c>
      <c r="S1235" s="3"/>
    </row>
    <row r="1236" spans="2:19" x14ac:dyDescent="0.5">
      <c r="B1236" s="5" t="str">
        <f t="shared" si="1401"/>
        <v>SPS1</v>
      </c>
      <c r="C1236" s="5" t="str">
        <f t="shared" si="1402"/>
        <v>CH</v>
      </c>
      <c r="D1236" t="s">
        <v>1154</v>
      </c>
      <c r="E1236" t="str">
        <f t="shared" si="1400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18.302991969437727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15.951926287762195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14.199090230476914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4.1306286455511225</v>
      </c>
      <c r="J1236" s="1" cm="1">
        <f t="array" ref="J1236">SUMPRODUCT(("T_C-ICEGSLEXT"=[1]OUT_TransportEnergyCons!$A$3:$A$1000)*1,("var_fout"=[1]OUT_TransportEnergyCons!$B$3:$B$1000)*1,ISNUMBER(SEARCH("TPCAR",[1]OUT_TransportEnergyCons!$C$3:$C$1000))*1,[1]OUT_TransportEnergyCons!H$3:H$1000)</f>
        <v>0</v>
      </c>
      <c r="K1236" s="1" cm="1">
        <f t="array" ref="K1236">SUMPRODUCT(("T_C-ICEGSLEXT"=[1]OUT_TransportEnergyCons!$A$3:$A$1000)*1,("var_fout"=[1]OUT_TransportEnergyCons!$B$3:$B$1000)*1,ISNUMBER(SEARCH("TPCAR",[1]OUT_TransportEnergyCons!$C$3:$C$1000))*1,[1]OUT_TransportEnergyCons!I$3:I$1000)</f>
        <v>0</v>
      </c>
      <c r="L1236" s="1" cm="1">
        <f t="array" ref="L1236">SUMPRODUCT(("T_C-ICEGSLEXT"=[1]OUT_TransportEnergyCons!$A$3:$A$1000)*1,("var_fout"=[1]OUT_TransportEnergyCons!$B$3:$B$1000)*1,ISNUMBER(SEARCH("TPCAR",[1]OUT_TransportEnergyCons!$C$3:$C$1000))*1,[1]OUT_TransportEnergyCons!J$3:J$1000)</f>
        <v>0</v>
      </c>
      <c r="M1236" s="1" cm="1">
        <f t="array" ref="M1236">SUMPRODUCT(("T_C-ICEGSLEXT"=[1]OUT_TransportEnergyCons!$A$3:$A$1000)*1,("var_fout"=[1]OUT_TransportEnergyCons!$B$3:$B$1000)*1,ISNUMBER(SEARCH("TPCAR",[1]OUT_TransportEnergyCons!$C$3:$C$1000))*1,[1]OUT_TransportEnergyCons!K$3:K$1000)</f>
        <v>0</v>
      </c>
      <c r="N1236" s="1" cm="1">
        <f t="array" ref="N1236">SUMPRODUCT(("T_C-ICEGSLEXT"=[1]OUT_TransportEnergyCons!$A$3:$A$1000)*1,("var_fout"=[1]OUT_TransportEnergyCons!$B$3:$B$1000)*1,ISNUMBER(SEARCH("TPCAR",[1]OUT_TransportEnergyCons!$C$3:$C$1000))*1,[1]OUT_TransportEnergyCons!L$3:L$1000)</f>
        <v>0</v>
      </c>
      <c r="O1236" s="1" cm="1">
        <f t="array" ref="O1236">SUMPRODUCT(("T_C-ICEGSLEXT"=[1]OUT_TransportEnergyCons!$A$3:$A$1000)*1,("var_fout"=[1]OUT_TransportEnergyCons!$B$3:$B$1000)*1,ISNUMBER(SEARCH("TPCAR",[1]OUT_TransportEnergyCons!$C$3:$C$1000))*1,[1]OUT_TransportEnergyCons!M$3:M$1000)</f>
        <v>0</v>
      </c>
      <c r="P1236" s="1" cm="1">
        <f t="array" ref="P1236">SUMPRODUCT(("T_C-ICEGSLEXT"=[1]OUT_TransportEnergyCons!$A$3:$A$1000)*1,("var_fout"=[1]OUT_TransportEnergyCons!$B$3:$B$1000)*1,ISNUMBER(SEARCH("TPCAR",[1]OUT_TransportEnergyCons!$C$3:$C$1000))*1,[1]OUT_TransportEnergyCons!N$3:N$1000)</f>
        <v>0</v>
      </c>
      <c r="Q1236" s="1" cm="1">
        <f t="array" ref="Q1236">SUMPRODUCT(("T_C-ICEGSLEXT"=[1]OUT_TransportEnergyCons!$A$3:$A$1000)*1,("var_fout"=[1]OUT_TransportEnergyCons!$B$3:$B$1000)*1,ISNUMBER(SEARCH("TPCAR",[1]OUT_TransportEnergyCons!$C$3:$C$1000))*1,[1]OUT_TransportEnergyCons!O$3:O$1000)</f>
        <v>0</v>
      </c>
      <c r="S1236" s="3"/>
    </row>
    <row r="1237" spans="2:19" x14ac:dyDescent="0.5">
      <c r="B1237" s="5" t="str">
        <f t="shared" si="1401"/>
        <v>SPS1</v>
      </c>
      <c r="C1237" s="5" t="str">
        <f t="shared" si="1402"/>
        <v>CH</v>
      </c>
      <c r="D1237" t="s">
        <v>1155</v>
      </c>
      <c r="E1237" t="str">
        <f t="shared" si="1400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0.33777011158599407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0.37287222338664583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0.26143884954835112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0.20246239734477894</v>
      </c>
      <c r="J1237" s="1" cm="1">
        <f t="array" ref="J1237">SUMPRODUCT(("T_C-ICE-GSL-S1"=[1]OUT_TransportEnergyCons!$A$3:$A$1000)*1,("var_fout"=[1]OUT_TransportEnergyCons!$B$3:$B$1000)*1,ISNUMBER(SEARCH("TPCAR",[1]OUT_TransportEnergyCons!$C$3:$C$1000))*1,[1]OUT_TransportEnergyCons!H$3:H$1000)</f>
        <v>1.3692173722614517E-2</v>
      </c>
      <c r="K1237" s="1" cm="1">
        <f t="array" ref="K1237">SUMPRODUCT(("T_C-ICE-GSL-S1"=[1]OUT_TransportEnergyCons!$A$3:$A$1000)*1,("var_fout"=[1]OUT_TransportEnergyCons!$B$3:$B$1000)*1,ISNUMBER(SEARCH("TPCAR",[1]OUT_TransportEnergyCons!$C$3:$C$1000))*1,[1]OUT_TransportEnergyCons!I$3:I$1000)</f>
        <v>4.3166240879903145E-3</v>
      </c>
      <c r="L1237" s="1" cm="1">
        <f t="array" ref="L1237">SUMPRODUCT(("T_C-ICE-GSL-S1"=[1]OUT_TransportEnergyCons!$A$3:$A$1000)*1,("var_fout"=[1]OUT_TransportEnergyCons!$B$3:$B$1000)*1,ISNUMBER(SEARCH("TPCAR",[1]OUT_TransportEnergyCons!$C$3:$C$1000))*1,[1]OUT_TransportEnergyCons!J$3:J$1000)</f>
        <v>2.9193491525017646E-3</v>
      </c>
      <c r="M1237" s="1" cm="1">
        <f t="array" ref="M1237">SUMPRODUCT(("T_C-ICE-GSL-S1"=[1]OUT_TransportEnergyCons!$A$3:$A$1000)*1,("var_fout"=[1]OUT_TransportEnergyCons!$B$3:$B$1000)*1,ISNUMBER(SEARCH("TPCAR",[1]OUT_TransportEnergyCons!$C$3:$C$1000))*1,[1]OUT_TransportEnergyCons!K$3:K$1000)</f>
        <v>2.0476912517903355E-3</v>
      </c>
      <c r="N1237" s="1" cm="1">
        <f t="array" ref="N1237">SUMPRODUCT(("T_C-ICE-GSL-S1"=[1]OUT_TransportEnergyCons!$A$3:$A$1000)*1,("var_fout"=[1]OUT_TransportEnergyCons!$B$3:$B$1000)*1,ISNUMBER(SEARCH("TPCAR",[1]OUT_TransportEnergyCons!$C$3:$C$1000))*1,[1]OUT_TransportEnergyCons!L$3:L$1000)</f>
        <v>1.2563136655854537E-3</v>
      </c>
      <c r="O1237" s="1" cm="1">
        <f t="array" ref="O1237">SUMPRODUCT(("T_C-ICE-GSL-S1"=[1]OUT_TransportEnergyCons!$A$3:$A$1000)*1,("var_fout"=[1]OUT_TransportEnergyCons!$B$3:$B$1000)*1,ISNUMBER(SEARCH("TPCAR",[1]OUT_TransportEnergyCons!$C$3:$C$1000))*1,[1]OUT_TransportEnergyCons!M$3:M$1000)</f>
        <v>1.3008113609346296E-3</v>
      </c>
      <c r="P1237" s="1" cm="1">
        <f t="array" ref="P1237">SUMPRODUCT(("T_C-ICE-GSL-S1"=[1]OUT_TransportEnergyCons!$A$3:$A$1000)*1,("var_fout"=[1]OUT_TransportEnergyCons!$B$3:$B$1000)*1,ISNUMBER(SEARCH("TPCAR",[1]OUT_TransportEnergyCons!$C$3:$C$1000))*1,[1]OUT_TransportEnergyCons!N$3:N$1000)</f>
        <v>1.4909653549871704E-3</v>
      </c>
      <c r="Q1237" s="1" cm="1">
        <f t="array" ref="Q1237">SUMPRODUCT(("T_C-ICE-GSL-S1"=[1]OUT_TransportEnergyCons!$A$3:$A$1000)*1,("var_fout"=[1]OUT_TransportEnergyCons!$B$3:$B$1000)*1,ISNUMBER(SEARCH("TPCAR",[1]OUT_TransportEnergyCons!$C$3:$C$1000))*1,[1]OUT_TransportEnergyCons!O$3:O$1000)</f>
        <v>1.9514214951329553E-3</v>
      </c>
      <c r="S1237" s="3"/>
    </row>
    <row r="1238" spans="2:19" x14ac:dyDescent="0.5">
      <c r="B1238" s="5" t="str">
        <f t="shared" si="1401"/>
        <v>SPS1</v>
      </c>
      <c r="C1238" s="5" t="str">
        <f t="shared" si="1402"/>
        <v>CH</v>
      </c>
      <c r="D1238" t="s">
        <v>1156</v>
      </c>
      <c r="E1238" t="str">
        <f t="shared" si="1400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2.2819275098785541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3.208633926554612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3.1969829372880083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2.5263834018670259</v>
      </c>
      <c r="J1238" s="1" cm="1">
        <f t="array" ref="J1238">SUMPRODUCT(("T_C-ICE-GSL-S2"=[1]OUT_TransportEnergyCons!$A$3:$A$1000)*1,("var_fout"=[1]OUT_TransportEnergyCons!$B$3:$B$1000)*1,ISNUMBER(SEARCH("TPCAR",[1]OUT_TransportEnergyCons!$C$3:$C$1000))*1,[1]OUT_TransportEnergyCons!H$3:H$1000)</f>
        <v>0.12475644257358605</v>
      </c>
      <c r="K1238" s="1" cm="1">
        <f t="array" ref="K1238">SUMPRODUCT(("T_C-ICE-GSL-S2"=[1]OUT_TransportEnergyCons!$A$3:$A$1000)*1,("var_fout"=[1]OUT_TransportEnergyCons!$B$3:$B$1000)*1,ISNUMBER(SEARCH("TPCAR",[1]OUT_TransportEnergyCons!$C$3:$C$1000))*1,[1]OUT_TransportEnergyCons!I$3:I$1000)</f>
        <v>1.5641047512466554E-2</v>
      </c>
      <c r="L1238" s="1" cm="1">
        <f t="array" ref="L1238">SUMPRODUCT(("T_C-ICE-GSL-S2"=[1]OUT_TransportEnergyCons!$A$3:$A$1000)*1,("var_fout"=[1]OUT_TransportEnergyCons!$B$3:$B$1000)*1,ISNUMBER(SEARCH("TPCAR",[1]OUT_TransportEnergyCons!$C$3:$C$1000))*1,[1]OUT_TransportEnergyCons!J$3:J$1000)</f>
        <v>7.2954317147945402E-3</v>
      </c>
      <c r="M1238" s="1" cm="1">
        <f t="array" ref="M1238">SUMPRODUCT(("T_C-ICE-GSL-S2"=[1]OUT_TransportEnergyCons!$A$3:$A$1000)*1,("var_fout"=[1]OUT_TransportEnergyCons!$B$3:$B$1000)*1,ISNUMBER(SEARCH("TPCAR",[1]OUT_TransportEnergyCons!$C$3:$C$1000))*1,[1]OUT_TransportEnergyCons!K$3:K$1000)</f>
        <v>4.1174535855607137E-3</v>
      </c>
      <c r="N1238" s="1" cm="1">
        <f t="array" ref="N1238">SUMPRODUCT(("T_C-ICE-GSL-S2"=[1]OUT_TransportEnergyCons!$A$3:$A$1000)*1,("var_fout"=[1]OUT_TransportEnergyCons!$B$3:$B$1000)*1,ISNUMBER(SEARCH("TPCAR",[1]OUT_TransportEnergyCons!$C$3:$C$1000))*1,[1]OUT_TransportEnergyCons!L$3:L$1000)</f>
        <v>2.4780489160378181E-3</v>
      </c>
      <c r="O1238" s="1" cm="1">
        <f t="array" ref="O1238">SUMPRODUCT(("T_C-ICE-GSL-S2"=[1]OUT_TransportEnergyCons!$A$3:$A$1000)*1,("var_fout"=[1]OUT_TransportEnergyCons!$B$3:$B$1000)*1,ISNUMBER(SEARCH("TPCAR",[1]OUT_TransportEnergyCons!$C$3:$C$1000))*1,[1]OUT_TransportEnergyCons!M$3:M$1000)</f>
        <v>2.6236648712646771E-3</v>
      </c>
      <c r="P1238" s="1" cm="1">
        <f t="array" ref="P1238">SUMPRODUCT(("T_C-ICE-GSL-S2"=[1]OUT_TransportEnergyCons!$A$3:$A$1000)*1,("var_fout"=[1]OUT_TransportEnergyCons!$B$3:$B$1000)*1,ISNUMBER(SEARCH("TPCAR",[1]OUT_TransportEnergyCons!$C$3:$C$1000))*1,[1]OUT_TransportEnergyCons!N$3:N$1000)</f>
        <v>3.0583667057288732E-3</v>
      </c>
      <c r="Q1238" s="1" cm="1">
        <f t="array" ref="Q1238">SUMPRODUCT(("T_C-ICE-GSL-S2"=[1]OUT_TransportEnergyCons!$A$3:$A$1000)*1,("var_fout"=[1]OUT_TransportEnergyCons!$B$3:$B$1000)*1,ISNUMBER(SEARCH("TPCAR",[1]OUT_TransportEnergyCons!$C$3:$C$1000))*1,[1]OUT_TransportEnergyCons!O$3:O$1000)</f>
        <v>3.8479340650684046E-3</v>
      </c>
      <c r="S1238" s="3"/>
    </row>
    <row r="1239" spans="2:19" x14ac:dyDescent="0.5">
      <c r="B1239" s="5" t="str">
        <f t="shared" si="1401"/>
        <v>SPS1</v>
      </c>
      <c r="C1239" s="5" t="str">
        <f t="shared" si="1402"/>
        <v>CH</v>
      </c>
      <c r="D1239" t="s">
        <v>1157</v>
      </c>
      <c r="E1239" t="str">
        <f t="shared" si="1400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1.9629156617880981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2.9637844700323446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3.819835401812675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3.2042897551719336</v>
      </c>
      <c r="J1239" s="1" cm="1">
        <f t="array" ref="J1239">SUMPRODUCT(("T_C-ICE-GSL-S3"=[1]OUT_TransportEnergyCons!$A$3:$A$1000)*1,("var_fout"=[1]OUT_TransportEnergyCons!$B$3:$B$1000)*1,ISNUMBER(SEARCH("TPCAR",[1]OUT_TransportEnergyCons!$C$3:$C$1000))*1,[1]OUT_TransportEnergyCons!H$3:H$1000)</f>
        <v>1.1063751657409115</v>
      </c>
      <c r="K1239" s="1" cm="1">
        <f t="array" ref="K1239">SUMPRODUCT(("T_C-ICE-GSL-S3"=[1]OUT_TransportEnergyCons!$A$3:$A$1000)*1,("var_fout"=[1]OUT_TransportEnergyCons!$B$3:$B$1000)*1,ISNUMBER(SEARCH("TPCAR",[1]OUT_TransportEnergyCons!$C$3:$C$1000))*1,[1]OUT_TransportEnergyCons!I$3:I$1000)</f>
        <v>0.46811897822576964</v>
      </c>
      <c r="L1239" s="1" cm="1">
        <f t="array" ref="L1239">SUMPRODUCT(("T_C-ICE-GSL-S3"=[1]OUT_TransportEnergyCons!$A$3:$A$1000)*1,("var_fout"=[1]OUT_TransportEnergyCons!$B$3:$B$1000)*1,ISNUMBER(SEARCH("TPCAR",[1]OUT_TransportEnergyCons!$C$3:$C$1000))*1,[1]OUT_TransportEnergyCons!J$3:J$1000)</f>
        <v>0.25911225335539834</v>
      </c>
      <c r="M1239" s="1" cm="1">
        <f t="array" ref="M1239">SUMPRODUCT(("T_C-ICE-GSL-S3"=[1]OUT_TransportEnergyCons!$A$3:$A$1000)*1,("var_fout"=[1]OUT_TransportEnergyCons!$B$3:$B$1000)*1,ISNUMBER(SEARCH("TPCAR",[1]OUT_TransportEnergyCons!$C$3:$C$1000))*1,[1]OUT_TransportEnergyCons!K$3:K$1000)</f>
        <v>1.8826076797682088E-2</v>
      </c>
      <c r="N1239" s="1" cm="1">
        <f t="array" ref="N1239">SUMPRODUCT(("T_C-ICE-GSL-S3"=[1]OUT_TransportEnergyCons!$A$3:$A$1000)*1,("var_fout"=[1]OUT_TransportEnergyCons!$B$3:$B$1000)*1,ISNUMBER(SEARCH("TPCAR",[1]OUT_TransportEnergyCons!$C$3:$C$1000))*1,[1]OUT_TransportEnergyCons!L$3:L$1000)</f>
        <v>5.2897919464571482E-3</v>
      </c>
      <c r="O1239" s="1" cm="1">
        <f t="array" ref="O1239">SUMPRODUCT(("T_C-ICE-GSL-S3"=[1]OUT_TransportEnergyCons!$A$3:$A$1000)*1,("var_fout"=[1]OUT_TransportEnergyCons!$B$3:$B$1000)*1,ISNUMBER(SEARCH("TPCAR",[1]OUT_TransportEnergyCons!$C$3:$C$1000))*1,[1]OUT_TransportEnergyCons!M$3:M$1000)</f>
        <v>4.3389222936362059E-3</v>
      </c>
      <c r="P1239" s="1" cm="1">
        <f t="array" ref="P1239">SUMPRODUCT(("T_C-ICE-GSL-S3"=[1]OUT_TransportEnergyCons!$A$3:$A$1000)*1,("var_fout"=[1]OUT_TransportEnergyCons!$B$3:$B$1000)*1,ISNUMBER(SEARCH("TPCAR",[1]OUT_TransportEnergyCons!$C$3:$C$1000))*1,[1]OUT_TransportEnergyCons!N$3:N$1000)</f>
        <v>4.785647884641882E-3</v>
      </c>
      <c r="Q1239" s="1" cm="1">
        <f t="array" ref="Q1239">SUMPRODUCT(("T_C-ICE-GSL-S3"=[1]OUT_TransportEnergyCons!$A$3:$A$1000)*1,("var_fout"=[1]OUT_TransportEnergyCons!$B$3:$B$1000)*1,ISNUMBER(SEARCH("TPCAR",[1]OUT_TransportEnergyCons!$C$3:$C$1000))*1,[1]OUT_TransportEnergyCons!O$3:O$1000)</f>
        <v>5.270417858181089E-3</v>
      </c>
      <c r="S1239" s="3"/>
    </row>
    <row r="1240" spans="2:19" x14ac:dyDescent="0.5">
      <c r="B1240" s="5" t="str">
        <f t="shared" si="1401"/>
        <v>SPS1</v>
      </c>
      <c r="C1240" s="5" t="str">
        <f t="shared" si="1402"/>
        <v>CH</v>
      </c>
      <c r="D1240" t="s">
        <v>1158</v>
      </c>
      <c r="E1240" t="str">
        <f t="shared" si="1400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1.7292485281902064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2.277647087493508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5.7572711106921552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11.056631070641146</v>
      </c>
      <c r="J1240" s="1" cm="1">
        <f t="array" ref="J1240">SUMPRODUCT(("T_C-ICE-GSL-S4"=[1]OUT_TransportEnergyCons!$A$3:$A$1000)*1,("var_fout"=[1]OUT_TransportEnergyCons!$B$3:$B$1000)*1,ISNUMBER(SEARCH("TPCAR",[1]OUT_TransportEnergyCons!$C$3:$C$1000))*1,[1]OUT_TransportEnergyCons!H$3:H$1000)</f>
        <v>14.484367565560664</v>
      </c>
      <c r="K1240" s="1" cm="1">
        <f t="array" ref="K1240">SUMPRODUCT(("T_C-ICE-GSL-S4"=[1]OUT_TransportEnergyCons!$A$3:$A$1000)*1,("var_fout"=[1]OUT_TransportEnergyCons!$B$3:$B$1000)*1,ISNUMBER(SEARCH("TPCAR",[1]OUT_TransportEnergyCons!$C$3:$C$1000))*1,[1]OUT_TransportEnergyCons!I$3:I$1000)</f>
        <v>14.068902041050569</v>
      </c>
      <c r="L1240" s="1" cm="1">
        <f t="array" ref="L1240">SUMPRODUCT(("T_C-ICE-GSL-S4"=[1]OUT_TransportEnergyCons!$A$3:$A$1000)*1,("var_fout"=[1]OUT_TransportEnergyCons!$B$3:$B$1000)*1,ISNUMBER(SEARCH("TPCAR",[1]OUT_TransportEnergyCons!$C$3:$C$1000))*1,[1]OUT_TransportEnergyCons!J$3:J$1000)</f>
        <v>13.379391506868393</v>
      </c>
      <c r="M1240" s="1" cm="1">
        <f t="array" ref="M1240">SUMPRODUCT(("T_C-ICE-GSL-S4"=[1]OUT_TransportEnergyCons!$A$3:$A$1000)*1,("var_fout"=[1]OUT_TransportEnergyCons!$B$3:$B$1000)*1,ISNUMBER(SEARCH("TPCAR",[1]OUT_TransportEnergyCons!$C$3:$C$1000))*1,[1]OUT_TransportEnergyCons!K$3:K$1000)</f>
        <v>12.723673950647459</v>
      </c>
      <c r="N1240" s="1" cm="1">
        <f t="array" ref="N1240">SUMPRODUCT(("T_C-ICE-GSL-S4"=[1]OUT_TransportEnergyCons!$A$3:$A$1000)*1,("var_fout"=[1]OUT_TransportEnergyCons!$B$3:$B$1000)*1,ISNUMBER(SEARCH("TPCAR",[1]OUT_TransportEnergyCons!$C$3:$C$1000))*1,[1]OUT_TransportEnergyCons!L$3:L$1000)</f>
        <v>12.10008874842657</v>
      </c>
      <c r="O1240" s="1" cm="1">
        <f t="array" ref="O1240">SUMPRODUCT(("T_C-ICE-GSL-S4"=[1]OUT_TransportEnergyCons!$A$3:$A$1000)*1,("var_fout"=[1]OUT_TransportEnergyCons!$B$3:$B$1000)*1,ISNUMBER(SEARCH("TPCAR",[1]OUT_TransportEnergyCons!$C$3:$C$1000))*1,[1]OUT_TransportEnergyCons!M$3:M$1000)</f>
        <v>11.507069327366985</v>
      </c>
      <c r="P1240" s="1" cm="1">
        <f t="array" ref="P1240">SUMPRODUCT(("T_C-ICE-GSL-S4"=[1]OUT_TransportEnergyCons!$A$3:$A$1000)*1,("var_fout"=[1]OUT_TransportEnergyCons!$B$3:$B$1000)*1,ISNUMBER(SEARCH("TPCAR",[1]OUT_TransportEnergyCons!$C$3:$C$1000))*1,[1]OUT_TransportEnergyCons!N$3:N$1000)</f>
        <v>10.943110669350503</v>
      </c>
      <c r="Q1240" s="1" cm="1">
        <f t="array" ref="Q1240">SUMPRODUCT(("T_C-ICE-GSL-S4"=[1]OUT_TransportEnergyCons!$A$3:$A$1000)*1,("var_fout"=[1]OUT_TransportEnergyCons!$B$3:$B$1000)*1,ISNUMBER(SEARCH("TPCAR",[1]OUT_TransportEnergyCons!$C$3:$C$1000))*1,[1]OUT_TransportEnergyCons!O$3:O$1000)</f>
        <v>10.410731425597756</v>
      </c>
      <c r="S1240" s="3"/>
    </row>
    <row r="1241" spans="2:19" x14ac:dyDescent="0.5">
      <c r="B1241" s="5" t="str">
        <f t="shared" si="1401"/>
        <v>SPS1</v>
      </c>
      <c r="C1241" s="5" t="str">
        <f t="shared" si="1402"/>
        <v>CH</v>
      </c>
      <c r="D1241" t="s">
        <v>1159</v>
      </c>
      <c r="E1241" t="str">
        <f t="shared" si="1400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7.4672438223014645E-4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0.11276387190588155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0.1130302905863281</v>
      </c>
      <c r="J1241" s="1" cm="1">
        <f t="array" ref="J1241">SUMPRODUCT(("T_C-MHY-GSL-S1"=[1]OUT_TransportEnergyCons!$A$3:$A$1000)*1,("var_fout"=[1]OUT_TransportEnergyCons!$B$3:$B$1000)*1,ISNUMBER(SEARCH("TPCAR",[1]OUT_TransportEnergyCons!$C$3:$C$1000))*1,[1]OUT_TransportEnergyCons!H$3:H$1000)</f>
        <v>8.2897998844381982E-2</v>
      </c>
      <c r="K1241" s="1" cm="1">
        <f t="array" ref="K1241">SUMPRODUCT(("T_C-MHY-GSL-S1"=[1]OUT_TransportEnergyCons!$A$3:$A$1000)*1,("var_fout"=[1]OUT_TransportEnergyCons!$B$3:$B$1000)*1,ISNUMBER(SEARCH("TPCAR",[1]OUT_TransportEnergyCons!$C$3:$C$1000))*1,[1]OUT_TransportEnergyCons!I$3:I$1000)</f>
        <v>2.0028426800340469E-2</v>
      </c>
      <c r="L1241" s="1" cm="1">
        <f t="array" ref="L1241">SUMPRODUCT(("T_C-MHY-GSL-S1"=[1]OUT_TransportEnergyCons!$A$3:$A$1000)*1,("var_fout"=[1]OUT_TransportEnergyCons!$B$3:$B$1000)*1,ISNUMBER(SEARCH("TPCAR",[1]OUT_TransportEnergyCons!$C$3:$C$1000))*1,[1]OUT_TransportEnergyCons!J$3:J$1000)</f>
        <v>2.1723015244590892E-3</v>
      </c>
      <c r="M1241" s="1" cm="1">
        <f t="array" ref="M1241">SUMPRODUCT(("T_C-MHY-GSL-S1"=[1]OUT_TransportEnergyCons!$A$3:$A$1000)*1,("var_fout"=[1]OUT_TransportEnergyCons!$B$3:$B$1000)*1,ISNUMBER(SEARCH("TPCAR",[1]OUT_TransportEnergyCons!$C$3:$C$1000))*1,[1]OUT_TransportEnergyCons!K$3:K$1000)</f>
        <v>1.8316581106798617E-3</v>
      </c>
      <c r="N1241" s="1" cm="1">
        <f t="array" ref="N1241">SUMPRODUCT(("T_C-MHY-GSL-S1"=[1]OUT_TransportEnergyCons!$A$3:$A$1000)*1,("var_fout"=[1]OUT_TransportEnergyCons!$B$3:$B$1000)*1,ISNUMBER(SEARCH("TPCAR",[1]OUT_TransportEnergyCons!$C$3:$C$1000))*1,[1]OUT_TransportEnergyCons!L$3:L$1000)</f>
        <v>1.4894230932752336E-3</v>
      </c>
      <c r="O1241" s="1" cm="1">
        <f t="array" ref="O1241">SUMPRODUCT(("T_C-MHY-GSL-S1"=[1]OUT_TransportEnergyCons!$A$3:$A$1000)*1,("var_fout"=[1]OUT_TransportEnergyCons!$B$3:$B$1000)*1,ISNUMBER(SEARCH("TPCAR",[1]OUT_TransportEnergyCons!$C$3:$C$1000))*1,[1]OUT_TransportEnergyCons!M$3:M$1000)</f>
        <v>2.3024767900951147E-3</v>
      </c>
      <c r="P1241" s="1" cm="1">
        <f t="array" ref="P1241">SUMPRODUCT(("T_C-MHY-GSL-S1"=[1]OUT_TransportEnergyCons!$A$3:$A$1000)*1,("var_fout"=[1]OUT_TransportEnergyCons!$B$3:$B$1000)*1,ISNUMBER(SEARCH("TPCAR",[1]OUT_TransportEnergyCons!$C$3:$C$1000))*1,[1]OUT_TransportEnergyCons!N$3:N$1000)</f>
        <v>5.1426073489334737E-3</v>
      </c>
      <c r="Q1241" s="1" cm="1">
        <f t="array" ref="Q1241">SUMPRODUCT(("T_C-MHY-GSL-S1"=[1]OUT_TransportEnergyCons!$A$3:$A$1000)*1,("var_fout"=[1]OUT_TransportEnergyCons!$B$3:$B$1000)*1,ISNUMBER(SEARCH("TPCAR",[1]OUT_TransportEnergyCons!$C$3:$C$1000))*1,[1]OUT_TransportEnergyCons!O$3:O$1000)</f>
        <v>6.7953177937543751E-3</v>
      </c>
      <c r="S1241" s="3"/>
    </row>
    <row r="1242" spans="2:19" x14ac:dyDescent="0.5">
      <c r="B1242" s="5" t="str">
        <f t="shared" si="1401"/>
        <v>SPS1</v>
      </c>
      <c r="C1242" s="5" t="str">
        <f t="shared" si="1402"/>
        <v>CH</v>
      </c>
      <c r="D1242" t="s">
        <v>1160</v>
      </c>
      <c r="E1242" t="str">
        <f t="shared" si="1400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5.3527632277710398E-4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5.9667828702846338E-3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7.9955141858180853E-3</v>
      </c>
      <c r="J1242" s="1" cm="1">
        <f t="array" ref="J1242">SUMPRODUCT(("T_C-MHY-GSL-S2"=[1]OUT_TransportEnergyCons!$A$3:$A$1000)*1,("var_fout"=[1]OUT_TransportEnergyCons!$B$3:$B$1000)*1,ISNUMBER(SEARCH("TPCAR",[1]OUT_TransportEnergyCons!$C$3:$C$1000))*1,[1]OUT_TransportEnergyCons!H$3:H$1000)</f>
        <v>7.4369247603445028E-3</v>
      </c>
      <c r="K1242" s="1" cm="1">
        <f t="array" ref="K1242">SUMPRODUCT(("T_C-MHY-GSL-S2"=[1]OUT_TransportEnergyCons!$A$3:$A$1000)*1,("var_fout"=[1]OUT_TransportEnergyCons!$B$3:$B$1000)*1,ISNUMBER(SEARCH("TPCAR",[1]OUT_TransportEnergyCons!$C$3:$C$1000))*1,[1]OUT_TransportEnergyCons!I$3:I$1000)</f>
        <v>4.9028607599761491E-3</v>
      </c>
      <c r="L1242" s="1" cm="1">
        <f t="array" ref="L1242">SUMPRODUCT(("T_C-MHY-GSL-S2"=[1]OUT_TransportEnergyCons!$A$3:$A$1000)*1,("var_fout"=[1]OUT_TransportEnergyCons!$B$3:$B$1000)*1,ISNUMBER(SEARCH("TPCAR",[1]OUT_TransportEnergyCons!$C$3:$C$1000))*1,[1]OUT_TransportEnergyCons!J$3:J$1000)</f>
        <v>3.1476663308131121E-3</v>
      </c>
      <c r="M1242" s="1" cm="1">
        <f t="array" ref="M1242">SUMPRODUCT(("T_C-MHY-GSL-S2"=[1]OUT_TransportEnergyCons!$A$3:$A$1000)*1,("var_fout"=[1]OUT_TransportEnergyCons!$B$3:$B$1000)*1,ISNUMBER(SEARCH("TPCAR",[1]OUT_TransportEnergyCons!$C$3:$C$1000))*1,[1]OUT_TransportEnergyCons!K$3:K$1000)</f>
        <v>2.8333905928133955E-3</v>
      </c>
      <c r="N1242" s="1" cm="1">
        <f t="array" ref="N1242">SUMPRODUCT(("T_C-MHY-GSL-S2"=[1]OUT_TransportEnergyCons!$A$3:$A$1000)*1,("var_fout"=[1]OUT_TransportEnergyCons!$B$3:$B$1000)*1,ISNUMBER(SEARCH("TPCAR",[1]OUT_TransportEnergyCons!$C$3:$C$1000))*1,[1]OUT_TransportEnergyCons!L$3:L$1000)</f>
        <v>2.4380593190927312E-3</v>
      </c>
      <c r="O1242" s="1" cm="1">
        <f t="array" ref="O1242">SUMPRODUCT(("T_C-MHY-GSL-S2"=[1]OUT_TransportEnergyCons!$A$3:$A$1000)*1,("var_fout"=[1]OUT_TransportEnergyCons!$B$3:$B$1000)*1,ISNUMBER(SEARCH("TPCAR",[1]OUT_TransportEnergyCons!$C$3:$C$1000))*1,[1]OUT_TransportEnergyCons!M$3:M$1000)</f>
        <v>3.364484087436732E-3</v>
      </c>
      <c r="P1242" s="1" cm="1">
        <f t="array" ref="P1242">SUMPRODUCT(("T_C-MHY-GSL-S2"=[1]OUT_TransportEnergyCons!$A$3:$A$1000)*1,("var_fout"=[1]OUT_TransportEnergyCons!$B$3:$B$1000)*1,ISNUMBER(SEARCH("TPCAR",[1]OUT_TransportEnergyCons!$C$3:$C$1000))*1,[1]OUT_TransportEnergyCons!N$3:N$1000)</f>
        <v>5.0104341885404769E-3</v>
      </c>
      <c r="Q1242" s="1" cm="1">
        <f t="array" ref="Q1242">SUMPRODUCT(("T_C-MHY-GSL-S2"=[1]OUT_TransportEnergyCons!$A$3:$A$1000)*1,("var_fout"=[1]OUT_TransportEnergyCons!$B$3:$B$1000)*1,ISNUMBER(SEARCH("TPCAR",[1]OUT_TransportEnergyCons!$C$3:$C$1000))*1,[1]OUT_TransportEnergyCons!O$3:O$1000)</f>
        <v>5.6206412272568592E-3</v>
      </c>
      <c r="S1242" s="3"/>
    </row>
    <row r="1243" spans="2:19" x14ac:dyDescent="0.5">
      <c r="B1243" s="5" t="str">
        <f t="shared" si="1401"/>
        <v>SPS1</v>
      </c>
      <c r="C1243" s="5" t="str">
        <f t="shared" si="1402"/>
        <v>CH</v>
      </c>
      <c r="D1243" t="s">
        <v>1161</v>
      </c>
      <c r="E1243" t="str">
        <f t="shared" si="1400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7.8012425974805606E-4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4.1813361104520034E-3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6.2981769230741899E-3</v>
      </c>
      <c r="J1243" s="1" cm="1">
        <f t="array" ref="J1243">SUMPRODUCT(("T_C-MHY-GSL-S3"=[1]OUT_TransportEnergyCons!$A$3:$A$1000)*1,("var_fout"=[1]OUT_TransportEnergyCons!$B$3:$B$1000)*1,ISNUMBER(SEARCH("TPCAR",[1]OUT_TransportEnergyCons!$C$3:$C$1000))*1,[1]OUT_TransportEnergyCons!H$3:H$1000)</f>
        <v>5.9506198815684535E-3</v>
      </c>
      <c r="K1243" s="1" cm="1">
        <f t="array" ref="K1243">SUMPRODUCT(("T_C-MHY-GSL-S3"=[1]OUT_TransportEnergyCons!$A$3:$A$1000)*1,("var_fout"=[1]OUT_TransportEnergyCons!$B$3:$B$1000)*1,ISNUMBER(SEARCH("TPCAR",[1]OUT_TransportEnergyCons!$C$3:$C$1000))*1,[1]OUT_TransportEnergyCons!I$3:I$1000)</f>
        <v>4.5992498461266086E-3</v>
      </c>
      <c r="L1243" s="1" cm="1">
        <f t="array" ref="L1243">SUMPRODUCT(("T_C-MHY-GSL-S3"=[1]OUT_TransportEnergyCons!$A$3:$A$1000)*1,("var_fout"=[1]OUT_TransportEnergyCons!$B$3:$B$1000)*1,ISNUMBER(SEARCH("TPCAR",[1]OUT_TransportEnergyCons!$C$3:$C$1000))*1,[1]OUT_TransportEnergyCons!J$3:J$1000)</f>
        <v>3.9218618502855343E-3</v>
      </c>
      <c r="M1243" s="1" cm="1">
        <f t="array" ref="M1243">SUMPRODUCT(("T_C-MHY-GSL-S3"=[1]OUT_TransportEnergyCons!$A$3:$A$1000)*1,("var_fout"=[1]OUT_TransportEnergyCons!$B$3:$B$1000)*1,ISNUMBER(SEARCH("TPCAR",[1]OUT_TransportEnergyCons!$C$3:$C$1000))*1,[1]OUT_TransportEnergyCons!K$3:K$1000)</f>
        <v>4.1383656006324142E-3</v>
      </c>
      <c r="N1243" s="1" cm="1">
        <f t="array" ref="N1243">SUMPRODUCT(("T_C-MHY-GSL-S3"=[1]OUT_TransportEnergyCons!$A$3:$A$1000)*1,("var_fout"=[1]OUT_TransportEnergyCons!$B$3:$B$1000)*1,ISNUMBER(SEARCH("TPCAR",[1]OUT_TransportEnergyCons!$C$3:$C$1000))*1,[1]OUT_TransportEnergyCons!L$3:L$1000)</f>
        <v>3.7634277554162653E-3</v>
      </c>
      <c r="O1243" s="1" cm="1">
        <f t="array" ref="O1243">SUMPRODUCT(("T_C-MHY-GSL-S3"=[1]OUT_TransportEnergyCons!$A$3:$A$1000)*1,("var_fout"=[1]OUT_TransportEnergyCons!$B$3:$B$1000)*1,ISNUMBER(SEARCH("TPCAR",[1]OUT_TransportEnergyCons!$C$3:$C$1000))*1,[1]OUT_TransportEnergyCons!M$3:M$1000)</f>
        <v>5.1101421557570546E-3</v>
      </c>
      <c r="P1243" s="1" cm="1">
        <f t="array" ref="P1243">SUMPRODUCT(("T_C-MHY-GSL-S3"=[1]OUT_TransportEnergyCons!$A$3:$A$1000)*1,("var_fout"=[1]OUT_TransportEnergyCons!$B$3:$B$1000)*1,ISNUMBER(SEARCH("TPCAR",[1]OUT_TransportEnergyCons!$C$3:$C$1000))*1,[1]OUT_TransportEnergyCons!N$3:N$1000)</f>
        <v>7.2571632208277455E-3</v>
      </c>
      <c r="Q1243" s="1" cm="1">
        <f t="array" ref="Q1243">SUMPRODUCT(("T_C-MHY-GSL-S3"=[1]OUT_TransportEnergyCons!$A$3:$A$1000)*1,("var_fout"=[1]OUT_TransportEnergyCons!$B$3:$B$1000)*1,ISNUMBER(SEARCH("TPCAR",[1]OUT_TransportEnergyCons!$C$3:$C$1000))*1,[1]OUT_TransportEnergyCons!O$3:O$1000)</f>
        <v>7.1825344180428225E-3</v>
      </c>
      <c r="S1243" s="3"/>
    </row>
    <row r="1244" spans="2:19" x14ac:dyDescent="0.5">
      <c r="B1244" s="5" t="str">
        <f t="shared" si="1401"/>
        <v>SPS1</v>
      </c>
      <c r="C1244" s="5" t="str">
        <f t="shared" si="1402"/>
        <v>CH</v>
      </c>
      <c r="D1244" t="s">
        <v>1162</v>
      </c>
      <c r="E1244" t="str">
        <f t="shared" si="1400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1.0318223753536168E-3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0.42550376654847577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1.7981805784266236</v>
      </c>
      <c r="J1244" s="1" cm="1">
        <f t="array" ref="J1244">SUMPRODUCT(("T_C-MHY-GSL-S4"=[1]OUT_TransportEnergyCons!$A$3:$A$1000)*1,("var_fout"=[1]OUT_TransportEnergyCons!$B$3:$B$1000)*1,ISNUMBER(SEARCH("TPCAR",[1]OUT_TransportEnergyCons!$C$3:$C$1000))*1,[1]OUT_TransportEnergyCons!H$3:H$1000)</f>
        <v>1.7628544530967685</v>
      </c>
      <c r="K1244" s="1" cm="1">
        <f t="array" ref="K1244">SUMPRODUCT(("T_C-MHY-GSL-S4"=[1]OUT_TransportEnergyCons!$A$3:$A$1000)*1,("var_fout"=[1]OUT_TransportEnergyCons!$B$3:$B$1000)*1,ISNUMBER(SEARCH("TPCAR",[1]OUT_TransportEnergyCons!$C$3:$C$1000))*1,[1]OUT_TransportEnergyCons!I$3:I$1000)</f>
        <v>1.9899166035917732</v>
      </c>
      <c r="L1244" s="1" cm="1">
        <f t="array" ref="L1244">SUMPRODUCT(("T_C-MHY-GSL-S4"=[1]OUT_TransportEnergyCons!$A$3:$A$1000)*1,("var_fout"=[1]OUT_TransportEnergyCons!$B$3:$B$1000)*1,ISNUMBER(SEARCH("TPCAR",[1]OUT_TransportEnergyCons!$C$3:$C$1000))*1,[1]OUT_TransportEnergyCons!J$3:J$1000)</f>
        <v>2.14797321502183</v>
      </c>
      <c r="M1244" s="1" cm="1">
        <f t="array" ref="M1244">SUMPRODUCT(("T_C-MHY-GSL-S4"=[1]OUT_TransportEnergyCons!$A$3:$A$1000)*1,("var_fout"=[1]OUT_TransportEnergyCons!$B$3:$B$1000)*1,ISNUMBER(SEARCH("TPCAR",[1]OUT_TransportEnergyCons!$C$3:$C$1000))*1,[1]OUT_TransportEnergyCons!K$3:K$1000)</f>
        <v>2.2071231976060033</v>
      </c>
      <c r="N1244" s="1" cm="1">
        <f t="array" ref="N1244">SUMPRODUCT(("T_C-MHY-GSL-S4"=[1]OUT_TransportEnergyCons!$A$3:$A$1000)*1,("var_fout"=[1]OUT_TransportEnergyCons!$B$3:$B$1000)*1,ISNUMBER(SEARCH("TPCAR",[1]OUT_TransportEnergyCons!$C$3:$C$1000))*1,[1]OUT_TransportEnergyCons!L$3:L$1000)</f>
        <v>2.2458587396739489</v>
      </c>
      <c r="O1244" s="1" cm="1">
        <f t="array" ref="O1244">SUMPRODUCT(("T_C-MHY-GSL-S4"=[1]OUT_TransportEnergyCons!$A$3:$A$1000)*1,("var_fout"=[1]OUT_TransportEnergyCons!$B$3:$B$1000)*1,ISNUMBER(SEARCH("TPCAR",[1]OUT_TransportEnergyCons!$C$3:$C$1000))*1,[1]OUT_TransportEnergyCons!M$3:M$1000)</f>
        <v>2.2478912979874468</v>
      </c>
      <c r="P1244" s="1" cm="1">
        <f t="array" ref="P1244">SUMPRODUCT(("T_C-MHY-GSL-S4"=[1]OUT_TransportEnergyCons!$A$3:$A$1000)*1,("var_fout"=[1]OUT_TransportEnergyCons!$B$3:$B$1000)*1,ISNUMBER(SEARCH("TPCAR",[1]OUT_TransportEnergyCons!$C$3:$C$1000))*1,[1]OUT_TransportEnergyCons!N$3:N$1000)</f>
        <v>2.1772694675897331</v>
      </c>
      <c r="Q1244" s="1" cm="1">
        <f t="array" ref="Q1244">SUMPRODUCT(("T_C-MHY-GSL-S4"=[1]OUT_TransportEnergyCons!$A$3:$A$1000)*1,("var_fout"=[1]OUT_TransportEnergyCons!$B$3:$B$1000)*1,ISNUMBER(SEARCH("TPCAR",[1]OUT_TransportEnergyCons!$C$3:$C$1000))*1,[1]OUT_TransportEnergyCons!O$3:O$1000)</f>
        <v>2.1450541800625857</v>
      </c>
      <c r="S1244" s="3"/>
    </row>
    <row r="1245" spans="2:19" x14ac:dyDescent="0.5">
      <c r="B1245" s="5" t="str">
        <f t="shared" si="1401"/>
        <v>SPS1</v>
      </c>
      <c r="C1245" s="5" t="str">
        <f t="shared" si="1402"/>
        <v>CH</v>
      </c>
      <c r="D1245" t="s">
        <v>1235</v>
      </c>
      <c r="E1245" t="str">
        <f t="shared" si="1400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SUMPRODUCT(("T_C-HYBDSLEXT"=[1]OUT_TransportEnergyCons!$A$3:$A$1000)*1,("var_fout"=[1]OUT_TransportEnergyCons!$B$3:$B$1000)*1,ISNUMBER(SEARCH("TPCAR",[1]OUT_TransportEnergyCons!$C$3:$C$1000))*1,[1]OUT_TransportEnergyCons!H$3:H$1000)</f>
        <v>0</v>
      </c>
      <c r="K1245" s="1" cm="1">
        <f t="array" ref="K1245">SUMPRODUCT(("T_C-HYBDSLEXT"=[1]OUT_TransportEnergyCons!$A$3:$A$1000)*1,("var_fout"=[1]OUT_TransportEnergyCons!$B$3:$B$1000)*1,ISNUMBER(SEARCH("TPCAR",[1]OUT_TransportEnergyCons!$C$3:$C$1000))*1,[1]OUT_TransportEnergyCons!I$3:I$1000)</f>
        <v>0</v>
      </c>
      <c r="L1245" s="1" cm="1">
        <f t="array" ref="L1245">SUMPRODUCT(("T_C-HYBDSLEXT"=[1]OUT_TransportEnergyCons!$A$3:$A$1000)*1,("var_fout"=[1]OUT_TransportEnergyCons!$B$3:$B$1000)*1,ISNUMBER(SEARCH("TPCAR",[1]OUT_TransportEnergyCons!$C$3:$C$1000))*1,[1]OUT_TransportEnergyCons!J$3:J$1000)</f>
        <v>0</v>
      </c>
      <c r="M1245" s="1" cm="1">
        <f t="array" ref="M1245">SUMPRODUCT(("T_C-HYBDSLEXT"=[1]OUT_TransportEnergyCons!$A$3:$A$1000)*1,("var_fout"=[1]OUT_TransportEnergyCons!$B$3:$B$1000)*1,ISNUMBER(SEARCH("TPCAR",[1]OUT_TransportEnergyCons!$C$3:$C$1000))*1,[1]OUT_TransportEnergyCons!K$3:K$1000)</f>
        <v>0</v>
      </c>
      <c r="N1245" s="1" cm="1">
        <f t="array" ref="N1245">SUMPRODUCT(("T_C-HYBDSLEXT"=[1]OUT_TransportEnergyCons!$A$3:$A$1000)*1,("var_fout"=[1]OUT_TransportEnergyCons!$B$3:$B$1000)*1,ISNUMBER(SEARCH("TPCAR",[1]OUT_TransportEnergyCons!$C$3:$C$1000))*1,[1]OUT_TransportEnergyCons!L$3:L$1000)</f>
        <v>0</v>
      </c>
      <c r="O1245" s="1" cm="1">
        <f t="array" ref="O1245">SUMPRODUCT(("T_C-HYBDSLEXT"=[1]OUT_TransportEnergyCons!$A$3:$A$1000)*1,("var_fout"=[1]OUT_TransportEnergyCons!$B$3:$B$1000)*1,ISNUMBER(SEARCH("TPCAR",[1]OUT_TransportEnergyCons!$C$3:$C$1000))*1,[1]OUT_TransportEnergyCons!M$3:M$1000)</f>
        <v>0</v>
      </c>
      <c r="P1245" s="1" cm="1">
        <f t="array" ref="P1245">SUMPRODUCT(("T_C-HYBDSLEXT"=[1]OUT_TransportEnergyCons!$A$3:$A$1000)*1,("var_fout"=[1]OUT_TransportEnergyCons!$B$3:$B$1000)*1,ISNUMBER(SEARCH("TPCAR",[1]OUT_TransportEnergyCons!$C$3:$C$1000))*1,[1]OUT_TransportEnergyCons!N$3:N$1000)</f>
        <v>0</v>
      </c>
      <c r="Q1245" s="1" cm="1">
        <f t="array" ref="Q1245">SUMPRODUCT(("T_C-HYBDSLEXT"=[1]OUT_TransportEnergyCons!$A$3:$A$1000)*1,("var_fout"=[1]OUT_TransportEnergyCons!$B$3:$B$1000)*1,ISNUMBER(SEARCH("TPCAR",[1]OUT_TransportEnergyCons!$C$3:$C$1000))*1,[1]OUT_TransportEnergyCons!O$3:O$1000)</f>
        <v>0</v>
      </c>
      <c r="S1245" s="3"/>
    </row>
    <row r="1246" spans="2:19" x14ac:dyDescent="0.5">
      <c r="B1246" s="5" t="str">
        <f t="shared" si="1401"/>
        <v>SPS1</v>
      </c>
      <c r="C1246" s="5" t="str">
        <f t="shared" si="1402"/>
        <v>CH</v>
      </c>
      <c r="D1246" t="s">
        <v>1163</v>
      </c>
      <c r="E1246" t="str">
        <f t="shared" si="1400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1.3834231349913089E-5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0.24852483553954657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0.16685560586235812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0.13484711729305698</v>
      </c>
      <c r="J1246" s="1" cm="1">
        <f t="array" ref="J1246">SUMPRODUCT(("T_C-HY-DSL-S1"=[1]OUT_TransportEnergyCons!$A$3:$A$1000)*1,("var_fout"=[1]OUT_TransportEnergyCons!$B$3:$B$1000)*1,ISNUMBER(SEARCH("TPCAR",[1]OUT_TransportEnergyCons!$C$3:$C$1000))*1,[1]OUT_TransportEnergyCons!H$3:H$1000)</f>
        <v>0.7199179955937538</v>
      </c>
      <c r="K1246" s="1" cm="1">
        <f t="array" ref="K1246">SUMPRODUCT(("T_C-HY-DSL-S1"=[1]OUT_TransportEnergyCons!$A$3:$A$1000)*1,("var_fout"=[1]OUT_TransportEnergyCons!$B$3:$B$1000)*1,ISNUMBER(SEARCH("TPCAR",[1]OUT_TransportEnergyCons!$C$3:$C$1000))*1,[1]OUT_TransportEnergyCons!I$3:I$1000)</f>
        <v>0.78817992623283784</v>
      </c>
      <c r="L1246" s="1" cm="1">
        <f t="array" ref="L1246">SUMPRODUCT(("T_C-HY-DSL-S1"=[1]OUT_TransportEnergyCons!$A$3:$A$1000)*1,("var_fout"=[1]OUT_TransportEnergyCons!$B$3:$B$1000)*1,ISNUMBER(SEARCH("TPCAR",[1]OUT_TransportEnergyCons!$C$3:$C$1000))*1,[1]OUT_TransportEnergyCons!J$3:J$1000)</f>
        <v>0.98837694327987546</v>
      </c>
      <c r="M1246" s="1" cm="1">
        <f t="array" ref="M1246">SUMPRODUCT(("T_C-HY-DSL-S1"=[1]OUT_TransportEnergyCons!$A$3:$A$1000)*1,("var_fout"=[1]OUT_TransportEnergyCons!$B$3:$B$1000)*1,ISNUMBER(SEARCH("TPCAR",[1]OUT_TransportEnergyCons!$C$3:$C$1000))*1,[1]OUT_TransportEnergyCons!K$3:K$1000)</f>
        <v>0.46940761763679334</v>
      </c>
      <c r="N1246" s="1" cm="1">
        <f t="array" ref="N1246">SUMPRODUCT(("T_C-HY-DSL-S1"=[1]OUT_TransportEnergyCons!$A$3:$A$1000)*1,("var_fout"=[1]OUT_TransportEnergyCons!$B$3:$B$1000)*1,ISNUMBER(SEARCH("TPCAR",[1]OUT_TransportEnergyCons!$C$3:$C$1000))*1,[1]OUT_TransportEnergyCons!L$3:L$1000)</f>
        <v>0.52864030307676646</v>
      </c>
      <c r="O1246" s="1" cm="1">
        <f t="array" ref="O1246">SUMPRODUCT(("T_C-HY-DSL-S1"=[1]OUT_TransportEnergyCons!$A$3:$A$1000)*1,("var_fout"=[1]OUT_TransportEnergyCons!$B$3:$B$1000)*1,ISNUMBER(SEARCH("TPCAR",[1]OUT_TransportEnergyCons!$C$3:$C$1000))*1,[1]OUT_TransportEnergyCons!M$3:M$1000)</f>
        <v>0.42063134416632464</v>
      </c>
      <c r="P1246" s="1" cm="1">
        <f t="array" ref="P1246">SUMPRODUCT(("T_C-HY-DSL-S1"=[1]OUT_TransportEnergyCons!$A$3:$A$1000)*1,("var_fout"=[1]OUT_TransportEnergyCons!$B$3:$B$1000)*1,ISNUMBER(SEARCH("TPCAR",[1]OUT_TransportEnergyCons!$C$3:$C$1000))*1,[1]OUT_TransportEnergyCons!N$3:N$1000)</f>
        <v>3.0965839264881032E-3</v>
      </c>
      <c r="Q1246" s="1" cm="1">
        <f t="array" ref="Q1246">SUMPRODUCT(("T_C-HY-DSL-S1"=[1]OUT_TransportEnergyCons!$A$3:$A$1000)*1,("var_fout"=[1]OUT_TransportEnergyCons!$B$3:$B$1000)*1,ISNUMBER(SEARCH("TPCAR",[1]OUT_TransportEnergyCons!$C$3:$C$1000))*1,[1]OUT_TransportEnergyCons!O$3:O$1000)</f>
        <v>3.1651551629564823E-3</v>
      </c>
      <c r="S1246" s="3"/>
    </row>
    <row r="1247" spans="2:19" x14ac:dyDescent="0.5">
      <c r="B1247" s="5" t="str">
        <f t="shared" si="1401"/>
        <v>SPS1</v>
      </c>
      <c r="C1247" s="5" t="str">
        <f t="shared" si="1402"/>
        <v>CH</v>
      </c>
      <c r="D1247" t="s">
        <v>1164</v>
      </c>
      <c r="E1247" t="str">
        <f t="shared" si="1400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3.13352282401228E-3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1.5566731401146874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1.9986990524474775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1.646511264262668</v>
      </c>
      <c r="J1247" s="1" cm="1">
        <f t="array" ref="J1247">SUMPRODUCT(("T_C-HY-DSL-S2"=[1]OUT_TransportEnergyCons!$A$3:$A$1000)*1,("var_fout"=[1]OUT_TransportEnergyCons!$B$3:$B$1000)*1,ISNUMBER(SEARCH("TPCAR",[1]OUT_TransportEnergyCons!$C$3:$C$1000))*1,[1]OUT_TransportEnergyCons!H$3:H$1000)</f>
        <v>0.74803744572223407</v>
      </c>
      <c r="K1247" s="1" cm="1">
        <f t="array" ref="K1247">SUMPRODUCT(("T_C-HY-DSL-S2"=[1]OUT_TransportEnergyCons!$A$3:$A$1000)*1,("var_fout"=[1]OUT_TransportEnergyCons!$B$3:$B$1000)*1,ISNUMBER(SEARCH("TPCAR",[1]OUT_TransportEnergyCons!$C$3:$C$1000))*1,[1]OUT_TransportEnergyCons!I$3:I$1000)</f>
        <v>5.3390760963123202E-2</v>
      </c>
      <c r="L1247" s="1" cm="1">
        <f t="array" ref="L1247">SUMPRODUCT(("T_C-HY-DSL-S2"=[1]OUT_TransportEnergyCons!$A$3:$A$1000)*1,("var_fout"=[1]OUT_TransportEnergyCons!$B$3:$B$1000)*1,ISNUMBER(SEARCH("TPCAR",[1]OUT_TransportEnergyCons!$C$3:$C$1000))*1,[1]OUT_TransportEnergyCons!J$3:J$1000)</f>
        <v>2.0867973532781556E-2</v>
      </c>
      <c r="M1247" s="1" cm="1">
        <f t="array" ref="M1247">SUMPRODUCT(("T_C-HY-DSL-S2"=[1]OUT_TransportEnergyCons!$A$3:$A$1000)*1,("var_fout"=[1]OUT_TransportEnergyCons!$B$3:$B$1000)*1,ISNUMBER(SEARCH("TPCAR",[1]OUT_TransportEnergyCons!$C$3:$C$1000))*1,[1]OUT_TransportEnergyCons!K$3:K$1000)</f>
        <v>1.5484834876237603E-2</v>
      </c>
      <c r="N1247" s="1" cm="1">
        <f t="array" ref="N1247">SUMPRODUCT(("T_C-HY-DSL-S2"=[1]OUT_TransportEnergyCons!$A$3:$A$1000)*1,("var_fout"=[1]OUT_TransportEnergyCons!$B$3:$B$1000)*1,ISNUMBER(SEARCH("TPCAR",[1]OUT_TransportEnergyCons!$C$3:$C$1000))*1,[1]OUT_TransportEnergyCons!L$3:L$1000)</f>
        <v>1.1781829418077757E-2</v>
      </c>
      <c r="O1247" s="1" cm="1">
        <f t="array" ref="O1247">SUMPRODUCT(("T_C-HY-DSL-S2"=[1]OUT_TransportEnergyCons!$A$3:$A$1000)*1,("var_fout"=[1]OUT_TransportEnergyCons!$B$3:$B$1000)*1,ISNUMBER(SEARCH("TPCAR",[1]OUT_TransportEnergyCons!$C$3:$C$1000))*1,[1]OUT_TransportEnergyCons!M$3:M$1000)</f>
        <v>1.4944760861717398E-2</v>
      </c>
      <c r="P1247" s="1" cm="1">
        <f t="array" ref="P1247">SUMPRODUCT(("T_C-HY-DSL-S2"=[1]OUT_TransportEnergyCons!$A$3:$A$1000)*1,("var_fout"=[1]OUT_TransportEnergyCons!$B$3:$B$1000)*1,ISNUMBER(SEARCH("TPCAR",[1]OUT_TransportEnergyCons!$C$3:$C$1000))*1,[1]OUT_TransportEnergyCons!N$3:N$1000)</f>
        <v>0.39019243037918266</v>
      </c>
      <c r="Q1247" s="1" cm="1">
        <f t="array" ref="Q1247">SUMPRODUCT(("T_C-HY-DSL-S2"=[1]OUT_TransportEnergyCons!$A$3:$A$1000)*1,("var_fout"=[1]OUT_TransportEnergyCons!$B$3:$B$1000)*1,ISNUMBER(SEARCH("TPCAR",[1]OUT_TransportEnergyCons!$C$3:$C$1000))*1,[1]OUT_TransportEnergyCons!O$3:O$1000)</f>
        <v>0.43986070089285273</v>
      </c>
      <c r="S1247" s="3"/>
    </row>
    <row r="1248" spans="2:19" x14ac:dyDescent="0.5">
      <c r="B1248" s="5" t="str">
        <f t="shared" si="1401"/>
        <v>SPS1</v>
      </c>
      <c r="C1248" s="5" t="str">
        <f t="shared" si="1402"/>
        <v>CH</v>
      </c>
      <c r="D1248" t="s">
        <v>1165</v>
      </c>
      <c r="E1248" t="str">
        <f t="shared" si="1400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2.5473860784277727E-2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5.8515537662554636E-2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5.6517040317476008E-2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4.5714877580959129E-2</v>
      </c>
      <c r="J1248" s="1" cm="1">
        <f t="array" ref="J1248">SUMPRODUCT(("T_C-HY-DSL-S3"=[1]OUT_TransportEnergyCons!$A$3:$A$1000)*1,("var_fout"=[1]OUT_TransportEnergyCons!$B$3:$B$1000)*1,ISNUMBER(SEARCH("TPCAR",[1]OUT_TransportEnergyCons!$C$3:$C$1000))*1,[1]OUT_TransportEnergyCons!H$3:H$1000)</f>
        <v>1.2361153638761037E-2</v>
      </c>
      <c r="K1248" s="1" cm="1">
        <f t="array" ref="K1248">SUMPRODUCT(("T_C-HY-DSL-S3"=[1]OUT_TransportEnergyCons!$A$3:$A$1000)*1,("var_fout"=[1]OUT_TransportEnergyCons!$B$3:$B$1000)*1,ISNUMBER(SEARCH("TPCAR",[1]OUT_TransportEnergyCons!$C$3:$C$1000))*1,[1]OUT_TransportEnergyCons!I$3:I$1000)</f>
        <v>2.8402857488516839E-3</v>
      </c>
      <c r="L1248" s="1" cm="1">
        <f t="array" ref="L1248">SUMPRODUCT(("T_C-HY-DSL-S3"=[1]OUT_TransportEnergyCons!$A$3:$A$1000)*1,("var_fout"=[1]OUT_TransportEnergyCons!$B$3:$B$1000)*1,ISNUMBER(SEARCH("TPCAR",[1]OUT_TransportEnergyCons!$C$3:$C$1000))*1,[1]OUT_TransportEnergyCons!J$3:J$1000)</f>
        <v>3.5577108620836527E-3</v>
      </c>
      <c r="M1248" s="1" cm="1">
        <f t="array" ref="M1248">SUMPRODUCT(("T_C-HY-DSL-S3"=[1]OUT_TransportEnergyCons!$A$3:$A$1000)*1,("var_fout"=[1]OUT_TransportEnergyCons!$B$3:$B$1000)*1,ISNUMBER(SEARCH("TPCAR",[1]OUT_TransportEnergyCons!$C$3:$C$1000))*1,[1]OUT_TransportEnergyCons!K$3:K$1000)</f>
        <v>4.8020885159613764E-3</v>
      </c>
      <c r="N1248" s="1" cm="1">
        <f t="array" ref="N1248">SUMPRODUCT(("T_C-HY-DSL-S3"=[1]OUT_TransportEnergyCons!$A$3:$A$1000)*1,("var_fout"=[1]OUT_TransportEnergyCons!$B$3:$B$1000)*1,ISNUMBER(SEARCH("TPCAR",[1]OUT_TransportEnergyCons!$C$3:$C$1000))*1,[1]OUT_TransportEnergyCons!L$3:L$1000)</f>
        <v>4.8847219262847935E-3</v>
      </c>
      <c r="O1248" s="1" cm="1">
        <f t="array" ref="O1248">SUMPRODUCT(("T_C-HY-DSL-S3"=[1]OUT_TransportEnergyCons!$A$3:$A$1000)*1,("var_fout"=[1]OUT_TransportEnergyCons!$B$3:$B$1000)*1,ISNUMBER(SEARCH("TPCAR",[1]OUT_TransportEnergyCons!$C$3:$C$1000))*1,[1]OUT_TransportEnergyCons!M$3:M$1000)</f>
        <v>6.2543021419584101E-3</v>
      </c>
      <c r="P1248" s="1" cm="1">
        <f t="array" ref="P1248">SUMPRODUCT(("T_C-HY-DSL-S3"=[1]OUT_TransportEnergyCons!$A$3:$A$1000)*1,("var_fout"=[1]OUT_TransportEnergyCons!$B$3:$B$1000)*1,ISNUMBER(SEARCH("TPCAR",[1]OUT_TransportEnergyCons!$C$3:$C$1000))*1,[1]OUT_TransportEnergyCons!N$3:N$1000)</f>
        <v>8.0019333617001673E-3</v>
      </c>
      <c r="Q1248" s="1" cm="1">
        <f t="array" ref="Q1248">SUMPRODUCT(("T_C-HY-DSL-S3"=[1]OUT_TransportEnergyCons!$A$3:$A$1000)*1,("var_fout"=[1]OUT_TransportEnergyCons!$B$3:$B$1000)*1,ISNUMBER(SEARCH("TPCAR",[1]OUT_TransportEnergyCons!$C$3:$C$1000))*1,[1]OUT_TransportEnergyCons!O$3:O$1000)</f>
        <v>1.2049137219636068E-2</v>
      </c>
      <c r="S1248" s="3"/>
    </row>
    <row r="1249" spans="2:19" x14ac:dyDescent="0.5">
      <c r="B1249" s="5" t="str">
        <f t="shared" si="1401"/>
        <v>SPS1</v>
      </c>
      <c r="C1249" s="5" t="str">
        <f t="shared" si="1402"/>
        <v>CH</v>
      </c>
      <c r="D1249" t="s">
        <v>1166</v>
      </c>
      <c r="E1249" t="str">
        <f t="shared" si="1400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4.6731741922478989E-2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0.11659431917579399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0.11179398835091699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9.4179740410335694E-2</v>
      </c>
      <c r="J1249" s="1" cm="1">
        <f t="array" ref="J1249">SUMPRODUCT(("T_C-HY-DSL-S4"=[1]OUT_TransportEnergyCons!$A$3:$A$1000)*1,("var_fout"=[1]OUT_TransportEnergyCons!$B$3:$B$1000)*1,ISNUMBER(SEARCH("TPCAR",[1]OUT_TransportEnergyCons!$C$3:$C$1000))*1,[1]OUT_TransportEnergyCons!H$3:H$1000)</f>
        <v>2.3775513418537318E-2</v>
      </c>
      <c r="K1249" s="1" cm="1">
        <f t="array" ref="K1249">SUMPRODUCT(("T_C-HY-DSL-S4"=[1]OUT_TransportEnergyCons!$A$3:$A$1000)*1,("var_fout"=[1]OUT_TransportEnergyCons!$B$3:$B$1000)*1,ISNUMBER(SEARCH("TPCAR",[1]OUT_TransportEnergyCons!$C$3:$C$1000))*1,[1]OUT_TransportEnergyCons!I$3:I$1000)</f>
        <v>6.035183821342144E-3</v>
      </c>
      <c r="L1249" s="1" cm="1">
        <f t="array" ref="L1249">SUMPRODUCT(("T_C-HY-DSL-S4"=[1]OUT_TransportEnergyCons!$A$3:$A$1000)*1,("var_fout"=[1]OUT_TransportEnergyCons!$B$3:$B$1000)*1,ISNUMBER(SEARCH("TPCAR",[1]OUT_TransportEnergyCons!$C$3:$C$1000))*1,[1]OUT_TransportEnergyCons!J$3:J$1000)</f>
        <v>0.10433749301748958</v>
      </c>
      <c r="M1249" s="1" cm="1">
        <f t="array" ref="M1249">SUMPRODUCT(("T_C-HY-DSL-S4"=[1]OUT_TransportEnergyCons!$A$3:$A$1000)*1,("var_fout"=[1]OUT_TransportEnergyCons!$B$3:$B$1000)*1,ISNUMBER(SEARCH("TPCAR",[1]OUT_TransportEnergyCons!$C$3:$C$1000))*1,[1]OUT_TransportEnergyCons!K$3:K$1000)</f>
        <v>0.88993167509801208</v>
      </c>
      <c r="N1249" s="1" cm="1">
        <f t="array" ref="N1249">SUMPRODUCT(("T_C-HY-DSL-S4"=[1]OUT_TransportEnergyCons!$A$3:$A$1000)*1,("var_fout"=[1]OUT_TransportEnergyCons!$B$3:$B$1000)*1,ISNUMBER(SEARCH("TPCAR",[1]OUT_TransportEnergyCons!$C$3:$C$1000))*1,[1]OUT_TransportEnergyCons!L$3:L$1000)</f>
        <v>0.84887634739481077</v>
      </c>
      <c r="O1249" s="1" cm="1">
        <f t="array" ref="O1249">SUMPRODUCT(("T_C-HY-DSL-S4"=[1]OUT_TransportEnergyCons!$A$3:$A$1000)*1,("var_fout"=[1]OUT_TransportEnergyCons!$B$3:$B$1000)*1,ISNUMBER(SEARCH("TPCAR",[1]OUT_TransportEnergyCons!$C$3:$C$1000))*1,[1]OUT_TransportEnergyCons!M$3:M$1000)</f>
        <v>0.59440868151371662</v>
      </c>
      <c r="P1249" s="1" cm="1">
        <f t="array" ref="P1249">SUMPRODUCT(("T_C-HY-DSL-S4"=[1]OUT_TransportEnergyCons!$A$3:$A$1000)*1,("var_fout"=[1]OUT_TransportEnergyCons!$B$3:$B$1000)*1,ISNUMBER(SEARCH("TPCAR",[1]OUT_TransportEnergyCons!$C$3:$C$1000))*1,[1]OUT_TransportEnergyCons!N$3:N$1000)</f>
        <v>0.13395782177961457</v>
      </c>
      <c r="Q1249" s="1" cm="1">
        <f t="array" ref="Q1249">SUMPRODUCT(("T_C-HY-DSL-S4"=[1]OUT_TransportEnergyCons!$A$3:$A$1000)*1,("var_fout"=[1]OUT_TransportEnergyCons!$B$3:$B$1000)*1,ISNUMBER(SEARCH("TPCAR",[1]OUT_TransportEnergyCons!$C$3:$C$1000))*1,[1]OUT_TransportEnergyCons!O$3:O$1000)</f>
        <v>5.6028374176616033E-2</v>
      </c>
      <c r="S1249" s="3"/>
    </row>
    <row r="1250" spans="2:19" x14ac:dyDescent="0.5">
      <c r="B1250" s="5" t="str">
        <f t="shared" si="1401"/>
        <v>SPS1</v>
      </c>
      <c r="C1250" s="5" t="str">
        <f t="shared" si="1402"/>
        <v>CH</v>
      </c>
      <c r="D1250" t="s">
        <v>1167</v>
      </c>
      <c r="E1250" t="str">
        <f t="shared" si="1400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17.673743682602442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17.235949699084944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13.258406044751148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6.3565277100587041</v>
      </c>
      <c r="J1250" s="1" cm="1">
        <f t="array" ref="J1250">SUMPRODUCT(("T_C-ICEDSLEXT"=[1]OUT_TransportEnergyCons!$A$3:$A$1000)*1,("var_fout"=[1]OUT_TransportEnergyCons!$B$3:$B$1000)*1,ISNUMBER(SEARCH("TPCAR",[1]OUT_TransportEnergyCons!$C$3:$C$1000))*1,[1]OUT_TransportEnergyCons!H$3:H$1000)</f>
        <v>0</v>
      </c>
      <c r="K1250" s="1" cm="1">
        <f t="array" ref="K1250">SUMPRODUCT(("T_C-ICEDSLEXT"=[1]OUT_TransportEnergyCons!$A$3:$A$1000)*1,("var_fout"=[1]OUT_TransportEnergyCons!$B$3:$B$1000)*1,ISNUMBER(SEARCH("TPCAR",[1]OUT_TransportEnergyCons!$C$3:$C$1000))*1,[1]OUT_TransportEnergyCons!I$3:I$1000)</f>
        <v>0</v>
      </c>
      <c r="L1250" s="1" cm="1">
        <f t="array" ref="L1250">SUMPRODUCT(("T_C-ICEDSLEXT"=[1]OUT_TransportEnergyCons!$A$3:$A$1000)*1,("var_fout"=[1]OUT_TransportEnergyCons!$B$3:$B$1000)*1,ISNUMBER(SEARCH("TPCAR",[1]OUT_TransportEnergyCons!$C$3:$C$1000))*1,[1]OUT_TransportEnergyCons!J$3:J$1000)</f>
        <v>0</v>
      </c>
      <c r="M1250" s="1" cm="1">
        <f t="array" ref="M1250">SUMPRODUCT(("T_C-ICEDSLEXT"=[1]OUT_TransportEnergyCons!$A$3:$A$1000)*1,("var_fout"=[1]OUT_TransportEnergyCons!$B$3:$B$1000)*1,ISNUMBER(SEARCH("TPCAR",[1]OUT_TransportEnergyCons!$C$3:$C$1000))*1,[1]OUT_TransportEnergyCons!K$3:K$1000)</f>
        <v>0</v>
      </c>
      <c r="N1250" s="1" cm="1">
        <f t="array" ref="N1250">SUMPRODUCT(("T_C-ICEDSLEXT"=[1]OUT_TransportEnergyCons!$A$3:$A$1000)*1,("var_fout"=[1]OUT_TransportEnergyCons!$B$3:$B$1000)*1,ISNUMBER(SEARCH("TPCAR",[1]OUT_TransportEnergyCons!$C$3:$C$1000))*1,[1]OUT_TransportEnergyCons!L$3:L$1000)</f>
        <v>0</v>
      </c>
      <c r="O1250" s="1" cm="1">
        <f t="array" ref="O1250">SUMPRODUCT(("T_C-ICEDSLEXT"=[1]OUT_TransportEnergyCons!$A$3:$A$1000)*1,("var_fout"=[1]OUT_TransportEnergyCons!$B$3:$B$1000)*1,ISNUMBER(SEARCH("TPCAR",[1]OUT_TransportEnergyCons!$C$3:$C$1000))*1,[1]OUT_TransportEnergyCons!M$3:M$1000)</f>
        <v>0</v>
      </c>
      <c r="P1250" s="1" cm="1">
        <f t="array" ref="P1250">SUMPRODUCT(("T_C-ICEDSLEXT"=[1]OUT_TransportEnergyCons!$A$3:$A$1000)*1,("var_fout"=[1]OUT_TransportEnergyCons!$B$3:$B$1000)*1,ISNUMBER(SEARCH("TPCAR",[1]OUT_TransportEnergyCons!$C$3:$C$1000))*1,[1]OUT_TransportEnergyCons!N$3:N$1000)</f>
        <v>0</v>
      </c>
      <c r="Q1250" s="1" cm="1">
        <f t="array" ref="Q1250">SUMPRODUCT(("T_C-ICEDSLEXT"=[1]OUT_TransportEnergyCons!$A$3:$A$1000)*1,("var_fout"=[1]OUT_TransportEnergyCons!$B$3:$B$1000)*1,ISNUMBER(SEARCH("TPCAR",[1]OUT_TransportEnergyCons!$C$3:$C$1000))*1,[1]OUT_TransportEnergyCons!O$3:O$1000)</f>
        <v>0</v>
      </c>
      <c r="S1250" s="3"/>
    </row>
    <row r="1251" spans="2:19" x14ac:dyDescent="0.5">
      <c r="B1251" s="5" t="str">
        <f t="shared" si="1401"/>
        <v>SPS1</v>
      </c>
      <c r="C1251" s="5" t="str">
        <f t="shared" si="1402"/>
        <v>CH</v>
      </c>
      <c r="D1251" t="s">
        <v>1168</v>
      </c>
      <c r="E1251" t="str">
        <f t="shared" si="1400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3.7519680480146123E-3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5.3060767892297387E-3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5.0791565372225369E-3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5.1911938747564099E-3</v>
      </c>
      <c r="J1251" s="1" cm="1">
        <f t="array" ref="J1251">SUMPRODUCT(("T_C-ICE-DSL-S1"=[1]OUT_TransportEnergyCons!$A$3:$A$1000)*1,("var_fout"=[1]OUT_TransportEnergyCons!$B$3:$B$1000)*1,ISNUMBER(SEARCH("TPCAR",[1]OUT_TransportEnergyCons!$C$3:$C$1000))*1,[1]OUT_TransportEnergyCons!H$3:H$1000)</f>
        <v>4.6447603812884552E-3</v>
      </c>
      <c r="K1251" s="1" cm="1">
        <f t="array" ref="K1251">SUMPRODUCT(("T_C-ICE-DSL-S1"=[1]OUT_TransportEnergyCons!$A$3:$A$1000)*1,("var_fout"=[1]OUT_TransportEnergyCons!$B$3:$B$1000)*1,ISNUMBER(SEARCH("TPCAR",[1]OUT_TransportEnergyCons!$C$3:$C$1000))*1,[1]OUT_TransportEnergyCons!I$3:I$1000)</f>
        <v>2.8682560566583571E-2</v>
      </c>
      <c r="L1251" s="1" cm="1">
        <f t="array" ref="L1251">SUMPRODUCT(("T_C-ICE-DSL-S1"=[1]OUT_TransportEnergyCons!$A$3:$A$1000)*1,("var_fout"=[1]OUT_TransportEnergyCons!$B$3:$B$1000)*1,ISNUMBER(SEARCH("TPCAR",[1]OUT_TransportEnergyCons!$C$3:$C$1000))*1,[1]OUT_TransportEnergyCons!J$3:J$1000)</f>
        <v>2.3634713444878566E-2</v>
      </c>
      <c r="M1251" s="1" cm="1">
        <f t="array" ref="M1251">SUMPRODUCT(("T_C-ICE-DSL-S1"=[1]OUT_TransportEnergyCons!$A$3:$A$1000)*1,("var_fout"=[1]OUT_TransportEnergyCons!$B$3:$B$1000)*1,ISNUMBER(SEARCH("TPCAR",[1]OUT_TransportEnergyCons!$C$3:$C$1000))*1,[1]OUT_TransportEnergyCons!K$3:K$1000)</f>
        <v>1.6828904703422933E-2</v>
      </c>
      <c r="N1251" s="1" cm="1">
        <f t="array" ref="N1251">SUMPRODUCT(("T_C-ICE-DSL-S1"=[1]OUT_TransportEnergyCons!$A$3:$A$1000)*1,("var_fout"=[1]OUT_TransportEnergyCons!$B$3:$B$1000)*1,ISNUMBER(SEARCH("TPCAR",[1]OUT_TransportEnergyCons!$C$3:$C$1000))*1,[1]OUT_TransportEnergyCons!L$3:L$1000)</f>
        <v>3.1204218507187315E-3</v>
      </c>
      <c r="O1251" s="1" cm="1">
        <f t="array" ref="O1251">SUMPRODUCT(("T_C-ICE-DSL-S1"=[1]OUT_TransportEnergyCons!$A$3:$A$1000)*1,("var_fout"=[1]OUT_TransportEnergyCons!$B$3:$B$1000)*1,ISNUMBER(SEARCH("TPCAR",[1]OUT_TransportEnergyCons!$C$3:$C$1000))*1,[1]OUT_TransportEnergyCons!M$3:M$1000)</f>
        <v>9.0547645516993224E-4</v>
      </c>
      <c r="P1251" s="1" cm="1">
        <f t="array" ref="P1251">SUMPRODUCT(("T_C-ICE-DSL-S1"=[1]OUT_TransportEnergyCons!$A$3:$A$1000)*1,("var_fout"=[1]OUT_TransportEnergyCons!$B$3:$B$1000)*1,ISNUMBER(SEARCH("TPCAR",[1]OUT_TransportEnergyCons!$C$3:$C$1000))*1,[1]OUT_TransportEnergyCons!N$3:N$1000)</f>
        <v>5.7361712850678389E-4</v>
      </c>
      <c r="Q1251" s="1" cm="1">
        <f t="array" ref="Q1251">SUMPRODUCT(("T_C-ICE-DSL-S1"=[1]OUT_TransportEnergyCons!$A$3:$A$1000)*1,("var_fout"=[1]OUT_TransportEnergyCons!$B$3:$B$1000)*1,ISNUMBER(SEARCH("TPCAR",[1]OUT_TransportEnergyCons!$C$3:$C$1000))*1,[1]OUT_TransportEnergyCons!O$3:O$1000)</f>
        <v>5.3533466694940179E-4</v>
      </c>
      <c r="S1251" s="3"/>
    </row>
    <row r="1252" spans="2:19" x14ac:dyDescent="0.5">
      <c r="B1252" s="5" t="str">
        <f t="shared" si="1401"/>
        <v>SPS1</v>
      </c>
      <c r="C1252" s="5" t="str">
        <f t="shared" si="1402"/>
        <v>CH</v>
      </c>
      <c r="D1252" t="s">
        <v>1169</v>
      </c>
      <c r="E1252" t="str">
        <f t="shared" si="1400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0.84739896019055838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0.90375746995819406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0.89665275614944684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0.58527426258475823</v>
      </c>
      <c r="J1252" s="1" cm="1">
        <f t="array" ref="J1252">SUMPRODUCT(("T_C-ICE-DSL-S2"=[1]OUT_TransportEnergyCons!$A$3:$A$1000)*1,("var_fout"=[1]OUT_TransportEnergyCons!$B$3:$B$1000)*1,ISNUMBER(SEARCH("TPCAR",[1]OUT_TransportEnergyCons!$C$3:$C$1000))*1,[1]OUT_TransportEnergyCons!H$3:H$1000)</f>
        <v>2.2143579783245698E-2</v>
      </c>
      <c r="K1252" s="1" cm="1">
        <f t="array" ref="K1252">SUMPRODUCT(("T_C-ICE-DSL-S2"=[1]OUT_TransportEnergyCons!$A$3:$A$1000)*1,("var_fout"=[1]OUT_TransportEnergyCons!$B$3:$B$1000)*1,ISNUMBER(SEARCH("TPCAR",[1]OUT_TransportEnergyCons!$C$3:$C$1000))*1,[1]OUT_TransportEnergyCons!I$3:I$1000)</f>
        <v>4.3043192989255857E-3</v>
      </c>
      <c r="L1252" s="1" cm="1">
        <f t="array" ref="L1252">SUMPRODUCT(("T_C-ICE-DSL-S2"=[1]OUT_TransportEnergyCons!$A$3:$A$1000)*1,("var_fout"=[1]OUT_TransportEnergyCons!$B$3:$B$1000)*1,ISNUMBER(SEARCH("TPCAR",[1]OUT_TransportEnergyCons!$C$3:$C$1000))*1,[1]OUT_TransportEnergyCons!J$3:J$1000)</f>
        <v>3.5297079950225478E-3</v>
      </c>
      <c r="M1252" s="1" cm="1">
        <f t="array" ref="M1252">SUMPRODUCT(("T_C-ICE-DSL-S2"=[1]OUT_TransportEnergyCons!$A$3:$A$1000)*1,("var_fout"=[1]OUT_TransportEnergyCons!$B$3:$B$1000)*1,ISNUMBER(SEARCH("TPCAR",[1]OUT_TransportEnergyCons!$C$3:$C$1000))*1,[1]OUT_TransportEnergyCons!K$3:K$1000)</f>
        <v>3.1796486575882904E-3</v>
      </c>
      <c r="N1252" s="1" cm="1">
        <f t="array" ref="N1252">SUMPRODUCT(("T_C-ICE-DSL-S2"=[1]OUT_TransportEnergyCons!$A$3:$A$1000)*1,("var_fout"=[1]OUT_TransportEnergyCons!$B$3:$B$1000)*1,ISNUMBER(SEARCH("TPCAR",[1]OUT_TransportEnergyCons!$C$3:$C$1000))*1,[1]OUT_TransportEnergyCons!L$3:L$1000)</f>
        <v>2.0540305097638168E-3</v>
      </c>
      <c r="O1252" s="1" cm="1">
        <f t="array" ref="O1252">SUMPRODUCT(("T_C-ICE-DSL-S2"=[1]OUT_TransportEnergyCons!$A$3:$A$1000)*1,("var_fout"=[1]OUT_TransportEnergyCons!$B$3:$B$1000)*1,ISNUMBER(SEARCH("TPCAR",[1]OUT_TransportEnergyCons!$C$3:$C$1000))*1,[1]OUT_TransportEnergyCons!M$3:M$1000)</f>
        <v>1.506048477360004E-3</v>
      </c>
      <c r="P1252" s="1" cm="1">
        <f t="array" ref="P1252">SUMPRODUCT(("T_C-ICE-DSL-S2"=[1]OUT_TransportEnergyCons!$A$3:$A$1000)*1,("var_fout"=[1]OUT_TransportEnergyCons!$B$3:$B$1000)*1,ISNUMBER(SEARCH("TPCAR",[1]OUT_TransportEnergyCons!$C$3:$C$1000))*1,[1]OUT_TransportEnergyCons!N$3:N$1000)</f>
        <v>9.5942508277032886E-4</v>
      </c>
      <c r="Q1252" s="1" cm="1">
        <f t="array" ref="Q1252">SUMPRODUCT(("T_C-ICE-DSL-S2"=[1]OUT_TransportEnergyCons!$A$3:$A$1000)*1,("var_fout"=[1]OUT_TransportEnergyCons!$B$3:$B$1000)*1,ISNUMBER(SEARCH("TPCAR",[1]OUT_TransportEnergyCons!$C$3:$C$1000))*1,[1]OUT_TransportEnergyCons!O$3:O$1000)</f>
        <v>8.6222863635558166E-4</v>
      </c>
      <c r="S1252" s="3"/>
    </row>
    <row r="1253" spans="2:19" x14ac:dyDescent="0.5">
      <c r="B1253" s="5" t="str">
        <f t="shared" si="1401"/>
        <v>SPS1</v>
      </c>
      <c r="C1253" s="5" t="str">
        <f t="shared" si="1402"/>
        <v>CH</v>
      </c>
      <c r="D1253" t="s">
        <v>1170</v>
      </c>
      <c r="E1253" t="str">
        <f t="shared" si="1400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2.6477369285545906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2.836877805894173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2.8078978670299195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2.18306734169848</v>
      </c>
      <c r="J1253" s="1" cm="1">
        <f t="array" ref="J1253">SUMPRODUCT(("T_C-ICE-DSL-S3"=[1]OUT_TransportEnergyCons!$A$3:$A$1000)*1,("var_fout"=[1]OUT_TransportEnergyCons!$B$3:$B$1000)*1,ISNUMBER(SEARCH("TPCAR",[1]OUT_TransportEnergyCons!$C$3:$C$1000))*1,[1]OUT_TransportEnergyCons!H$3:H$1000)</f>
        <v>8.4986427804032608E-2</v>
      </c>
      <c r="K1253" s="1" cm="1">
        <f t="array" ref="K1253">SUMPRODUCT(("T_C-ICE-DSL-S3"=[1]OUT_TransportEnergyCons!$A$3:$A$1000)*1,("var_fout"=[1]OUT_TransportEnergyCons!$B$3:$B$1000)*1,ISNUMBER(SEARCH("TPCAR",[1]OUT_TransportEnergyCons!$C$3:$C$1000))*1,[1]OUT_TransportEnergyCons!I$3:I$1000)</f>
        <v>3.7984611899032324E-3</v>
      </c>
      <c r="L1253" s="1" cm="1">
        <f t="array" ref="L1253">SUMPRODUCT(("T_C-ICE-DSL-S3"=[1]OUT_TransportEnergyCons!$A$3:$A$1000)*1,("var_fout"=[1]OUT_TransportEnergyCons!$B$3:$B$1000)*1,ISNUMBER(SEARCH("TPCAR",[1]OUT_TransportEnergyCons!$C$3:$C$1000))*1,[1]OUT_TransportEnergyCons!J$3:J$1000)</f>
        <v>3.5422373136600118E-3</v>
      </c>
      <c r="M1253" s="1" cm="1">
        <f t="array" ref="M1253">SUMPRODUCT(("T_C-ICE-DSL-S3"=[1]OUT_TransportEnergyCons!$A$3:$A$1000)*1,("var_fout"=[1]OUT_TransportEnergyCons!$B$3:$B$1000)*1,ISNUMBER(SEARCH("TPCAR",[1]OUT_TransportEnergyCons!$C$3:$C$1000))*1,[1]OUT_TransportEnergyCons!K$3:K$1000)</f>
        <v>4.2371183870654862E-3</v>
      </c>
      <c r="N1253" s="1" cm="1">
        <f t="array" ref="N1253">SUMPRODUCT(("T_C-ICE-DSL-S3"=[1]OUT_TransportEnergyCons!$A$3:$A$1000)*1,("var_fout"=[1]OUT_TransportEnergyCons!$B$3:$B$1000)*1,ISNUMBER(SEARCH("TPCAR",[1]OUT_TransportEnergyCons!$C$3:$C$1000))*1,[1]OUT_TransportEnergyCons!L$3:L$1000)</f>
        <v>2.9700779643055718E-3</v>
      </c>
      <c r="O1253" s="1" cm="1">
        <f t="array" ref="O1253">SUMPRODUCT(("T_C-ICE-DSL-S3"=[1]OUT_TransportEnergyCons!$A$3:$A$1000)*1,("var_fout"=[1]OUT_TransportEnergyCons!$B$3:$B$1000)*1,ISNUMBER(SEARCH("TPCAR",[1]OUT_TransportEnergyCons!$C$3:$C$1000))*1,[1]OUT_TransportEnergyCons!M$3:M$1000)</f>
        <v>2.1770923783064164E-3</v>
      </c>
      <c r="P1253" s="1" cm="1">
        <f t="array" ref="P1253">SUMPRODUCT(("T_C-ICE-DSL-S3"=[1]OUT_TransportEnergyCons!$A$3:$A$1000)*1,("var_fout"=[1]OUT_TransportEnergyCons!$B$3:$B$1000)*1,ISNUMBER(SEARCH("TPCAR",[1]OUT_TransportEnergyCons!$C$3:$C$1000))*1,[1]OUT_TransportEnergyCons!N$3:N$1000)</f>
        <v>1.2202681873010027E-3</v>
      </c>
      <c r="Q1253" s="1" cm="1">
        <f t="array" ref="Q1253">SUMPRODUCT(("T_C-ICE-DSL-S3"=[1]OUT_TransportEnergyCons!$A$3:$A$1000)*1,("var_fout"=[1]OUT_TransportEnergyCons!$B$3:$B$1000)*1,ISNUMBER(SEARCH("TPCAR",[1]OUT_TransportEnergyCons!$C$3:$C$1000))*1,[1]OUT_TransportEnergyCons!O$3:O$1000)</f>
        <v>9.8700776226444626E-4</v>
      </c>
      <c r="S1253" s="3"/>
    </row>
    <row r="1254" spans="2:19" x14ac:dyDescent="0.5">
      <c r="B1254" s="5" t="str">
        <f t="shared" si="1401"/>
        <v>SPS1</v>
      </c>
      <c r="C1254" s="5" t="str">
        <f t="shared" si="1402"/>
        <v>CH</v>
      </c>
      <c r="D1254" t="s">
        <v>1171</v>
      </c>
      <c r="E1254" t="str">
        <f t="shared" si="1400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0.89697704104060705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1.0076447463750016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0.99192209013524912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0.76800601633643595</v>
      </c>
      <c r="J1254" s="1" cm="1">
        <f t="array" ref="J1254">SUMPRODUCT(("T_C-ICE-DSL-S4"=[1]OUT_TransportEnergyCons!$A$3:$A$1000)*1,("var_fout"=[1]OUT_TransportEnergyCons!$B$3:$B$1000)*1,ISNUMBER(SEARCH("TPCAR",[1]OUT_TransportEnergyCons!$C$3:$C$1000))*1,[1]OUT_TransportEnergyCons!H$3:H$1000)</f>
        <v>4.3493652799597035E-2</v>
      </c>
      <c r="K1254" s="1" cm="1">
        <f t="array" ref="K1254">SUMPRODUCT(("T_C-ICE-DSL-S4"=[1]OUT_TransportEnergyCons!$A$3:$A$1000)*1,("var_fout"=[1]OUT_TransportEnergyCons!$B$3:$B$1000)*1,ISNUMBER(SEARCH("TPCAR",[1]OUT_TransportEnergyCons!$C$3:$C$1000))*1,[1]OUT_TransportEnergyCons!I$3:I$1000)</f>
        <v>2.781764493603562E-3</v>
      </c>
      <c r="L1254" s="1" cm="1">
        <f t="array" ref="L1254">SUMPRODUCT(("T_C-ICE-DSL-S4"=[1]OUT_TransportEnergyCons!$A$3:$A$1000)*1,("var_fout"=[1]OUT_TransportEnergyCons!$B$3:$B$1000)*1,ISNUMBER(SEARCH("TPCAR",[1]OUT_TransportEnergyCons!$C$3:$C$1000))*1,[1]OUT_TransportEnergyCons!J$3:J$1000)</f>
        <v>2.809635031018855E-3</v>
      </c>
      <c r="M1254" s="1" cm="1">
        <f t="array" ref="M1254">SUMPRODUCT(("T_C-ICE-DSL-S4"=[1]OUT_TransportEnergyCons!$A$3:$A$1000)*1,("var_fout"=[1]OUT_TransportEnergyCons!$B$3:$B$1000)*1,ISNUMBER(SEARCH("TPCAR",[1]OUT_TransportEnergyCons!$C$3:$C$1000))*1,[1]OUT_TransportEnergyCons!K$3:K$1000)</f>
        <v>3.6447910742739256E-3</v>
      </c>
      <c r="N1254" s="1" cm="1">
        <f t="array" ref="N1254">SUMPRODUCT(("T_C-ICE-DSL-S4"=[1]OUT_TransportEnergyCons!$A$3:$A$1000)*1,("var_fout"=[1]OUT_TransportEnergyCons!$B$3:$B$1000)*1,ISNUMBER(SEARCH("TPCAR",[1]OUT_TransportEnergyCons!$C$3:$C$1000))*1,[1]OUT_TransportEnergyCons!L$3:L$1000)</f>
        <v>2.6900195178525968E-3</v>
      </c>
      <c r="O1254" s="1" cm="1">
        <f t="array" ref="O1254">SUMPRODUCT(("T_C-ICE-DSL-S4"=[1]OUT_TransportEnergyCons!$A$3:$A$1000)*1,("var_fout"=[1]OUT_TransportEnergyCons!$B$3:$B$1000)*1,ISNUMBER(SEARCH("TPCAR",[1]OUT_TransportEnergyCons!$C$3:$C$1000))*1,[1]OUT_TransportEnergyCons!M$3:M$1000)</f>
        <v>1.9057492331719175E-3</v>
      </c>
      <c r="P1254" s="1" cm="1">
        <f t="array" ref="P1254">SUMPRODUCT(("T_C-ICE-DSL-S4"=[1]OUT_TransportEnergyCons!$A$3:$A$1000)*1,("var_fout"=[1]OUT_TransportEnergyCons!$B$3:$B$1000)*1,ISNUMBER(SEARCH("TPCAR",[1]OUT_TransportEnergyCons!$C$3:$C$1000))*1,[1]OUT_TransportEnergyCons!N$3:N$1000)</f>
        <v>9.7144365481445256E-4</v>
      </c>
      <c r="Q1254" s="1" cm="1">
        <f t="array" ref="Q1254">SUMPRODUCT(("T_C-ICE-DSL-S4"=[1]OUT_TransportEnergyCons!$A$3:$A$1000)*1,("var_fout"=[1]OUT_TransportEnergyCons!$B$3:$B$1000)*1,ISNUMBER(SEARCH("TPCAR",[1]OUT_TransportEnergyCons!$C$3:$C$1000))*1,[1]OUT_TransportEnergyCons!O$3:O$1000)</f>
        <v>8.0245387193223112E-4</v>
      </c>
      <c r="S1254" s="3"/>
    </row>
    <row r="1255" spans="2:19" x14ac:dyDescent="0.5">
      <c r="B1255" s="5" t="str">
        <f t="shared" si="1401"/>
        <v>SPS1</v>
      </c>
      <c r="C1255" s="5" t="str">
        <f t="shared" si="1402"/>
        <v>CH</v>
      </c>
      <c r="D1255" t="s">
        <v>1172</v>
      </c>
      <c r="E1255" t="str">
        <f t="shared" si="1400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8.3232802280029075E-4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0.49288979766390739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1.3261635422970197</v>
      </c>
      <c r="J1255" s="1" cm="1">
        <f t="array" ref="J1255">SUMPRODUCT(("T_C-MHY-DSL-S1"=[1]OUT_TransportEnergyCons!$A$3:$A$1000)*1,("var_fout"=[1]OUT_TransportEnergyCons!$B$3:$B$1000)*1,ISNUMBER(SEARCH("TPCAR",[1]OUT_TransportEnergyCons!$C$3:$C$1000))*1,[1]OUT_TransportEnergyCons!H$3:H$1000)</f>
        <v>1.203877635035141</v>
      </c>
      <c r="K1255" s="1" cm="1">
        <f t="array" ref="K1255">SUMPRODUCT(("T_C-MHY-DSL-S1"=[1]OUT_TransportEnergyCons!$A$3:$A$1000)*1,("var_fout"=[1]OUT_TransportEnergyCons!$B$3:$B$1000)*1,ISNUMBER(SEARCH("TPCAR",[1]OUT_TransportEnergyCons!$C$3:$C$1000))*1,[1]OUT_TransportEnergyCons!I$3:I$1000)</f>
        <v>0.76487026201889452</v>
      </c>
      <c r="L1255" s="1" cm="1">
        <f t="array" ref="L1255">SUMPRODUCT(("T_C-MHY-DSL-S1"=[1]OUT_TransportEnergyCons!$A$3:$A$1000)*1,("var_fout"=[1]OUT_TransportEnergyCons!$B$3:$B$1000)*1,ISNUMBER(SEARCH("TPCAR",[1]OUT_TransportEnergyCons!$C$3:$C$1000))*1,[1]OUT_TransportEnergyCons!J$3:J$1000)</f>
        <v>0.22426212160339989</v>
      </c>
      <c r="M1255" s="1" cm="1">
        <f t="array" ref="M1255">SUMPRODUCT(("T_C-MHY-DSL-S1"=[1]OUT_TransportEnergyCons!$A$3:$A$1000)*1,("var_fout"=[1]OUT_TransportEnergyCons!$B$3:$B$1000)*1,ISNUMBER(SEARCH("TPCAR",[1]OUT_TransportEnergyCons!$C$3:$C$1000))*1,[1]OUT_TransportEnergyCons!K$3:K$1000)</f>
        <v>8.7135912353504014E-2</v>
      </c>
      <c r="N1255" s="1" cm="1">
        <f t="array" ref="N1255">SUMPRODUCT(("T_C-MHY-DSL-S1"=[1]OUT_TransportEnergyCons!$A$3:$A$1000)*1,("var_fout"=[1]OUT_TransportEnergyCons!$B$3:$B$1000)*1,ISNUMBER(SEARCH("TPCAR",[1]OUT_TransportEnergyCons!$C$3:$C$1000))*1,[1]OUT_TransportEnergyCons!L$3:L$1000)</f>
        <v>1.3244896757775437E-2</v>
      </c>
      <c r="O1255" s="1" cm="1">
        <f t="array" ref="O1255">SUMPRODUCT(("T_C-MHY-DSL-S1"=[1]OUT_TransportEnergyCons!$A$3:$A$1000)*1,("var_fout"=[1]OUT_TransportEnergyCons!$B$3:$B$1000)*1,ISNUMBER(SEARCH("TPCAR",[1]OUT_TransportEnergyCons!$C$3:$C$1000))*1,[1]OUT_TransportEnergyCons!M$3:M$1000)</f>
        <v>2.7172127809552177E-3</v>
      </c>
      <c r="P1255" s="1" cm="1">
        <f t="array" ref="P1255">SUMPRODUCT(("T_C-MHY-DSL-S1"=[1]OUT_TransportEnergyCons!$A$3:$A$1000)*1,("var_fout"=[1]OUT_TransportEnergyCons!$B$3:$B$1000)*1,ISNUMBER(SEARCH("TPCAR",[1]OUT_TransportEnergyCons!$C$3:$C$1000))*1,[1]OUT_TransportEnergyCons!N$3:N$1000)</f>
        <v>3.0226604411663616E-3</v>
      </c>
      <c r="Q1255" s="1" cm="1">
        <f t="array" ref="Q1255">SUMPRODUCT(("T_C-MHY-DSL-S1"=[1]OUT_TransportEnergyCons!$A$3:$A$1000)*1,("var_fout"=[1]OUT_TransportEnergyCons!$B$3:$B$1000)*1,ISNUMBER(SEARCH("TPCAR",[1]OUT_TransportEnergyCons!$C$3:$C$1000))*1,[1]OUT_TransportEnergyCons!O$3:O$1000)</f>
        <v>3.1566150169725716E-3</v>
      </c>
      <c r="S1255" s="3"/>
    </row>
    <row r="1256" spans="2:19" x14ac:dyDescent="0.5">
      <c r="B1256" s="5" t="str">
        <f t="shared" si="1401"/>
        <v>SPS1</v>
      </c>
      <c r="C1256" s="5" t="str">
        <f t="shared" si="1402"/>
        <v>CH</v>
      </c>
      <c r="D1256" t="s">
        <v>1173</v>
      </c>
      <c r="E1256" t="str">
        <f t="shared" si="1400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5.5635890128578089E-4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4.0700557245648096E-3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9.0608784616738932E-3</v>
      </c>
      <c r="J1256" s="1" cm="1">
        <f t="array" ref="J1256">SUMPRODUCT(("T_C-MHY-DSL-S2"=[1]OUT_TransportEnergyCons!$A$3:$A$1000)*1,("var_fout"=[1]OUT_TransportEnergyCons!$B$3:$B$1000)*1,ISNUMBER(SEARCH("TPCAR",[1]OUT_TransportEnergyCons!$C$3:$C$1000))*1,[1]OUT_TransportEnergyCons!H$3:H$1000)</f>
        <v>2.2082437674712355E-2</v>
      </c>
      <c r="K1256" s="1" cm="1">
        <f t="array" ref="K1256">SUMPRODUCT(("T_C-MHY-DSL-S2"=[1]OUT_TransportEnergyCons!$A$3:$A$1000)*1,("var_fout"=[1]OUT_TransportEnergyCons!$B$3:$B$1000)*1,ISNUMBER(SEARCH("TPCAR",[1]OUT_TransportEnergyCons!$C$3:$C$1000))*1,[1]OUT_TransportEnergyCons!I$3:I$1000)</f>
        <v>2.453651727961683E-2</v>
      </c>
      <c r="L1256" s="1" cm="1">
        <f t="array" ref="L1256">SUMPRODUCT(("T_C-MHY-DSL-S2"=[1]OUT_TransportEnergyCons!$A$3:$A$1000)*1,("var_fout"=[1]OUT_TransportEnergyCons!$B$3:$B$1000)*1,ISNUMBER(SEARCH("TPCAR",[1]OUT_TransportEnergyCons!$C$3:$C$1000))*1,[1]OUT_TransportEnergyCons!J$3:J$1000)</f>
        <v>1.504390819433476E-2</v>
      </c>
      <c r="M1256" s="1" cm="1">
        <f t="array" ref="M1256">SUMPRODUCT(("T_C-MHY-DSL-S2"=[1]OUT_TransportEnergyCons!$A$3:$A$1000)*1,("var_fout"=[1]OUT_TransportEnergyCons!$B$3:$B$1000)*1,ISNUMBER(SEARCH("TPCAR",[1]OUT_TransportEnergyCons!$C$3:$C$1000))*1,[1]OUT_TransportEnergyCons!K$3:K$1000)</f>
        <v>7.9677056599422019E-3</v>
      </c>
      <c r="N1256" s="1" cm="1">
        <f t="array" ref="N1256">SUMPRODUCT(("T_C-MHY-DSL-S2"=[1]OUT_TransportEnergyCons!$A$3:$A$1000)*1,("var_fout"=[1]OUT_TransportEnergyCons!$B$3:$B$1000)*1,ISNUMBER(SEARCH("TPCAR",[1]OUT_TransportEnergyCons!$C$3:$C$1000))*1,[1]OUT_TransportEnergyCons!L$3:L$1000)</f>
        <v>5.4446207017950186E-3</v>
      </c>
      <c r="O1256" s="1" cm="1">
        <f t="array" ref="O1256">SUMPRODUCT(("T_C-MHY-DSL-S2"=[1]OUT_TransportEnergyCons!$A$3:$A$1000)*1,("var_fout"=[1]OUT_TransportEnergyCons!$B$3:$B$1000)*1,ISNUMBER(SEARCH("TPCAR",[1]OUT_TransportEnergyCons!$C$3:$C$1000))*1,[1]OUT_TransportEnergyCons!M$3:M$1000)</f>
        <v>6.7932269587675639E-3</v>
      </c>
      <c r="P1256" s="1" cm="1">
        <f t="array" ref="P1256">SUMPRODUCT(("T_C-MHY-DSL-S2"=[1]OUT_TransportEnergyCons!$A$3:$A$1000)*1,("var_fout"=[1]OUT_TransportEnergyCons!$B$3:$B$1000)*1,ISNUMBER(SEARCH("TPCAR",[1]OUT_TransportEnergyCons!$C$3:$C$1000))*1,[1]OUT_TransportEnergyCons!N$3:N$1000)</f>
        <v>9.2852917684886974E-3</v>
      </c>
      <c r="Q1256" s="1" cm="1">
        <f t="array" ref="Q1256">SUMPRODUCT(("T_C-MHY-DSL-S2"=[1]OUT_TransportEnergyCons!$A$3:$A$1000)*1,("var_fout"=[1]OUT_TransportEnergyCons!$B$3:$B$1000)*1,ISNUMBER(SEARCH("TPCAR",[1]OUT_TransportEnergyCons!$C$3:$C$1000))*1,[1]OUT_TransportEnergyCons!O$3:O$1000)</f>
        <v>1.2431762607415754E-2</v>
      </c>
      <c r="S1256" s="3"/>
    </row>
    <row r="1257" spans="2:19" x14ac:dyDescent="0.5">
      <c r="B1257" s="5" t="str">
        <f t="shared" si="1401"/>
        <v>SPS1</v>
      </c>
      <c r="C1257" s="5" t="str">
        <f t="shared" si="1402"/>
        <v>CH</v>
      </c>
      <c r="D1257" t="s">
        <v>1174</v>
      </c>
      <c r="E1257" t="str">
        <f t="shared" si="1400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7.7755410899302106E-4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3.2703771824809089E-3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6.6277550624698122E-3</v>
      </c>
      <c r="J1257" s="1" cm="1">
        <f t="array" ref="J1257">SUMPRODUCT(("T_C-MHY-DSL-S3"=[1]OUT_TransportEnergyCons!$A$3:$A$1000)*1,("var_fout"=[1]OUT_TransportEnergyCons!$B$3:$B$1000)*1,ISNUMBER(SEARCH("TPCAR",[1]OUT_TransportEnergyCons!$C$3:$C$1000))*1,[1]OUT_TransportEnergyCons!H$3:H$1000)</f>
        <v>6.8345816557761105E-2</v>
      </c>
      <c r="K1257" s="1" cm="1">
        <f t="array" ref="K1257">SUMPRODUCT(("T_C-MHY-DSL-S3"=[1]OUT_TransportEnergyCons!$A$3:$A$1000)*1,("var_fout"=[1]OUT_TransportEnergyCons!$B$3:$B$1000)*1,ISNUMBER(SEARCH("TPCAR",[1]OUT_TransportEnergyCons!$C$3:$C$1000))*1,[1]OUT_TransportEnergyCons!I$3:I$1000)</f>
        <v>0.61294279391928197</v>
      </c>
      <c r="L1257" s="1" cm="1">
        <f t="array" ref="L1257">SUMPRODUCT(("T_C-MHY-DSL-S3"=[1]OUT_TransportEnergyCons!$A$3:$A$1000)*1,("var_fout"=[1]OUT_TransportEnergyCons!$B$3:$B$1000)*1,ISNUMBER(SEARCH("TPCAR",[1]OUT_TransportEnergyCons!$C$3:$C$1000))*1,[1]OUT_TransportEnergyCons!J$3:J$1000)</f>
        <v>1.2561426399780888</v>
      </c>
      <c r="M1257" s="1" cm="1">
        <f t="array" ref="M1257">SUMPRODUCT(("T_C-MHY-DSL-S3"=[1]OUT_TransportEnergyCons!$A$3:$A$1000)*1,("var_fout"=[1]OUT_TransportEnergyCons!$B$3:$B$1000)*1,ISNUMBER(SEARCH("TPCAR",[1]OUT_TransportEnergyCons!$C$3:$C$1000))*1,[1]OUT_TransportEnergyCons!K$3:K$1000)</f>
        <v>1.4349245754372255</v>
      </c>
      <c r="N1257" s="1" cm="1">
        <f t="array" ref="N1257">SUMPRODUCT(("T_C-MHY-DSL-S3"=[1]OUT_TransportEnergyCons!$A$3:$A$1000)*1,("var_fout"=[1]OUT_TransportEnergyCons!$B$3:$B$1000)*1,ISNUMBER(SEARCH("TPCAR",[1]OUT_TransportEnergyCons!$C$3:$C$1000))*1,[1]OUT_TransportEnergyCons!L$3:L$1000)</f>
        <v>1.5359265496665837</v>
      </c>
      <c r="O1257" s="1" cm="1">
        <f t="array" ref="O1257">SUMPRODUCT(("T_C-MHY-DSL-S3"=[1]OUT_TransportEnergyCons!$A$3:$A$1000)*1,("var_fout"=[1]OUT_TransportEnergyCons!$B$3:$B$1000)*1,ISNUMBER(SEARCH("TPCAR",[1]OUT_TransportEnergyCons!$C$3:$C$1000))*1,[1]OUT_TransportEnergyCons!M$3:M$1000)</f>
        <v>1.5524867852849069</v>
      </c>
      <c r="P1257" s="1" cm="1">
        <f t="array" ref="P1257">SUMPRODUCT(("T_C-MHY-DSL-S3"=[1]OUT_TransportEnergyCons!$A$3:$A$1000)*1,("var_fout"=[1]OUT_TransportEnergyCons!$B$3:$B$1000)*1,ISNUMBER(SEARCH("TPCAR",[1]OUT_TransportEnergyCons!$C$3:$C$1000))*1,[1]OUT_TransportEnergyCons!N$3:N$1000)</f>
        <v>1.5117856964119292</v>
      </c>
      <c r="Q1257" s="1" cm="1">
        <f t="array" ref="Q1257">SUMPRODUCT(("T_C-MHY-DSL-S3"=[1]OUT_TransportEnergyCons!$A$3:$A$1000)*1,("var_fout"=[1]OUT_TransportEnergyCons!$B$3:$B$1000)*1,ISNUMBER(SEARCH("TPCAR",[1]OUT_TransportEnergyCons!$C$3:$C$1000))*1,[1]OUT_TransportEnergyCons!O$3:O$1000)</f>
        <v>1.4871342235534246</v>
      </c>
      <c r="S1257" s="3"/>
    </row>
    <row r="1258" spans="2:19" x14ac:dyDescent="0.5">
      <c r="B1258" s="5" t="str">
        <f t="shared" si="1401"/>
        <v>SPS1</v>
      </c>
      <c r="C1258" s="5" t="str">
        <f t="shared" si="1402"/>
        <v>CH</v>
      </c>
      <c r="D1258" t="s">
        <v>1175</v>
      </c>
      <c r="E1258" t="str">
        <f t="shared" si="1400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4.7428979591212237E-4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1.2926911464096677E-3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2.0245603349265044E-3</v>
      </c>
      <c r="J1258" s="1" cm="1">
        <f t="array" ref="J1258">SUMPRODUCT(("T_C-MHY-DSL-S4"=[1]OUT_TransportEnergyCons!$A$3:$A$1000)*1,("var_fout"=[1]OUT_TransportEnergyCons!$B$3:$B$1000)*1,ISNUMBER(SEARCH("TPCAR",[1]OUT_TransportEnergyCons!$C$3:$C$1000))*1,[1]OUT_TransportEnergyCons!H$3:H$1000)</f>
        <v>3.2533526393406691E-3</v>
      </c>
      <c r="K1258" s="1" cm="1">
        <f t="array" ref="K1258">SUMPRODUCT(("T_C-MHY-DSL-S4"=[1]OUT_TransportEnergyCons!$A$3:$A$1000)*1,("var_fout"=[1]OUT_TransportEnergyCons!$B$3:$B$1000)*1,ISNUMBER(SEARCH("TPCAR",[1]OUT_TransportEnergyCons!$C$3:$C$1000))*1,[1]OUT_TransportEnergyCons!I$3:I$1000)</f>
        <v>7.0901655089190205E-3</v>
      </c>
      <c r="L1258" s="1" cm="1">
        <f t="array" ref="L1258">SUMPRODUCT(("T_C-MHY-DSL-S4"=[1]OUT_TransportEnergyCons!$A$3:$A$1000)*1,("var_fout"=[1]OUT_TransportEnergyCons!$B$3:$B$1000)*1,ISNUMBER(SEARCH("TPCAR",[1]OUT_TransportEnergyCons!$C$3:$C$1000))*1,[1]OUT_TransportEnergyCons!J$3:J$1000)</f>
        <v>1.0146085892881183E-2</v>
      </c>
      <c r="M1258" s="1" cm="1">
        <f t="array" ref="M1258">SUMPRODUCT(("T_C-MHY-DSL-S4"=[1]OUT_TransportEnergyCons!$A$3:$A$1000)*1,("var_fout"=[1]OUT_TransportEnergyCons!$B$3:$B$1000)*1,ISNUMBER(SEARCH("TPCAR",[1]OUT_TransportEnergyCons!$C$3:$C$1000))*1,[1]OUT_TransportEnergyCons!K$3:K$1000)</f>
        <v>1.6549123237020812E-2</v>
      </c>
      <c r="N1258" s="1" cm="1">
        <f t="array" ref="N1258">SUMPRODUCT(("T_C-MHY-DSL-S4"=[1]OUT_TransportEnergyCons!$A$3:$A$1000)*1,("var_fout"=[1]OUT_TransportEnergyCons!$B$3:$B$1000)*1,ISNUMBER(SEARCH("TPCAR",[1]OUT_TransportEnergyCons!$C$3:$C$1000))*1,[1]OUT_TransportEnergyCons!L$3:L$1000)</f>
        <v>1.8216276029108552E-2</v>
      </c>
      <c r="O1258" s="1" cm="1">
        <f t="array" ref="O1258">SUMPRODUCT(("T_C-MHY-DSL-S4"=[1]OUT_TransportEnergyCons!$A$3:$A$1000)*1,("var_fout"=[1]OUT_TransportEnergyCons!$B$3:$B$1000)*1,ISNUMBER(SEARCH("TPCAR",[1]OUT_TransportEnergyCons!$C$3:$C$1000))*1,[1]OUT_TransportEnergyCons!M$3:M$1000)</f>
        <v>1.4407359871152161E-2</v>
      </c>
      <c r="P1258" s="1" cm="1">
        <f t="array" ref="P1258">SUMPRODUCT(("T_C-MHY-DSL-S4"=[1]OUT_TransportEnergyCons!$A$3:$A$1000)*1,("var_fout"=[1]OUT_TransportEnergyCons!$B$3:$B$1000)*1,ISNUMBER(SEARCH("TPCAR",[1]OUT_TransportEnergyCons!$C$3:$C$1000))*1,[1]OUT_TransportEnergyCons!N$3:N$1000)</f>
        <v>7.649662718454864E-3</v>
      </c>
      <c r="Q1258" s="1" cm="1">
        <f t="array" ref="Q1258">SUMPRODUCT(("T_C-MHY-DSL-S4"=[1]OUT_TransportEnergyCons!$A$3:$A$1000)*1,("var_fout"=[1]OUT_TransportEnergyCons!$B$3:$B$1000)*1,ISNUMBER(SEARCH("TPCAR",[1]OUT_TransportEnergyCons!$C$3:$C$1000))*1,[1]OUT_TransportEnergyCons!O$3:O$1000)</f>
        <v>8.063915368638765E-3</v>
      </c>
      <c r="S1258" s="3"/>
    </row>
    <row r="1259" spans="2:19" x14ac:dyDescent="0.5">
      <c r="B1259" s="5" t="str">
        <f t="shared" si="1401"/>
        <v>SPS1</v>
      </c>
      <c r="C1259" s="5" t="str">
        <f t="shared" si="1402"/>
        <v>CH</v>
      </c>
      <c r="D1259" t="s">
        <v>1176</v>
      </c>
      <c r="E1259" t="str">
        <f t="shared" si="1400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SUMPRODUCT(("T_C-ICENGAEXT"=[1]OUT_TransportEnergyCons!$A$3:$A$1000)*1,("var_fout"=[1]OUT_TransportEnergyCons!$B$3:$B$1000)*1,ISNUMBER(SEARCH("TPCAR",[1]OUT_TransportEnergyCons!$C$3:$C$1000))*1,[1]OUT_TransportEnergyCons!H$3:H$1000)</f>
        <v>0</v>
      </c>
      <c r="K1259" s="1" cm="1">
        <f t="array" ref="K1259">SUMPRODUCT(("T_C-ICENGAEXT"=[1]OUT_TransportEnergyCons!$A$3:$A$1000)*1,("var_fout"=[1]OUT_TransportEnergyCons!$B$3:$B$1000)*1,ISNUMBER(SEARCH("TPCAR",[1]OUT_TransportEnergyCons!$C$3:$C$1000))*1,[1]OUT_TransportEnergyCons!I$3:I$1000)</f>
        <v>0</v>
      </c>
      <c r="L1259" s="1" cm="1">
        <f t="array" ref="L1259">SUMPRODUCT(("T_C-ICENGAEXT"=[1]OUT_TransportEnergyCons!$A$3:$A$1000)*1,("var_fout"=[1]OUT_TransportEnergyCons!$B$3:$B$1000)*1,ISNUMBER(SEARCH("TPCAR",[1]OUT_TransportEnergyCons!$C$3:$C$1000))*1,[1]OUT_TransportEnergyCons!J$3:J$1000)</f>
        <v>0</v>
      </c>
      <c r="M1259" s="1" cm="1">
        <f t="array" ref="M1259">SUMPRODUCT(("T_C-ICENGAEXT"=[1]OUT_TransportEnergyCons!$A$3:$A$1000)*1,("var_fout"=[1]OUT_TransportEnergyCons!$B$3:$B$1000)*1,ISNUMBER(SEARCH("TPCAR",[1]OUT_TransportEnergyCons!$C$3:$C$1000))*1,[1]OUT_TransportEnergyCons!K$3:K$1000)</f>
        <v>0</v>
      </c>
      <c r="N1259" s="1" cm="1">
        <f t="array" ref="N1259">SUMPRODUCT(("T_C-ICENGAEXT"=[1]OUT_TransportEnergyCons!$A$3:$A$1000)*1,("var_fout"=[1]OUT_TransportEnergyCons!$B$3:$B$1000)*1,ISNUMBER(SEARCH("TPCAR",[1]OUT_TransportEnergyCons!$C$3:$C$1000))*1,[1]OUT_TransportEnergyCons!L$3:L$1000)</f>
        <v>0</v>
      </c>
      <c r="O1259" s="1" cm="1">
        <f t="array" ref="O1259">SUMPRODUCT(("T_C-ICENGAEXT"=[1]OUT_TransportEnergyCons!$A$3:$A$1000)*1,("var_fout"=[1]OUT_TransportEnergyCons!$B$3:$B$1000)*1,ISNUMBER(SEARCH("TPCAR",[1]OUT_TransportEnergyCons!$C$3:$C$1000))*1,[1]OUT_TransportEnergyCons!M$3:M$1000)</f>
        <v>0</v>
      </c>
      <c r="P1259" s="1" cm="1">
        <f t="array" ref="P1259">SUMPRODUCT(("T_C-ICENGAEXT"=[1]OUT_TransportEnergyCons!$A$3:$A$1000)*1,("var_fout"=[1]OUT_TransportEnergyCons!$B$3:$B$1000)*1,ISNUMBER(SEARCH("TPCAR",[1]OUT_TransportEnergyCons!$C$3:$C$1000))*1,[1]OUT_TransportEnergyCons!N$3:N$1000)</f>
        <v>0</v>
      </c>
      <c r="Q1259" s="1" cm="1">
        <f t="array" ref="Q1259">SUMPRODUCT(("T_C-ICENGAEXT"=[1]OUT_TransportEnergyCons!$A$3:$A$1000)*1,("var_fout"=[1]OUT_TransportEnergyCons!$B$3:$B$1000)*1,ISNUMBER(SEARCH("TPCAR",[1]OUT_TransportEnergyCons!$C$3:$C$1000))*1,[1]OUT_TransportEnergyCons!O$3:O$1000)</f>
        <v>0</v>
      </c>
      <c r="S1259" s="3"/>
    </row>
    <row r="1260" spans="2:19" x14ac:dyDescent="0.5">
      <c r="B1260" s="5" t="str">
        <f t="shared" si="1401"/>
        <v>SPS1</v>
      </c>
      <c r="C1260" s="5" t="str">
        <f t="shared" si="1402"/>
        <v>CH</v>
      </c>
      <c r="D1260" t="s">
        <v>1177</v>
      </c>
      <c r="E1260" t="str">
        <f t="shared" si="1400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2.1514297982701798E-3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1.8470988867852476E-3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1.871999837386474E-3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1.0276592966798078E-4</v>
      </c>
      <c r="J1260" s="1" cm="1">
        <f t="array" ref="J1260">SUMPRODUCT(("T_C-ICE-NGA-S1"=[1]OUT_TransportEnergyCons!$A$3:$A$1000)*1,("var_fout"=[1]OUT_TransportEnergyCons!$B$3:$B$1000)*1,ISNUMBER(SEARCH("TPCAR",[1]OUT_TransportEnergyCons!$C$3:$C$1000))*1,[1]OUT_TransportEnergyCons!H$3:H$1000)</f>
        <v>5.1528962657497267E-5</v>
      </c>
      <c r="K1260" s="1" cm="1">
        <f t="array" ref="K1260">SUMPRODUCT(("T_C-ICE-NGA-S1"=[1]OUT_TransportEnergyCons!$A$3:$A$1000)*1,("var_fout"=[1]OUT_TransportEnergyCons!$B$3:$B$1000)*1,ISNUMBER(SEARCH("TPCAR",[1]OUT_TransportEnergyCons!$C$3:$C$1000))*1,[1]OUT_TransportEnergyCons!I$3:I$1000)</f>
        <v>4.6430885961419152E-5</v>
      </c>
      <c r="L1260" s="1" cm="1">
        <f t="array" ref="L1260">SUMPRODUCT(("T_C-ICE-NGA-S1"=[1]OUT_TransportEnergyCons!$A$3:$A$1000)*1,("var_fout"=[1]OUT_TransportEnergyCons!$B$3:$B$1000)*1,ISNUMBER(SEARCH("TPCAR",[1]OUT_TransportEnergyCons!$C$3:$C$1000))*1,[1]OUT_TransportEnergyCons!J$3:J$1000)</f>
        <v>4.5490945355777736E-5</v>
      </c>
      <c r="M1260" s="1" cm="1">
        <f t="array" ref="M1260">SUMPRODUCT(("T_C-ICE-NGA-S1"=[1]OUT_TransportEnergyCons!$A$3:$A$1000)*1,("var_fout"=[1]OUT_TransportEnergyCons!$B$3:$B$1000)*1,ISNUMBER(SEARCH("TPCAR",[1]OUT_TransportEnergyCons!$C$3:$C$1000))*1,[1]OUT_TransportEnergyCons!K$3:K$1000)</f>
        <v>4.9567639625029559E-5</v>
      </c>
      <c r="N1260" s="1" cm="1">
        <f t="array" ref="N1260">SUMPRODUCT(("T_C-ICE-NGA-S1"=[1]OUT_TransportEnergyCons!$A$3:$A$1000)*1,("var_fout"=[1]OUT_TransportEnergyCons!$B$3:$B$1000)*1,ISNUMBER(SEARCH("TPCAR",[1]OUT_TransportEnergyCons!$C$3:$C$1000))*1,[1]OUT_TransportEnergyCons!L$3:L$1000)</f>
        <v>4.5960569746134718E-5</v>
      </c>
      <c r="O1260" s="1" cm="1">
        <f t="array" ref="O1260">SUMPRODUCT(("T_C-ICE-NGA-S1"=[1]OUT_TransportEnergyCons!$A$3:$A$1000)*1,("var_fout"=[1]OUT_TransportEnergyCons!$B$3:$B$1000)*1,ISNUMBER(SEARCH("TPCAR",[1]OUT_TransportEnergyCons!$C$3:$C$1000))*1,[1]OUT_TransportEnergyCons!M$3:M$1000)</f>
        <v>5.0347975019198244E-5</v>
      </c>
      <c r="P1260" s="1" cm="1">
        <f t="array" ref="P1260">SUMPRODUCT(("T_C-ICE-NGA-S1"=[1]OUT_TransportEnergyCons!$A$3:$A$1000)*1,("var_fout"=[1]OUT_TransportEnergyCons!$B$3:$B$1000)*1,ISNUMBER(SEARCH("TPCAR",[1]OUT_TransportEnergyCons!$C$3:$C$1000))*1,[1]OUT_TransportEnergyCons!N$3:N$1000)</f>
        <v>5.0167374253058397E-5</v>
      </c>
      <c r="Q1260" s="1" cm="1">
        <f t="array" ref="Q1260">SUMPRODUCT(("T_C-ICE-NGA-S1"=[1]OUT_TransportEnergyCons!$A$3:$A$1000)*1,("var_fout"=[1]OUT_TransportEnergyCons!$B$3:$B$1000)*1,ISNUMBER(SEARCH("TPCAR",[1]OUT_TransportEnergyCons!$C$3:$C$1000))*1,[1]OUT_TransportEnergyCons!O$3:O$1000)</f>
        <v>5.4341160670635136E-5</v>
      </c>
      <c r="S1260" s="3"/>
    </row>
    <row r="1261" spans="2:19" x14ac:dyDescent="0.5">
      <c r="B1261" s="5" t="str">
        <f t="shared" si="1401"/>
        <v>SPS1</v>
      </c>
      <c r="C1261" s="5" t="str">
        <f t="shared" si="1402"/>
        <v>CH</v>
      </c>
      <c r="D1261" t="s">
        <v>1178</v>
      </c>
      <c r="E1261" t="str">
        <f t="shared" si="1400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3.4218493188211359E-2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2.3154540191203228E-2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3.1161551199238587E-2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5.8169755050812683E-5</v>
      </c>
      <c r="J1261" s="1" cm="1">
        <f t="array" ref="J1261">SUMPRODUCT(("T_C-ICE-NGA-S2"=[1]OUT_TransportEnergyCons!$A$3:$A$1000)*1,("var_fout"=[1]OUT_TransportEnergyCons!$B$3:$B$1000)*1,ISNUMBER(SEARCH("TPCAR",[1]OUT_TransportEnergyCons!$C$3:$C$1000))*1,[1]OUT_TransportEnergyCons!H$3:H$1000)</f>
        <v>6.9025613318835034E-5</v>
      </c>
      <c r="K1261" s="1" cm="1">
        <f t="array" ref="K1261">SUMPRODUCT(("T_C-ICE-NGA-S2"=[1]OUT_TransportEnergyCons!$A$3:$A$1000)*1,("var_fout"=[1]OUT_TransportEnergyCons!$B$3:$B$1000)*1,ISNUMBER(SEARCH("TPCAR",[1]OUT_TransportEnergyCons!$C$3:$C$1000))*1,[1]OUT_TransportEnergyCons!I$3:I$1000)</f>
        <v>7.6263414676713999E-5</v>
      </c>
      <c r="L1261" s="1" cm="1">
        <f t="array" ref="L1261">SUMPRODUCT(("T_C-ICE-NGA-S2"=[1]OUT_TransportEnergyCons!$A$3:$A$1000)*1,("var_fout"=[1]OUT_TransportEnergyCons!$B$3:$B$1000)*1,ISNUMBER(SEARCH("TPCAR",[1]OUT_TransportEnergyCons!$C$3:$C$1000))*1,[1]OUT_TransportEnergyCons!J$3:J$1000)</f>
        <v>7.9294042851075935E-5</v>
      </c>
      <c r="M1261" s="1" cm="1">
        <f t="array" ref="M1261">SUMPRODUCT(("T_C-ICE-NGA-S2"=[1]OUT_TransportEnergyCons!$A$3:$A$1000)*1,("var_fout"=[1]OUT_TransportEnergyCons!$B$3:$B$1000)*1,ISNUMBER(SEARCH("TPCAR",[1]OUT_TransportEnergyCons!$C$3:$C$1000))*1,[1]OUT_TransportEnergyCons!K$3:K$1000)</f>
        <v>8.1559976078958947E-5</v>
      </c>
      <c r="N1261" s="1" cm="1">
        <f t="array" ref="N1261">SUMPRODUCT(("T_C-ICE-NGA-S2"=[1]OUT_TransportEnergyCons!$A$3:$A$1000)*1,("var_fout"=[1]OUT_TransportEnergyCons!$B$3:$B$1000)*1,ISNUMBER(SEARCH("TPCAR",[1]OUT_TransportEnergyCons!$C$3:$C$1000))*1,[1]OUT_TransportEnergyCons!L$3:L$1000)</f>
        <v>7.7638024633000668E-5</v>
      </c>
      <c r="O1261" s="1" cm="1">
        <f t="array" ref="O1261">SUMPRODUCT(("T_C-ICE-NGA-S2"=[1]OUT_TransportEnergyCons!$A$3:$A$1000)*1,("var_fout"=[1]OUT_TransportEnergyCons!$B$3:$B$1000)*1,ISNUMBER(SEARCH("TPCAR",[1]OUT_TransportEnergyCons!$C$3:$C$1000))*1,[1]OUT_TransportEnergyCons!M$3:M$1000)</f>
        <v>8.1844460805891598E-5</v>
      </c>
      <c r="P1261" s="1" cm="1">
        <f t="array" ref="P1261">SUMPRODUCT(("T_C-ICE-NGA-S2"=[1]OUT_TransportEnergyCons!$A$3:$A$1000)*1,("var_fout"=[1]OUT_TransportEnergyCons!$B$3:$B$1000)*1,ISNUMBER(SEARCH("TPCAR",[1]OUT_TransportEnergyCons!$C$3:$C$1000))*1,[1]OUT_TransportEnergyCons!N$3:N$1000)</f>
        <v>8.1266122219668635E-5</v>
      </c>
      <c r="Q1261" s="1" cm="1">
        <f t="array" ref="Q1261">SUMPRODUCT(("T_C-ICE-NGA-S2"=[1]OUT_TransportEnergyCons!$A$3:$A$1000)*1,("var_fout"=[1]OUT_TransportEnergyCons!$B$3:$B$1000)*1,ISNUMBER(SEARCH("TPCAR",[1]OUT_TransportEnergyCons!$C$3:$C$1000))*1,[1]OUT_TransportEnergyCons!O$3:O$1000)</f>
        <v>8.6431701103888324E-5</v>
      </c>
      <c r="S1261" s="3"/>
    </row>
    <row r="1262" spans="2:19" x14ac:dyDescent="0.5">
      <c r="B1262" s="5" t="str">
        <f t="shared" si="1401"/>
        <v>SPS1</v>
      </c>
      <c r="C1262" s="5" t="str">
        <f t="shared" si="1402"/>
        <v>CH</v>
      </c>
      <c r="D1262" t="s">
        <v>1179</v>
      </c>
      <c r="E1262" t="str">
        <f t="shared" si="1400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1.9682675062063274E-3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1.8186179448730513E-3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2.2951934879477508E-3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2.4383855641831552E-4</v>
      </c>
      <c r="J1262" s="1" cm="1">
        <f t="array" ref="J1262">SUMPRODUCT(("T_C-ICE-NGA-S3"=[1]OUT_TransportEnergyCons!$A$3:$A$1000)*1,("var_fout"=[1]OUT_TransportEnergyCons!$B$3:$B$1000)*1,ISNUMBER(SEARCH("TPCAR",[1]OUT_TransportEnergyCons!$C$3:$C$1000))*1,[1]OUT_TransportEnergyCons!H$3:H$1000)</f>
        <v>1.0542938124022114E-4</v>
      </c>
      <c r="K1262" s="1" cm="1">
        <f t="array" ref="K1262">SUMPRODUCT(("T_C-ICE-NGA-S3"=[1]OUT_TransportEnergyCons!$A$3:$A$1000)*1,("var_fout"=[1]OUT_TransportEnergyCons!$B$3:$B$1000)*1,ISNUMBER(SEARCH("TPCAR",[1]OUT_TransportEnergyCons!$C$3:$C$1000))*1,[1]OUT_TransportEnergyCons!I$3:I$1000)</f>
        <v>8.7986639931779423E-5</v>
      </c>
      <c r="L1262" s="1" cm="1">
        <f t="array" ref="L1262">SUMPRODUCT(("T_C-ICE-NGA-S3"=[1]OUT_TransportEnergyCons!$A$3:$A$1000)*1,("var_fout"=[1]OUT_TransportEnergyCons!$B$3:$B$1000)*1,ISNUMBER(SEARCH("TPCAR",[1]OUT_TransportEnergyCons!$C$3:$C$1000))*1,[1]OUT_TransportEnergyCons!J$3:J$1000)</f>
        <v>9.2258304106909004E-5</v>
      </c>
      <c r="M1262" s="1" cm="1">
        <f t="array" ref="M1262">SUMPRODUCT(("T_C-ICE-NGA-S3"=[1]OUT_TransportEnergyCons!$A$3:$A$1000)*1,("var_fout"=[1]OUT_TransportEnergyCons!$B$3:$B$1000)*1,ISNUMBER(SEARCH("TPCAR",[1]OUT_TransportEnergyCons!$C$3:$C$1000))*1,[1]OUT_TransportEnergyCons!K$3:K$1000)</f>
        <v>9.6205406235856848E-5</v>
      </c>
      <c r="N1262" s="1" cm="1">
        <f t="array" ref="N1262">SUMPRODUCT(("T_C-ICE-NGA-S3"=[1]OUT_TransportEnergyCons!$A$3:$A$1000)*1,("var_fout"=[1]OUT_TransportEnergyCons!$B$3:$B$1000)*1,ISNUMBER(SEARCH("TPCAR",[1]OUT_TransportEnergyCons!$C$3:$C$1000))*1,[1]OUT_TransportEnergyCons!L$3:L$1000)</f>
        <v>9.1916069368553686E-5</v>
      </c>
      <c r="O1262" s="1" cm="1">
        <f t="array" ref="O1262">SUMPRODUCT(("T_C-ICE-NGA-S3"=[1]OUT_TransportEnergyCons!$A$3:$A$1000)*1,("var_fout"=[1]OUT_TransportEnergyCons!$B$3:$B$1000)*1,ISNUMBER(SEARCH("TPCAR",[1]OUT_TransportEnergyCons!$C$3:$C$1000))*1,[1]OUT_TransportEnergyCons!M$3:M$1000)</f>
        <v>9.5503402454787077E-5</v>
      </c>
      <c r="P1262" s="1" cm="1">
        <f t="array" ref="P1262">SUMPRODUCT(("T_C-ICE-NGA-S3"=[1]OUT_TransportEnergyCons!$A$3:$A$1000)*1,("var_fout"=[1]OUT_TransportEnergyCons!$B$3:$B$1000)*1,ISNUMBER(SEARCH("TPCAR",[1]OUT_TransportEnergyCons!$C$3:$C$1000))*1,[1]OUT_TransportEnergyCons!N$3:N$1000)</f>
        <v>9.3027896317450005E-5</v>
      </c>
      <c r="Q1262" s="1" cm="1">
        <f t="array" ref="Q1262">SUMPRODUCT(("T_C-ICE-NGA-S3"=[1]OUT_TransportEnergyCons!$A$3:$A$1000)*1,("var_fout"=[1]OUT_TransportEnergyCons!$B$3:$B$1000)*1,ISNUMBER(SEARCH("TPCAR",[1]OUT_TransportEnergyCons!$C$3:$C$1000))*1,[1]OUT_TransportEnergyCons!O$3:O$1000)</f>
        <v>9.8003597439159603E-5</v>
      </c>
      <c r="S1262" s="3"/>
    </row>
    <row r="1263" spans="2:19" x14ac:dyDescent="0.5">
      <c r="B1263" s="5" t="str">
        <f t="shared" si="1401"/>
        <v>SPS1</v>
      </c>
      <c r="C1263" s="5" t="str">
        <f t="shared" si="1402"/>
        <v>CH</v>
      </c>
      <c r="D1263" t="s">
        <v>1180</v>
      </c>
      <c r="E1263" t="str">
        <f t="shared" si="1400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3.2685679516707457E-2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3.2085241828267844E-2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2.9913077218757824E-2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3.7008234702007912E-5</v>
      </c>
      <c r="J1263" s="1" cm="1">
        <f t="array" ref="J1263">SUMPRODUCT(("T_C-ICE-NGA-S4"=[1]OUT_TransportEnergyCons!$A$3:$A$1000)*1,("var_fout"=[1]OUT_TransportEnergyCons!$B$3:$B$1000)*1,ISNUMBER(SEARCH("TPCAR",[1]OUT_TransportEnergyCons!$C$3:$C$1000))*1,[1]OUT_TransportEnergyCons!H$3:H$1000)</f>
        <v>6.5253164526491843E-5</v>
      </c>
      <c r="K1263" s="1" cm="1">
        <f t="array" ref="K1263">SUMPRODUCT(("T_C-ICE-NGA-S4"=[1]OUT_TransportEnergyCons!$A$3:$A$1000)*1,("var_fout"=[1]OUT_TransportEnergyCons!$B$3:$B$1000)*1,ISNUMBER(SEARCH("TPCAR",[1]OUT_TransportEnergyCons!$C$3:$C$1000))*1,[1]OUT_TransportEnergyCons!I$3:I$1000)</f>
        <v>7.8736200447794444E-5</v>
      </c>
      <c r="L1263" s="1" cm="1">
        <f t="array" ref="L1263">SUMPRODUCT(("T_C-ICE-NGA-S4"=[1]OUT_TransportEnergyCons!$A$3:$A$1000)*1,("var_fout"=[1]OUT_TransportEnergyCons!$B$3:$B$1000)*1,ISNUMBER(SEARCH("TPCAR",[1]OUT_TransportEnergyCons!$C$3:$C$1000))*1,[1]OUT_TransportEnergyCons!J$3:J$1000)</f>
        <v>8.2933007245375592E-5</v>
      </c>
      <c r="M1263" s="1" cm="1">
        <f t="array" ref="M1263">SUMPRODUCT(("T_C-ICE-NGA-S4"=[1]OUT_TransportEnergyCons!$A$3:$A$1000)*1,("var_fout"=[1]OUT_TransportEnergyCons!$B$3:$B$1000)*1,ISNUMBER(SEARCH("TPCAR",[1]OUT_TransportEnergyCons!$C$3:$C$1000))*1,[1]OUT_TransportEnergyCons!K$3:K$1000)</f>
        <v>8.479481633765313E-5</v>
      </c>
      <c r="N1263" s="1" cm="1">
        <f t="array" ref="N1263">SUMPRODUCT(("T_C-ICE-NGA-S4"=[1]OUT_TransportEnergyCons!$A$3:$A$1000)*1,("var_fout"=[1]OUT_TransportEnergyCons!$B$3:$B$1000)*1,ISNUMBER(SEARCH("TPCAR",[1]OUT_TransportEnergyCons!$C$3:$C$1000))*1,[1]OUT_TransportEnergyCons!L$3:L$1000)</f>
        <v>8.2134076382736233E-5</v>
      </c>
      <c r="O1263" s="1" cm="1">
        <f t="array" ref="O1263">SUMPRODUCT(("T_C-ICE-NGA-S4"=[1]OUT_TransportEnergyCons!$A$3:$A$1000)*1,("var_fout"=[1]OUT_TransportEnergyCons!$B$3:$B$1000)*1,ISNUMBER(SEARCH("TPCAR",[1]OUT_TransportEnergyCons!$C$3:$C$1000))*1,[1]OUT_TransportEnergyCons!M$3:M$1000)</f>
        <v>8.4208971803738505E-5</v>
      </c>
      <c r="P1263" s="1" cm="1">
        <f t="array" ref="P1263">SUMPRODUCT(("T_C-ICE-NGA-S4"=[1]OUT_TransportEnergyCons!$A$3:$A$1000)*1,("var_fout"=[1]OUT_TransportEnergyCons!$B$3:$B$1000)*1,ISNUMBER(SEARCH("TPCAR",[1]OUT_TransportEnergyCons!$C$3:$C$1000))*1,[1]OUT_TransportEnergyCons!N$3:N$1000)</f>
        <v>7.975533200810067E-5</v>
      </c>
      <c r="Q1263" s="1" cm="1">
        <f t="array" ref="Q1263">SUMPRODUCT(("T_C-ICE-NGA-S4"=[1]OUT_TransportEnergyCons!$A$3:$A$1000)*1,("var_fout"=[1]OUT_TransportEnergyCons!$B$3:$B$1000)*1,ISNUMBER(SEARCH("TPCAR",[1]OUT_TransportEnergyCons!$C$3:$C$1000))*1,[1]OUT_TransportEnergyCons!O$3:O$1000)</f>
        <v>8.3333239141344825E-5</v>
      </c>
      <c r="S1263" s="3"/>
    </row>
    <row r="1264" spans="2:19" x14ac:dyDescent="0.5">
      <c r="B1264" s="5" t="str">
        <f t="shared" si="1401"/>
        <v>SPS1</v>
      </c>
      <c r="C1264" s="5" t="str">
        <f t="shared" si="1402"/>
        <v>CH</v>
      </c>
      <c r="D1264" s="2" t="s">
        <v>1130</v>
      </c>
      <c r="E1264" s="2" t="s">
        <v>1229</v>
      </c>
      <c r="F1264" s="19" t="s">
        <v>292</v>
      </c>
      <c r="G1264" s="19" t="s">
        <v>292</v>
      </c>
      <c r="H1264" s="19" t="s">
        <v>292</v>
      </c>
      <c r="I1264" s="19" t="s">
        <v>292</v>
      </c>
      <c r="J1264" s="19" t="s">
        <v>292</v>
      </c>
      <c r="K1264" s="19" t="s">
        <v>292</v>
      </c>
      <c r="L1264" s="19" t="s">
        <v>292</v>
      </c>
      <c r="M1264" s="19" t="s">
        <v>292</v>
      </c>
      <c r="N1264" s="19" t="s">
        <v>292</v>
      </c>
      <c r="O1264" s="19" t="s">
        <v>292</v>
      </c>
      <c r="P1264" s="19" t="s">
        <v>292</v>
      </c>
      <c r="Q1264" s="19" t="s">
        <v>292</v>
      </c>
      <c r="S1264" s="3"/>
    </row>
    <row r="1265" spans="2:19" x14ac:dyDescent="0.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403">IFERROR(F1214/F1138,"-")</f>
        <v>0.88951199431361427</v>
      </c>
      <c r="G1265" s="1">
        <f t="shared" si="1403"/>
        <v>0.95694536964701815</v>
      </c>
      <c r="H1265" s="1">
        <f t="shared" si="1403"/>
        <v>1.0580954326471261</v>
      </c>
      <c r="I1265" s="1">
        <f t="shared" si="1403"/>
        <v>1.2266788709806364</v>
      </c>
      <c r="J1265" s="1" t="str">
        <f t="shared" si="1403"/>
        <v>-</v>
      </c>
      <c r="K1265" s="1" t="str">
        <f t="shared" si="1403"/>
        <v>-</v>
      </c>
      <c r="L1265" s="1" t="str">
        <f t="shared" ref="L1265:O1265" si="1404">IFERROR(L1214/L1138,"-")</f>
        <v>-</v>
      </c>
      <c r="M1265" s="1" t="str">
        <f t="shared" si="1404"/>
        <v>-</v>
      </c>
      <c r="N1265" s="1" t="str">
        <f t="shared" si="1404"/>
        <v>-</v>
      </c>
      <c r="O1265" s="1" t="str">
        <f t="shared" si="1404"/>
        <v>-</v>
      </c>
      <c r="P1265" s="1" t="str">
        <f t="shared" ref="P1265:Q1269" si="1405">IFERROR(P1214/P1138,"-")</f>
        <v>-</v>
      </c>
      <c r="Q1265" s="1" t="str">
        <f t="shared" si="1405"/>
        <v>-</v>
      </c>
      <c r="S1265" s="3"/>
    </row>
    <row r="1266" spans="2:19" x14ac:dyDescent="0.5">
      <c r="B1266" s="5" t="str">
        <f t="shared" ref="B1266:B1314" si="1406">B1265</f>
        <v>SPS1</v>
      </c>
      <c r="C1266" s="5" t="str">
        <f t="shared" ref="C1266:C1314" si="1407">C1265</f>
        <v>CH</v>
      </c>
      <c r="D1266" t="s">
        <v>1182</v>
      </c>
      <c r="E1266" t="str">
        <f t="shared" ref="E1266:E1314" si="1408">E1265</f>
        <v>km/MJ</v>
      </c>
      <c r="F1266" s="1">
        <f t="shared" si="1403"/>
        <v>1.8116719735064495</v>
      </c>
      <c r="G1266" s="1">
        <f t="shared" si="1403"/>
        <v>1.8116719735064477</v>
      </c>
      <c r="H1266" s="1">
        <f t="shared" si="1403"/>
        <v>1.8116719735064506</v>
      </c>
      <c r="I1266" s="1">
        <f t="shared" si="1403"/>
        <v>1.8116719735064508</v>
      </c>
      <c r="J1266" s="1">
        <f t="shared" si="1403"/>
        <v>1.8398755373893863</v>
      </c>
      <c r="K1266" s="1">
        <f t="shared" si="1403"/>
        <v>1.9898090286330616</v>
      </c>
      <c r="L1266" s="1">
        <f t="shared" ref="L1266:O1266" si="1409">IFERROR(L1215/L1139,"-")</f>
        <v>2.0680094949128041</v>
      </c>
      <c r="M1266" s="1">
        <f t="shared" si="1409"/>
        <v>2.1514901387695384</v>
      </c>
      <c r="N1266" s="1">
        <f t="shared" si="1409"/>
        <v>2.2168749289941294</v>
      </c>
      <c r="O1266" s="1">
        <f t="shared" si="1409"/>
        <v>2.3112455159531571</v>
      </c>
      <c r="P1266" s="1">
        <f t="shared" si="1405"/>
        <v>2.4002111817349761</v>
      </c>
      <c r="Q1266" s="1">
        <f t="shared" si="1405"/>
        <v>2.4388889884859615</v>
      </c>
      <c r="S1266" s="3"/>
    </row>
    <row r="1267" spans="2:19" x14ac:dyDescent="0.5">
      <c r="B1267" s="5" t="str">
        <f t="shared" si="1406"/>
        <v>SPS1</v>
      </c>
      <c r="C1267" s="5" t="str">
        <f t="shared" si="1407"/>
        <v>CH</v>
      </c>
      <c r="D1267" t="s">
        <v>1183</v>
      </c>
      <c r="E1267" t="str">
        <f t="shared" si="1408"/>
        <v>km/MJ</v>
      </c>
      <c r="F1267" s="1">
        <f t="shared" si="1403"/>
        <v>1.4637982671179699</v>
      </c>
      <c r="G1267" s="1">
        <f t="shared" si="1403"/>
        <v>1.4637982671179697</v>
      </c>
      <c r="H1267" s="1">
        <f t="shared" si="1403"/>
        <v>1.463798267117971</v>
      </c>
      <c r="I1267" s="1">
        <f t="shared" si="1403"/>
        <v>1.4637982671179712</v>
      </c>
      <c r="J1267" s="1">
        <f t="shared" si="1403"/>
        <v>1.5144169648050294</v>
      </c>
      <c r="K1267" s="1">
        <f t="shared" si="1403"/>
        <v>1.5500655221784156</v>
      </c>
      <c r="L1267" s="1">
        <f t="shared" ref="L1267:O1267" si="1410">IFERROR(L1216/L1140,"-")</f>
        <v>1.6188488329960338</v>
      </c>
      <c r="M1267" s="1">
        <f t="shared" si="1410"/>
        <v>1.7361143961442815</v>
      </c>
      <c r="N1267" s="1">
        <f t="shared" si="1410"/>
        <v>1.8052059802269216</v>
      </c>
      <c r="O1267" s="1">
        <f t="shared" si="1410"/>
        <v>1.8983875001908148</v>
      </c>
      <c r="P1267" s="1">
        <f t="shared" si="1405"/>
        <v>1.9673866804893907</v>
      </c>
      <c r="Q1267" s="1">
        <f t="shared" si="1405"/>
        <v>2.0020171865354324</v>
      </c>
      <c r="S1267" s="3"/>
    </row>
    <row r="1268" spans="2:19" x14ac:dyDescent="0.5">
      <c r="B1268" s="5" t="str">
        <f t="shared" si="1406"/>
        <v>SPS1</v>
      </c>
      <c r="C1268" s="5" t="str">
        <f t="shared" si="1407"/>
        <v>CH</v>
      </c>
      <c r="D1268" t="s">
        <v>1184</v>
      </c>
      <c r="E1268" t="str">
        <f t="shared" si="1408"/>
        <v>km/MJ</v>
      </c>
      <c r="F1268" s="1">
        <f t="shared" si="1403"/>
        <v>1.3374527251492012</v>
      </c>
      <c r="G1268" s="1">
        <f t="shared" si="1403"/>
        <v>1.3374527251492003</v>
      </c>
      <c r="H1268" s="1">
        <f t="shared" si="1403"/>
        <v>1.3374527251492008</v>
      </c>
      <c r="I1268" s="1">
        <f t="shared" si="1403"/>
        <v>1.3374527251492014</v>
      </c>
      <c r="J1268" s="1">
        <f t="shared" si="1403"/>
        <v>1.3888525544156349</v>
      </c>
      <c r="K1268" s="1">
        <f t="shared" si="1403"/>
        <v>1.4306470298922305</v>
      </c>
      <c r="L1268" s="1">
        <f t="shared" ref="L1268:O1268" si="1411">IFERROR(L1217/L1141,"-")</f>
        <v>1.4846183460199924</v>
      </c>
      <c r="M1268" s="1">
        <f t="shared" si="1411"/>
        <v>1.5748849220301993</v>
      </c>
      <c r="N1268" s="1">
        <f t="shared" si="1411"/>
        <v>1.6731768755654064</v>
      </c>
      <c r="O1268" s="1">
        <f t="shared" si="1411"/>
        <v>1.765246407621339</v>
      </c>
      <c r="P1268" s="1">
        <f t="shared" si="1405"/>
        <v>1.8106217907957556</v>
      </c>
      <c r="Q1268" s="1">
        <f t="shared" si="1405"/>
        <v>1.8349674976674697</v>
      </c>
      <c r="S1268" s="3"/>
    </row>
    <row r="1269" spans="2:19" x14ac:dyDescent="0.5">
      <c r="B1269" s="5" t="str">
        <f t="shared" si="1406"/>
        <v>SPS1</v>
      </c>
      <c r="C1269" s="5" t="str">
        <f t="shared" si="1407"/>
        <v>CH</v>
      </c>
      <c r="D1269" t="s">
        <v>1185</v>
      </c>
      <c r="E1269" t="str">
        <f t="shared" si="1408"/>
        <v>km/MJ</v>
      </c>
      <c r="F1269" s="1">
        <f t="shared" si="1403"/>
        <v>1.2949729235430798</v>
      </c>
      <c r="G1269" s="1">
        <f t="shared" si="1403"/>
        <v>1.2949729235430805</v>
      </c>
      <c r="H1269" s="1">
        <f t="shared" si="1403"/>
        <v>1.2949729235430807</v>
      </c>
      <c r="I1269" s="1">
        <f t="shared" si="1403"/>
        <v>1.2949729235430785</v>
      </c>
      <c r="J1269" s="1">
        <f t="shared" si="1403"/>
        <v>1.3186742704429806</v>
      </c>
      <c r="K1269" s="1">
        <f t="shared" si="1403"/>
        <v>1.3341955241822605</v>
      </c>
      <c r="L1269" s="1">
        <f t="shared" ref="L1269:O1269" si="1412">IFERROR(L1218/L1142,"-")</f>
        <v>1.4409558606251136</v>
      </c>
      <c r="M1269" s="1">
        <f t="shared" si="1412"/>
        <v>1.5273120189960023</v>
      </c>
      <c r="N1269" s="1">
        <f t="shared" si="1412"/>
        <v>1.5910980733540416</v>
      </c>
      <c r="O1269" s="1">
        <f t="shared" si="1412"/>
        <v>1.658752877870703</v>
      </c>
      <c r="P1269" s="1">
        <f t="shared" si="1405"/>
        <v>1.6887901937265484</v>
      </c>
      <c r="Q1269" s="1">
        <f t="shared" si="1405"/>
        <v>1.7320682333389006</v>
      </c>
      <c r="S1269" s="3"/>
    </row>
    <row r="1270" spans="2:19" x14ac:dyDescent="0.5">
      <c r="B1270" s="5" t="str">
        <f t="shared" si="1406"/>
        <v>SPS1</v>
      </c>
      <c r="C1270" s="5" t="str">
        <f t="shared" si="1407"/>
        <v>CH</v>
      </c>
      <c r="D1270" t="s">
        <v>1186</v>
      </c>
      <c r="E1270" t="str">
        <f t="shared" si="1408"/>
        <v>km/MJ</v>
      </c>
      <c r="F1270" s="1">
        <f t="shared" ref="F1270:K1273" si="1413">IFERROR(F1219/SUM(F1143,F1176),"-")</f>
        <v>0.71060452649080896</v>
      </c>
      <c r="G1270" s="1">
        <f t="shared" si="1413"/>
        <v>0.7607358311191954</v>
      </c>
      <c r="H1270" s="1">
        <f t="shared" si="1413"/>
        <v>0.7724430167535391</v>
      </c>
      <c r="I1270" s="1">
        <f t="shared" si="1413"/>
        <v>0.81095940915606535</v>
      </c>
      <c r="J1270" s="1">
        <f t="shared" si="1413"/>
        <v>0.86531320552392677</v>
      </c>
      <c r="K1270" s="1">
        <f t="shared" si="1413"/>
        <v>0.94774104145693439</v>
      </c>
      <c r="L1270" s="1">
        <f t="shared" ref="L1270:O1270" si="1414">IFERROR(L1219/SUM(L1143,L1176),"-")</f>
        <v>1.0587583251633601</v>
      </c>
      <c r="M1270" s="1">
        <f t="shared" si="1414"/>
        <v>1.1973455018116754</v>
      </c>
      <c r="N1270" s="1">
        <f t="shared" si="1414"/>
        <v>1.2569299562264977</v>
      </c>
      <c r="O1270" s="1">
        <f t="shared" si="1414"/>
        <v>1.3571104696833785</v>
      </c>
      <c r="P1270" s="1">
        <f t="shared" ref="P1270:Q1273" si="1415">IFERROR(P1219/SUM(P1143,P1176),"-")</f>
        <v>1.3762064563310983</v>
      </c>
      <c r="Q1270" s="1">
        <f t="shared" si="1415"/>
        <v>1.4222682271089144</v>
      </c>
      <c r="S1270" s="3"/>
    </row>
    <row r="1271" spans="2:19" x14ac:dyDescent="0.5">
      <c r="B1271" s="5" t="str">
        <f t="shared" si="1406"/>
        <v>SPS1</v>
      </c>
      <c r="C1271" s="5" t="str">
        <f t="shared" si="1407"/>
        <v>CH</v>
      </c>
      <c r="D1271" t="s">
        <v>1187</v>
      </c>
      <c r="E1271" t="str">
        <f t="shared" si="1408"/>
        <v>km/MJ</v>
      </c>
      <c r="F1271" s="1">
        <f t="shared" si="1413"/>
        <v>0.60852653182500094</v>
      </c>
      <c r="G1271" s="1">
        <f t="shared" si="1413"/>
        <v>0.59450259338302902</v>
      </c>
      <c r="H1271" s="1">
        <f t="shared" si="1413"/>
        <v>0.60172348330573233</v>
      </c>
      <c r="I1271" s="1">
        <f t="shared" si="1413"/>
        <v>0.61007888089278073</v>
      </c>
      <c r="J1271" s="1">
        <f t="shared" si="1413"/>
        <v>0.72645826510672618</v>
      </c>
      <c r="K1271" s="1">
        <f t="shared" si="1413"/>
        <v>0.80846648254597497</v>
      </c>
      <c r="L1271" s="1">
        <f t="shared" ref="L1271:O1271" si="1416">IFERROR(L1220/SUM(L1144,L1177),"-")</f>
        <v>0.91923357385336391</v>
      </c>
      <c r="M1271" s="1">
        <f t="shared" si="1416"/>
        <v>1.0525357822628978</v>
      </c>
      <c r="N1271" s="1">
        <f t="shared" si="1416"/>
        <v>1.1066006888434923</v>
      </c>
      <c r="O1271" s="1">
        <f t="shared" si="1416"/>
        <v>1.1802262642143673</v>
      </c>
      <c r="P1271" s="1">
        <f t="shared" si="1415"/>
        <v>1.1804083082353618</v>
      </c>
      <c r="Q1271" s="1">
        <f t="shared" si="1415"/>
        <v>1.1840705052042606</v>
      </c>
      <c r="S1271" s="3"/>
    </row>
    <row r="1272" spans="2:19" x14ac:dyDescent="0.5">
      <c r="B1272" s="5" t="str">
        <f t="shared" si="1406"/>
        <v>SPS1</v>
      </c>
      <c r="C1272" s="5" t="str">
        <f t="shared" si="1407"/>
        <v>CH</v>
      </c>
      <c r="D1272" t="s">
        <v>1188</v>
      </c>
      <c r="E1272" t="str">
        <f t="shared" si="1408"/>
        <v>km/MJ</v>
      </c>
      <c r="F1272" s="1">
        <f t="shared" si="1413"/>
        <v>0.54553564125025489</v>
      </c>
      <c r="G1272" s="1">
        <f t="shared" si="1413"/>
        <v>0.60400873620899742</v>
      </c>
      <c r="H1272" s="1">
        <f t="shared" si="1413"/>
        <v>0.61793346891815426</v>
      </c>
      <c r="I1272" s="1">
        <f t="shared" si="1413"/>
        <v>0.66531532349229361</v>
      </c>
      <c r="J1272" s="1">
        <f t="shared" si="1413"/>
        <v>0.73824830371868533</v>
      </c>
      <c r="K1272" s="1">
        <f t="shared" si="1413"/>
        <v>0.82119078493991182</v>
      </c>
      <c r="L1272" s="1">
        <f t="shared" ref="L1272:O1272" si="1417">IFERROR(L1221/SUM(L1145,L1178),"-")</f>
        <v>0.96524862630963271</v>
      </c>
      <c r="M1272" s="1">
        <f t="shared" si="1417"/>
        <v>1.1165954779466392</v>
      </c>
      <c r="N1272" s="1">
        <f t="shared" si="1417"/>
        <v>1.1894371615415607</v>
      </c>
      <c r="O1272" s="1">
        <f t="shared" si="1417"/>
        <v>1.2511846668415949</v>
      </c>
      <c r="P1272" s="1">
        <f t="shared" si="1415"/>
        <v>1.2506628214548978</v>
      </c>
      <c r="Q1272" s="1">
        <f t="shared" si="1415"/>
        <v>1.2583551357743425</v>
      </c>
      <c r="S1272" s="3"/>
    </row>
    <row r="1273" spans="2:19" x14ac:dyDescent="0.5">
      <c r="B1273" s="5" t="str">
        <f t="shared" si="1406"/>
        <v>SPS1</v>
      </c>
      <c r="C1273" s="5" t="str">
        <f t="shared" si="1407"/>
        <v>CH</v>
      </c>
      <c r="D1273" t="s">
        <v>1189</v>
      </c>
      <c r="E1273" t="str">
        <f t="shared" si="1408"/>
        <v>km/MJ</v>
      </c>
      <c r="F1273" s="1">
        <f t="shared" si="1413"/>
        <v>0.51975568473666001</v>
      </c>
      <c r="G1273" s="1">
        <f t="shared" si="1413"/>
        <v>0.52314671980062777</v>
      </c>
      <c r="H1273" s="1">
        <f t="shared" si="1413"/>
        <v>0.52817438354637036</v>
      </c>
      <c r="I1273" s="1">
        <f t="shared" si="1413"/>
        <v>0.53800285435593587</v>
      </c>
      <c r="J1273" s="1">
        <f t="shared" si="1413"/>
        <v>0.6743836926165514</v>
      </c>
      <c r="K1273" s="1">
        <f t="shared" si="1413"/>
        <v>0.75302455261401169</v>
      </c>
      <c r="L1273" s="1">
        <f t="shared" ref="L1273:O1273" si="1418">IFERROR(L1222/SUM(L1146,L1179),"-")</f>
        <v>0.86209582962147313</v>
      </c>
      <c r="M1273" s="1">
        <f t="shared" si="1418"/>
        <v>0.99225745192015791</v>
      </c>
      <c r="N1273" s="1">
        <f t="shared" si="1418"/>
        <v>1.0765717288342809</v>
      </c>
      <c r="O1273" s="1">
        <f t="shared" si="1418"/>
        <v>1.1294196697822367</v>
      </c>
      <c r="P1273" s="1">
        <f t="shared" si="1415"/>
        <v>1.1286044305790845</v>
      </c>
      <c r="Q1273" s="1">
        <f t="shared" si="1415"/>
        <v>1.1444036366240633</v>
      </c>
      <c r="S1273" s="3"/>
    </row>
    <row r="1274" spans="2:19" x14ac:dyDescent="0.5">
      <c r="B1274" s="5" t="str">
        <f t="shared" si="1406"/>
        <v>SPS1</v>
      </c>
      <c r="C1274" s="5" t="str">
        <f t="shared" si="1407"/>
        <v>CH</v>
      </c>
      <c r="D1274" t="s">
        <v>1190</v>
      </c>
      <c r="E1274" t="str">
        <f t="shared" si="1408"/>
        <v>km/MJ</v>
      </c>
      <c r="F1274" s="1">
        <f t="shared" ref="F1274:K1277" si="1419">IFERROR(F1223/SUM(F1147,F1199),"-")</f>
        <v>0.72840569582556869</v>
      </c>
      <c r="G1274" s="1">
        <f t="shared" si="1419"/>
        <v>0.77394752109733189</v>
      </c>
      <c r="H1274" s="1">
        <f t="shared" si="1419"/>
        <v>0.78656591260884678</v>
      </c>
      <c r="I1274" s="1">
        <f t="shared" si="1419"/>
        <v>0.82551273016207272</v>
      </c>
      <c r="J1274" s="1">
        <f t="shared" si="1419"/>
        <v>0.88089010911599375</v>
      </c>
      <c r="K1274" s="1">
        <f t="shared" si="1419"/>
        <v>0.96416469913916747</v>
      </c>
      <c r="L1274" s="1">
        <f t="shared" ref="L1274:O1274" si="1420">IFERROR(L1223/SUM(L1147,L1199),"-")</f>
        <v>1.0805713418154406</v>
      </c>
      <c r="M1274" s="1">
        <f t="shared" si="1420"/>
        <v>1.2366466468138637</v>
      </c>
      <c r="N1274" s="1">
        <f t="shared" si="1420"/>
        <v>1.2791076936366494</v>
      </c>
      <c r="O1274" s="1">
        <f t="shared" si="1420"/>
        <v>1.3500846141327481</v>
      </c>
      <c r="P1274" s="1">
        <f t="shared" ref="P1274:Q1277" si="1421">IFERROR(P1223/SUM(P1147,P1199),"-")</f>
        <v>1.3165403071922168</v>
      </c>
      <c r="Q1274" s="1">
        <f t="shared" si="1421"/>
        <v>1.255925647743213</v>
      </c>
      <c r="S1274" s="3"/>
    </row>
    <row r="1275" spans="2:19" x14ac:dyDescent="0.5">
      <c r="B1275" s="5" t="str">
        <f t="shared" si="1406"/>
        <v>SPS1</v>
      </c>
      <c r="C1275" s="5" t="str">
        <f t="shared" si="1407"/>
        <v>CH</v>
      </c>
      <c r="D1275" t="s">
        <v>1191</v>
      </c>
      <c r="E1275" t="str">
        <f t="shared" si="1408"/>
        <v>km/MJ</v>
      </c>
      <c r="F1275" s="1">
        <f t="shared" si="1419"/>
        <v>0.58770349541134226</v>
      </c>
      <c r="G1275" s="1">
        <f t="shared" si="1419"/>
        <v>0.63944455085027951</v>
      </c>
      <c r="H1275" s="1">
        <f t="shared" si="1419"/>
        <v>0.64826281790970253</v>
      </c>
      <c r="I1275" s="1">
        <f t="shared" si="1419"/>
        <v>0.6767383205459675</v>
      </c>
      <c r="J1275" s="1">
        <f t="shared" si="1419"/>
        <v>0.73560905582191782</v>
      </c>
      <c r="K1275" s="1">
        <f t="shared" si="1419"/>
        <v>0.80499781823344763</v>
      </c>
      <c r="L1275" s="1">
        <f t="shared" ref="L1275:O1275" si="1422">IFERROR(L1224/SUM(L1148,L1200),"-")</f>
        <v>0.93318946185961493</v>
      </c>
      <c r="M1275" s="1">
        <f t="shared" si="1422"/>
        <v>1.0837249183190332</v>
      </c>
      <c r="N1275" s="1">
        <f t="shared" si="1422"/>
        <v>1.1258197847044702</v>
      </c>
      <c r="O1275" s="1">
        <f t="shared" si="1422"/>
        <v>1.1688425258040884</v>
      </c>
      <c r="P1275" s="1">
        <f t="shared" si="1421"/>
        <v>1.1217912869898103</v>
      </c>
      <c r="Q1275" s="1">
        <f t="shared" si="1421"/>
        <v>1.0558416068124745</v>
      </c>
      <c r="S1275" s="3"/>
    </row>
    <row r="1276" spans="2:19" x14ac:dyDescent="0.5">
      <c r="B1276" s="5" t="str">
        <f t="shared" si="1406"/>
        <v>SPS1</v>
      </c>
      <c r="C1276" s="5" t="str">
        <f t="shared" si="1407"/>
        <v>CH</v>
      </c>
      <c r="D1276" t="s">
        <v>1192</v>
      </c>
      <c r="E1276" t="str">
        <f t="shared" si="1408"/>
        <v>km/MJ</v>
      </c>
      <c r="F1276" s="1">
        <f t="shared" si="1419"/>
        <v>0.54942805933246852</v>
      </c>
      <c r="G1276" s="1">
        <f t="shared" si="1419"/>
        <v>0.55527280917359179</v>
      </c>
      <c r="H1276" s="1">
        <f t="shared" si="1419"/>
        <v>0.62626305319650999</v>
      </c>
      <c r="I1276" s="1">
        <f t="shared" si="1419"/>
        <v>0.67373930413926797</v>
      </c>
      <c r="J1276" s="1">
        <f t="shared" si="1419"/>
        <v>0.72740389440111908</v>
      </c>
      <c r="K1276" s="1">
        <f t="shared" si="1419"/>
        <v>0.78496392680424942</v>
      </c>
      <c r="L1276" s="1">
        <f t="shared" ref="L1276:O1276" si="1423">IFERROR(L1225/SUM(L1149,L1201),"-")</f>
        <v>0.96238509166022534</v>
      </c>
      <c r="M1276" s="1">
        <f t="shared" si="1423"/>
        <v>1.1375555003510398</v>
      </c>
      <c r="N1276" s="1">
        <f t="shared" si="1423"/>
        <v>1.2022441851896322</v>
      </c>
      <c r="O1276" s="1">
        <f t="shared" si="1423"/>
        <v>1.2637575822138469</v>
      </c>
      <c r="P1276" s="1">
        <f t="shared" si="1421"/>
        <v>1.2513548947947739</v>
      </c>
      <c r="Q1276" s="1">
        <f t="shared" si="1421"/>
        <v>1.0076951022638971</v>
      </c>
      <c r="S1276" s="3"/>
    </row>
    <row r="1277" spans="2:19" x14ac:dyDescent="0.5">
      <c r="B1277" s="5" t="str">
        <f t="shared" si="1406"/>
        <v>SPS1</v>
      </c>
      <c r="C1277" s="5" t="str">
        <f t="shared" si="1407"/>
        <v>CH</v>
      </c>
      <c r="D1277" t="s">
        <v>1193</v>
      </c>
      <c r="E1277" t="str">
        <f t="shared" si="1408"/>
        <v>km/MJ</v>
      </c>
      <c r="F1277" s="1">
        <f t="shared" si="1419"/>
        <v>0.52693589920347361</v>
      </c>
      <c r="G1277" s="1">
        <f t="shared" si="1419"/>
        <v>0.53632467103371606</v>
      </c>
      <c r="H1277" s="1">
        <f t="shared" si="1419"/>
        <v>0.55862256685008294</v>
      </c>
      <c r="I1277" s="1">
        <f t="shared" si="1419"/>
        <v>0.5744479353727272</v>
      </c>
      <c r="J1277" s="1">
        <f t="shared" si="1419"/>
        <v>0.67158824410039586</v>
      </c>
      <c r="K1277" s="1">
        <f t="shared" si="1419"/>
        <v>0.74160614967301852</v>
      </c>
      <c r="L1277" s="1">
        <f t="shared" ref="L1277:O1277" si="1424">IFERROR(L1226/SUM(L1150,L1202),"-")</f>
        <v>0.86842659630977459</v>
      </c>
      <c r="M1277" s="1">
        <f t="shared" si="1424"/>
        <v>1.0391519164353713</v>
      </c>
      <c r="N1277" s="1">
        <f t="shared" si="1424"/>
        <v>1.0948915506404628</v>
      </c>
      <c r="O1277" s="1">
        <f t="shared" si="1424"/>
        <v>1.1498703525235743</v>
      </c>
      <c r="P1277" s="1">
        <f t="shared" si="1421"/>
        <v>1.1502554959129345</v>
      </c>
      <c r="Q1277" s="1">
        <f t="shared" si="1421"/>
        <v>1.1518403121774201</v>
      </c>
      <c r="S1277" s="3"/>
    </row>
    <row r="1278" spans="2:19" x14ac:dyDescent="0.5">
      <c r="B1278" s="5" t="str">
        <f t="shared" si="1406"/>
        <v>SPS1</v>
      </c>
      <c r="C1278" s="5" t="str">
        <f t="shared" si="1407"/>
        <v>CH</v>
      </c>
      <c r="D1278" t="s">
        <v>1194</v>
      </c>
      <c r="E1278" t="str">
        <f t="shared" si="1408"/>
        <v>km/MJ</v>
      </c>
      <c r="F1278" s="1" t="str">
        <f>IFERROR(F1227/F1153,"-")</f>
        <v>-</v>
      </c>
      <c r="G1278" s="1">
        <f t="shared" ref="G1278:K1278" si="1425">IFERROR(G1227/G1153,"-")</f>
        <v>1.0965696656165191</v>
      </c>
      <c r="H1278" s="1">
        <f t="shared" si="1425"/>
        <v>1.0965696656165216</v>
      </c>
      <c r="I1278" s="1">
        <f t="shared" si="1425"/>
        <v>1.0965696656165203</v>
      </c>
      <c r="J1278" s="1">
        <f t="shared" si="1425"/>
        <v>1.1222178134749705</v>
      </c>
      <c r="K1278" s="1">
        <f t="shared" si="1425"/>
        <v>1.1931403986087179</v>
      </c>
      <c r="L1278" s="1">
        <f t="shared" ref="L1278:O1278" si="1426">IFERROR(L1227/L1153,"-")</f>
        <v>1.2526802581619525</v>
      </c>
      <c r="M1278" s="1">
        <f t="shared" si="1426"/>
        <v>1.3237172569163889</v>
      </c>
      <c r="N1278" s="1">
        <f t="shared" si="1426"/>
        <v>1.3981735368229928</v>
      </c>
      <c r="O1278" s="1">
        <f t="shared" si="1426"/>
        <v>1.4953343824748364</v>
      </c>
      <c r="P1278" s="1">
        <f t="shared" ref="P1278:Q1281" si="1427">IFERROR(P1227/P1153,"-")</f>
        <v>1.5602388020476545</v>
      </c>
      <c r="Q1278" s="1">
        <f t="shared" si="1427"/>
        <v>1.5777288834242404</v>
      </c>
      <c r="S1278" s="3"/>
    </row>
    <row r="1279" spans="2:19" x14ac:dyDescent="0.5">
      <c r="B1279" s="5" t="str">
        <f t="shared" si="1406"/>
        <v>SPS1</v>
      </c>
      <c r="C1279" s="5" t="str">
        <f t="shared" si="1407"/>
        <v>CH</v>
      </c>
      <c r="D1279" t="s">
        <v>1195</v>
      </c>
      <c r="E1279" t="str">
        <f t="shared" si="1408"/>
        <v>km/MJ</v>
      </c>
      <c r="F1279" s="1">
        <f t="shared" ref="F1279:K1279" si="1428">IFERROR(F1228/F1154,"-")</f>
        <v>0.89149519806162136</v>
      </c>
      <c r="G1279" s="1">
        <f t="shared" si="1428"/>
        <v>0.89149519806162214</v>
      </c>
      <c r="H1279" s="1">
        <f t="shared" si="1428"/>
        <v>0.89149519806162192</v>
      </c>
      <c r="I1279" s="1">
        <f t="shared" si="1428"/>
        <v>0.89149519806162081</v>
      </c>
      <c r="J1279" s="1">
        <f t="shared" si="1428"/>
        <v>0.91010779177132173</v>
      </c>
      <c r="K1279" s="1">
        <f t="shared" si="1428"/>
        <v>0.96575671010671071</v>
      </c>
      <c r="L1279" s="1">
        <f t="shared" ref="L1279:O1279" si="1429">IFERROR(L1228/L1154,"-")</f>
        <v>1.0224817015353342</v>
      </c>
      <c r="M1279" s="1">
        <f t="shared" si="1429"/>
        <v>1.0817523568382048</v>
      </c>
      <c r="N1279" s="1">
        <f t="shared" si="1429"/>
        <v>1.1498388074332673</v>
      </c>
      <c r="O1279" s="1">
        <f t="shared" si="1429"/>
        <v>1.2346575337046317</v>
      </c>
      <c r="P1279" s="1">
        <f t="shared" si="1427"/>
        <v>1.2790748532441416</v>
      </c>
      <c r="Q1279" s="1">
        <f t="shared" si="1427"/>
        <v>1.3008122928940093</v>
      </c>
      <c r="S1279" s="3"/>
    </row>
    <row r="1280" spans="2:19" x14ac:dyDescent="0.5">
      <c r="B1280" s="5" t="str">
        <f t="shared" si="1406"/>
        <v>SPS1</v>
      </c>
      <c r="C1280" s="5" t="str">
        <f t="shared" si="1407"/>
        <v>CH</v>
      </c>
      <c r="D1280" t="s">
        <v>1196</v>
      </c>
      <c r="E1280" t="str">
        <f t="shared" si="1408"/>
        <v>km/MJ</v>
      </c>
      <c r="F1280" s="1">
        <f t="shared" ref="F1280:K1280" si="1430">IFERROR(F1229/F1155,"-")</f>
        <v>0.83000507256490574</v>
      </c>
      <c r="G1280" s="1">
        <f t="shared" si="1430"/>
        <v>0.83000507256490552</v>
      </c>
      <c r="H1280" s="1">
        <f t="shared" si="1430"/>
        <v>0.83000507256490785</v>
      </c>
      <c r="I1280" s="1">
        <f t="shared" si="1430"/>
        <v>0.83000507256490719</v>
      </c>
      <c r="J1280" s="1">
        <f t="shared" si="1430"/>
        <v>0.84407938185929776</v>
      </c>
      <c r="K1280" s="1">
        <f t="shared" si="1430"/>
        <v>0.89666557132615377</v>
      </c>
      <c r="L1280" s="1">
        <f t="shared" ref="L1280:O1280" si="1431">IFERROR(L1229/L1155,"-")</f>
        <v>0.95302811887292804</v>
      </c>
      <c r="M1280" s="1">
        <f t="shared" si="1431"/>
        <v>1.0089604865866744</v>
      </c>
      <c r="N1280" s="1">
        <f t="shared" si="1431"/>
        <v>1.0727964866685562</v>
      </c>
      <c r="O1280" s="1">
        <f t="shared" si="1431"/>
        <v>1.1545841761448448</v>
      </c>
      <c r="P1280" s="1">
        <f t="shared" si="1427"/>
        <v>1.1951682725597039</v>
      </c>
      <c r="Q1280" s="1">
        <f t="shared" si="1427"/>
        <v>1.2153637426286803</v>
      </c>
      <c r="S1280" s="3"/>
    </row>
    <row r="1281" spans="2:19" x14ac:dyDescent="0.5">
      <c r="B1281" s="5" t="str">
        <f t="shared" si="1406"/>
        <v>SPS1</v>
      </c>
      <c r="C1281" s="5" t="str">
        <f t="shared" si="1407"/>
        <v>CH</v>
      </c>
      <c r="D1281" t="s">
        <v>1197</v>
      </c>
      <c r="E1281" t="str">
        <f t="shared" si="1408"/>
        <v>km/MJ</v>
      </c>
      <c r="F1281" s="1" t="str">
        <f t="shared" ref="F1281:K1281" si="1432">IFERROR(F1230/F1156,"-")</f>
        <v>-</v>
      </c>
      <c r="G1281" s="1">
        <f t="shared" si="1432"/>
        <v>0.83675282096654158</v>
      </c>
      <c r="H1281" s="1">
        <f t="shared" si="1432"/>
        <v>0.83675282096654202</v>
      </c>
      <c r="I1281" s="1">
        <f t="shared" si="1432"/>
        <v>0.83675282096654202</v>
      </c>
      <c r="J1281" s="1">
        <f t="shared" si="1432"/>
        <v>0.85378804060032554</v>
      </c>
      <c r="K1281" s="1">
        <f t="shared" si="1432"/>
        <v>0.90369308425206918</v>
      </c>
      <c r="L1281" s="1">
        <f t="shared" ref="L1281:O1281" si="1433">IFERROR(L1230/L1156,"-")</f>
        <v>0.95293827171841083</v>
      </c>
      <c r="M1281" s="1">
        <f t="shared" si="1433"/>
        <v>1.0044251611788835</v>
      </c>
      <c r="N1281" s="1">
        <f t="shared" si="1433"/>
        <v>1.0632867537800139</v>
      </c>
      <c r="O1281" s="1">
        <f t="shared" si="1433"/>
        <v>1.1366750275127782</v>
      </c>
      <c r="P1281" s="1">
        <f t="shared" si="1427"/>
        <v>1.1756017352092754</v>
      </c>
      <c r="Q1281" s="1">
        <f t="shared" si="1427"/>
        <v>1.1947365023294603</v>
      </c>
      <c r="S1281" s="3"/>
    </row>
    <row r="1282" spans="2:19" x14ac:dyDescent="0.5">
      <c r="B1282" s="5" t="str">
        <f t="shared" si="1406"/>
        <v>SPS1</v>
      </c>
      <c r="C1282" s="5" t="str">
        <f t="shared" si="1407"/>
        <v>CH</v>
      </c>
      <c r="D1282" t="s">
        <v>1232</v>
      </c>
      <c r="E1282" t="str">
        <f t="shared" si="1408"/>
        <v>km/MJ</v>
      </c>
      <c r="F1282" s="1">
        <f t="shared" ref="F1282:K1295" si="1434">IFERROR(F1231/F1162,"-")</f>
        <v>0.49379534694678223</v>
      </c>
      <c r="G1282" s="1">
        <f t="shared" si="1434"/>
        <v>0.50503220860251352</v>
      </c>
      <c r="H1282" s="1">
        <f t="shared" si="1434"/>
        <v>0.5218875010861096</v>
      </c>
      <c r="I1282" s="1">
        <f t="shared" si="1434"/>
        <v>0.54997965522543668</v>
      </c>
      <c r="J1282" s="1" t="str">
        <f t="shared" si="1434"/>
        <v>-</v>
      </c>
      <c r="K1282" s="1" t="str">
        <f t="shared" si="1434"/>
        <v>-</v>
      </c>
      <c r="L1282" s="1" t="str">
        <f>IFERROR(L1231/L1162,"-")</f>
        <v>-</v>
      </c>
      <c r="M1282" s="1" t="str">
        <f t="shared" ref="M1282:O1282" si="1435">IFERROR(M1231/M1162,"-")</f>
        <v>-</v>
      </c>
      <c r="N1282" s="1" t="str">
        <f t="shared" si="1435"/>
        <v>-</v>
      </c>
      <c r="O1282" s="1" t="str">
        <f t="shared" si="1435"/>
        <v>-</v>
      </c>
      <c r="P1282" s="1" t="str">
        <f t="shared" ref="P1282:Q1295" si="1436">IFERROR(P1231/P1162,"-")</f>
        <v>-</v>
      </c>
      <c r="Q1282" s="1" t="str">
        <f t="shared" si="1436"/>
        <v>-</v>
      </c>
      <c r="S1282" s="3"/>
    </row>
    <row r="1283" spans="2:19" x14ac:dyDescent="0.5">
      <c r="B1283" s="5" t="str">
        <f t="shared" si="1406"/>
        <v>SPS1</v>
      </c>
      <c r="C1283" s="5" t="str">
        <f t="shared" si="1407"/>
        <v>CH</v>
      </c>
      <c r="D1283" t="s">
        <v>1198</v>
      </c>
      <c r="E1283" t="str">
        <f t="shared" si="1408"/>
        <v>km/MJ</v>
      </c>
      <c r="F1283" s="1">
        <f t="shared" si="1434"/>
        <v>1.1334466418499178</v>
      </c>
      <c r="G1283" s="1">
        <f t="shared" si="1434"/>
        <v>1.1630896921205673</v>
      </c>
      <c r="H1283" s="1">
        <f t="shared" si="1434"/>
        <v>1.159851547282049</v>
      </c>
      <c r="I1283" s="1">
        <f t="shared" si="1434"/>
        <v>1.1937930366727134</v>
      </c>
      <c r="J1283" s="1">
        <f t="shared" si="1434"/>
        <v>0.92818931128815041</v>
      </c>
      <c r="K1283" s="1">
        <f>IFERROR(K1232/K1163,"-")</f>
        <v>0.94743750309939723</v>
      </c>
      <c r="L1283" s="1">
        <f>IFERROR(L1232/L1163,"-")</f>
        <v>0.9495188849772862</v>
      </c>
      <c r="M1283" s="1">
        <f t="shared" ref="M1283:O1283" si="1437">IFERROR(M1232/M1163,"-")</f>
        <v>0.96994753626501484</v>
      </c>
      <c r="N1283" s="1">
        <f t="shared" si="1437"/>
        <v>1.0171126098235437</v>
      </c>
      <c r="O1283" s="1">
        <f t="shared" si="1437"/>
        <v>1.1772519480303467</v>
      </c>
      <c r="P1283" s="1">
        <f t="shared" si="1436"/>
        <v>1.1783039593889677</v>
      </c>
      <c r="Q1283" s="1">
        <f t="shared" si="1436"/>
        <v>1.1784125654582194</v>
      </c>
      <c r="S1283" s="3"/>
    </row>
    <row r="1284" spans="2:19" x14ac:dyDescent="0.5">
      <c r="B1284" s="5" t="str">
        <f t="shared" si="1406"/>
        <v>SPS1</v>
      </c>
      <c r="C1284" s="5" t="str">
        <f t="shared" si="1407"/>
        <v>CH</v>
      </c>
      <c r="D1284" t="s">
        <v>1199</v>
      </c>
      <c r="E1284" t="str">
        <f t="shared" si="1408"/>
        <v>km/MJ</v>
      </c>
      <c r="F1284" s="1">
        <f t="shared" si="1434"/>
        <v>1.5915899703008631</v>
      </c>
      <c r="G1284" s="1">
        <f t="shared" si="1434"/>
        <v>1.9036832362581939</v>
      </c>
      <c r="H1284" s="1">
        <f t="shared" si="1434"/>
        <v>1.883102925436728</v>
      </c>
      <c r="I1284" s="1">
        <f t="shared" si="1434"/>
        <v>1.9222630422913167</v>
      </c>
      <c r="J1284" s="1">
        <f t="shared" si="1434"/>
        <v>0.83962784255788181</v>
      </c>
      <c r="K1284" s="1">
        <f t="shared" si="1434"/>
        <v>0.77500110486800711</v>
      </c>
      <c r="L1284" s="1">
        <f t="shared" ref="L1284:O1284" si="1438">IFERROR(L1233/L1164,"-")</f>
        <v>0.76884298150922936</v>
      </c>
      <c r="M1284" s="1">
        <f t="shared" si="1438"/>
        <v>0.83843244385810523</v>
      </c>
      <c r="N1284" s="1">
        <f t="shared" si="1438"/>
        <v>0.88836569466506332</v>
      </c>
      <c r="O1284" s="1">
        <f t="shared" si="1438"/>
        <v>0.95405400354750403</v>
      </c>
      <c r="P1284" s="1">
        <f t="shared" si="1436"/>
        <v>0.97761532014525021</v>
      </c>
      <c r="Q1284" s="1">
        <f t="shared" si="1436"/>
        <v>0.98562649947646552</v>
      </c>
      <c r="S1284" s="3"/>
    </row>
    <row r="1285" spans="2:19" x14ac:dyDescent="0.5">
      <c r="B1285" s="5" t="str">
        <f t="shared" si="1406"/>
        <v>SPS1</v>
      </c>
      <c r="C1285" s="5" t="str">
        <f t="shared" si="1407"/>
        <v>CH</v>
      </c>
      <c r="D1285" t="s">
        <v>1200</v>
      </c>
      <c r="E1285" t="str">
        <f t="shared" si="1408"/>
        <v>km/MJ</v>
      </c>
      <c r="F1285" s="1">
        <f t="shared" si="1434"/>
        <v>1.9500792874017263</v>
      </c>
      <c r="G1285" s="1">
        <f t="shared" si="1434"/>
        <v>2.4903714279746434</v>
      </c>
      <c r="H1285" s="1">
        <f t="shared" si="1434"/>
        <v>2.487336261726286</v>
      </c>
      <c r="I1285" s="1">
        <f t="shared" si="1434"/>
        <v>2.503310899093107</v>
      </c>
      <c r="J1285" s="1">
        <f t="shared" si="1434"/>
        <v>2.529505837545555</v>
      </c>
      <c r="K1285" s="1">
        <f t="shared" si="1434"/>
        <v>0.72072981884641574</v>
      </c>
      <c r="L1285" s="1">
        <f t="shared" ref="L1285:O1285" si="1439">IFERROR(L1234/L1165,"-")</f>
        <v>0.73148022612397934</v>
      </c>
      <c r="M1285" s="1">
        <f t="shared" si="1439"/>
        <v>0.77374538331235654</v>
      </c>
      <c r="N1285" s="1">
        <f t="shared" si="1439"/>
        <v>0.80910726197976512</v>
      </c>
      <c r="O1285" s="1">
        <f t="shared" si="1439"/>
        <v>0.84966578084134592</v>
      </c>
      <c r="P1285" s="1">
        <f t="shared" si="1436"/>
        <v>0.8753616519200369</v>
      </c>
      <c r="Q1285" s="1">
        <f t="shared" si="1436"/>
        <v>0.88880989321720039</v>
      </c>
      <c r="S1285" s="3"/>
    </row>
    <row r="1286" spans="2:19" x14ac:dyDescent="0.5">
      <c r="B1286" s="5" t="str">
        <f t="shared" si="1406"/>
        <v>SPS1</v>
      </c>
      <c r="C1286" s="5" t="str">
        <f t="shared" si="1407"/>
        <v>CH</v>
      </c>
      <c r="D1286" t="s">
        <v>1201</v>
      </c>
      <c r="E1286" t="str">
        <f t="shared" si="1408"/>
        <v>km/MJ</v>
      </c>
      <c r="F1286" s="1">
        <f t="shared" si="1434"/>
        <v>1.1402495731184334</v>
      </c>
      <c r="G1286" s="1">
        <f t="shared" si="1434"/>
        <v>1.3304549174566176</v>
      </c>
      <c r="H1286" s="1">
        <f t="shared" si="1434"/>
        <v>1.3282517361376407</v>
      </c>
      <c r="I1286" s="1">
        <f t="shared" si="1434"/>
        <v>1.3354617497341017</v>
      </c>
      <c r="J1286" s="1">
        <f t="shared" si="1434"/>
        <v>1.3859991473260065</v>
      </c>
      <c r="K1286" s="1">
        <f t="shared" si="1434"/>
        <v>0.70588210052016154</v>
      </c>
      <c r="L1286" s="1">
        <f t="shared" ref="L1286:O1286" si="1440">IFERROR(L1235/L1166,"-")</f>
        <v>0.72316392621195469</v>
      </c>
      <c r="M1286" s="1">
        <f t="shared" si="1440"/>
        <v>0.78230193430209904</v>
      </c>
      <c r="N1286" s="1">
        <f t="shared" si="1440"/>
        <v>0.79303246375577285</v>
      </c>
      <c r="O1286" s="1">
        <f t="shared" si="1440"/>
        <v>0.79631422731004931</v>
      </c>
      <c r="P1286" s="1">
        <f t="shared" si="1436"/>
        <v>0.81195072443171268</v>
      </c>
      <c r="Q1286" s="1">
        <f t="shared" si="1436"/>
        <v>0.86053328078433966</v>
      </c>
      <c r="S1286" s="3"/>
    </row>
    <row r="1287" spans="2:19" x14ac:dyDescent="0.5">
      <c r="B1287" s="5" t="str">
        <f t="shared" si="1406"/>
        <v>SPS1</v>
      </c>
      <c r="C1287" s="5" t="str">
        <f t="shared" si="1407"/>
        <v>CH</v>
      </c>
      <c r="D1287" t="s">
        <v>1202</v>
      </c>
      <c r="E1287" t="str">
        <f t="shared" si="1408"/>
        <v>km/MJ</v>
      </c>
      <c r="F1287" s="1">
        <f t="shared" si="1434"/>
        <v>0.28603940550919482</v>
      </c>
      <c r="G1287" s="1">
        <f t="shared" si="1434"/>
        <v>0.29254854993039719</v>
      </c>
      <c r="H1287" s="1">
        <f t="shared" si="1434"/>
        <v>0.30231226656220078</v>
      </c>
      <c r="I1287" s="1">
        <f t="shared" si="1434"/>
        <v>0.31858512761520646</v>
      </c>
      <c r="J1287" s="1" t="str">
        <f t="shared" si="1434"/>
        <v>-</v>
      </c>
      <c r="K1287" s="1" t="str">
        <f t="shared" si="1434"/>
        <v>-</v>
      </c>
      <c r="L1287" s="1" t="str">
        <f t="shared" ref="L1287:O1287" si="1441">IFERROR(L1236/L1167,"-")</f>
        <v>-</v>
      </c>
      <c r="M1287" s="1" t="str">
        <f t="shared" si="1441"/>
        <v>-</v>
      </c>
      <c r="N1287" s="1" t="str">
        <f t="shared" si="1441"/>
        <v>-</v>
      </c>
      <c r="O1287" s="1" t="str">
        <f t="shared" si="1441"/>
        <v>-</v>
      </c>
      <c r="P1287" s="1" t="str">
        <f t="shared" si="1436"/>
        <v>-</v>
      </c>
      <c r="Q1287" s="1" t="str">
        <f t="shared" si="1436"/>
        <v>-</v>
      </c>
      <c r="S1287" s="3"/>
    </row>
    <row r="1288" spans="2:19" x14ac:dyDescent="0.5">
      <c r="B1288" s="5" t="str">
        <f t="shared" si="1406"/>
        <v>SPS1</v>
      </c>
      <c r="C1288" s="5" t="str">
        <f t="shared" si="1407"/>
        <v>CH</v>
      </c>
      <c r="D1288" t="s">
        <v>1203</v>
      </c>
      <c r="E1288" t="str">
        <f t="shared" si="1408"/>
        <v>km/MJ</v>
      </c>
      <c r="F1288" s="1">
        <f t="shared" si="1434"/>
        <v>0.68246841331335761</v>
      </c>
      <c r="G1288" s="1">
        <f t="shared" si="1434"/>
        <v>0.67599558198164067</v>
      </c>
      <c r="H1288" s="1">
        <f t="shared" si="1434"/>
        <v>0.67613368316314248</v>
      </c>
      <c r="I1288" s="1">
        <f t="shared" si="1434"/>
        <v>0.68224473748863057</v>
      </c>
      <c r="J1288" s="1">
        <f t="shared" si="1434"/>
        <v>0.60872199029550755</v>
      </c>
      <c r="K1288" s="1">
        <f t="shared" si="1434"/>
        <v>0.63220130777208317</v>
      </c>
      <c r="L1288" s="1">
        <f t="shared" ref="L1288:O1288" si="1442">IFERROR(L1237/L1168,"-")</f>
        <v>0.66943040582194657</v>
      </c>
      <c r="M1288" s="1">
        <f t="shared" si="1442"/>
        <v>0.7157970551718823</v>
      </c>
      <c r="N1288" s="1">
        <f t="shared" si="1442"/>
        <v>0.77855285365432236</v>
      </c>
      <c r="O1288" s="1">
        <f t="shared" si="1442"/>
        <v>0.85998967528086934</v>
      </c>
      <c r="P1288" s="1">
        <f t="shared" si="1436"/>
        <v>0.89823015637240289</v>
      </c>
      <c r="Q1288" s="1">
        <f t="shared" si="1436"/>
        <v>0.91486329238813091</v>
      </c>
      <c r="S1288" s="3"/>
    </row>
    <row r="1289" spans="2:19" x14ac:dyDescent="0.5">
      <c r="B1289" s="5" t="str">
        <f t="shared" si="1406"/>
        <v>SPS1</v>
      </c>
      <c r="C1289" s="5" t="str">
        <f t="shared" si="1407"/>
        <v>CH</v>
      </c>
      <c r="D1289" t="s">
        <v>1204</v>
      </c>
      <c r="E1289" t="str">
        <f t="shared" si="1408"/>
        <v>km/MJ</v>
      </c>
      <c r="F1289" s="1">
        <f t="shared" si="1434"/>
        <v>0.60589686011421162</v>
      </c>
      <c r="G1289" s="1">
        <f t="shared" si="1434"/>
        <v>0.60445921910431033</v>
      </c>
      <c r="H1289" s="1">
        <f t="shared" si="1434"/>
        <v>0.60401084219006818</v>
      </c>
      <c r="I1289" s="1">
        <f t="shared" si="1434"/>
        <v>0.60853453458171147</v>
      </c>
      <c r="J1289" s="1">
        <f t="shared" si="1434"/>
        <v>0.58716552899310737</v>
      </c>
      <c r="K1289" s="1">
        <f t="shared" si="1434"/>
        <v>0.51232791030343139</v>
      </c>
      <c r="L1289" s="1">
        <f t="shared" ref="L1289:O1289" si="1443">IFERROR(L1238/L1169,"-")</f>
        <v>0.53102005634912308</v>
      </c>
      <c r="M1289" s="1">
        <f t="shared" si="1443"/>
        <v>0.57534096501987364</v>
      </c>
      <c r="N1289" s="1">
        <f t="shared" si="1443"/>
        <v>0.62610508917467378</v>
      </c>
      <c r="O1289" s="1">
        <f t="shared" si="1443"/>
        <v>0.69316299481982158</v>
      </c>
      <c r="P1289" s="1">
        <f t="shared" si="1436"/>
        <v>0.72405815671976625</v>
      </c>
      <c r="Q1289" s="1">
        <f t="shared" si="1436"/>
        <v>0.73698166051905212</v>
      </c>
      <c r="S1289" s="3"/>
    </row>
    <row r="1290" spans="2:19" x14ac:dyDescent="0.5">
      <c r="B1290" s="5" t="str">
        <f t="shared" si="1406"/>
        <v>SPS1</v>
      </c>
      <c r="C1290" s="5" t="str">
        <f t="shared" si="1407"/>
        <v>CH</v>
      </c>
      <c r="D1290" t="s">
        <v>1205</v>
      </c>
      <c r="E1290" t="str">
        <f t="shared" si="1408"/>
        <v>km/MJ</v>
      </c>
      <c r="F1290" s="1">
        <f t="shared" si="1434"/>
        <v>0.51657365148878476</v>
      </c>
      <c r="G1290" s="1">
        <f t="shared" si="1434"/>
        <v>0.51602579949602145</v>
      </c>
      <c r="H1290" s="1">
        <f t="shared" si="1434"/>
        <v>0.50764297250546764</v>
      </c>
      <c r="I1290" s="1">
        <f t="shared" si="1434"/>
        <v>0.50902806529866795</v>
      </c>
      <c r="J1290" s="1">
        <f t="shared" si="1434"/>
        <v>0.48004118562851372</v>
      </c>
      <c r="K1290" s="1">
        <f t="shared" si="1434"/>
        <v>0.47165340145000767</v>
      </c>
      <c r="L1290" s="1">
        <f t="shared" ref="L1290:O1290" si="1444">IFERROR(L1239/L1170,"-")</f>
        <v>0.47232162204760741</v>
      </c>
      <c r="M1290" s="1">
        <f t="shared" si="1444"/>
        <v>0.51738837587562037</v>
      </c>
      <c r="N1290" s="1">
        <f t="shared" si="1444"/>
        <v>0.56601236539554067</v>
      </c>
      <c r="O1290" s="1">
        <f t="shared" si="1444"/>
        <v>0.64381446013351962</v>
      </c>
      <c r="P1290" s="1">
        <f t="shared" si="1436"/>
        <v>0.67289858516291112</v>
      </c>
      <c r="Q1290" s="1">
        <f t="shared" si="1436"/>
        <v>0.68569028449022706</v>
      </c>
      <c r="S1290" s="3"/>
    </row>
    <row r="1291" spans="2:19" x14ac:dyDescent="0.5">
      <c r="B1291" s="5" t="str">
        <f t="shared" si="1406"/>
        <v>SPS1</v>
      </c>
      <c r="C1291" s="5" t="str">
        <f t="shared" si="1407"/>
        <v>CH</v>
      </c>
      <c r="D1291" t="s">
        <v>1206</v>
      </c>
      <c r="E1291" t="str">
        <f t="shared" si="1408"/>
        <v>km/MJ</v>
      </c>
      <c r="F1291" s="1">
        <f t="shared" si="1434"/>
        <v>0.44006488287859274</v>
      </c>
      <c r="G1291" s="1">
        <f t="shared" si="1434"/>
        <v>0.43329888009746975</v>
      </c>
      <c r="H1291" s="1">
        <f t="shared" si="1434"/>
        <v>0.43404005282824837</v>
      </c>
      <c r="I1291" s="1">
        <f t="shared" si="1434"/>
        <v>0.4365427528295342</v>
      </c>
      <c r="J1291" s="1">
        <f t="shared" si="1434"/>
        <v>0.4535911082879488</v>
      </c>
      <c r="K1291" s="1">
        <f t="shared" si="1434"/>
        <v>0.47925957630321908</v>
      </c>
      <c r="L1291" s="1">
        <f t="shared" ref="L1291:O1291" si="1445">IFERROR(L1240/L1171,"-")</f>
        <v>0.51837955081797504</v>
      </c>
      <c r="M1291" s="1">
        <f t="shared" si="1445"/>
        <v>0.56222327457796506</v>
      </c>
      <c r="N1291" s="1">
        <f t="shared" si="1445"/>
        <v>0.59876447249955744</v>
      </c>
      <c r="O1291" s="1">
        <f t="shared" si="1445"/>
        <v>0.6412191808456178</v>
      </c>
      <c r="P1291" s="1">
        <f t="shared" si="1436"/>
        <v>0.6675495694772805</v>
      </c>
      <c r="Q1291" s="1">
        <f t="shared" si="1436"/>
        <v>0.68363010025041404</v>
      </c>
      <c r="S1291" s="3"/>
    </row>
    <row r="1292" spans="2:19" x14ac:dyDescent="0.5">
      <c r="B1292" s="5" t="str">
        <f t="shared" si="1406"/>
        <v>SPS1</v>
      </c>
      <c r="C1292" s="5" t="str">
        <f t="shared" si="1407"/>
        <v>CH</v>
      </c>
      <c r="D1292" t="s">
        <v>1207</v>
      </c>
      <c r="E1292" t="str">
        <f t="shared" si="1408"/>
        <v>km/MJ</v>
      </c>
      <c r="F1292" s="1" t="str">
        <f t="shared" si="1434"/>
        <v>-</v>
      </c>
      <c r="G1292" s="1">
        <f t="shared" si="1434"/>
        <v>0.51837627625535232</v>
      </c>
      <c r="H1292" s="1">
        <f t="shared" si="1434"/>
        <v>0.55235782208816397</v>
      </c>
      <c r="I1292" s="1">
        <f t="shared" si="1434"/>
        <v>0.55884602693083707</v>
      </c>
      <c r="J1292" s="1">
        <f t="shared" si="1434"/>
        <v>0.56099992994693404</v>
      </c>
      <c r="K1292" s="1">
        <f t="shared" si="1434"/>
        <v>0.58440450462224514</v>
      </c>
      <c r="L1292" s="1">
        <f t="shared" ref="L1292:O1292" si="1446">IFERROR(L1241/L1172,"-")</f>
        <v>0.74638920250730945</v>
      </c>
      <c r="M1292" s="1">
        <f t="shared" si="1446"/>
        <v>0.82805656432140862</v>
      </c>
      <c r="N1292" s="1">
        <f t="shared" si="1446"/>
        <v>0.89138591450399218</v>
      </c>
      <c r="O1292" s="1">
        <f t="shared" si="1446"/>
        <v>0.92436022671743445</v>
      </c>
      <c r="P1292" s="1">
        <f t="shared" si="1436"/>
        <v>0.92436022671743434</v>
      </c>
      <c r="Q1292" s="1">
        <f t="shared" si="1436"/>
        <v>0.9243602267174339</v>
      </c>
      <c r="S1292" s="3"/>
    </row>
    <row r="1293" spans="2:19" x14ac:dyDescent="0.5">
      <c r="B1293" s="5" t="str">
        <f t="shared" si="1406"/>
        <v>SPS1</v>
      </c>
      <c r="C1293" s="5" t="str">
        <f t="shared" si="1407"/>
        <v>CH</v>
      </c>
      <c r="D1293" t="s">
        <v>1208</v>
      </c>
      <c r="E1293" t="str">
        <f t="shared" si="1408"/>
        <v>km/MJ</v>
      </c>
      <c r="F1293" s="1" t="str">
        <f t="shared" si="1434"/>
        <v>-</v>
      </c>
      <c r="G1293" s="1">
        <f t="shared" si="1434"/>
        <v>0.41733711223535053</v>
      </c>
      <c r="H1293" s="1">
        <f t="shared" si="1434"/>
        <v>0.44376970681048311</v>
      </c>
      <c r="I1293" s="1">
        <f t="shared" si="1434"/>
        <v>0.46351159441512846</v>
      </c>
      <c r="J1293" s="1">
        <f t="shared" si="1434"/>
        <v>0.48220540001083756</v>
      </c>
      <c r="K1293" s="1">
        <f t="shared" si="1434"/>
        <v>0.53602481156978177</v>
      </c>
      <c r="L1293" s="1">
        <f t="shared" ref="L1293:O1293" si="1447">IFERROR(L1242/L1173,"-")</f>
        <v>0.61599548489071632</v>
      </c>
      <c r="M1293" s="1">
        <f t="shared" si="1447"/>
        <v>0.69153263956646505</v>
      </c>
      <c r="N1293" s="1">
        <f t="shared" si="1447"/>
        <v>0.74352559727164524</v>
      </c>
      <c r="O1293" s="1">
        <f t="shared" si="1447"/>
        <v>0.77062034366749976</v>
      </c>
      <c r="P1293" s="1">
        <f t="shared" si="1436"/>
        <v>0.77062034366749865</v>
      </c>
      <c r="Q1293" s="1">
        <f t="shared" si="1436"/>
        <v>0.7706203436674981</v>
      </c>
      <c r="S1293" s="3"/>
    </row>
    <row r="1294" spans="2:19" x14ac:dyDescent="0.5">
      <c r="B1294" s="5" t="str">
        <f t="shared" si="1406"/>
        <v>SPS1</v>
      </c>
      <c r="C1294" s="5" t="str">
        <f t="shared" si="1407"/>
        <v>CH</v>
      </c>
      <c r="D1294" t="s">
        <v>1209</v>
      </c>
      <c r="E1294" t="str">
        <f t="shared" si="1408"/>
        <v>km/MJ</v>
      </c>
      <c r="F1294" s="1" t="str">
        <f t="shared" si="1434"/>
        <v>-</v>
      </c>
      <c r="G1294" s="1">
        <f t="shared" si="1434"/>
        <v>0.38796990995538688</v>
      </c>
      <c r="H1294" s="1">
        <f t="shared" si="1434"/>
        <v>0.4102646730322197</v>
      </c>
      <c r="I1294" s="1">
        <f t="shared" si="1434"/>
        <v>0.43014081092859568</v>
      </c>
      <c r="J1294" s="1">
        <f t="shared" si="1434"/>
        <v>0.4533136348641138</v>
      </c>
      <c r="K1294" s="1">
        <f t="shared" si="1434"/>
        <v>0.51249655277992923</v>
      </c>
      <c r="L1294" s="1">
        <f t="shared" ref="L1294:O1294" si="1448">IFERROR(L1243/L1174,"-")</f>
        <v>0.58357813420036642</v>
      </c>
      <c r="M1294" s="1">
        <f t="shared" si="1448"/>
        <v>0.65610348930113782</v>
      </c>
      <c r="N1294" s="1">
        <f t="shared" si="1448"/>
        <v>0.69897618524210792</v>
      </c>
      <c r="O1294" s="1">
        <f t="shared" si="1448"/>
        <v>0.72048533095765199</v>
      </c>
      <c r="P1294" s="1">
        <f t="shared" si="1436"/>
        <v>0.72048533095765233</v>
      </c>
      <c r="Q1294" s="1">
        <f t="shared" si="1436"/>
        <v>0.72048533095765177</v>
      </c>
      <c r="S1294" s="3"/>
    </row>
    <row r="1295" spans="2:19" x14ac:dyDescent="0.5">
      <c r="B1295" s="5" t="str">
        <f t="shared" si="1406"/>
        <v>SPS1</v>
      </c>
      <c r="C1295" s="5" t="str">
        <f t="shared" si="1407"/>
        <v>CH</v>
      </c>
      <c r="D1295" t="s">
        <v>1210</v>
      </c>
      <c r="E1295" t="str">
        <f t="shared" si="1408"/>
        <v>km/MJ</v>
      </c>
      <c r="F1295" s="1" t="str">
        <f t="shared" si="1434"/>
        <v>-</v>
      </c>
      <c r="G1295" s="1">
        <f t="shared" si="1434"/>
        <v>0.39332458747711402</v>
      </c>
      <c r="H1295" s="1">
        <f t="shared" si="1434"/>
        <v>0.41989084360567064</v>
      </c>
      <c r="I1295" s="1">
        <f t="shared" si="1434"/>
        <v>0.45434250952804933</v>
      </c>
      <c r="J1295" s="1">
        <f t="shared" si="1434"/>
        <v>0.47532365179583091</v>
      </c>
      <c r="K1295" s="1">
        <f t="shared" si="1434"/>
        <v>0.52638810842290618</v>
      </c>
      <c r="L1295" s="1">
        <f t="shared" ref="L1295:O1295" si="1449">IFERROR(L1244/L1175,"-")</f>
        <v>0.60067132675504697</v>
      </c>
      <c r="M1295" s="1">
        <f t="shared" si="1449"/>
        <v>0.64424858633223958</v>
      </c>
      <c r="N1295" s="1">
        <f t="shared" si="1449"/>
        <v>0.68728432089387814</v>
      </c>
      <c r="O1295" s="1">
        <f t="shared" si="1449"/>
        <v>0.71284972011184788</v>
      </c>
      <c r="P1295" s="1">
        <f t="shared" si="1436"/>
        <v>0.712849720111847</v>
      </c>
      <c r="Q1295" s="1">
        <f t="shared" si="1436"/>
        <v>0.71284972011184755</v>
      </c>
      <c r="S1295" s="3"/>
    </row>
    <row r="1296" spans="2:19" x14ac:dyDescent="0.5">
      <c r="B1296" s="5" t="str">
        <f t="shared" si="1406"/>
        <v>SPS1</v>
      </c>
      <c r="C1296" s="5" t="str">
        <f t="shared" si="1407"/>
        <v>CH</v>
      </c>
      <c r="D1296" t="s">
        <v>1234</v>
      </c>
      <c r="E1296" t="str">
        <f t="shared" si="1408"/>
        <v>km/MJ</v>
      </c>
      <c r="F1296" s="1" t="str">
        <f t="shared" ref="F1296:K1309" si="1450">IFERROR(F1245/F1185,"-")</f>
        <v>-</v>
      </c>
      <c r="G1296" s="1" t="str">
        <f t="shared" si="1450"/>
        <v>-</v>
      </c>
      <c r="H1296" s="1" t="str">
        <f t="shared" si="1450"/>
        <v>-</v>
      </c>
      <c r="I1296" s="1" t="str">
        <f t="shared" si="1450"/>
        <v>-</v>
      </c>
      <c r="J1296" s="1" t="str">
        <f t="shared" si="1450"/>
        <v>-</v>
      </c>
      <c r="K1296" s="1" t="str">
        <f t="shared" si="1450"/>
        <v>-</v>
      </c>
      <c r="L1296" s="1" t="str">
        <f t="shared" ref="L1296:O1296" si="1451">IFERROR(L1245/L1185,"-")</f>
        <v>-</v>
      </c>
      <c r="M1296" s="1" t="str">
        <f t="shared" si="1451"/>
        <v>-</v>
      </c>
      <c r="N1296" s="1" t="str">
        <f t="shared" si="1451"/>
        <v>-</v>
      </c>
      <c r="O1296" s="1" t="str">
        <f t="shared" si="1451"/>
        <v>-</v>
      </c>
      <c r="P1296" s="1" t="str">
        <f t="shared" ref="P1296:Q1314" si="1452">IFERROR(P1245/P1185,"-")</f>
        <v>-</v>
      </c>
      <c r="Q1296" s="1" t="str">
        <f t="shared" si="1452"/>
        <v>-</v>
      </c>
      <c r="S1296" s="3"/>
    </row>
    <row r="1297" spans="2:19" x14ac:dyDescent="0.5">
      <c r="B1297" s="5" t="str">
        <f t="shared" si="1406"/>
        <v>SPS1</v>
      </c>
      <c r="C1297" s="5" t="str">
        <f t="shared" si="1407"/>
        <v>CH</v>
      </c>
      <c r="D1297" t="s">
        <v>1211</v>
      </c>
      <c r="E1297" t="str">
        <f t="shared" si="1408"/>
        <v>km/MJ</v>
      </c>
      <c r="F1297" s="1">
        <f t="shared" si="1450"/>
        <v>0.41824117647058828</v>
      </c>
      <c r="G1297" s="1">
        <f t="shared" si="1450"/>
        <v>1.6975342222378784</v>
      </c>
      <c r="H1297" s="1">
        <f t="shared" si="1450"/>
        <v>1.6927461010255509</v>
      </c>
      <c r="I1297" s="1">
        <f t="shared" si="1450"/>
        <v>1.6836107663359337</v>
      </c>
      <c r="J1297" s="1">
        <f t="shared" si="1450"/>
        <v>0.95215172083985633</v>
      </c>
      <c r="K1297" s="1">
        <f t="shared" si="1450"/>
        <v>0.93448423717121931</v>
      </c>
      <c r="L1297" s="1">
        <f t="shared" ref="L1297:O1297" si="1453">IFERROR(L1246/L1186,"-")</f>
        <v>0.96762203751068965</v>
      </c>
      <c r="M1297" s="1">
        <f t="shared" si="1453"/>
        <v>1.0052180506083495</v>
      </c>
      <c r="N1297" s="1">
        <f t="shared" si="1453"/>
        <v>1.0705896178015628</v>
      </c>
      <c r="O1297" s="1">
        <f t="shared" si="1453"/>
        <v>1.1776808084275885</v>
      </c>
      <c r="P1297" s="1">
        <f t="shared" si="1452"/>
        <v>1.1612358360604174</v>
      </c>
      <c r="Q1297" s="1">
        <f t="shared" si="1452"/>
        <v>1.1780912672385511</v>
      </c>
      <c r="S1297" s="3"/>
    </row>
    <row r="1298" spans="2:19" x14ac:dyDescent="0.5">
      <c r="B1298" s="5" t="str">
        <f t="shared" si="1406"/>
        <v>SPS1</v>
      </c>
      <c r="C1298" s="5" t="str">
        <f t="shared" si="1407"/>
        <v>CH</v>
      </c>
      <c r="D1298" t="s">
        <v>1212</v>
      </c>
      <c r="E1298" t="str">
        <f t="shared" si="1408"/>
        <v>km/MJ</v>
      </c>
      <c r="F1298" s="1">
        <f t="shared" si="1450"/>
        <v>1.1767763612544786</v>
      </c>
      <c r="G1298" s="1">
        <f t="shared" si="1450"/>
        <v>2.6804790489769421</v>
      </c>
      <c r="H1298" s="1">
        <f t="shared" si="1450"/>
        <v>2.4392575396642209</v>
      </c>
      <c r="I1298" s="1">
        <f t="shared" si="1450"/>
        <v>2.4196556072724595</v>
      </c>
      <c r="J1298" s="1">
        <f t="shared" si="1450"/>
        <v>2.226954334114239</v>
      </c>
      <c r="K1298" s="1">
        <f t="shared" si="1450"/>
        <v>1.3857835301043135</v>
      </c>
      <c r="L1298" s="1">
        <f t="shared" ref="L1298:O1298" si="1454">IFERROR(L1247/L1187,"-")</f>
        <v>0.81360068995597279</v>
      </c>
      <c r="M1298" s="1">
        <f t="shared" si="1454"/>
        <v>0.84736939774459008</v>
      </c>
      <c r="N1298" s="1">
        <f t="shared" si="1454"/>
        <v>0.8748875758865905</v>
      </c>
      <c r="O1298" s="1">
        <f t="shared" si="1454"/>
        <v>0.9618497940475631</v>
      </c>
      <c r="P1298" s="1">
        <f t="shared" si="1452"/>
        <v>0.98489686049897396</v>
      </c>
      <c r="Q1298" s="1">
        <f t="shared" si="1452"/>
        <v>0.98522328450016194</v>
      </c>
      <c r="S1298" s="3"/>
    </row>
    <row r="1299" spans="2:19" x14ac:dyDescent="0.5">
      <c r="B1299" s="5" t="str">
        <f t="shared" si="1406"/>
        <v>SPS1</v>
      </c>
      <c r="C1299" s="5" t="str">
        <f t="shared" si="1407"/>
        <v>CH</v>
      </c>
      <c r="D1299" t="s">
        <v>1213</v>
      </c>
      <c r="E1299" t="str">
        <f t="shared" si="1408"/>
        <v>km/MJ</v>
      </c>
      <c r="F1299" s="1">
        <f t="shared" si="1450"/>
        <v>0.9000329806665931</v>
      </c>
      <c r="G1299" s="1">
        <f t="shared" si="1450"/>
        <v>1.2153725009516667</v>
      </c>
      <c r="H1299" s="1">
        <f t="shared" si="1450"/>
        <v>1.2121912495398666</v>
      </c>
      <c r="I1299" s="1">
        <f t="shared" si="1450"/>
        <v>1.2666889778371802</v>
      </c>
      <c r="J1299" s="1">
        <f t="shared" si="1450"/>
        <v>1.2826462234088778</v>
      </c>
      <c r="K1299" s="1">
        <f t="shared" si="1450"/>
        <v>0.71629278865528145</v>
      </c>
      <c r="L1299" s="1">
        <f t="shared" ref="L1299:O1299" si="1455">IFERROR(L1248/L1188,"-")</f>
        <v>0.73506935300414677</v>
      </c>
      <c r="M1299" s="1">
        <f t="shared" si="1455"/>
        <v>0.77490028481404483</v>
      </c>
      <c r="N1299" s="1">
        <f t="shared" si="1455"/>
        <v>0.80865061129333904</v>
      </c>
      <c r="O1299" s="1">
        <f t="shared" si="1455"/>
        <v>0.85341229377406114</v>
      </c>
      <c r="P1299" s="1">
        <f t="shared" si="1452"/>
        <v>0.87841821425004618</v>
      </c>
      <c r="Q1299" s="1">
        <f t="shared" si="1452"/>
        <v>0.88841028212408402</v>
      </c>
      <c r="S1299" s="3"/>
    </row>
    <row r="1300" spans="2:19" x14ac:dyDescent="0.5">
      <c r="B1300" s="5" t="str">
        <f t="shared" si="1406"/>
        <v>SPS1</v>
      </c>
      <c r="C1300" s="5" t="str">
        <f t="shared" si="1407"/>
        <v>CH</v>
      </c>
      <c r="D1300" t="s">
        <v>1214</v>
      </c>
      <c r="E1300" t="str">
        <f t="shared" si="1408"/>
        <v>km/MJ</v>
      </c>
      <c r="F1300" s="1">
        <f t="shared" si="1450"/>
        <v>1.3453602826107791</v>
      </c>
      <c r="G1300" s="1">
        <f t="shared" si="1450"/>
        <v>1.5815085143407197</v>
      </c>
      <c r="H1300" s="1">
        <f t="shared" si="1450"/>
        <v>1.5870351034131338</v>
      </c>
      <c r="I1300" s="1">
        <f t="shared" si="1450"/>
        <v>1.6056458329980248</v>
      </c>
      <c r="J1300" s="1">
        <f t="shared" si="1450"/>
        <v>1.3792090434499673</v>
      </c>
      <c r="K1300" s="1">
        <f t="shared" si="1450"/>
        <v>0.70471000612415446</v>
      </c>
      <c r="L1300" s="1">
        <f t="shared" ref="L1300:O1300" si="1456">IFERROR(L1249/L1189,"-")</f>
        <v>0.74558808245068398</v>
      </c>
      <c r="M1300" s="1">
        <f t="shared" si="1456"/>
        <v>0.77864143225697324</v>
      </c>
      <c r="N1300" s="1">
        <f t="shared" si="1456"/>
        <v>0.78392417277922033</v>
      </c>
      <c r="O1300" s="1">
        <f t="shared" si="1456"/>
        <v>0.78846413775645663</v>
      </c>
      <c r="P1300" s="1">
        <f t="shared" si="1452"/>
        <v>0.802486660239496</v>
      </c>
      <c r="Q1300" s="1">
        <f t="shared" si="1452"/>
        <v>0.86016064017115823</v>
      </c>
      <c r="S1300" s="3"/>
    </row>
    <row r="1301" spans="2:19" x14ac:dyDescent="0.5">
      <c r="B1301" s="5" t="str">
        <f t="shared" si="1406"/>
        <v>SPS1</v>
      </c>
      <c r="C1301" s="5" t="str">
        <f t="shared" si="1407"/>
        <v>CH</v>
      </c>
      <c r="D1301" t="s">
        <v>1215</v>
      </c>
      <c r="E1301" t="str">
        <f t="shared" si="1408"/>
        <v>km/MJ</v>
      </c>
      <c r="F1301" s="1">
        <f t="shared" si="1450"/>
        <v>0.33901850024086022</v>
      </c>
      <c r="G1301" s="1">
        <f t="shared" si="1450"/>
        <v>0.35391427166601069</v>
      </c>
      <c r="H1301" s="1">
        <f t="shared" si="1450"/>
        <v>0.37625792880373743</v>
      </c>
      <c r="I1301" s="1">
        <f t="shared" si="1450"/>
        <v>0.41349735736661469</v>
      </c>
      <c r="J1301" s="1" t="str">
        <f t="shared" si="1450"/>
        <v>-</v>
      </c>
      <c r="K1301" s="1" t="str">
        <f t="shared" si="1450"/>
        <v>-</v>
      </c>
      <c r="L1301" s="1" t="str">
        <f t="shared" ref="L1301:O1301" si="1457">IFERROR(L1250/L1190,"-")</f>
        <v>-</v>
      </c>
      <c r="M1301" s="1" t="str">
        <f t="shared" si="1457"/>
        <v>-</v>
      </c>
      <c r="N1301" s="1" t="str">
        <f t="shared" si="1457"/>
        <v>-</v>
      </c>
      <c r="O1301" s="1" t="str">
        <f t="shared" si="1457"/>
        <v>-</v>
      </c>
      <c r="P1301" s="1" t="str">
        <f t="shared" si="1452"/>
        <v>-</v>
      </c>
      <c r="Q1301" s="1" t="str">
        <f t="shared" si="1452"/>
        <v>-</v>
      </c>
      <c r="S1301" s="3"/>
    </row>
    <row r="1302" spans="2:19" x14ac:dyDescent="0.5">
      <c r="B1302" s="5" t="str">
        <f t="shared" si="1406"/>
        <v>SPS1</v>
      </c>
      <c r="C1302" s="5" t="str">
        <f t="shared" si="1407"/>
        <v>CH</v>
      </c>
      <c r="D1302" t="s">
        <v>1216</v>
      </c>
      <c r="E1302" t="str">
        <f t="shared" si="1408"/>
        <v>km/MJ</v>
      </c>
      <c r="F1302" s="1">
        <f t="shared" si="1450"/>
        <v>0.750592594148763</v>
      </c>
      <c r="G1302" s="1">
        <f t="shared" si="1450"/>
        <v>0.79018135631587683</v>
      </c>
      <c r="H1302" s="1">
        <f t="shared" si="1450"/>
        <v>0.79837342950936163</v>
      </c>
      <c r="I1302" s="1">
        <f t="shared" si="1450"/>
        <v>0.75089666469905292</v>
      </c>
      <c r="J1302" s="1">
        <f t="shared" si="1450"/>
        <v>0.67512873905281323</v>
      </c>
      <c r="K1302" s="1">
        <f t="shared" si="1450"/>
        <v>0.68749895930494498</v>
      </c>
      <c r="L1302" s="1">
        <f t="shared" ref="L1302:O1302" si="1458">IFERROR(L1251/L1191,"-")</f>
        <v>0.69059934095862918</v>
      </c>
      <c r="M1302" s="1">
        <f t="shared" si="1458"/>
        <v>0.69744905677257862</v>
      </c>
      <c r="N1302" s="1">
        <f t="shared" si="1458"/>
        <v>0.72427265508772076</v>
      </c>
      <c r="O1302" s="1">
        <f t="shared" si="1458"/>
        <v>0.81699413263165099</v>
      </c>
      <c r="P1302" s="1">
        <f t="shared" si="1452"/>
        <v>0.85874408402377522</v>
      </c>
      <c r="Q1302" s="1">
        <f t="shared" si="1452"/>
        <v>0.88860234569962371</v>
      </c>
      <c r="S1302" s="3"/>
    </row>
    <row r="1303" spans="2:19" x14ac:dyDescent="0.5">
      <c r="B1303" s="5" t="str">
        <f t="shared" si="1406"/>
        <v>SPS1</v>
      </c>
      <c r="C1303" s="5" t="str">
        <f t="shared" si="1407"/>
        <v>CH</v>
      </c>
      <c r="D1303" t="s">
        <v>1217</v>
      </c>
      <c r="E1303" t="str">
        <f t="shared" si="1408"/>
        <v>km/MJ</v>
      </c>
      <c r="F1303" s="1">
        <f t="shared" si="1450"/>
        <v>0.69738643516428345</v>
      </c>
      <c r="G1303" s="1">
        <f t="shared" si="1450"/>
        <v>0.70381949013956602</v>
      </c>
      <c r="H1303" s="1">
        <f t="shared" si="1450"/>
        <v>0.7030677865385152</v>
      </c>
      <c r="I1303" s="1">
        <f t="shared" si="1450"/>
        <v>0.7561867730471048</v>
      </c>
      <c r="J1303" s="1">
        <f t="shared" si="1450"/>
        <v>0.76139942964695995</v>
      </c>
      <c r="K1303" s="1">
        <f t="shared" si="1450"/>
        <v>0.53804594762372293</v>
      </c>
      <c r="L1303" s="1">
        <f t="shared" ref="L1303:O1303" si="1459">IFERROR(L1252/L1192,"-")</f>
        <v>0.55272592257594644</v>
      </c>
      <c r="M1303" s="1">
        <f t="shared" si="1459"/>
        <v>0.59162549568365297</v>
      </c>
      <c r="N1303" s="1">
        <f t="shared" si="1459"/>
        <v>0.62383474492889368</v>
      </c>
      <c r="O1303" s="1">
        <f t="shared" si="1459"/>
        <v>0.65745302026992114</v>
      </c>
      <c r="P1303" s="1">
        <f t="shared" si="1452"/>
        <v>0.69129918640642118</v>
      </c>
      <c r="Q1303" s="1">
        <f t="shared" si="1452"/>
        <v>0.71532136114805667</v>
      </c>
      <c r="S1303" s="3"/>
    </row>
    <row r="1304" spans="2:19" x14ac:dyDescent="0.5">
      <c r="B1304" s="5" t="str">
        <f t="shared" si="1406"/>
        <v>SPS1</v>
      </c>
      <c r="C1304" s="5" t="str">
        <f t="shared" si="1407"/>
        <v>CH</v>
      </c>
      <c r="D1304" t="s">
        <v>1218</v>
      </c>
      <c r="E1304" t="str">
        <f t="shared" si="1408"/>
        <v>km/MJ</v>
      </c>
      <c r="F1304" s="1">
        <f t="shared" si="1450"/>
        <v>0.52812198931891585</v>
      </c>
      <c r="G1304" s="1">
        <f t="shared" si="1450"/>
        <v>0.53243844460050427</v>
      </c>
      <c r="H1304" s="1">
        <f t="shared" si="1450"/>
        <v>0.53197453122975036</v>
      </c>
      <c r="I1304" s="1">
        <f t="shared" si="1450"/>
        <v>0.54118457061364622</v>
      </c>
      <c r="J1304" s="1">
        <f t="shared" si="1450"/>
        <v>0.58670147740533496</v>
      </c>
      <c r="K1304" s="1">
        <f t="shared" si="1450"/>
        <v>0.49770252522253156</v>
      </c>
      <c r="L1304" s="1">
        <f t="shared" ref="L1304:O1304" si="1460">IFERROR(L1253/L1193,"-")</f>
        <v>0.51783146661345425</v>
      </c>
      <c r="M1304" s="1">
        <f t="shared" si="1460"/>
        <v>0.55885318060589018</v>
      </c>
      <c r="N1304" s="1">
        <f t="shared" si="1460"/>
        <v>0.58336242313796494</v>
      </c>
      <c r="O1304" s="1">
        <f t="shared" si="1460"/>
        <v>0.60826801834733557</v>
      </c>
      <c r="P1304" s="1">
        <f t="shared" si="1452"/>
        <v>0.64065947139088375</v>
      </c>
      <c r="Q1304" s="1">
        <f t="shared" si="1452"/>
        <v>0.66559693689600807</v>
      </c>
      <c r="S1304" s="3"/>
    </row>
    <row r="1305" spans="2:19" x14ac:dyDescent="0.5">
      <c r="B1305" s="5" t="str">
        <f t="shared" si="1406"/>
        <v>SPS1</v>
      </c>
      <c r="C1305" s="5" t="str">
        <f t="shared" si="1407"/>
        <v>CH</v>
      </c>
      <c r="D1305" t="s">
        <v>1219</v>
      </c>
      <c r="E1305" t="str">
        <f t="shared" si="1408"/>
        <v>km/MJ</v>
      </c>
      <c r="F1305" s="1">
        <f t="shared" si="1450"/>
        <v>0.46622124902147927</v>
      </c>
      <c r="G1305" s="1">
        <f t="shared" si="1450"/>
        <v>0.45572765475730076</v>
      </c>
      <c r="H1305" s="1">
        <f t="shared" si="1450"/>
        <v>0.45674076952715098</v>
      </c>
      <c r="I1305" s="1">
        <f t="shared" si="1450"/>
        <v>0.46394701857235993</v>
      </c>
      <c r="J1305" s="1">
        <f t="shared" si="1450"/>
        <v>0.39235048780983484</v>
      </c>
      <c r="K1305" s="1">
        <f t="shared" si="1450"/>
        <v>0.47010107895773384</v>
      </c>
      <c r="L1305" s="1">
        <f t="shared" ref="L1305:O1305" si="1461">IFERROR(L1254/L1194,"-")</f>
        <v>0.49008802310240956</v>
      </c>
      <c r="M1305" s="1">
        <f t="shared" si="1461"/>
        <v>0.5257664972207382</v>
      </c>
      <c r="N1305" s="1">
        <f t="shared" si="1461"/>
        <v>0.54738413620508897</v>
      </c>
      <c r="O1305" s="1">
        <f t="shared" si="1461"/>
        <v>0.56858321849379689</v>
      </c>
      <c r="P1305" s="1">
        <f t="shared" si="1452"/>
        <v>0.5972338304385757</v>
      </c>
      <c r="Q1305" s="1">
        <f t="shared" si="1452"/>
        <v>0.62137575245371279</v>
      </c>
      <c r="S1305" s="3"/>
    </row>
    <row r="1306" spans="2:19" x14ac:dyDescent="0.5">
      <c r="B1306" s="5" t="str">
        <f t="shared" si="1406"/>
        <v>SPS1</v>
      </c>
      <c r="C1306" s="5" t="str">
        <f t="shared" si="1407"/>
        <v>CH</v>
      </c>
      <c r="D1306" t="s">
        <v>1220</v>
      </c>
      <c r="E1306" t="str">
        <f t="shared" si="1408"/>
        <v>km/MJ</v>
      </c>
      <c r="F1306" s="1" t="str">
        <f t="shared" si="1450"/>
        <v>-</v>
      </c>
      <c r="G1306" s="1">
        <f t="shared" si="1450"/>
        <v>0.56203544748554624</v>
      </c>
      <c r="H1306" s="1">
        <f t="shared" si="1450"/>
        <v>0.59241135569043935</v>
      </c>
      <c r="I1306" s="1">
        <f t="shared" si="1450"/>
        <v>0.6256429805537147</v>
      </c>
      <c r="J1306" s="1">
        <f t="shared" si="1450"/>
        <v>0.63695651321473357</v>
      </c>
      <c r="K1306" s="1">
        <f t="shared" si="1450"/>
        <v>0.67058457488250378</v>
      </c>
      <c r="L1306" s="1">
        <f t="shared" ref="L1306:O1306" si="1462">IFERROR(L1255/L1195,"-")</f>
        <v>0.73714504090819477</v>
      </c>
      <c r="M1306" s="1">
        <f t="shared" si="1462"/>
        <v>0.77005330924908233</v>
      </c>
      <c r="N1306" s="1">
        <f t="shared" si="1462"/>
        <v>0.79064397424917388</v>
      </c>
      <c r="O1306" s="1">
        <f t="shared" si="1462"/>
        <v>0.921471221832589</v>
      </c>
      <c r="P1306" s="1">
        <f t="shared" si="1452"/>
        <v>0.92147122183258867</v>
      </c>
      <c r="Q1306" s="1">
        <f t="shared" si="1452"/>
        <v>0.921471221832589</v>
      </c>
      <c r="S1306" s="3"/>
    </row>
    <row r="1307" spans="2:19" x14ac:dyDescent="0.5">
      <c r="B1307" s="5" t="str">
        <f t="shared" si="1406"/>
        <v>SPS1</v>
      </c>
      <c r="C1307" s="5" t="str">
        <f t="shared" si="1407"/>
        <v>CH</v>
      </c>
      <c r="D1307" t="s">
        <v>1221</v>
      </c>
      <c r="E1307" t="str">
        <f t="shared" si="1408"/>
        <v>km/MJ</v>
      </c>
      <c r="F1307" s="1" t="str">
        <f t="shared" si="1450"/>
        <v>-</v>
      </c>
      <c r="G1307" s="1">
        <f t="shared" si="1450"/>
        <v>0.4521014576628149</v>
      </c>
      <c r="H1307" s="1">
        <f t="shared" si="1450"/>
        <v>0.47479266783989327</v>
      </c>
      <c r="I1307" s="1">
        <f t="shared" si="1450"/>
        <v>0.50202687907966415</v>
      </c>
      <c r="J1307" s="1">
        <f t="shared" si="1450"/>
        <v>0.55317862357249536</v>
      </c>
      <c r="K1307" s="1">
        <f t="shared" si="1450"/>
        <v>0.58285812464731124</v>
      </c>
      <c r="L1307" s="1">
        <f t="shared" ref="L1307:O1307" si="1463">IFERROR(L1256/L1196,"-")</f>
        <v>0.61088386316735721</v>
      </c>
      <c r="M1307" s="1">
        <f t="shared" si="1463"/>
        <v>0.68127982476963356</v>
      </c>
      <c r="N1307" s="1">
        <f t="shared" si="1463"/>
        <v>0.73487899636843479</v>
      </c>
      <c r="O1307" s="1">
        <f t="shared" si="1463"/>
        <v>0.7677901344283683</v>
      </c>
      <c r="P1307" s="1">
        <f t="shared" si="1452"/>
        <v>0.76779013442836985</v>
      </c>
      <c r="Q1307" s="1">
        <f t="shared" si="1452"/>
        <v>0.7677901344283693</v>
      </c>
      <c r="S1307" s="3"/>
    </row>
    <row r="1308" spans="2:19" x14ac:dyDescent="0.5">
      <c r="B1308" s="5" t="str">
        <f t="shared" si="1406"/>
        <v>SPS1</v>
      </c>
      <c r="C1308" s="5" t="str">
        <f t="shared" si="1407"/>
        <v>CH</v>
      </c>
      <c r="D1308" t="s">
        <v>1222</v>
      </c>
      <c r="E1308" t="str">
        <f t="shared" si="1408"/>
        <v>km/MJ</v>
      </c>
      <c r="F1308" s="1" t="str">
        <f t="shared" si="1450"/>
        <v>-</v>
      </c>
      <c r="G1308" s="1">
        <f t="shared" si="1450"/>
        <v>0.42028149632876921</v>
      </c>
      <c r="H1308" s="1">
        <f t="shared" si="1450"/>
        <v>0.43924800197089942</v>
      </c>
      <c r="I1308" s="1">
        <f t="shared" si="1450"/>
        <v>0.46448789988856715</v>
      </c>
      <c r="J1308" s="1">
        <f t="shared" si="1450"/>
        <v>0.53099144142845978</v>
      </c>
      <c r="K1308" s="1">
        <f t="shared" si="1450"/>
        <v>0.5818376501961291</v>
      </c>
      <c r="L1308" s="1">
        <f t="shared" ref="L1308:O1308" si="1464">IFERROR(L1257/L1197,"-")</f>
        <v>0.6226990593708811</v>
      </c>
      <c r="M1308" s="1">
        <f t="shared" si="1464"/>
        <v>0.6539289868050423</v>
      </c>
      <c r="N1308" s="1">
        <f t="shared" si="1464"/>
        <v>0.69474583990725636</v>
      </c>
      <c r="O1308" s="1">
        <f t="shared" si="1464"/>
        <v>0.71787111222859368</v>
      </c>
      <c r="P1308" s="1">
        <f t="shared" si="1452"/>
        <v>0.71787111222859501</v>
      </c>
      <c r="Q1308" s="1">
        <f t="shared" si="1452"/>
        <v>0.71787111222859346</v>
      </c>
      <c r="S1308" s="3"/>
    </row>
    <row r="1309" spans="2:19" x14ac:dyDescent="0.5">
      <c r="B1309" s="5" t="str">
        <f t="shared" si="1406"/>
        <v>SPS1</v>
      </c>
      <c r="C1309" s="5" t="str">
        <f t="shared" si="1407"/>
        <v>CH</v>
      </c>
      <c r="D1309" t="s">
        <v>1223</v>
      </c>
      <c r="E1309" t="str">
        <f t="shared" si="1408"/>
        <v>km/MJ</v>
      </c>
      <c r="F1309" s="1" t="str">
        <f t="shared" si="1450"/>
        <v>-</v>
      </c>
      <c r="G1309" s="1">
        <f t="shared" si="1450"/>
        <v>0.39943403925494764</v>
      </c>
      <c r="H1309" s="1">
        <f t="shared" si="1450"/>
        <v>0.41450207492188756</v>
      </c>
      <c r="I1309" s="1">
        <f t="shared" si="1450"/>
        <v>0.43407849384682534</v>
      </c>
      <c r="J1309" s="1">
        <f t="shared" si="1450"/>
        <v>0.47592031500375392</v>
      </c>
      <c r="K1309" s="1">
        <f t="shared" si="1450"/>
        <v>0.53351467932714902</v>
      </c>
      <c r="L1309" s="1">
        <f t="shared" ref="L1309:O1309" si="1465">IFERROR(L1258/L1198,"-")</f>
        <v>0.57593107101973751</v>
      </c>
      <c r="M1309" s="1">
        <f t="shared" si="1465"/>
        <v>0.63357372672384016</v>
      </c>
      <c r="N1309" s="1">
        <f t="shared" si="1465"/>
        <v>0.6603664813002027</v>
      </c>
      <c r="O1309" s="1">
        <f t="shared" si="1465"/>
        <v>0.67280993410843104</v>
      </c>
      <c r="P1309" s="1">
        <f t="shared" si="1452"/>
        <v>0.67280993410843049</v>
      </c>
      <c r="Q1309" s="1">
        <f t="shared" si="1452"/>
        <v>0.67280993410843126</v>
      </c>
      <c r="S1309" s="3"/>
    </row>
    <row r="1310" spans="2:19" x14ac:dyDescent="0.5">
      <c r="B1310" s="5" t="str">
        <f t="shared" si="1406"/>
        <v>SPS1</v>
      </c>
      <c r="C1310" s="5" t="str">
        <f t="shared" si="1407"/>
        <v>CH</v>
      </c>
      <c r="D1310" t="s">
        <v>1224</v>
      </c>
      <c r="E1310" t="str">
        <f t="shared" si="1408"/>
        <v>km/MJ</v>
      </c>
      <c r="F1310" s="1" t="str">
        <f>IFERROR(F1259/F1208,"-")</f>
        <v>-</v>
      </c>
      <c r="G1310" s="1">
        <f t="shared" ref="G1310:K1314" si="1466">IFERROR(G1259/G1199,"-")</f>
        <v>0</v>
      </c>
      <c r="H1310" s="1">
        <f t="shared" si="1466"/>
        <v>0</v>
      </c>
      <c r="I1310" s="1">
        <f t="shared" si="1466"/>
        <v>0</v>
      </c>
      <c r="J1310" s="1">
        <f t="shared" si="1466"/>
        <v>0</v>
      </c>
      <c r="K1310" s="1">
        <f t="shared" si="1466"/>
        <v>0</v>
      </c>
      <c r="L1310" s="1">
        <f t="shared" ref="L1310:O1310" si="1467">IFERROR(L1259/L1199,"-")</f>
        <v>0</v>
      </c>
      <c r="M1310" s="1">
        <f t="shared" si="1467"/>
        <v>0</v>
      </c>
      <c r="N1310" s="1">
        <f t="shared" si="1467"/>
        <v>0</v>
      </c>
      <c r="O1310" s="1">
        <f t="shared" si="1467"/>
        <v>0</v>
      </c>
      <c r="P1310" s="1">
        <f t="shared" si="1452"/>
        <v>0</v>
      </c>
      <c r="Q1310" s="1">
        <f t="shared" si="1452"/>
        <v>0</v>
      </c>
      <c r="S1310" s="3"/>
    </row>
    <row r="1311" spans="2:19" x14ac:dyDescent="0.5">
      <c r="B1311" s="5" t="str">
        <f t="shared" si="1406"/>
        <v>SPS1</v>
      </c>
      <c r="C1311" s="5" t="str">
        <f t="shared" si="1407"/>
        <v>CH</v>
      </c>
      <c r="D1311" t="s">
        <v>1225</v>
      </c>
      <c r="E1311" t="str">
        <f t="shared" si="1408"/>
        <v>km/MJ</v>
      </c>
      <c r="F1311" s="1">
        <f>IFERROR(F1260/F1209,"-")</f>
        <v>0.6156081738872986</v>
      </c>
      <c r="G1311" s="1">
        <f t="shared" si="1466"/>
        <v>0.92245088797673047</v>
      </c>
      <c r="H1311" s="1">
        <f t="shared" si="1466"/>
        <v>0.18988623745611971</v>
      </c>
      <c r="I1311" s="1">
        <f t="shared" si="1466"/>
        <v>8.6630066695137908E-3</v>
      </c>
      <c r="J1311" s="1">
        <f t="shared" si="1466"/>
        <v>2.0286982272437566E-3</v>
      </c>
      <c r="K1311" s="1">
        <f t="shared" si="1466"/>
        <v>1.5997174339571385E-3</v>
      </c>
      <c r="L1311" s="1">
        <f t="shared" ref="L1311:O1311" si="1468">IFERROR(L1260/L1200,"-")</f>
        <v>1.9304193156082909E-3</v>
      </c>
      <c r="M1311" s="1">
        <f t="shared" si="1468"/>
        <v>2.5220226142691668E-3</v>
      </c>
      <c r="N1311" s="1">
        <f t="shared" si="1468"/>
        <v>3.6520730431706143E-3</v>
      </c>
      <c r="O1311" s="1">
        <f t="shared" si="1468"/>
        <v>7.105808526818789E-3</v>
      </c>
      <c r="P1311" s="1">
        <f t="shared" si="1452"/>
        <v>2.3688073325793903E-2</v>
      </c>
      <c r="Q1311" s="1">
        <f t="shared" si="1452"/>
        <v>4.7928646927957397E-2</v>
      </c>
      <c r="S1311" s="3"/>
    </row>
    <row r="1312" spans="2:19" x14ac:dyDescent="0.5">
      <c r="B1312" s="5" t="str">
        <f t="shared" si="1406"/>
        <v>SPS1</v>
      </c>
      <c r="C1312" s="5" t="str">
        <f t="shared" si="1407"/>
        <v>CH</v>
      </c>
      <c r="D1312" t="s">
        <v>1226</v>
      </c>
      <c r="E1312" t="str">
        <f t="shared" si="1408"/>
        <v>km/MJ</v>
      </c>
      <c r="F1312" s="1">
        <f>IFERROR(F1261/F1210,"-")</f>
        <v>0.63478540645189652</v>
      </c>
      <c r="G1312" s="1">
        <f t="shared" si="1466"/>
        <v>2.8847406270943999E-2</v>
      </c>
      <c r="H1312" s="1">
        <f t="shared" si="1466"/>
        <v>1.4102198219552803E-2</v>
      </c>
      <c r="I1312" s="1">
        <f t="shared" si="1466"/>
        <v>8.1515760290644696E-6</v>
      </c>
      <c r="J1312" s="1">
        <f t="shared" si="1466"/>
        <v>6.7956466432868144E-6</v>
      </c>
      <c r="K1312" s="1">
        <f t="shared" si="1466"/>
        <v>1.1844877345585983E-5</v>
      </c>
      <c r="L1312" s="1">
        <f t="shared" ref="L1312:O1312" si="1469">IFERROR(L1261/L1201,"-")</f>
        <v>2.4763111986515852E-5</v>
      </c>
      <c r="M1312" s="1">
        <f t="shared" si="1469"/>
        <v>3.7713581867630565E-5</v>
      </c>
      <c r="N1312" s="1">
        <f t="shared" si="1469"/>
        <v>6.4680733869306982E-5</v>
      </c>
      <c r="O1312" s="1">
        <f t="shared" si="1469"/>
        <v>1.4047116536701438E-4</v>
      </c>
      <c r="P1312" s="1">
        <f t="shared" si="1452"/>
        <v>9.9658049932491405E-4</v>
      </c>
      <c r="Q1312" s="1">
        <f t="shared" si="1452"/>
        <v>6.6849836709718294E-2</v>
      </c>
      <c r="S1312" s="3"/>
    </row>
    <row r="1313" spans="2:19" x14ac:dyDescent="0.5">
      <c r="B1313" s="5" t="str">
        <f t="shared" si="1406"/>
        <v>SPS1</v>
      </c>
      <c r="C1313" s="5" t="str">
        <f t="shared" si="1407"/>
        <v>CH</v>
      </c>
      <c r="D1313" t="s">
        <v>1227</v>
      </c>
      <c r="E1313" t="str">
        <f t="shared" si="1408"/>
        <v>km/MJ</v>
      </c>
      <c r="F1313" s="1">
        <f>IFERROR(F1262/F1211,"-")</f>
        <v>0.46821349395798117</v>
      </c>
      <c r="G1313" s="1">
        <f t="shared" si="1466"/>
        <v>7.1696476938542641E-2</v>
      </c>
      <c r="H1313" s="1">
        <f t="shared" si="1466"/>
        <v>6.9661574289657593E-2</v>
      </c>
      <c r="I1313" s="1">
        <f t="shared" si="1466"/>
        <v>6.3956977140079566E-3</v>
      </c>
      <c r="J1313" s="1">
        <f t="shared" si="1466"/>
        <v>4.7408935342798606E-5</v>
      </c>
      <c r="K1313" s="1">
        <f t="shared" si="1466"/>
        <v>2.0012501588178064E-5</v>
      </c>
      <c r="L1313" s="1">
        <f t="shared" ref="L1313:O1313" si="1470">IFERROR(L1262/L1202,"-")</f>
        <v>2.4024235530672964E-5</v>
      </c>
      <c r="M1313" s="1">
        <f t="shared" si="1470"/>
        <v>4.3116981323274558E-5</v>
      </c>
      <c r="N1313" s="1">
        <f t="shared" si="1470"/>
        <v>4.3904474509551035E-5</v>
      </c>
      <c r="O1313" s="1">
        <f t="shared" si="1470"/>
        <v>3.7560086000917108E-5</v>
      </c>
      <c r="P1313" s="1">
        <f t="shared" si="1452"/>
        <v>2.8649735167296851E-5</v>
      </c>
      <c r="Q1313" s="1">
        <f t="shared" si="1452"/>
        <v>3.0904955940115038E-5</v>
      </c>
      <c r="S1313" s="3"/>
    </row>
    <row r="1314" spans="2:19" x14ac:dyDescent="0.5">
      <c r="B1314" s="5" t="str">
        <f t="shared" si="1406"/>
        <v>SPS1</v>
      </c>
      <c r="C1314" s="5" t="str">
        <f t="shared" si="1407"/>
        <v>CH</v>
      </c>
      <c r="D1314" t="s">
        <v>1228</v>
      </c>
      <c r="E1314" t="str">
        <f t="shared" si="1408"/>
        <v>km/MJ</v>
      </c>
      <c r="F1314" s="1">
        <f>IFERROR(F1263/F1212,"-")</f>
        <v>0.68269284532684027</v>
      </c>
      <c r="G1314" s="1">
        <f t="shared" si="1466"/>
        <v>0.36017745124145162</v>
      </c>
      <c r="H1314" s="1">
        <f t="shared" si="1466"/>
        <v>0.30172207494693665</v>
      </c>
      <c r="I1314" s="1">
        <f t="shared" si="1466"/>
        <v>4.3018096698553387E-2</v>
      </c>
      <c r="J1314" s="1">
        <f t="shared" si="1466"/>
        <v>0.11035223586551519</v>
      </c>
      <c r="K1314" s="1">
        <f t="shared" si="1466"/>
        <v>0.13881433459421547</v>
      </c>
      <c r="L1314" s="1">
        <f t="shared" ref="L1314:O1314" si="1471">IFERROR(L1263/L1203,"-")</f>
        <v>0.14893351558793513</v>
      </c>
      <c r="M1314" s="1">
        <f t="shared" si="1471"/>
        <v>0.16074199431842817</v>
      </c>
      <c r="N1314" s="1">
        <f t="shared" si="1471"/>
        <v>0.17672437785599074</v>
      </c>
      <c r="O1314" s="1">
        <f t="shared" si="1471"/>
        <v>0.18682564344756772</v>
      </c>
      <c r="P1314" s="1">
        <f t="shared" si="1452"/>
        <v>0.19041454814000364</v>
      </c>
      <c r="Q1314" s="1">
        <f t="shared" si="1452"/>
        <v>0.19327831256609368</v>
      </c>
      <c r="S1314" s="3"/>
    </row>
    <row r="1315" spans="2:19" x14ac:dyDescent="0.5">
      <c r="B1315" s="9" t="str">
        <f t="shared" ref="B1315" si="1472">B1314</f>
        <v>SPS1</v>
      </c>
      <c r="C1315" s="9" t="str">
        <f t="shared" ref="C1315" si="1473">C1314</f>
        <v>CH</v>
      </c>
      <c r="D1315" s="2" t="s">
        <v>1304</v>
      </c>
      <c r="E1315" s="2" t="s">
        <v>8</v>
      </c>
      <c r="F1315" s="3">
        <f>F1316+F1322+F1327+F1341</f>
        <v>0.76024838132986439</v>
      </c>
      <c r="G1315" s="3">
        <f t="shared" ref="G1315:K1315" si="1474">G1316+G1322+G1327+G1341</f>
        <v>1.3397955281333769</v>
      </c>
      <c r="H1315" s="3">
        <f t="shared" si="1474"/>
        <v>2.1904492592361611</v>
      </c>
      <c r="I1315" s="3">
        <f t="shared" si="1474"/>
        <v>1.68005139017946</v>
      </c>
      <c r="J1315" s="3">
        <f t="shared" si="1474"/>
        <v>1.7060473736570445</v>
      </c>
      <c r="K1315" s="3">
        <f t="shared" si="1474"/>
        <v>1.7745566062985789</v>
      </c>
      <c r="L1315" s="3">
        <f t="shared" ref="L1315:O1315" si="1475">L1316+L1322+L1327+L1341</f>
        <v>1.8083338153817363</v>
      </c>
      <c r="M1315" s="3">
        <f t="shared" si="1475"/>
        <v>1.8259583571047138</v>
      </c>
      <c r="N1315" s="3">
        <f t="shared" si="1475"/>
        <v>1.886264933890625</v>
      </c>
      <c r="O1315" s="3">
        <f t="shared" si="1475"/>
        <v>1.9659610829560823</v>
      </c>
      <c r="P1315" s="3">
        <f>P1316+P1322+P1327+P1341</f>
        <v>1.9723757781289106</v>
      </c>
      <c r="Q1315" s="3">
        <f>Q1316+Q1322+Q1327+Q1341</f>
        <v>2.0123725736248534</v>
      </c>
      <c r="S1315" s="3"/>
    </row>
    <row r="1316" spans="2:19" x14ac:dyDescent="0.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6.674236194605292E-3</v>
      </c>
      <c r="G1316" s="1">
        <f t="shared" ref="G1316:K1316" si="1476">SUM(G1317:G1321)</f>
        <v>1.1260944177996848E-2</v>
      </c>
      <c r="H1316" s="1">
        <f t="shared" si="1476"/>
        <v>1.7707790658735244E-2</v>
      </c>
      <c r="I1316" s="1">
        <f t="shared" si="1476"/>
        <v>0.85534300763096283</v>
      </c>
      <c r="J1316" s="1">
        <f t="shared" si="1476"/>
        <v>0.8263543459205942</v>
      </c>
      <c r="K1316" s="1">
        <f t="shared" si="1476"/>
        <v>0.7812712116186874</v>
      </c>
      <c r="L1316" s="1">
        <f t="shared" ref="L1316:O1316" si="1477">SUM(L1317:L1321)</f>
        <v>0.73890627875640436</v>
      </c>
      <c r="M1316" s="1">
        <f t="shared" si="1477"/>
        <v>0.67698963402030699</v>
      </c>
      <c r="N1316" s="1">
        <f t="shared" si="1477"/>
        <v>0.65575091366319849</v>
      </c>
      <c r="O1316" s="1">
        <f t="shared" si="1477"/>
        <v>0.64625968441822101</v>
      </c>
      <c r="P1316" s="1">
        <f>SUM(P1317:P1321)</f>
        <v>0.70410679022993683</v>
      </c>
      <c r="Q1316" s="1">
        <f>SUM(Q1317:Q1321)</f>
        <v>0.74812627638355611</v>
      </c>
      <c r="S1316" s="3"/>
    </row>
    <row r="1317" spans="2:19" x14ac:dyDescent="0.5">
      <c r="B1317" s="5" t="str">
        <f t="shared" ref="B1317:B1350" si="1478">B1316</f>
        <v>SPS1</v>
      </c>
      <c r="C1317" s="5" t="str">
        <f t="shared" ref="C1317:C1350" si="1479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4.6948407205997262E-4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4.7587333626158908E-4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4.6735062273712234E-4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SUMPRODUCT(("T_B_u-BeVELCEXT"=[1]OUT_TransportEnergyCons!$A$3:$A$1000)*1,("Var_Fin"=[1]OUT_TransportEnergyCons!$B$3:$B$1000)*1,ISNUMBER(SEARCH("ELC",[1]OUT_TransportEnergyCons!$C$3:$C$1000))*1,[1]OUT_TransportEnergyCons!H$3:H$1000)</f>
        <v>0</v>
      </c>
      <c r="K1317" s="1" cm="1">
        <f t="array" ref="K1317">SUMPRODUCT(("T_B_u-BeVELCEXT"=[1]OUT_TransportEnergyCons!$A$3:$A$1000)*1,("Var_Fin"=[1]OUT_TransportEnergyCons!$B$3:$B$1000)*1,ISNUMBER(SEARCH("ELC",[1]OUT_TransportEnergyCons!$C$3:$C$1000))*1,[1]OUT_TransportEnergyCons!I$3:I$1000)</f>
        <v>0</v>
      </c>
      <c r="L1317" s="1" cm="1">
        <f t="array" ref="L1317">SUMPRODUCT(("T_B_u-BeVELCEXT"=[1]OUT_TransportEnergyCons!$A$3:$A$1000)*1,("Var_Fin"=[1]OUT_TransportEnergyCons!$B$3:$B$1000)*1,ISNUMBER(SEARCH("ELC",[1]OUT_TransportEnergyCons!$C$3:$C$1000))*1,[1]OUT_TransportEnergyCons!J$3:J$1000)</f>
        <v>0</v>
      </c>
      <c r="M1317" s="1" cm="1">
        <f t="array" ref="M1317">SUMPRODUCT(("T_B_u-BeVELCEXT"=[1]OUT_TransportEnergyCons!$A$3:$A$1000)*1,("Var_Fin"=[1]OUT_TransportEnergyCons!$B$3:$B$1000)*1,ISNUMBER(SEARCH("ELC",[1]OUT_TransportEnergyCons!$C$3:$C$1000))*1,[1]OUT_TransportEnergyCons!K$3:K$1000)</f>
        <v>0</v>
      </c>
      <c r="N1317" s="1" cm="1">
        <f t="array" ref="N1317">SUMPRODUCT(("T_B_u-BeVELCEXT"=[1]OUT_TransportEnergyCons!$A$3:$A$1000)*1,("Var_Fin"=[1]OUT_TransportEnergyCons!$B$3:$B$1000)*1,ISNUMBER(SEARCH("ELC",[1]OUT_TransportEnergyCons!$C$3:$C$1000))*1,[1]OUT_TransportEnergyCons!L$3:L$1000)</f>
        <v>0</v>
      </c>
      <c r="O1317" s="1" cm="1">
        <f t="array" ref="O1317">SUMPRODUCT(("T_B_u-BeVELCEXT"=[1]OUT_TransportEnergyCons!$A$3:$A$1000)*1,("Var_Fin"=[1]OUT_TransportEnergyCons!$B$3:$B$1000)*1,ISNUMBER(SEARCH("ELC",[1]OUT_TransportEnergyCons!$C$3:$C$1000))*1,[1]OUT_TransportEnergyCons!M$3:M$1000)</f>
        <v>0</v>
      </c>
      <c r="P1317" s="1" cm="1">
        <f t="array" ref="P1317">SUMPRODUCT(("T_B_u-BeVELCEXT"=[1]OUT_TransportEnergyCons!$A$3:$A$1000)*1,("Var_Fin"=[1]OUT_TransportEnergyCons!$B$3:$B$1000)*1,ISNUMBER(SEARCH("ELC",[1]OUT_TransportEnergyCons!$C$3:$C$1000))*1,[1]OUT_TransportEnergyCons!N$3:N$1000)</f>
        <v>0</v>
      </c>
      <c r="Q1317" s="1" cm="1">
        <f t="array" ref="Q1317">SUMPRODUCT(("T_B_u-BeVELCEXT"=[1]OUT_TransportEnergyCons!$A$3:$A$1000)*1,("Var_Fin"=[1]OUT_TransportEnergyCons!$B$3:$B$1000)*1,ISNUMBER(SEARCH("ELC",[1]OUT_TransportEnergyCons!$C$3:$C$1000))*1,[1]OUT_TransportEnergyCons!O$3:O$1000)</f>
        <v>0</v>
      </c>
      <c r="S1317" s="3"/>
    </row>
    <row r="1318" spans="2:19" x14ac:dyDescent="0.5">
      <c r="B1318" s="5" t="str">
        <f t="shared" si="1478"/>
        <v>SPS1</v>
      </c>
      <c r="C1318" s="5" t="str">
        <f t="shared" si="1479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4.793819529994707E-7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1.5879667787746139E-3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4.0063952903317893E-3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0.24628076910800989</v>
      </c>
      <c r="J1318" s="1" cm="1">
        <f t="array" ref="J1318">SUMPRODUCT(("T_B_u-BEVELC-S1"=[1]OUT_TransportEnergyCons!$A$3:$A$1000)*1,("Var_Fin"=[1]OUT_TransportEnergyCons!$B$3:$B$1000)*1,ISNUMBER(SEARCH("ELC",[1]OUT_TransportEnergyCons!$C$3:$C$1000))*1,[1]OUT_TransportEnergyCons!H$3:H$1000)</f>
        <v>0.24355348494104975</v>
      </c>
      <c r="K1318" s="1" cm="1">
        <f t="array" ref="K1318">SUMPRODUCT(("T_B_u-BEVELC-S1"=[1]OUT_TransportEnergyCons!$A$3:$A$1000)*1,("Var_Fin"=[1]OUT_TransportEnergyCons!$B$3:$B$1000)*1,ISNUMBER(SEARCH("ELC",[1]OUT_TransportEnergyCons!$C$3:$C$1000))*1,[1]OUT_TransportEnergyCons!I$3:I$1000)</f>
        <v>0.25246996579885977</v>
      </c>
      <c r="L1318" s="1" cm="1">
        <f t="array" ref="L1318">SUMPRODUCT(("T_B_u-BEVELC-S1"=[1]OUT_TransportEnergyCons!$A$3:$A$1000)*1,("Var_Fin"=[1]OUT_TransportEnergyCons!$B$3:$B$1000)*1,ISNUMBER(SEARCH("ELC",[1]OUT_TransportEnergyCons!$C$3:$C$1000))*1,[1]OUT_TransportEnergyCons!J$3:J$1000)</f>
        <v>0.24736349746091821</v>
      </c>
      <c r="M1318" s="1" cm="1">
        <f t="array" ref="M1318">SUMPRODUCT(("T_B_u-BEVELC-S1"=[1]OUT_TransportEnergyCons!$A$3:$A$1000)*1,("Var_Fin"=[1]OUT_TransportEnergyCons!$B$3:$B$1000)*1,ISNUMBER(SEARCH("ELC",[1]OUT_TransportEnergyCons!$C$3:$C$1000))*1,[1]OUT_TransportEnergyCons!K$3:K$1000)</f>
        <v>0.23617919781400087</v>
      </c>
      <c r="N1318" s="1" cm="1">
        <f t="array" ref="N1318">SUMPRODUCT(("T_B_u-BEVELC-S1"=[1]OUT_TransportEnergyCons!$A$3:$A$1000)*1,("Var_Fin"=[1]OUT_TransportEnergyCons!$B$3:$B$1000)*1,ISNUMBER(SEARCH("ELC",[1]OUT_TransportEnergyCons!$C$3:$C$1000))*1,[1]OUT_TransportEnergyCons!L$3:L$1000)</f>
        <v>0.23619843190016229</v>
      </c>
      <c r="O1318" s="1" cm="1">
        <f t="array" ref="O1318">SUMPRODUCT(("T_B_u-BEVELC-S1"=[1]OUT_TransportEnergyCons!$A$3:$A$1000)*1,("Var_Fin"=[1]OUT_TransportEnergyCons!$B$3:$B$1000)*1,ISNUMBER(SEARCH("ELC",[1]OUT_TransportEnergyCons!$C$3:$C$1000))*1,[1]OUT_TransportEnergyCons!M$3:M$1000)</f>
        <v>0.22667877108497198</v>
      </c>
      <c r="P1318" s="1" cm="1">
        <f t="array" ref="P1318">SUMPRODUCT(("T_B_u-BEVELC-S1"=[1]OUT_TransportEnergyCons!$A$3:$A$1000)*1,("Var_Fin"=[1]OUT_TransportEnergyCons!$B$3:$B$1000)*1,ISNUMBER(SEARCH("ELC",[1]OUT_TransportEnergyCons!$C$3:$C$1000))*1,[1]OUT_TransportEnergyCons!N$3:N$1000)</f>
        <v>0.16602965443069423</v>
      </c>
      <c r="Q1318" s="1" cm="1">
        <f t="array" ref="Q1318">SUMPRODUCT(("T_B_u-BEVELC-S1"=[1]OUT_TransportEnergyCons!$A$3:$A$1000)*1,("Var_Fin"=[1]OUT_TransportEnergyCons!$B$3:$B$1000)*1,ISNUMBER(SEARCH("ELC",[1]OUT_TransportEnergyCons!$C$3:$C$1000))*1,[1]OUT_TransportEnergyCons!O$3:O$1000)</f>
        <v>0.14545907692983326</v>
      </c>
      <c r="S1318" s="3"/>
    </row>
    <row r="1319" spans="2:19" x14ac:dyDescent="0.5">
      <c r="B1319" s="5" t="str">
        <f t="shared" si="1478"/>
        <v>SPS1</v>
      </c>
      <c r="C1319" s="5" t="str">
        <f t="shared" si="1479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1.4694165039696309E-3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2.5138366542109209E-3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4.8244106323028337E-3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0.12254754519616584</v>
      </c>
      <c r="J1319" s="1" cm="1">
        <f t="array" ref="J1319">SUMPRODUCT(("T_B_u-BEVELC-S2"=[1]OUT_TransportEnergyCons!$A$3:$A$1000)*1,("Var_Fin"=[1]OUT_TransportEnergyCons!$B$3:$B$1000)*1,ISNUMBER(SEARCH("ELC",[1]OUT_TransportEnergyCons!$C$3:$C$1000))*1,[1]OUT_TransportEnergyCons!H$3:H$1000)</f>
        <v>0.12161181395255781</v>
      </c>
      <c r="K1319" s="1" cm="1">
        <f t="array" ref="K1319">SUMPRODUCT(("T_B_u-BEVELC-S2"=[1]OUT_TransportEnergyCons!$A$3:$A$1000)*1,("Var_Fin"=[1]OUT_TransportEnergyCons!$B$3:$B$1000)*1,ISNUMBER(SEARCH("ELC",[1]OUT_TransportEnergyCons!$C$3:$C$1000))*1,[1]OUT_TransportEnergyCons!I$3:I$1000)</f>
        <v>0.12491841454333513</v>
      </c>
      <c r="L1319" s="1" cm="1">
        <f t="array" ref="L1319">SUMPRODUCT(("T_B_u-BEVELC-S2"=[1]OUT_TransportEnergyCons!$A$3:$A$1000)*1,("Var_Fin"=[1]OUT_TransportEnergyCons!$B$3:$B$1000)*1,ISNUMBER(SEARCH("ELC",[1]OUT_TransportEnergyCons!$C$3:$C$1000))*1,[1]OUT_TransportEnergyCons!J$3:J$1000)</f>
        <v>0.1234895708741237</v>
      </c>
      <c r="M1319" s="1" cm="1">
        <f t="array" ref="M1319">SUMPRODUCT(("T_B_u-BEVELC-S2"=[1]OUT_TransportEnergyCons!$A$3:$A$1000)*1,("Var_Fin"=[1]OUT_TransportEnergyCons!$B$3:$B$1000)*1,ISNUMBER(SEARCH("ELC",[1]OUT_TransportEnergyCons!$C$3:$C$1000))*1,[1]OUT_TransportEnergyCons!K$3:K$1000)</f>
        <v>0.11811000978254832</v>
      </c>
      <c r="N1319" s="1" cm="1">
        <f t="array" ref="N1319">SUMPRODUCT(("T_B_u-BEVELC-S2"=[1]OUT_TransportEnergyCons!$A$3:$A$1000)*1,("Var_Fin"=[1]OUT_TransportEnergyCons!$B$3:$B$1000)*1,ISNUMBER(SEARCH("ELC",[1]OUT_TransportEnergyCons!$C$3:$C$1000))*1,[1]OUT_TransportEnergyCons!L$3:L$1000)</f>
        <v>0.11854028030394929</v>
      </c>
      <c r="O1319" s="1" cm="1">
        <f t="array" ref="O1319">SUMPRODUCT(("T_B_u-BEVELC-S2"=[1]OUT_TransportEnergyCons!$A$3:$A$1000)*1,("Var_Fin"=[1]OUT_TransportEnergyCons!$B$3:$B$1000)*1,ISNUMBER(SEARCH("ELC",[1]OUT_TransportEnergyCons!$C$3:$C$1000))*1,[1]OUT_TransportEnergyCons!M$3:M$1000)</f>
        <v>0.11915088882910019</v>
      </c>
      <c r="P1319" s="1" cm="1">
        <f t="array" ref="P1319">SUMPRODUCT(("T_B_u-BEVELC-S2"=[1]OUT_TransportEnergyCons!$A$3:$A$1000)*1,("Var_Fin"=[1]OUT_TransportEnergyCons!$B$3:$B$1000)*1,ISNUMBER(SEARCH("ELC",[1]OUT_TransportEnergyCons!$C$3:$C$1000))*1,[1]OUT_TransportEnergyCons!N$3:N$1000)</f>
        <v>0.1211542514919506</v>
      </c>
      <c r="Q1319" s="1" cm="1">
        <f t="array" ref="Q1319">SUMPRODUCT(("T_B_u-BEVELC-S2"=[1]OUT_TransportEnergyCons!$A$3:$A$1000)*1,("Var_Fin"=[1]OUT_TransportEnergyCons!$B$3:$B$1000)*1,ISNUMBER(SEARCH("ELC",[1]OUT_TransportEnergyCons!$C$3:$C$1000))*1,[1]OUT_TransportEnergyCons!O$3:O$1000)</f>
        <v>0.12171852303107472</v>
      </c>
      <c r="S1319" s="3"/>
    </row>
    <row r="1320" spans="2:19" x14ac:dyDescent="0.5">
      <c r="B1320" s="5" t="str">
        <f t="shared" si="1478"/>
        <v>SPS1</v>
      </c>
      <c r="C1320" s="5" t="str">
        <f t="shared" si="1479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4.4491575027101656E-3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6.2239410764582679E-3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7.5710928507537849E-3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0.48618547323680456</v>
      </c>
      <c r="J1320" s="1" cm="1">
        <f t="array" ref="J1320">SUMPRODUCT(("T_B_u-BEVELC-S3"=[1]OUT_TransportEnergyCons!$A$3:$A$1000)*1,("Var_Fin"=[1]OUT_TransportEnergyCons!$B$3:$B$1000)*1,ISNUMBER(SEARCH("ELC",[1]OUT_TransportEnergyCons!$C$3:$C$1000))*1,[1]OUT_TransportEnergyCons!H$3:H$1000)</f>
        <v>0.46084316224721528</v>
      </c>
      <c r="K1320" s="1" cm="1">
        <f t="array" ref="K1320">SUMPRODUCT(("T_B_u-BEVELC-S3"=[1]OUT_TransportEnergyCons!$A$3:$A$1000)*1,("Var_Fin"=[1]OUT_TransportEnergyCons!$B$3:$B$1000)*1,ISNUMBER(SEARCH("ELC",[1]OUT_TransportEnergyCons!$C$3:$C$1000))*1,[1]OUT_TransportEnergyCons!I$3:I$1000)</f>
        <v>0.40342168315187354</v>
      </c>
      <c r="L1320" s="1" cm="1">
        <f t="array" ref="L1320">SUMPRODUCT(("T_B_u-BEVELC-S3"=[1]OUT_TransportEnergyCons!$A$3:$A$1000)*1,("Var_Fin"=[1]OUT_TransportEnergyCons!$B$3:$B$1000)*1,ISNUMBER(SEARCH("ELC",[1]OUT_TransportEnergyCons!$C$3:$C$1000))*1,[1]OUT_TransportEnergyCons!J$3:J$1000)</f>
        <v>0.36757682756469878</v>
      </c>
      <c r="M1320" s="1" cm="1">
        <f t="array" ref="M1320">SUMPRODUCT(("T_B_u-BEVELC-S3"=[1]OUT_TransportEnergyCons!$A$3:$A$1000)*1,("Var_Fin"=[1]OUT_TransportEnergyCons!$B$3:$B$1000)*1,ISNUMBER(SEARCH("ELC",[1]OUT_TransportEnergyCons!$C$3:$C$1000))*1,[1]OUT_TransportEnergyCons!K$3:K$1000)</f>
        <v>0.32188685038357279</v>
      </c>
      <c r="N1320" s="1" cm="1">
        <f t="array" ref="N1320">SUMPRODUCT(("T_B_u-BEVELC-S3"=[1]OUT_TransportEnergyCons!$A$3:$A$1000)*1,("Var_Fin"=[1]OUT_TransportEnergyCons!$B$3:$B$1000)*1,ISNUMBER(SEARCH("ELC",[1]OUT_TransportEnergyCons!$C$3:$C$1000))*1,[1]OUT_TransportEnergyCons!L$3:L$1000)</f>
        <v>0.30042786228859297</v>
      </c>
      <c r="O1320" s="1" cm="1">
        <f t="array" ref="O1320">SUMPRODUCT(("T_B_u-BEVELC-S3"=[1]OUT_TransportEnergyCons!$A$3:$A$1000)*1,("Var_Fin"=[1]OUT_TransportEnergyCons!$B$3:$B$1000)*1,ISNUMBER(SEARCH("ELC",[1]OUT_TransportEnergyCons!$C$3:$C$1000))*1,[1]OUT_TransportEnergyCons!M$3:M$1000)</f>
        <v>0.29973684301818759</v>
      </c>
      <c r="P1320" s="1" cm="1">
        <f t="array" ref="P1320">SUMPRODUCT(("T_B_u-BEVELC-S3"=[1]OUT_TransportEnergyCons!$A$3:$A$1000)*1,("Var_Fin"=[1]OUT_TransportEnergyCons!$B$3:$B$1000)*1,ISNUMBER(SEARCH("ELC",[1]OUT_TransportEnergyCons!$C$3:$C$1000))*1,[1]OUT_TransportEnergyCons!N$3:N$1000)</f>
        <v>0.41615190636414084</v>
      </c>
      <c r="Q1320" s="1" cm="1">
        <f t="array" ref="Q1320">SUMPRODUCT(("T_B_u-BEVELC-S3"=[1]OUT_TransportEnergyCons!$A$3:$A$1000)*1,("Var_Fin"=[1]OUT_TransportEnergyCons!$B$3:$B$1000)*1,ISNUMBER(SEARCH("ELC",[1]OUT_TransportEnergyCons!$C$3:$C$1000))*1,[1]OUT_TransportEnergyCons!O$3:O$1000)</f>
        <v>0.47974757889855696</v>
      </c>
      <c r="S1320" s="3"/>
    </row>
    <row r="1321" spans="2:19" x14ac:dyDescent="0.5">
      <c r="B1321" s="5" t="str">
        <f t="shared" si="1478"/>
        <v>SPS1</v>
      </c>
      <c r="C1321" s="5" t="str">
        <f t="shared" si="1479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2.856987339125235E-4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4.5932633229145745E-4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8.3854126260971386E-4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3.2922008998259567E-4</v>
      </c>
      <c r="J1321" s="1" cm="1">
        <f t="array" ref="J1321">SUMPRODUCT(("T_B_u-BEVELC-S4"=[1]OUT_TransportEnergyCons!$A$3:$A$1000)*1,("Var_Fin"=[1]OUT_TransportEnergyCons!$B$3:$B$1000)*1,ISNUMBER(SEARCH("ELC",[1]OUT_TransportEnergyCons!$C$3:$C$1000))*1,[1]OUT_TransportEnergyCons!H$3:H$1000)</f>
        <v>3.4588477977134176E-4</v>
      </c>
      <c r="K1321" s="1" cm="1">
        <f t="array" ref="K1321">SUMPRODUCT(("T_B_u-BEVELC-S4"=[1]OUT_TransportEnergyCons!$A$3:$A$1000)*1,("Var_Fin"=[1]OUT_TransportEnergyCons!$B$3:$B$1000)*1,ISNUMBER(SEARCH("ELC",[1]OUT_TransportEnergyCons!$C$3:$C$1000))*1,[1]OUT_TransportEnergyCons!I$3:I$1000)</f>
        <v>4.6114812461896384E-4</v>
      </c>
      <c r="L1321" s="1" cm="1">
        <f t="array" ref="L1321">SUMPRODUCT(("T_B_u-BEVELC-S4"=[1]OUT_TransportEnergyCons!$A$3:$A$1000)*1,("Var_Fin"=[1]OUT_TransportEnergyCons!$B$3:$B$1000)*1,ISNUMBER(SEARCH("ELC",[1]OUT_TransportEnergyCons!$C$3:$C$1000))*1,[1]OUT_TransportEnergyCons!J$3:J$1000)</f>
        <v>4.7638285666370722E-4</v>
      </c>
      <c r="M1321" s="1" cm="1">
        <f t="array" ref="M1321">SUMPRODUCT(("T_B_u-BEVELC-S4"=[1]OUT_TransportEnergyCons!$A$3:$A$1000)*1,("Var_Fin"=[1]OUT_TransportEnergyCons!$B$3:$B$1000)*1,ISNUMBER(SEARCH("ELC",[1]OUT_TransportEnergyCons!$C$3:$C$1000))*1,[1]OUT_TransportEnergyCons!K$3:K$1000)</f>
        <v>8.1357604018503942E-4</v>
      </c>
      <c r="N1321" s="1" cm="1">
        <f t="array" ref="N1321">SUMPRODUCT(("T_B_u-BEVELC-S4"=[1]OUT_TransportEnergyCons!$A$3:$A$1000)*1,("Var_Fin"=[1]OUT_TransportEnergyCons!$B$3:$B$1000)*1,ISNUMBER(SEARCH("ELC",[1]OUT_TransportEnergyCons!$C$3:$C$1000))*1,[1]OUT_TransportEnergyCons!L$3:L$1000)</f>
        <v>5.8433917049389506E-4</v>
      </c>
      <c r="O1321" s="1" cm="1">
        <f t="array" ref="O1321">SUMPRODUCT(("T_B_u-BEVELC-S4"=[1]OUT_TransportEnergyCons!$A$3:$A$1000)*1,("Var_Fin"=[1]OUT_TransportEnergyCons!$B$3:$B$1000)*1,ISNUMBER(SEARCH("ELC",[1]OUT_TransportEnergyCons!$C$3:$C$1000))*1,[1]OUT_TransportEnergyCons!M$3:M$1000)</f>
        <v>6.9318148596126956E-4</v>
      </c>
      <c r="P1321" s="1" cm="1">
        <f t="array" ref="P1321">SUMPRODUCT(("T_B_u-BEVELC-S4"=[1]OUT_TransportEnergyCons!$A$3:$A$1000)*1,("Var_Fin"=[1]OUT_TransportEnergyCons!$B$3:$B$1000)*1,ISNUMBER(SEARCH("ELC",[1]OUT_TransportEnergyCons!$C$3:$C$1000))*1,[1]OUT_TransportEnergyCons!N$3:N$1000)</f>
        <v>7.7097794315113884E-4</v>
      </c>
      <c r="Q1321" s="1" cm="1">
        <f t="array" ref="Q1321">SUMPRODUCT(("T_B_u-BEVELC-S4"=[1]OUT_TransportEnergyCons!$A$3:$A$1000)*1,("Var_Fin"=[1]OUT_TransportEnergyCons!$B$3:$B$1000)*1,ISNUMBER(SEARCH("ELC",[1]OUT_TransportEnergyCons!$C$3:$C$1000))*1,[1]OUT_TransportEnergyCons!O$3:O$1000)</f>
        <v>1.2010975240912475E-3</v>
      </c>
      <c r="S1321" s="3"/>
    </row>
    <row r="1322" spans="2:19" x14ac:dyDescent="0.5">
      <c r="B1322" s="5" t="str">
        <f t="shared" si="1478"/>
        <v>SPS1</v>
      </c>
      <c r="C1322" s="5" t="str">
        <f t="shared" si="1479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480">SUM(G1323:G1326)</f>
        <v>0</v>
      </c>
      <c r="H1322" s="1">
        <f t="shared" si="1480"/>
        <v>0</v>
      </c>
      <c r="I1322" s="1">
        <f t="shared" si="1480"/>
        <v>2.8816140778420611E-6</v>
      </c>
      <c r="J1322" s="1">
        <f t="shared" si="1480"/>
        <v>3.2231921913748522E-7</v>
      </c>
      <c r="K1322" s="1">
        <f t="shared" si="1480"/>
        <v>0</v>
      </c>
      <c r="L1322" s="1">
        <f t="shared" ref="L1322:O1322" si="1481">SUM(L1323:L1326)</f>
        <v>0</v>
      </c>
      <c r="M1322" s="1">
        <f t="shared" si="1481"/>
        <v>0</v>
      </c>
      <c r="N1322" s="1">
        <f t="shared" si="1481"/>
        <v>0</v>
      </c>
      <c r="O1322" s="1">
        <f t="shared" si="1481"/>
        <v>0</v>
      </c>
      <c r="P1322" s="1">
        <f>SUM(P1323:P1326)</f>
        <v>0</v>
      </c>
      <c r="Q1322" s="1">
        <f>SUM(Q1323:Q1326)</f>
        <v>5.0482333640270484E-7</v>
      </c>
      <c r="S1322" s="3"/>
    </row>
    <row r="1323" spans="2:19" x14ac:dyDescent="0.5">
      <c r="B1323" s="5" t="str">
        <f t="shared" si="1478"/>
        <v>SPS1</v>
      </c>
      <c r="C1323" s="5" t="str">
        <f t="shared" si="1479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2.8816140778420611E-6</v>
      </c>
      <c r="J1323" s="1" cm="1">
        <f t="array" ref="J1323">SUMPRODUCT(("T_B_u-FCLH2O-S1"=[1]OUT_TransportEnergyCons!$A$3:$A$1000)*1,("Var_Fin"=[1]OUT_TransportEnergyCons!$B$3:$B$1000)*1,ISNUMBER(SEARCH("H2",[1]OUT_TransportEnergyCons!$C$3:$C$1000))*1,[1]OUT_TransportEnergyCons!H$3:H$1000)</f>
        <v>3.2231921913748522E-7</v>
      </c>
      <c r="K1323" s="1" cm="1">
        <f t="array" ref="K1323">SUMPRODUCT(("T_B_u-FCLH2O-S1"=[1]OUT_TransportEnergyCons!$A$3:$A$1000)*1,("Var_Fin"=[1]OUT_TransportEnergyCons!$B$3:$B$1000)*1,ISNUMBER(SEARCH("H2",[1]OUT_TransportEnergyCons!$C$3:$C$1000))*1,[1]OUT_TransportEnergyCons!I$3:I$1000)</f>
        <v>0</v>
      </c>
      <c r="L1323" s="1" cm="1">
        <f t="array" ref="L1323">SUMPRODUCT(("T_B_u-FCLH2O-S1"=[1]OUT_TransportEnergyCons!$A$3:$A$1000)*1,("Var_Fin"=[1]OUT_TransportEnergyCons!$B$3:$B$1000)*1,ISNUMBER(SEARCH("H2",[1]OUT_TransportEnergyCons!$C$3:$C$1000))*1,[1]OUT_TransportEnergyCons!J$3:J$1000)</f>
        <v>0</v>
      </c>
      <c r="M1323" s="1" cm="1">
        <f t="array" ref="M1323">SUMPRODUCT(("T_B_u-FCLH2O-S1"=[1]OUT_TransportEnergyCons!$A$3:$A$1000)*1,("Var_Fin"=[1]OUT_TransportEnergyCons!$B$3:$B$1000)*1,ISNUMBER(SEARCH("H2",[1]OUT_TransportEnergyCons!$C$3:$C$1000))*1,[1]OUT_TransportEnergyCons!K$3:K$1000)</f>
        <v>0</v>
      </c>
      <c r="N1323" s="1" cm="1">
        <f t="array" ref="N1323">SUMPRODUCT(("T_B_u-FCLH2O-S1"=[1]OUT_TransportEnergyCons!$A$3:$A$1000)*1,("Var_Fin"=[1]OUT_TransportEnergyCons!$B$3:$B$1000)*1,ISNUMBER(SEARCH("H2",[1]OUT_TransportEnergyCons!$C$3:$C$1000))*1,[1]OUT_TransportEnergyCons!L$3:L$1000)</f>
        <v>0</v>
      </c>
      <c r="O1323" s="1" cm="1">
        <f t="array" ref="O1323">SUMPRODUCT(("T_B_u-FCLH2O-S1"=[1]OUT_TransportEnergyCons!$A$3:$A$1000)*1,("Var_Fin"=[1]OUT_TransportEnergyCons!$B$3:$B$1000)*1,ISNUMBER(SEARCH("H2",[1]OUT_TransportEnergyCons!$C$3:$C$1000))*1,[1]OUT_TransportEnergyCons!M$3:M$1000)</f>
        <v>0</v>
      </c>
      <c r="P1323" s="1" cm="1">
        <f t="array" ref="P1323">SUMPRODUCT(("T_B_u-FCLH2O-S1"=[1]OUT_TransportEnergyCons!$A$3:$A$1000)*1,("Var_Fin"=[1]OUT_TransportEnergyCons!$B$3:$B$1000)*1,ISNUMBER(SEARCH("H2",[1]OUT_TransportEnergyCons!$C$3:$C$1000))*1,[1]OUT_TransportEnergyCons!N$3:N$1000)</f>
        <v>0</v>
      </c>
      <c r="Q1323" s="1" cm="1">
        <f t="array" ref="Q1323">SUMPRODUCT(("T_B_u-FCLH2O-S1"=[1]OUT_TransportEnergyCons!$A$3:$A$1000)*1,("Var_Fin"=[1]OUT_TransportEnergyCons!$B$3:$B$1000)*1,ISNUMBER(SEARCH("H2",[1]OUT_TransportEnergyCons!$C$3:$C$1000))*1,[1]OUT_TransportEnergyCons!O$3:O$1000)</f>
        <v>5.0482333640270484E-7</v>
      </c>
      <c r="S1323" s="3"/>
    </row>
    <row r="1324" spans="2:19" x14ac:dyDescent="0.5">
      <c r="B1324" s="5" t="str">
        <f t="shared" si="1478"/>
        <v>SPS1</v>
      </c>
      <c r="C1324" s="5" t="str">
        <f t="shared" si="1479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SUMPRODUCT(("T_B_u-FCLH2O-S2"=[1]OUT_TransportEnergyCons!$A$3:$A$1000)*1,("Var_Fin"=[1]OUT_TransportEnergyCons!$B$3:$B$1000)*1,ISNUMBER(SEARCH("H2",[1]OUT_TransportEnergyCons!$C$3:$C$1000))*1,[1]OUT_TransportEnergyCons!H$3:H$1000)</f>
        <v>0</v>
      </c>
      <c r="K1324" s="1" cm="1">
        <f t="array" ref="K1324">SUMPRODUCT(("T_B_u-FCLH2O-S2"=[1]OUT_TransportEnergyCons!$A$3:$A$1000)*1,("Var_Fin"=[1]OUT_TransportEnergyCons!$B$3:$B$1000)*1,ISNUMBER(SEARCH("H2",[1]OUT_TransportEnergyCons!$C$3:$C$1000))*1,[1]OUT_TransportEnergyCons!I$3:I$1000)</f>
        <v>0</v>
      </c>
      <c r="L1324" s="1" cm="1">
        <f t="array" ref="L1324">SUMPRODUCT(("T_B_u-FCLH2O-S2"=[1]OUT_TransportEnergyCons!$A$3:$A$1000)*1,("Var_Fin"=[1]OUT_TransportEnergyCons!$B$3:$B$1000)*1,ISNUMBER(SEARCH("H2",[1]OUT_TransportEnergyCons!$C$3:$C$1000))*1,[1]OUT_TransportEnergyCons!J$3:J$1000)</f>
        <v>0</v>
      </c>
      <c r="M1324" s="1" cm="1">
        <f t="array" ref="M1324">SUMPRODUCT(("T_B_u-FCLH2O-S2"=[1]OUT_TransportEnergyCons!$A$3:$A$1000)*1,("Var_Fin"=[1]OUT_TransportEnergyCons!$B$3:$B$1000)*1,ISNUMBER(SEARCH("H2",[1]OUT_TransportEnergyCons!$C$3:$C$1000))*1,[1]OUT_TransportEnergyCons!K$3:K$1000)</f>
        <v>0</v>
      </c>
      <c r="N1324" s="1" cm="1">
        <f t="array" ref="N1324">SUMPRODUCT(("T_B_u-FCLH2O-S2"=[1]OUT_TransportEnergyCons!$A$3:$A$1000)*1,("Var_Fin"=[1]OUT_TransportEnergyCons!$B$3:$B$1000)*1,ISNUMBER(SEARCH("H2",[1]OUT_TransportEnergyCons!$C$3:$C$1000))*1,[1]OUT_TransportEnergyCons!L$3:L$1000)</f>
        <v>0</v>
      </c>
      <c r="O1324" s="1" cm="1">
        <f t="array" ref="O1324">SUMPRODUCT(("T_B_u-FCLH2O-S2"=[1]OUT_TransportEnergyCons!$A$3:$A$1000)*1,("Var_Fin"=[1]OUT_TransportEnergyCons!$B$3:$B$1000)*1,ISNUMBER(SEARCH("H2",[1]OUT_TransportEnergyCons!$C$3:$C$1000))*1,[1]OUT_TransportEnergyCons!M$3:M$1000)</f>
        <v>0</v>
      </c>
      <c r="P1324" s="1" cm="1">
        <f t="array" ref="P1324">SUMPRODUCT(("T_B_u-FCLH2O-S2"=[1]OUT_TransportEnergyCons!$A$3:$A$1000)*1,("Var_Fin"=[1]OUT_TransportEnergyCons!$B$3:$B$1000)*1,ISNUMBER(SEARCH("H2",[1]OUT_TransportEnergyCons!$C$3:$C$1000))*1,[1]OUT_TransportEnergyCons!N$3:N$1000)</f>
        <v>0</v>
      </c>
      <c r="Q1324" s="1" cm="1">
        <f t="array" ref="Q1324">SUMPRODUCT(("T_B_u-FCLH2O-S2"=[1]OUT_TransportEnergyCons!$A$3:$A$1000)*1,("Var_Fin"=[1]OUT_TransportEnergyCons!$B$3:$B$1000)*1,ISNUMBER(SEARCH("H2",[1]OUT_TransportEnergyCons!$C$3:$C$1000))*1,[1]OUT_TransportEnergyCons!O$3:O$1000)</f>
        <v>0</v>
      </c>
      <c r="S1324" s="3"/>
    </row>
    <row r="1325" spans="2:19" x14ac:dyDescent="0.5">
      <c r="B1325" s="5" t="str">
        <f t="shared" si="1478"/>
        <v>SPS1</v>
      </c>
      <c r="C1325" s="5" t="str">
        <f t="shared" si="1479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0</v>
      </c>
      <c r="J1325" s="1" cm="1">
        <f t="array" ref="J1325">SUMPRODUCT(("T_B_u-FCLH2O-S3"=[1]OUT_TransportEnergyCons!$A$3:$A$1000)*1,("Var_Fin"=[1]OUT_TransportEnergyCons!$B$3:$B$1000)*1,ISNUMBER(SEARCH("H2",[1]OUT_TransportEnergyCons!$C$3:$C$1000))*1,[1]OUT_TransportEnergyCons!H$3:H$1000)</f>
        <v>0</v>
      </c>
      <c r="K1325" s="1" cm="1">
        <f t="array" ref="K1325">SUMPRODUCT(("T_B_u-FCLH2O-S3"=[1]OUT_TransportEnergyCons!$A$3:$A$1000)*1,("Var_Fin"=[1]OUT_TransportEnergyCons!$B$3:$B$1000)*1,ISNUMBER(SEARCH("H2",[1]OUT_TransportEnergyCons!$C$3:$C$1000))*1,[1]OUT_TransportEnergyCons!I$3:I$1000)</f>
        <v>0</v>
      </c>
      <c r="L1325" s="1" cm="1">
        <f t="array" ref="L1325">SUMPRODUCT(("T_B_u-FCLH2O-S3"=[1]OUT_TransportEnergyCons!$A$3:$A$1000)*1,("Var_Fin"=[1]OUT_TransportEnergyCons!$B$3:$B$1000)*1,ISNUMBER(SEARCH("H2",[1]OUT_TransportEnergyCons!$C$3:$C$1000))*1,[1]OUT_TransportEnergyCons!J$3:J$1000)</f>
        <v>0</v>
      </c>
      <c r="M1325" s="1" cm="1">
        <f t="array" ref="M1325">SUMPRODUCT(("T_B_u-FCLH2O-S3"=[1]OUT_TransportEnergyCons!$A$3:$A$1000)*1,("Var_Fin"=[1]OUT_TransportEnergyCons!$B$3:$B$1000)*1,ISNUMBER(SEARCH("H2",[1]OUT_TransportEnergyCons!$C$3:$C$1000))*1,[1]OUT_TransportEnergyCons!K$3:K$1000)</f>
        <v>0</v>
      </c>
      <c r="N1325" s="1" cm="1">
        <f t="array" ref="N1325">SUMPRODUCT(("T_B_u-FCLH2O-S3"=[1]OUT_TransportEnergyCons!$A$3:$A$1000)*1,("Var_Fin"=[1]OUT_TransportEnergyCons!$B$3:$B$1000)*1,ISNUMBER(SEARCH("H2",[1]OUT_TransportEnergyCons!$C$3:$C$1000))*1,[1]OUT_TransportEnergyCons!L$3:L$1000)</f>
        <v>0</v>
      </c>
      <c r="O1325" s="1" cm="1">
        <f t="array" ref="O1325">SUMPRODUCT(("T_B_u-FCLH2O-S3"=[1]OUT_TransportEnergyCons!$A$3:$A$1000)*1,("Var_Fin"=[1]OUT_TransportEnergyCons!$B$3:$B$1000)*1,ISNUMBER(SEARCH("H2",[1]OUT_TransportEnergyCons!$C$3:$C$1000))*1,[1]OUT_TransportEnergyCons!M$3:M$1000)</f>
        <v>0</v>
      </c>
      <c r="P1325" s="1" cm="1">
        <f t="array" ref="P1325">SUMPRODUCT(("T_B_u-FCLH2O-S3"=[1]OUT_TransportEnergyCons!$A$3:$A$1000)*1,("Var_Fin"=[1]OUT_TransportEnergyCons!$B$3:$B$1000)*1,ISNUMBER(SEARCH("H2",[1]OUT_TransportEnergyCons!$C$3:$C$1000))*1,[1]OUT_TransportEnergyCons!N$3:N$1000)</f>
        <v>0</v>
      </c>
      <c r="Q1325" s="1" cm="1">
        <f t="array" ref="Q1325">SUMPRODUCT(("T_B_u-FCLH2O-S3"=[1]OUT_TransportEnergyCons!$A$3:$A$1000)*1,("Var_Fin"=[1]OUT_TransportEnergyCons!$B$3:$B$1000)*1,ISNUMBER(SEARCH("H2",[1]OUT_TransportEnergyCons!$C$3:$C$1000))*1,[1]OUT_TransportEnergyCons!O$3:O$1000)</f>
        <v>0</v>
      </c>
      <c r="S1325" s="3"/>
    </row>
    <row r="1326" spans="2:19" x14ac:dyDescent="0.5">
      <c r="B1326" s="5" t="str">
        <f t="shared" si="1478"/>
        <v>SPS1</v>
      </c>
      <c r="C1326" s="5" t="str">
        <f t="shared" si="1479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SUMPRODUCT(("T_B_u-FCLH2O-S4"=[1]OUT_TransportEnergyCons!$A$3:$A$1000)*1,("Var_Fin"=[1]OUT_TransportEnergyCons!$B$3:$B$1000)*1,ISNUMBER(SEARCH("H2",[1]OUT_TransportEnergyCons!$C$3:$C$1000))*1,[1]OUT_TransportEnergyCons!H$3:H$1000)</f>
        <v>0</v>
      </c>
      <c r="K1326" s="1" cm="1">
        <f t="array" ref="K1326">SUMPRODUCT(("T_B_u-FCLH2O-S4"=[1]OUT_TransportEnergyCons!$A$3:$A$1000)*1,("Var_Fin"=[1]OUT_TransportEnergyCons!$B$3:$B$1000)*1,ISNUMBER(SEARCH("H2",[1]OUT_TransportEnergyCons!$C$3:$C$1000))*1,[1]OUT_TransportEnergyCons!I$3:I$1000)</f>
        <v>0</v>
      </c>
      <c r="L1326" s="1" cm="1">
        <f t="array" ref="L1326">SUMPRODUCT(("T_B_u-FCLH2O-S4"=[1]OUT_TransportEnergyCons!$A$3:$A$1000)*1,("Var_Fin"=[1]OUT_TransportEnergyCons!$B$3:$B$1000)*1,ISNUMBER(SEARCH("H2",[1]OUT_TransportEnergyCons!$C$3:$C$1000))*1,[1]OUT_TransportEnergyCons!J$3:J$1000)</f>
        <v>0</v>
      </c>
      <c r="M1326" s="1" cm="1">
        <f t="array" ref="M1326">SUMPRODUCT(("T_B_u-FCLH2O-S4"=[1]OUT_TransportEnergyCons!$A$3:$A$1000)*1,("Var_Fin"=[1]OUT_TransportEnergyCons!$B$3:$B$1000)*1,ISNUMBER(SEARCH("H2",[1]OUT_TransportEnergyCons!$C$3:$C$1000))*1,[1]OUT_TransportEnergyCons!K$3:K$1000)</f>
        <v>0</v>
      </c>
      <c r="N1326" s="1" cm="1">
        <f t="array" ref="N1326">SUMPRODUCT(("T_B_u-FCLH2O-S4"=[1]OUT_TransportEnergyCons!$A$3:$A$1000)*1,("Var_Fin"=[1]OUT_TransportEnergyCons!$B$3:$B$1000)*1,ISNUMBER(SEARCH("H2",[1]OUT_TransportEnergyCons!$C$3:$C$1000))*1,[1]OUT_TransportEnergyCons!L$3:L$1000)</f>
        <v>0</v>
      </c>
      <c r="O1326" s="1" cm="1">
        <f t="array" ref="O1326">SUMPRODUCT(("T_B_u-FCLH2O-S4"=[1]OUT_TransportEnergyCons!$A$3:$A$1000)*1,("Var_Fin"=[1]OUT_TransportEnergyCons!$B$3:$B$1000)*1,ISNUMBER(SEARCH("H2",[1]OUT_TransportEnergyCons!$C$3:$C$1000))*1,[1]OUT_TransportEnergyCons!M$3:M$1000)</f>
        <v>0</v>
      </c>
      <c r="P1326" s="1" cm="1">
        <f t="array" ref="P1326">SUMPRODUCT(("T_B_u-FCLH2O-S4"=[1]OUT_TransportEnergyCons!$A$3:$A$1000)*1,("Var_Fin"=[1]OUT_TransportEnergyCons!$B$3:$B$1000)*1,ISNUMBER(SEARCH("H2",[1]OUT_TransportEnergyCons!$C$3:$C$1000))*1,[1]OUT_TransportEnergyCons!N$3:N$1000)</f>
        <v>0</v>
      </c>
      <c r="Q1326" s="1" cm="1">
        <f t="array" ref="Q1326">SUMPRODUCT(("T_B_u-FCLH2O-S4"=[1]OUT_TransportEnergyCons!$A$3:$A$1000)*1,("Var_Fin"=[1]OUT_TransportEnergyCons!$B$3:$B$1000)*1,ISNUMBER(SEARCH("H2",[1]OUT_TransportEnergyCons!$C$3:$C$1000))*1,[1]OUT_TransportEnergyCons!O$3:O$1000)</f>
        <v>0</v>
      </c>
      <c r="S1326" s="3"/>
    </row>
    <row r="1327" spans="2:19" x14ac:dyDescent="0.5">
      <c r="B1327" s="5" t="str">
        <f t="shared" si="1478"/>
        <v>SPS1</v>
      </c>
      <c r="C1327" s="5" t="str">
        <f t="shared" si="1479"/>
        <v>CH</v>
      </c>
      <c r="D1327" t="s">
        <v>1317</v>
      </c>
      <c r="E1327" t="s">
        <v>8</v>
      </c>
      <c r="F1327" s="1">
        <f>SUM(F1332:F1340)</f>
        <v>0.75326062393304227</v>
      </c>
      <c r="G1327" s="1">
        <f t="shared" ref="G1327:K1327" si="1482">SUM(G1332:G1340)</f>
        <v>1.3275120464873547</v>
      </c>
      <c r="H1327" s="1">
        <f t="shared" si="1482"/>
        <v>2.1564645250010046</v>
      </c>
      <c r="I1327" s="1">
        <f t="shared" si="1482"/>
        <v>0.82470550093441941</v>
      </c>
      <c r="J1327" s="1">
        <f t="shared" si="1482"/>
        <v>0.87969270541723121</v>
      </c>
      <c r="K1327" s="1">
        <f t="shared" si="1482"/>
        <v>0.99328539467989152</v>
      </c>
      <c r="L1327" s="1">
        <f t="shared" ref="L1327:O1327" si="1483">SUM(L1332:L1340)</f>
        <v>1.0694270010160911</v>
      </c>
      <c r="M1327" s="1">
        <f t="shared" si="1483"/>
        <v>1.1489684663044575</v>
      </c>
      <c r="N1327" s="1">
        <f t="shared" si="1483"/>
        <v>1.2305137538330222</v>
      </c>
      <c r="O1327" s="1">
        <f t="shared" si="1483"/>
        <v>1.3197011428800918</v>
      </c>
      <c r="P1327" s="1">
        <f>SUM(P1332:P1340)</f>
        <v>1.2682689878989739</v>
      </c>
      <c r="Q1327" s="1">
        <f>SUM(Q1332:Q1340)</f>
        <v>1.2642446080995635</v>
      </c>
      <c r="S1327" s="3"/>
    </row>
    <row r="1328" spans="2:19" x14ac:dyDescent="0.5">
      <c r="B1328" s="5" t="str">
        <f t="shared" si="1478"/>
        <v>SPS1</v>
      </c>
      <c r="C1328" s="5" t="str">
        <f t="shared" si="1479"/>
        <v>CH</v>
      </c>
      <c r="D1328" t="s">
        <v>1318</v>
      </c>
      <c r="E1328" t="s">
        <v>8</v>
      </c>
      <c r="F1328" s="1">
        <f>IF(F1327-F1329&lt;0,0,F1327-F1329)</f>
        <v>0.73453734499275136</v>
      </c>
      <c r="G1328" s="1">
        <f t="shared" ref="G1328:K1328" si="1484">IF(G1327-G1329&lt;0,0,G1327-G1329)</f>
        <v>1.2927735150387087</v>
      </c>
      <c r="H1328" s="1">
        <f t="shared" si="1484"/>
        <v>2.0597936793885294</v>
      </c>
      <c r="I1328" s="1">
        <f t="shared" si="1484"/>
        <v>0.79763136645683186</v>
      </c>
      <c r="J1328" s="1">
        <f t="shared" si="1484"/>
        <v>0.8486842762075848</v>
      </c>
      <c r="K1328" s="1">
        <f t="shared" si="1484"/>
        <v>0.95450242996713097</v>
      </c>
      <c r="L1328" s="1">
        <f t="shared" ref="L1328:O1328" si="1485">IF(L1327-L1329&lt;0,0,L1327-L1329)</f>
        <v>1.0272206609619614</v>
      </c>
      <c r="M1328" s="1">
        <f t="shared" si="1485"/>
        <v>1.1029297112784644</v>
      </c>
      <c r="N1328" s="1">
        <f t="shared" si="1485"/>
        <v>1.1806891637927095</v>
      </c>
      <c r="O1328" s="1">
        <f t="shared" si="1485"/>
        <v>1.2570029968253789</v>
      </c>
      <c r="P1328" s="1">
        <f>IF(P1327-P1329&lt;0,0,P1327-P1329)</f>
        <v>1.195202858658132</v>
      </c>
      <c r="Q1328" s="1">
        <f>IF(Q1327-Q1329&lt;0,0,Q1327-Q1329)</f>
        <v>1.1870154563327704</v>
      </c>
      <c r="S1328" s="3"/>
    </row>
    <row r="1329" spans="2:19" x14ac:dyDescent="0.5">
      <c r="B1329" s="5" t="str">
        <f t="shared" si="1478"/>
        <v>SPS1</v>
      </c>
      <c r="C1329" s="5" t="str">
        <f t="shared" si="1479"/>
        <v>CH</v>
      </c>
      <c r="D1329" t="s">
        <v>1319</v>
      </c>
      <c r="E1329" t="s">
        <v>8</v>
      </c>
      <c r="F1329" s="1">
        <f>SUM(F1330:F1331)</f>
        <v>1.8723278940290952E-2</v>
      </c>
      <c r="G1329" s="1">
        <f t="shared" ref="G1329" si="1486">SUM(G1330:G1331)</f>
        <v>3.4738531448645991E-2</v>
      </c>
      <c r="H1329" s="1">
        <f t="shared" ref="H1329" si="1487">SUM(H1330:H1331)</f>
        <v>9.667084561247534E-2</v>
      </c>
      <c r="I1329" s="1">
        <f t="shared" ref="I1329" si="1488">SUM(I1330:I1331)</f>
        <v>2.70741344775875E-2</v>
      </c>
      <c r="J1329" s="1">
        <f t="shared" ref="J1329" si="1489">SUM(J1330:J1331)</f>
        <v>3.1008429209646384E-2</v>
      </c>
      <c r="K1329" s="1">
        <f t="shared" ref="K1329" si="1490">SUM(K1330:K1331)</f>
        <v>3.8782964712760548E-2</v>
      </c>
      <c r="L1329" s="1">
        <f t="shared" ref="L1329:O1329" si="1491">SUM(L1330:L1331)</f>
        <v>4.2206340054129612E-2</v>
      </c>
      <c r="M1329" s="1">
        <f t="shared" si="1491"/>
        <v>4.6038755025993063E-2</v>
      </c>
      <c r="N1329" s="1">
        <f t="shared" si="1491"/>
        <v>4.9824590040312783E-2</v>
      </c>
      <c r="O1329" s="1">
        <f t="shared" si="1491"/>
        <v>6.2698146054712994E-2</v>
      </c>
      <c r="P1329" s="1">
        <f>SUM(P1330:P1331)</f>
        <v>7.3066129240841882E-2</v>
      </c>
      <c r="Q1329" s="1">
        <f>SUM(Q1330:Q1331)</f>
        <v>7.7229151766793236E-2</v>
      </c>
      <c r="S1329" s="3"/>
    </row>
    <row r="1330" spans="2:19" x14ac:dyDescent="0.5">
      <c r="B1330" s="5" t="str">
        <f t="shared" si="1478"/>
        <v>SPS1</v>
      </c>
      <c r="C1330" s="5" t="str">
        <f t="shared" si="1479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1.8723278940290952E-2</v>
      </c>
      <c r="G1330" s="1">
        <f>[1]Transport!C$26/SUM([1]Transport!C$22,[1]Transport!C$26)*G1327*(G$34+G$582)/(G$34+G$582+G$38)</f>
        <v>3.4738531448645991E-2</v>
      </c>
      <c r="H1330" s="1">
        <f>[1]Transport!D$26/SUM([1]Transport!D$22,[1]Transport!D$26)*H1327*(H$34+H$582)/(H$34+H$582+H$38)</f>
        <v>9.667084561247534E-2</v>
      </c>
      <c r="I1330" s="1">
        <f>[1]Transport!E$26/SUM([1]Transport!E$22,[1]Transport!E$26)*I1327*(I$34+I$582)/(I$34+I$582+I$38)</f>
        <v>2.70741344775875E-2</v>
      </c>
      <c r="J1330" s="1">
        <f>[1]Transport!F$26/SUM([1]Transport!F$22,[1]Transport!F$26)*J1327*(J$34+J$582)/(J$34+J$582+J$38)</f>
        <v>3.1008429209646384E-2</v>
      </c>
      <c r="K1330" s="1">
        <f>[1]Transport!G$26/SUM([1]Transport!G$22,[1]Transport!G$26)*K1327*(K$34+K$582)/(K$34+K$582+K$38)</f>
        <v>3.8782964712760548E-2</v>
      </c>
      <c r="L1330" s="1">
        <f>[1]Transport!H$26/SUM([1]Transport!H$22,[1]Transport!H$26)*L1327*(L$34+L$582)/(L$34+L$582+L$38)</f>
        <v>4.2206340054129612E-2</v>
      </c>
      <c r="M1330" s="1">
        <f>[1]Transport!I$26/SUM([1]Transport!I$22,[1]Transport!I$26)*M1327*(M$34+M$582)/(M$34+M$582+M$38)</f>
        <v>4.6038755025993063E-2</v>
      </c>
      <c r="N1330" s="1">
        <f>[1]Transport!J$26/SUM([1]Transport!J$22,[1]Transport!J$26)*N1327*(N$34+N$582)/(N$34+N$582+N$38)</f>
        <v>4.9824590040312783E-2</v>
      </c>
      <c r="O1330" s="1">
        <f>[1]Transport!K$26/SUM([1]Transport!K$22,[1]Transport!K$26)*O1327*(O$34+O$582)/(O$34+O$582+O$38)</f>
        <v>6.2698146054712994E-2</v>
      </c>
      <c r="P1330" s="1">
        <f>[1]Transport!L$26/SUM([1]Transport!L$22,[1]Transport!L$26)*P1327*(P$34+P$582)/(P$34+P$582+P$38)</f>
        <v>7.3066129240841882E-2</v>
      </c>
      <c r="Q1330" s="1">
        <f>[1]Transport!M$26/SUM([1]Transport!M$22,[1]Transport!M$26)*Q1327*(Q$34+Q$582)/(Q$34+Q$582+Q$38)</f>
        <v>7.7229151766793236E-2</v>
      </c>
      <c r="S1330" s="3"/>
    </row>
    <row r="1331" spans="2:19" x14ac:dyDescent="0.5">
      <c r="B1331" s="5" t="str">
        <f t="shared" si="1478"/>
        <v>SPS1</v>
      </c>
      <c r="C1331" s="5" t="str">
        <f t="shared" si="1479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(J$38+J$718)/([1]Transport!F$22+[1]Transport!F$26)*J1327</f>
        <v>0</v>
      </c>
      <c r="K1331" s="1">
        <f>(K$38+K$718)/([1]Transport!G$22+[1]Transport!G$26)*K1327</f>
        <v>0</v>
      </c>
      <c r="L1331" s="1">
        <f>(L$38+L$718)/([1]Transport!H$22+[1]Transport!H$26)*L1327</f>
        <v>0</v>
      </c>
      <c r="M1331" s="1">
        <f>(M$38+M$718)/([1]Transport!I$22+[1]Transport!I$26)*M1327</f>
        <v>0</v>
      </c>
      <c r="N1331" s="1">
        <f>(N$38+N$718)/([1]Transport!J$22+[1]Transport!J$26)*N1327</f>
        <v>0</v>
      </c>
      <c r="O1331" s="1">
        <f>(O$38+O$718)/([1]Transport!K$22+[1]Transport!K$26)*O1327</f>
        <v>0</v>
      </c>
      <c r="P1331" s="1">
        <f>(P$38+P$718)/([1]Transport!L$22+[1]Transport!L$26)*P1327</f>
        <v>0</v>
      </c>
      <c r="Q1331" s="1">
        <f>(Q$38+Q$718)/([1]Transport!M$22+[1]Transport!M$26)*Q1327</f>
        <v>0</v>
      </c>
      <c r="S1331" s="3"/>
    </row>
    <row r="1332" spans="2:19" x14ac:dyDescent="0.5">
      <c r="B1332" s="5" t="str">
        <f t="shared" si="1478"/>
        <v>SPS1</v>
      </c>
      <c r="C1332" s="5" t="str">
        <f t="shared" si="1479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7.5164818031760467E-3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8.5902036182217926E-3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1.0262610064043689E-3</v>
      </c>
      <c r="J1332" s="1" cm="1">
        <f t="array" ref="J1332">SUMPRODUCT(("T_B_u-HYBDSL-S1"=[1]OUT_TransportEnergyCons!$A$3:$A$1000)*1,("Var_Fin"=[1]OUT_TransportEnergyCons!$B$3:$B$1000)*1,ISNUMBER(SEARCH("DSL",[1]OUT_TransportEnergyCons!$C$3:$C$1000))*1,[1]OUT_TransportEnergyCons!H$3:H$1000)</f>
        <v>2.4004429774428346E-3</v>
      </c>
      <c r="K1332" s="1" cm="1">
        <f t="array" ref="K1332">SUMPRODUCT(("T_B_u-HYBDSL-S1"=[1]OUT_TransportEnergyCons!$A$3:$A$1000)*1,("Var_Fin"=[1]OUT_TransportEnergyCons!$B$3:$B$1000)*1,ISNUMBER(SEARCH("DSL",[1]OUT_TransportEnergyCons!$C$3:$C$1000))*1,[1]OUT_TransportEnergyCons!I$3:I$1000)</f>
        <v>3.2730782840501645E-3</v>
      </c>
      <c r="L1332" s="1" cm="1">
        <f t="array" ref="L1332">SUMPRODUCT(("T_B_u-HYBDSL-S1"=[1]OUT_TransportEnergyCons!$A$3:$A$1000)*1,("Var_Fin"=[1]OUT_TransportEnergyCons!$B$3:$B$1000)*1,ISNUMBER(SEARCH("DSL",[1]OUT_TransportEnergyCons!$C$3:$C$1000))*1,[1]OUT_TransportEnergyCons!J$3:J$1000)</f>
        <v>5.953631815505088E-3</v>
      </c>
      <c r="M1332" s="1" cm="1">
        <f t="array" ref="M1332">SUMPRODUCT(("T_B_u-HYBDSL-S1"=[1]OUT_TransportEnergyCons!$A$3:$A$1000)*1,("Var_Fin"=[1]OUT_TransportEnergyCons!$B$3:$B$1000)*1,ISNUMBER(SEARCH("DSL",[1]OUT_TransportEnergyCons!$C$3:$C$1000))*1,[1]OUT_TransportEnergyCons!K$3:K$1000)</f>
        <v>1.2883579497397438E-2</v>
      </c>
      <c r="N1332" s="1" cm="1">
        <f t="array" ref="N1332">SUMPRODUCT(("T_B_u-HYBDSL-S1"=[1]OUT_TransportEnergyCons!$A$3:$A$1000)*1,("Var_Fin"=[1]OUT_TransportEnergyCons!$B$3:$B$1000)*1,ISNUMBER(SEARCH("DSL",[1]OUT_TransportEnergyCons!$C$3:$C$1000))*1,[1]OUT_TransportEnergyCons!L$3:L$1000)</f>
        <v>2.1869793466173022E-2</v>
      </c>
      <c r="O1332" s="1" cm="1">
        <f t="array" ref="O1332">SUMPRODUCT(("T_B_u-HYBDSL-S1"=[1]OUT_TransportEnergyCons!$A$3:$A$1000)*1,("Var_Fin"=[1]OUT_TransportEnergyCons!$B$3:$B$1000)*1,ISNUMBER(SEARCH("DSL",[1]OUT_TransportEnergyCons!$C$3:$C$1000))*1,[1]OUT_TransportEnergyCons!M$3:M$1000)</f>
        <v>5.6608734305755692E-2</v>
      </c>
      <c r="P1332" s="1" cm="1">
        <f t="array" ref="P1332">SUMPRODUCT(("T_B_u-HYBDSL-S1"=[1]OUT_TransportEnergyCons!$A$3:$A$1000)*1,("Var_Fin"=[1]OUT_TransportEnergyCons!$B$3:$B$1000)*1,ISNUMBER(SEARCH("DSL",[1]OUT_TransportEnergyCons!$C$3:$C$1000))*1,[1]OUT_TransportEnergyCons!N$3:N$1000)</f>
        <v>0.22117596310682361</v>
      </c>
      <c r="Q1332" s="1" cm="1">
        <f t="array" ref="Q1332">SUMPRODUCT(("T_B_u-HYBDSL-S1"=[1]OUT_TransportEnergyCons!$A$3:$A$1000)*1,("Var_Fin"=[1]OUT_TransportEnergyCons!$B$3:$B$1000)*1,ISNUMBER(SEARCH("DSL",[1]OUT_TransportEnergyCons!$C$3:$C$1000))*1,[1]OUT_TransportEnergyCons!O$3:O$1000)</f>
        <v>0.29162055674185056</v>
      </c>
      <c r="S1332" s="3"/>
    </row>
    <row r="1333" spans="2:19" x14ac:dyDescent="0.5">
      <c r="B1333" s="5" t="str">
        <f t="shared" si="1478"/>
        <v>SPS1</v>
      </c>
      <c r="C1333" s="5" t="str">
        <f t="shared" si="1479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9.9757391590866626E-4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1.7590274711439089E-3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1.6469502756633785E-3</v>
      </c>
      <c r="J1333" s="1" cm="1">
        <f t="array" ref="J1333">SUMPRODUCT(("T_B_u-HYBDSL-S2"=[1]OUT_TransportEnergyCons!$A$3:$A$1000)*1,("Var_Fin"=[1]OUT_TransportEnergyCons!$B$3:$B$1000)*1,ISNUMBER(SEARCH("DSL",[1]OUT_TransportEnergyCons!$C$3:$C$1000))*1,[1]OUT_TransportEnergyCons!H$3:H$1000)</f>
        <v>2.3575066979228121E-3</v>
      </c>
      <c r="K1333" s="1" cm="1">
        <f t="array" ref="K1333">SUMPRODUCT(("T_B_u-HYBDSL-S2"=[1]OUT_TransportEnergyCons!$A$3:$A$1000)*1,("Var_Fin"=[1]OUT_TransportEnergyCons!$B$3:$B$1000)*1,ISNUMBER(SEARCH("DSL",[1]OUT_TransportEnergyCons!$C$3:$C$1000))*1,[1]OUT_TransportEnergyCons!I$3:I$1000)</f>
        <v>2.9238278066262388E-3</v>
      </c>
      <c r="L1333" s="1" cm="1">
        <f t="array" ref="L1333">SUMPRODUCT(("T_B_u-HYBDSL-S2"=[1]OUT_TransportEnergyCons!$A$3:$A$1000)*1,("Var_Fin"=[1]OUT_TransportEnergyCons!$B$3:$B$1000)*1,ISNUMBER(SEARCH("DSL",[1]OUT_TransportEnergyCons!$C$3:$C$1000))*1,[1]OUT_TransportEnergyCons!J$3:J$1000)</f>
        <v>4.5096485454668581E-3</v>
      </c>
      <c r="M1333" s="1" cm="1">
        <f t="array" ref="M1333">SUMPRODUCT(("T_B_u-HYBDSL-S2"=[1]OUT_TransportEnergyCons!$A$3:$A$1000)*1,("Var_Fin"=[1]OUT_TransportEnergyCons!$B$3:$B$1000)*1,ISNUMBER(SEARCH("DSL",[1]OUT_TransportEnergyCons!$C$3:$C$1000))*1,[1]OUT_TransportEnergyCons!K$3:K$1000)</f>
        <v>6.829149336673875E-3</v>
      </c>
      <c r="N1333" s="1" cm="1">
        <f t="array" ref="N1333">SUMPRODUCT(("T_B_u-HYBDSL-S2"=[1]OUT_TransportEnergyCons!$A$3:$A$1000)*1,("Var_Fin"=[1]OUT_TransportEnergyCons!$B$3:$B$1000)*1,ISNUMBER(SEARCH("DSL",[1]OUT_TransportEnergyCons!$C$3:$C$1000))*1,[1]OUT_TransportEnergyCons!L$3:L$1000)</f>
        <v>9.5764544884856528E-3</v>
      </c>
      <c r="O1333" s="1" cm="1">
        <f t="array" ref="O1333">SUMPRODUCT(("T_B_u-HYBDSL-S2"=[1]OUT_TransportEnergyCons!$A$3:$A$1000)*1,("Var_Fin"=[1]OUT_TransportEnergyCons!$B$3:$B$1000)*1,ISNUMBER(SEARCH("DSL",[1]OUT_TransportEnergyCons!$C$3:$C$1000))*1,[1]OUT_TransportEnergyCons!M$3:M$1000)</f>
        <v>1.4053910066923758E-2</v>
      </c>
      <c r="P1333" s="1" cm="1">
        <f t="array" ref="P1333">SUMPRODUCT(("T_B_u-HYBDSL-S2"=[1]OUT_TransportEnergyCons!$A$3:$A$1000)*1,("Var_Fin"=[1]OUT_TransportEnergyCons!$B$3:$B$1000)*1,ISNUMBER(SEARCH("DSL",[1]OUT_TransportEnergyCons!$C$3:$C$1000))*1,[1]OUT_TransportEnergyCons!N$3:N$1000)</f>
        <v>1.8464498046857594E-2</v>
      </c>
      <c r="Q1333" s="1" cm="1">
        <f t="array" ref="Q1333">SUMPRODUCT(("T_B_u-HYBDSL-S2"=[1]OUT_TransportEnergyCons!$A$3:$A$1000)*1,("Var_Fin"=[1]OUT_TransportEnergyCons!$B$3:$B$1000)*1,ISNUMBER(SEARCH("DSL",[1]OUT_TransportEnergyCons!$C$3:$C$1000))*1,[1]OUT_TransportEnergyCons!O$3:O$1000)</f>
        <v>2.7818487278212352E-2</v>
      </c>
      <c r="S1333" s="3"/>
    </row>
    <row r="1334" spans="2:19" x14ac:dyDescent="0.5">
      <c r="B1334" s="5" t="str">
        <f t="shared" si="1478"/>
        <v>SPS1</v>
      </c>
      <c r="C1334" s="5" t="str">
        <f t="shared" si="1479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3.7690886539624671E-2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0.57636393871575442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0.82171351507084989</v>
      </c>
      <c r="J1334" s="1" cm="1">
        <f t="array" ref="J1334">SUMPRODUCT(("T_B_u-HYBDSL-S3"=[1]OUT_TransportEnergyCons!$A$3:$A$1000)*1,("Var_Fin"=[1]OUT_TransportEnergyCons!$B$3:$B$1000)*1,ISNUMBER(SEARCH("DSL",[1]OUT_TransportEnergyCons!$C$3:$C$1000))*1,[1]OUT_TransportEnergyCons!H$3:H$1000)</f>
        <v>0.87468733669323484</v>
      </c>
      <c r="K1334" s="1" cm="1">
        <f t="array" ref="K1334">SUMPRODUCT(("T_B_u-HYBDSL-S3"=[1]OUT_TransportEnergyCons!$A$3:$A$1000)*1,("Var_Fin"=[1]OUT_TransportEnergyCons!$B$3:$B$1000)*1,ISNUMBER(SEARCH("DSL",[1]OUT_TransportEnergyCons!$C$3:$C$1000))*1,[1]OUT_TransportEnergyCons!I$3:I$1000)</f>
        <v>0.98668621559766867</v>
      </c>
      <c r="L1334" s="1" cm="1">
        <f t="array" ref="L1334">SUMPRODUCT(("T_B_u-HYBDSL-S3"=[1]OUT_TransportEnergyCons!$A$3:$A$1000)*1,("Var_Fin"=[1]OUT_TransportEnergyCons!$B$3:$B$1000)*1,ISNUMBER(SEARCH("DSL",[1]OUT_TransportEnergyCons!$C$3:$C$1000))*1,[1]OUT_TransportEnergyCons!J$3:J$1000)</f>
        <v>1.058603342238275</v>
      </c>
      <c r="M1334" s="1" cm="1">
        <f t="array" ref="M1334">SUMPRODUCT(("T_B_u-HYBDSL-S3"=[1]OUT_TransportEnergyCons!$A$3:$A$1000)*1,("Var_Fin"=[1]OUT_TransportEnergyCons!$B$3:$B$1000)*1,ISNUMBER(SEARCH("DSL",[1]OUT_TransportEnergyCons!$C$3:$C$1000))*1,[1]OUT_TransportEnergyCons!K$3:K$1000)</f>
        <v>1.1287874539129286</v>
      </c>
      <c r="N1334" s="1" cm="1">
        <f t="array" ref="N1334">SUMPRODUCT(("T_B_u-HYBDSL-S3"=[1]OUT_TransportEnergyCons!$A$3:$A$1000)*1,("Var_Fin"=[1]OUT_TransportEnergyCons!$B$3:$B$1000)*1,ISNUMBER(SEARCH("DSL",[1]OUT_TransportEnergyCons!$C$3:$C$1000))*1,[1]OUT_TransportEnergyCons!L$3:L$1000)</f>
        <v>1.1985737257081543</v>
      </c>
      <c r="O1334" s="1" cm="1">
        <f t="array" ref="O1334">SUMPRODUCT(("T_B_u-HYBDSL-S3"=[1]OUT_TransportEnergyCons!$A$3:$A$1000)*1,("Var_Fin"=[1]OUT_TransportEnergyCons!$B$3:$B$1000)*1,ISNUMBER(SEARCH("DSL",[1]OUT_TransportEnergyCons!$C$3:$C$1000))*1,[1]OUT_TransportEnergyCons!M$3:M$1000)</f>
        <v>1.2485829672380178</v>
      </c>
      <c r="P1334" s="1" cm="1">
        <f t="array" ref="P1334">SUMPRODUCT(("T_B_u-HYBDSL-S3"=[1]OUT_TransportEnergyCons!$A$3:$A$1000)*1,("Var_Fin"=[1]OUT_TransportEnergyCons!$B$3:$B$1000)*1,ISNUMBER(SEARCH("DSL",[1]OUT_TransportEnergyCons!$C$3:$C$1000))*1,[1]OUT_TransportEnergyCons!N$3:N$1000)</f>
        <v>1.0279551576135075</v>
      </c>
      <c r="Q1334" s="1" cm="1">
        <f t="array" ref="Q1334">SUMPRODUCT(("T_B_u-HYBDSL-S3"=[1]OUT_TransportEnergyCons!$A$3:$A$1000)*1,("Var_Fin"=[1]OUT_TransportEnergyCons!$B$3:$B$1000)*1,ISNUMBER(SEARCH("DSL",[1]OUT_TransportEnergyCons!$C$3:$C$1000))*1,[1]OUT_TransportEnergyCons!O$3:O$1000)</f>
        <v>0.94393816955255827</v>
      </c>
      <c r="S1334" s="3"/>
    </row>
    <row r="1335" spans="2:19" x14ac:dyDescent="0.5">
      <c r="B1335" s="5" t="str">
        <f t="shared" si="1478"/>
        <v>SPS1</v>
      </c>
      <c r="C1335" s="5" t="str">
        <f t="shared" si="1479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1.7121411248158185E-4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3.2252744956775821E-4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2.7386145531059047E-4</v>
      </c>
      <c r="J1335" s="1" cm="1">
        <f t="array" ref="J1335">SUMPRODUCT(("T_B_u-HYBDSL-S4"=[1]OUT_TransportEnergyCons!$A$3:$A$1000)*1,("Var_Fin"=[1]OUT_TransportEnergyCons!$B$3:$B$1000)*1,ISNUMBER(SEARCH("DSL",[1]OUT_TransportEnergyCons!$C$3:$C$1000))*1,[1]OUT_TransportEnergyCons!H$3:H$1000)</f>
        <v>2.4741904863070658E-4</v>
      </c>
      <c r="K1335" s="1" cm="1">
        <f t="array" ref="K1335">SUMPRODUCT(("T_B_u-HYBDSL-S4"=[1]OUT_TransportEnergyCons!$A$3:$A$1000)*1,("Var_Fin"=[1]OUT_TransportEnergyCons!$B$3:$B$1000)*1,ISNUMBER(SEARCH("DSL",[1]OUT_TransportEnergyCons!$C$3:$C$1000))*1,[1]OUT_TransportEnergyCons!I$3:I$1000)</f>
        <v>4.0227299154652952E-4</v>
      </c>
      <c r="L1335" s="1" cm="1">
        <f t="array" ref="L1335">SUMPRODUCT(("T_B_u-HYBDSL-S4"=[1]OUT_TransportEnergyCons!$A$3:$A$1000)*1,("Var_Fin"=[1]OUT_TransportEnergyCons!$B$3:$B$1000)*1,ISNUMBER(SEARCH("DSL",[1]OUT_TransportEnergyCons!$C$3:$C$1000))*1,[1]OUT_TransportEnergyCons!J$3:J$1000)</f>
        <v>3.6037841684428962E-4</v>
      </c>
      <c r="M1335" s="1" cm="1">
        <f t="array" ref="M1335">SUMPRODUCT(("T_B_u-HYBDSL-S4"=[1]OUT_TransportEnergyCons!$A$3:$A$1000)*1,("Var_Fin"=[1]OUT_TransportEnergyCons!$B$3:$B$1000)*1,ISNUMBER(SEARCH("DSL",[1]OUT_TransportEnergyCons!$C$3:$C$1000))*1,[1]OUT_TransportEnergyCons!K$3:K$1000)</f>
        <v>4.6828355745771514E-4</v>
      </c>
      <c r="N1335" s="1" cm="1">
        <f t="array" ref="N1335">SUMPRODUCT(("T_B_u-HYBDSL-S4"=[1]OUT_TransportEnergyCons!$A$3:$A$1000)*1,("Var_Fin"=[1]OUT_TransportEnergyCons!$B$3:$B$1000)*1,ISNUMBER(SEARCH("DSL",[1]OUT_TransportEnergyCons!$C$3:$C$1000))*1,[1]OUT_TransportEnergyCons!L$3:L$1000)</f>
        <v>4.9378017020909018E-4</v>
      </c>
      <c r="O1335" s="1" cm="1">
        <f t="array" ref="O1335">SUMPRODUCT(("T_B_u-HYBDSL-S4"=[1]OUT_TransportEnergyCons!$A$3:$A$1000)*1,("Var_Fin"=[1]OUT_TransportEnergyCons!$B$3:$B$1000)*1,ISNUMBER(SEARCH("DSL",[1]OUT_TransportEnergyCons!$C$3:$C$1000))*1,[1]OUT_TransportEnergyCons!M$3:M$1000)</f>
        <v>4.5553126939463265E-4</v>
      </c>
      <c r="P1335" s="1" cm="1">
        <f t="array" ref="P1335">SUMPRODUCT(("T_B_u-HYBDSL-S4"=[1]OUT_TransportEnergyCons!$A$3:$A$1000)*1,("Var_Fin"=[1]OUT_TransportEnergyCons!$B$3:$B$1000)*1,ISNUMBER(SEARCH("DSL",[1]OUT_TransportEnergyCons!$C$3:$C$1000))*1,[1]OUT_TransportEnergyCons!N$3:N$1000)</f>
        <v>6.7336913178522525E-4</v>
      </c>
      <c r="Q1335" s="1" cm="1">
        <f t="array" ref="Q1335">SUMPRODUCT(("T_B_u-HYBDSL-S4"=[1]OUT_TransportEnergyCons!$A$3:$A$1000)*1,("Var_Fin"=[1]OUT_TransportEnergyCons!$B$3:$B$1000)*1,ISNUMBER(SEARCH("DSL",[1]OUT_TransportEnergyCons!$C$3:$C$1000))*1,[1]OUT_TransportEnergyCons!O$3:O$1000)</f>
        <v>8.6716381181768415E-4</v>
      </c>
      <c r="S1335" s="3"/>
    </row>
    <row r="1336" spans="2:19" x14ac:dyDescent="0.5">
      <c r="B1336" s="5" t="str">
        <f t="shared" si="1478"/>
        <v>SPS1</v>
      </c>
      <c r="C1336" s="5" t="str">
        <f t="shared" si="1479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1.7334364415456664E-2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1.7317204650361559E-2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1.7245283025196977E-2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SUMPRODUCT(("T_B_u-ICEDSLEXT"=[1]OUT_TransportEnergyCons!$A$3:$A$1000)*1,("Var_Fin"=[1]OUT_TransportEnergyCons!$B$3:$B$1000)*1,ISNUMBER(SEARCH("DSL",[1]OUT_TransportEnergyCons!$C$3:$C$1000))*1,[1]OUT_TransportEnergyCons!H$3:H$1000)</f>
        <v>0</v>
      </c>
      <c r="K1336" s="1" cm="1">
        <f t="array" ref="K1336">SUMPRODUCT(("T_B_u-ICEDSLEXT"=[1]OUT_TransportEnergyCons!$A$3:$A$1000)*1,("Var_Fin"=[1]OUT_TransportEnergyCons!$B$3:$B$1000)*1,ISNUMBER(SEARCH("DSL",[1]OUT_TransportEnergyCons!$C$3:$C$1000))*1,[1]OUT_TransportEnergyCons!I$3:I$1000)</f>
        <v>0</v>
      </c>
      <c r="L1336" s="1" cm="1">
        <f t="array" ref="L1336">SUMPRODUCT(("T_B_u-ICEDSLEXT"=[1]OUT_TransportEnergyCons!$A$3:$A$1000)*1,("Var_Fin"=[1]OUT_TransportEnergyCons!$B$3:$B$1000)*1,ISNUMBER(SEARCH("DSL",[1]OUT_TransportEnergyCons!$C$3:$C$1000))*1,[1]OUT_TransportEnergyCons!J$3:J$1000)</f>
        <v>0</v>
      </c>
      <c r="M1336" s="1" cm="1">
        <f t="array" ref="M1336">SUMPRODUCT(("T_B_u-ICEDSLEXT"=[1]OUT_TransportEnergyCons!$A$3:$A$1000)*1,("Var_Fin"=[1]OUT_TransportEnergyCons!$B$3:$B$1000)*1,ISNUMBER(SEARCH("DSL",[1]OUT_TransportEnergyCons!$C$3:$C$1000))*1,[1]OUT_TransportEnergyCons!K$3:K$1000)</f>
        <v>0</v>
      </c>
      <c r="N1336" s="1" cm="1">
        <f t="array" ref="N1336">SUMPRODUCT(("T_B_u-ICEDSLEXT"=[1]OUT_TransportEnergyCons!$A$3:$A$1000)*1,("Var_Fin"=[1]OUT_TransportEnergyCons!$B$3:$B$1000)*1,ISNUMBER(SEARCH("DSL",[1]OUT_TransportEnergyCons!$C$3:$C$1000))*1,[1]OUT_TransportEnergyCons!L$3:L$1000)</f>
        <v>0</v>
      </c>
      <c r="O1336" s="1" cm="1">
        <f t="array" ref="O1336">SUMPRODUCT(("T_B_u-ICEDSLEXT"=[1]OUT_TransportEnergyCons!$A$3:$A$1000)*1,("Var_Fin"=[1]OUT_TransportEnergyCons!$B$3:$B$1000)*1,ISNUMBER(SEARCH("DSL",[1]OUT_TransportEnergyCons!$C$3:$C$1000))*1,[1]OUT_TransportEnergyCons!M$3:M$1000)</f>
        <v>0</v>
      </c>
      <c r="P1336" s="1" cm="1">
        <f t="array" ref="P1336">SUMPRODUCT(("T_B_u-ICEDSLEXT"=[1]OUT_TransportEnergyCons!$A$3:$A$1000)*1,("Var_Fin"=[1]OUT_TransportEnergyCons!$B$3:$B$1000)*1,ISNUMBER(SEARCH("DSL",[1]OUT_TransportEnergyCons!$C$3:$C$1000))*1,[1]OUT_TransportEnergyCons!N$3:N$1000)</f>
        <v>0</v>
      </c>
      <c r="Q1336" s="1" cm="1">
        <f t="array" ref="Q1336">SUMPRODUCT(("T_B_u-ICEDSLEXT"=[1]OUT_TransportEnergyCons!$A$3:$A$1000)*1,("Var_Fin"=[1]OUT_TransportEnergyCons!$B$3:$B$1000)*1,ISNUMBER(SEARCH("DSL",[1]OUT_TransportEnergyCons!$C$3:$C$1000))*1,[1]OUT_TransportEnergyCons!O$3:O$1000)</f>
        <v>0</v>
      </c>
      <c r="S1336" s="3"/>
    </row>
    <row r="1337" spans="2:19" x14ac:dyDescent="0.5">
      <c r="B1337" s="5" t="str">
        <f t="shared" si="1478"/>
        <v>SPS1</v>
      </c>
      <c r="C1337" s="5" t="str">
        <f t="shared" si="1479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3.0300805899912401E-4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0.25516219030416032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0.45304483473625179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4.4913126191142173E-5</v>
      </c>
      <c r="J1337" s="1" cm="1">
        <f t="array" ref="J1337">SUMPRODUCT(("T_B_u-ICEDSL-S1"=[1]OUT_TransportEnergyCons!$A$3:$A$1000)*1,("Var_Fin"=[1]OUT_TransportEnergyCons!$B$3:$B$1000)*1,ISNUMBER(SEARCH("DSL",[1]OUT_TransportEnergyCons!$C$3:$C$1000))*1,[1]OUT_TransportEnergyCons!H$3:H$1000)</f>
        <v>0</v>
      </c>
      <c r="K1337" s="1" cm="1">
        <f t="array" ref="K1337">SUMPRODUCT(("T_B_u-ICEDSL-S1"=[1]OUT_TransportEnergyCons!$A$3:$A$1000)*1,("Var_Fin"=[1]OUT_TransportEnergyCons!$B$3:$B$1000)*1,ISNUMBER(SEARCH("DSL",[1]OUT_TransportEnergyCons!$C$3:$C$1000))*1,[1]OUT_TransportEnergyCons!I$3:I$1000)</f>
        <v>0</v>
      </c>
      <c r="L1337" s="1" cm="1">
        <f t="array" ref="L1337">SUMPRODUCT(("T_B_u-ICEDSL-S1"=[1]OUT_TransportEnergyCons!$A$3:$A$1000)*1,("Var_Fin"=[1]OUT_TransportEnergyCons!$B$3:$B$1000)*1,ISNUMBER(SEARCH("DSL",[1]OUT_TransportEnergyCons!$C$3:$C$1000))*1,[1]OUT_TransportEnergyCons!J$3:J$1000)</f>
        <v>0</v>
      </c>
      <c r="M1337" s="1" cm="1">
        <f t="array" ref="M1337">SUMPRODUCT(("T_B_u-ICEDSL-S1"=[1]OUT_TransportEnergyCons!$A$3:$A$1000)*1,("Var_Fin"=[1]OUT_TransportEnergyCons!$B$3:$B$1000)*1,ISNUMBER(SEARCH("DSL",[1]OUT_TransportEnergyCons!$C$3:$C$1000))*1,[1]OUT_TransportEnergyCons!K$3:K$1000)</f>
        <v>0</v>
      </c>
      <c r="N1337" s="1" cm="1">
        <f t="array" ref="N1337">SUMPRODUCT(("T_B_u-ICEDSL-S1"=[1]OUT_TransportEnergyCons!$A$3:$A$1000)*1,("Var_Fin"=[1]OUT_TransportEnergyCons!$B$3:$B$1000)*1,ISNUMBER(SEARCH("DSL",[1]OUT_TransportEnergyCons!$C$3:$C$1000))*1,[1]OUT_TransportEnergyCons!L$3:L$1000)</f>
        <v>0</v>
      </c>
      <c r="O1337" s="1" cm="1">
        <f t="array" ref="O1337">SUMPRODUCT(("T_B_u-ICEDSL-S1"=[1]OUT_TransportEnergyCons!$A$3:$A$1000)*1,("Var_Fin"=[1]OUT_TransportEnergyCons!$B$3:$B$1000)*1,ISNUMBER(SEARCH("DSL",[1]OUT_TransportEnergyCons!$C$3:$C$1000))*1,[1]OUT_TransportEnergyCons!M$3:M$1000)</f>
        <v>0</v>
      </c>
      <c r="P1337" s="1" cm="1">
        <f t="array" ref="P1337">SUMPRODUCT(("T_B_u-ICEDSL-S1"=[1]OUT_TransportEnergyCons!$A$3:$A$1000)*1,("Var_Fin"=[1]OUT_TransportEnergyCons!$B$3:$B$1000)*1,ISNUMBER(SEARCH("DSL",[1]OUT_TransportEnergyCons!$C$3:$C$1000))*1,[1]OUT_TransportEnergyCons!N$3:N$1000)</f>
        <v>0</v>
      </c>
      <c r="Q1337" s="1" cm="1">
        <f t="array" ref="Q1337">SUMPRODUCT(("T_B_u-ICEDSL-S1"=[1]OUT_TransportEnergyCons!$A$3:$A$1000)*1,("Var_Fin"=[1]OUT_TransportEnergyCons!$B$3:$B$1000)*1,ISNUMBER(SEARCH("DSL",[1]OUT_TransportEnergyCons!$C$3:$C$1000))*1,[1]OUT_TransportEnergyCons!O$3:O$1000)</f>
        <v>2.3071512478811639E-7</v>
      </c>
      <c r="S1337" s="3"/>
    </row>
    <row r="1338" spans="2:19" x14ac:dyDescent="0.5">
      <c r="B1338" s="5" t="str">
        <f t="shared" si="1478"/>
        <v>SPS1</v>
      </c>
      <c r="C1338" s="5" t="str">
        <f t="shared" si="1479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0.106826153190771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0.13356836955982035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0.22184509591792967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SUMPRODUCT(("T_B_u-ICEDSL-S2"=[1]OUT_TransportEnergyCons!$A$3:$A$1000)*1,("Var_Fin"=[1]OUT_TransportEnergyCons!$B$3:$B$1000)*1,ISNUMBER(SEARCH("DSL",[1]OUT_TransportEnergyCons!$C$3:$C$1000))*1,[1]OUT_TransportEnergyCons!H$3:H$1000)</f>
        <v>0</v>
      </c>
      <c r="K1338" s="1" cm="1">
        <f t="array" ref="K1338">SUMPRODUCT(("T_B_u-ICEDSL-S2"=[1]OUT_TransportEnergyCons!$A$3:$A$1000)*1,("Var_Fin"=[1]OUT_TransportEnergyCons!$B$3:$B$1000)*1,ISNUMBER(SEARCH("DSL",[1]OUT_TransportEnergyCons!$C$3:$C$1000))*1,[1]OUT_TransportEnergyCons!I$3:I$1000)</f>
        <v>0</v>
      </c>
      <c r="L1338" s="1" cm="1">
        <f t="array" ref="L1338">SUMPRODUCT(("T_B_u-ICEDSL-S2"=[1]OUT_TransportEnergyCons!$A$3:$A$1000)*1,("Var_Fin"=[1]OUT_TransportEnergyCons!$B$3:$B$1000)*1,ISNUMBER(SEARCH("DSL",[1]OUT_TransportEnergyCons!$C$3:$C$1000))*1,[1]OUT_TransportEnergyCons!J$3:J$1000)</f>
        <v>0</v>
      </c>
      <c r="M1338" s="1" cm="1">
        <f t="array" ref="M1338">SUMPRODUCT(("T_B_u-ICEDSL-S2"=[1]OUT_TransportEnergyCons!$A$3:$A$1000)*1,("Var_Fin"=[1]OUT_TransportEnergyCons!$B$3:$B$1000)*1,ISNUMBER(SEARCH("DSL",[1]OUT_TransportEnergyCons!$C$3:$C$1000))*1,[1]OUT_TransportEnergyCons!K$3:K$1000)</f>
        <v>0</v>
      </c>
      <c r="N1338" s="1" cm="1">
        <f t="array" ref="N1338">SUMPRODUCT(("T_B_u-ICEDSL-S2"=[1]OUT_TransportEnergyCons!$A$3:$A$1000)*1,("Var_Fin"=[1]OUT_TransportEnergyCons!$B$3:$B$1000)*1,ISNUMBER(SEARCH("DSL",[1]OUT_TransportEnergyCons!$C$3:$C$1000))*1,[1]OUT_TransportEnergyCons!L$3:L$1000)</f>
        <v>0</v>
      </c>
      <c r="O1338" s="1" cm="1">
        <f t="array" ref="O1338">SUMPRODUCT(("T_B_u-ICEDSL-S2"=[1]OUT_TransportEnergyCons!$A$3:$A$1000)*1,("Var_Fin"=[1]OUT_TransportEnergyCons!$B$3:$B$1000)*1,ISNUMBER(SEARCH("DSL",[1]OUT_TransportEnergyCons!$C$3:$C$1000))*1,[1]OUT_TransportEnergyCons!M$3:M$1000)</f>
        <v>0</v>
      </c>
      <c r="P1338" s="1" cm="1">
        <f t="array" ref="P1338">SUMPRODUCT(("T_B_u-ICEDSL-S2"=[1]OUT_TransportEnergyCons!$A$3:$A$1000)*1,("Var_Fin"=[1]OUT_TransportEnergyCons!$B$3:$B$1000)*1,ISNUMBER(SEARCH("DSL",[1]OUT_TransportEnergyCons!$C$3:$C$1000))*1,[1]OUT_TransportEnergyCons!N$3:N$1000)</f>
        <v>0</v>
      </c>
      <c r="Q1338" s="1" cm="1">
        <f t="array" ref="Q1338">SUMPRODUCT(("T_B_u-ICEDSL-S2"=[1]OUT_TransportEnergyCons!$A$3:$A$1000)*1,("Var_Fin"=[1]OUT_TransportEnergyCons!$B$3:$B$1000)*1,ISNUMBER(SEARCH("DSL",[1]OUT_TransportEnergyCons!$C$3:$C$1000))*1,[1]OUT_TransportEnergyCons!O$3:O$1000)</f>
        <v>0</v>
      </c>
      <c r="S1338" s="3"/>
    </row>
    <row r="1339" spans="2:19" x14ac:dyDescent="0.5">
      <c r="B1339" s="5" t="str">
        <f t="shared" si="1478"/>
        <v>SPS1</v>
      </c>
      <c r="C1339" s="5" t="str">
        <f t="shared" si="1479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0.62215706959381922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0.87357101658526592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0.87571279482352238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SUMPRODUCT(("T_B_u-ICEDSL-S3"=[1]OUT_TransportEnergyCons!$A$3:$A$1000)*1,("Var_Fin"=[1]OUT_TransportEnergyCons!$B$3:$B$1000)*1,ISNUMBER(SEARCH("DSL",[1]OUT_TransportEnergyCons!$C$3:$C$1000))*1,[1]OUT_TransportEnergyCons!H$3:H$1000)</f>
        <v>0</v>
      </c>
      <c r="K1339" s="1" cm="1">
        <f t="array" ref="K1339">SUMPRODUCT(("T_B_u-ICEDSL-S3"=[1]OUT_TransportEnergyCons!$A$3:$A$1000)*1,("Var_Fin"=[1]OUT_TransportEnergyCons!$B$3:$B$1000)*1,ISNUMBER(SEARCH("DSL",[1]OUT_TransportEnergyCons!$C$3:$C$1000))*1,[1]OUT_TransportEnergyCons!I$3:I$1000)</f>
        <v>0</v>
      </c>
      <c r="L1339" s="1" cm="1">
        <f t="array" ref="L1339">SUMPRODUCT(("T_B_u-ICEDSL-S3"=[1]OUT_TransportEnergyCons!$A$3:$A$1000)*1,("Var_Fin"=[1]OUT_TransportEnergyCons!$B$3:$B$1000)*1,ISNUMBER(SEARCH("DSL",[1]OUT_TransportEnergyCons!$C$3:$C$1000))*1,[1]OUT_TransportEnergyCons!J$3:J$1000)</f>
        <v>0</v>
      </c>
      <c r="M1339" s="1" cm="1">
        <f t="array" ref="M1339">SUMPRODUCT(("T_B_u-ICEDSL-S3"=[1]OUT_TransportEnergyCons!$A$3:$A$1000)*1,("Var_Fin"=[1]OUT_TransportEnergyCons!$B$3:$B$1000)*1,ISNUMBER(SEARCH("DSL",[1]OUT_TransportEnergyCons!$C$3:$C$1000))*1,[1]OUT_TransportEnergyCons!K$3:K$1000)</f>
        <v>0</v>
      </c>
      <c r="N1339" s="1" cm="1">
        <f t="array" ref="N1339">SUMPRODUCT(("T_B_u-ICEDSL-S3"=[1]OUT_TransportEnergyCons!$A$3:$A$1000)*1,("Var_Fin"=[1]OUT_TransportEnergyCons!$B$3:$B$1000)*1,ISNUMBER(SEARCH("DSL",[1]OUT_TransportEnergyCons!$C$3:$C$1000))*1,[1]OUT_TransportEnergyCons!L$3:L$1000)</f>
        <v>0</v>
      </c>
      <c r="O1339" s="1" cm="1">
        <f t="array" ref="O1339">SUMPRODUCT(("T_B_u-ICEDSL-S3"=[1]OUT_TransportEnergyCons!$A$3:$A$1000)*1,("Var_Fin"=[1]OUT_TransportEnergyCons!$B$3:$B$1000)*1,ISNUMBER(SEARCH("DSL",[1]OUT_TransportEnergyCons!$C$3:$C$1000))*1,[1]OUT_TransportEnergyCons!M$3:M$1000)</f>
        <v>0</v>
      </c>
      <c r="P1339" s="1" cm="1">
        <f t="array" ref="P1339">SUMPRODUCT(("T_B_u-ICEDSL-S3"=[1]OUT_TransportEnergyCons!$A$3:$A$1000)*1,("Var_Fin"=[1]OUT_TransportEnergyCons!$B$3:$B$1000)*1,ISNUMBER(SEARCH("DSL",[1]OUT_TransportEnergyCons!$C$3:$C$1000))*1,[1]OUT_TransportEnergyCons!N$3:N$1000)</f>
        <v>0</v>
      </c>
      <c r="Q1339" s="1" cm="1">
        <f t="array" ref="Q1339">SUMPRODUCT(("T_B_u-ICEDSL-S3"=[1]OUT_TransportEnergyCons!$A$3:$A$1000)*1,("Var_Fin"=[1]OUT_TransportEnergyCons!$B$3:$B$1000)*1,ISNUMBER(SEARCH("DSL",[1]OUT_TransportEnergyCons!$C$3:$C$1000))*1,[1]OUT_TransportEnergyCons!O$3:O$1000)</f>
        <v>0</v>
      </c>
      <c r="S1339" s="3"/>
    </row>
    <row r="1340" spans="2:19" x14ac:dyDescent="0.5">
      <c r="B1340" s="5" t="str">
        <f t="shared" si="1478"/>
        <v>SPS1</v>
      </c>
      <c r="C1340" s="5" t="str">
        <f t="shared" si="1479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6.6400286739962261E-3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1.517109016555453E-3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1.5808192434157661E-3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SUMPRODUCT(("T_B_u-ICEDSL-S4"=[1]OUT_TransportEnergyCons!$A$3:$A$1000)*1,("Var_Fin"=[1]OUT_TransportEnergyCons!$B$3:$B$1000)*1,ISNUMBER(SEARCH("DSL",[1]OUT_TransportEnergyCons!$C$3:$C$1000))*1,[1]OUT_TransportEnergyCons!H$3:H$1000)</f>
        <v>0</v>
      </c>
      <c r="K1340" s="1" cm="1">
        <f t="array" ref="K1340">SUMPRODUCT(("T_B_u-ICEDSL-S4"=[1]OUT_TransportEnergyCons!$A$3:$A$1000)*1,("Var_Fin"=[1]OUT_TransportEnergyCons!$B$3:$B$1000)*1,ISNUMBER(SEARCH("DSL",[1]OUT_TransportEnergyCons!$C$3:$C$1000))*1,[1]OUT_TransportEnergyCons!I$3:I$1000)</f>
        <v>0</v>
      </c>
      <c r="L1340" s="1" cm="1">
        <f t="array" ref="L1340">SUMPRODUCT(("T_B_u-ICEDSL-S4"=[1]OUT_TransportEnergyCons!$A$3:$A$1000)*1,("Var_Fin"=[1]OUT_TransportEnergyCons!$B$3:$B$1000)*1,ISNUMBER(SEARCH("DSL",[1]OUT_TransportEnergyCons!$C$3:$C$1000))*1,[1]OUT_TransportEnergyCons!J$3:J$1000)</f>
        <v>0</v>
      </c>
      <c r="M1340" s="1" cm="1">
        <f t="array" ref="M1340">SUMPRODUCT(("T_B_u-ICEDSL-S4"=[1]OUT_TransportEnergyCons!$A$3:$A$1000)*1,("Var_Fin"=[1]OUT_TransportEnergyCons!$B$3:$B$1000)*1,ISNUMBER(SEARCH("DSL",[1]OUT_TransportEnergyCons!$C$3:$C$1000))*1,[1]OUT_TransportEnergyCons!K$3:K$1000)</f>
        <v>0</v>
      </c>
      <c r="N1340" s="1" cm="1">
        <f t="array" ref="N1340">SUMPRODUCT(("T_B_u-ICEDSL-S4"=[1]OUT_TransportEnergyCons!$A$3:$A$1000)*1,("Var_Fin"=[1]OUT_TransportEnergyCons!$B$3:$B$1000)*1,ISNUMBER(SEARCH("DSL",[1]OUT_TransportEnergyCons!$C$3:$C$1000))*1,[1]OUT_TransportEnergyCons!L$3:L$1000)</f>
        <v>0</v>
      </c>
      <c r="O1340" s="1" cm="1">
        <f t="array" ref="O1340">SUMPRODUCT(("T_B_u-ICEDSL-S4"=[1]OUT_TransportEnergyCons!$A$3:$A$1000)*1,("Var_Fin"=[1]OUT_TransportEnergyCons!$B$3:$B$1000)*1,ISNUMBER(SEARCH("DSL",[1]OUT_TransportEnergyCons!$C$3:$C$1000))*1,[1]OUT_TransportEnergyCons!M$3:M$1000)</f>
        <v>0</v>
      </c>
      <c r="P1340" s="1" cm="1">
        <f t="array" ref="P1340">SUMPRODUCT(("T_B_u-ICEDSL-S4"=[1]OUT_TransportEnergyCons!$A$3:$A$1000)*1,("Var_Fin"=[1]OUT_TransportEnergyCons!$B$3:$B$1000)*1,ISNUMBER(SEARCH("DSL",[1]OUT_TransportEnergyCons!$C$3:$C$1000))*1,[1]OUT_TransportEnergyCons!N$3:N$1000)</f>
        <v>0</v>
      </c>
      <c r="Q1340" s="1" cm="1">
        <f t="array" ref="Q1340">SUMPRODUCT(("T_B_u-ICEDSL-S4"=[1]OUT_TransportEnergyCons!$A$3:$A$1000)*1,("Var_Fin"=[1]OUT_TransportEnergyCons!$B$3:$B$1000)*1,ISNUMBER(SEARCH("DSL",[1]OUT_TransportEnergyCons!$C$3:$C$1000))*1,[1]OUT_TransportEnergyCons!O$3:O$1000)</f>
        <v>0</v>
      </c>
      <c r="S1340" s="3"/>
    </row>
    <row r="1341" spans="2:19" x14ac:dyDescent="0.5">
      <c r="B1341" s="5" t="str">
        <f t="shared" si="1478"/>
        <v>SPS1</v>
      </c>
      <c r="C1341" s="5" t="str">
        <f t="shared" si="1479"/>
        <v>CH</v>
      </c>
      <c r="D1341" t="s">
        <v>1343</v>
      </c>
      <c r="E1341" t="s">
        <v>8</v>
      </c>
      <c r="F1341" s="1">
        <f>SUM(F1346:F1350)</f>
        <v>3.1352120221686194E-4</v>
      </c>
      <c r="G1341" s="1">
        <f t="shared" ref="G1341:K1341" si="1492">SUM(G1346:G1350)</f>
        <v>1.0225374680253518E-3</v>
      </c>
      <c r="H1341" s="1">
        <f t="shared" si="1492"/>
        <v>1.6276943576421472E-2</v>
      </c>
      <c r="I1341" s="1">
        <f t="shared" si="1492"/>
        <v>0</v>
      </c>
      <c r="J1341" s="1">
        <f t="shared" si="1492"/>
        <v>0</v>
      </c>
      <c r="K1341" s="1">
        <f t="shared" si="1492"/>
        <v>0</v>
      </c>
      <c r="L1341" s="1">
        <f t="shared" ref="L1341:O1341" si="1493">SUM(L1346:L1350)</f>
        <v>5.3560924063888832E-7</v>
      </c>
      <c r="M1341" s="1">
        <f t="shared" si="1493"/>
        <v>2.5677994931553155E-7</v>
      </c>
      <c r="N1341" s="1">
        <f t="shared" si="1493"/>
        <v>2.6639440429556419E-7</v>
      </c>
      <c r="O1341" s="1">
        <f t="shared" si="1493"/>
        <v>2.5565776932097997E-7</v>
      </c>
      <c r="P1341" s="1">
        <f>SUM(P1346:P1350)</f>
        <v>0</v>
      </c>
      <c r="Q1341" s="1">
        <f>SUM(Q1346:Q1350)</f>
        <v>1.1843183974104258E-6</v>
      </c>
      <c r="S1341" s="3"/>
    </row>
    <row r="1342" spans="2:19" x14ac:dyDescent="0.5">
      <c r="B1342" s="5" t="str">
        <f t="shared" si="1478"/>
        <v>SPS1</v>
      </c>
      <c r="C1342" s="5" t="str">
        <f t="shared" si="1479"/>
        <v>CH</v>
      </c>
      <c r="D1342" t="s">
        <v>1344</v>
      </c>
      <c r="E1342" t="s">
        <v>8</v>
      </c>
      <c r="F1342" s="1">
        <f>IF(F1341-F1343&lt;0,0,F1341-F1343)</f>
        <v>2.8943622431573007E-4</v>
      </c>
      <c r="G1342" s="1">
        <f t="shared" ref="G1342:K1342" si="1494">IF(G1341-G1343&lt;0,0,G1341-G1343)</f>
        <v>8.968327467510582E-4</v>
      </c>
      <c r="H1342" s="1">
        <f t="shared" si="1494"/>
        <v>1.5524117750090202E-2</v>
      </c>
      <c r="I1342" s="1">
        <f t="shared" si="1494"/>
        <v>0</v>
      </c>
      <c r="J1342" s="1">
        <f t="shared" si="1494"/>
        <v>0</v>
      </c>
      <c r="K1342" s="1">
        <f t="shared" si="1494"/>
        <v>0</v>
      </c>
      <c r="L1342" s="1">
        <f t="shared" ref="L1342:O1342" si="1495">IF(L1341-L1343&lt;0,0,L1341-L1343)</f>
        <v>0</v>
      </c>
      <c r="M1342" s="1">
        <f t="shared" si="1495"/>
        <v>0</v>
      </c>
      <c r="N1342" s="1">
        <f t="shared" si="1495"/>
        <v>0</v>
      </c>
      <c r="O1342" s="1">
        <f t="shared" si="1495"/>
        <v>0</v>
      </c>
      <c r="P1342" s="1">
        <f>IF(P1341-P1343&lt;0,0,P1341-P1343)</f>
        <v>0</v>
      </c>
      <c r="Q1342" s="1">
        <f>IF(Q1341-Q1343&lt;0,0,Q1341-Q1343)</f>
        <v>0</v>
      </c>
      <c r="S1342" s="3"/>
    </row>
    <row r="1343" spans="2:19" x14ac:dyDescent="0.5">
      <c r="B1343" s="5" t="str">
        <f t="shared" si="1478"/>
        <v>SPS1</v>
      </c>
      <c r="C1343" s="5" t="str">
        <f t="shared" si="1479"/>
        <v>CH</v>
      </c>
      <c r="D1343" t="s">
        <v>1345</v>
      </c>
      <c r="E1343" t="s">
        <v>8</v>
      </c>
      <c r="F1343" s="1">
        <f>SUM(F1344:F1345)</f>
        <v>2.4084977901131858E-5</v>
      </c>
      <c r="G1343" s="1">
        <f t="shared" ref="G1343" si="1496">SUM(G1344:G1345)</f>
        <v>1.2570472127429355E-4</v>
      </c>
      <c r="H1343" s="1">
        <f t="shared" ref="H1343" si="1497">SUM(H1344:H1345)</f>
        <v>7.5282582633127016E-4</v>
      </c>
      <c r="I1343" s="1">
        <f t="shared" ref="I1343" si="1498">SUM(I1344:I1345)</f>
        <v>0</v>
      </c>
      <c r="J1343" s="1">
        <f t="shared" ref="J1343" si="1499">SUM(J1344:J1345)</f>
        <v>0</v>
      </c>
      <c r="K1343" s="1">
        <f t="shared" ref="K1343" si="1500">SUM(K1344:K1345)</f>
        <v>0</v>
      </c>
      <c r="L1343" s="1">
        <f t="shared" ref="L1343:O1343" si="1501">SUM(L1344:L1345)</f>
        <v>2.0981665758166591E-5</v>
      </c>
      <c r="M1343" s="1">
        <f t="shared" si="1501"/>
        <v>1.165331466888496E-5</v>
      </c>
      <c r="N1343" s="1">
        <f t="shared" si="1501"/>
        <v>1.6052792151474727E-5</v>
      </c>
      <c r="O1343" s="1">
        <f t="shared" si="1501"/>
        <v>1.2212527369311587E-5</v>
      </c>
      <c r="P1343" s="1">
        <f>SUM(P1344:P1345)</f>
        <v>0</v>
      </c>
      <c r="Q1343" s="1">
        <f>SUM(Q1344:Q1345)</f>
        <v>5.1104825856485409E-5</v>
      </c>
      <c r="S1343" s="3"/>
    </row>
    <row r="1344" spans="2:19" x14ac:dyDescent="0.5">
      <c r="B1344" s="5" t="str">
        <f t="shared" si="1478"/>
        <v>SPS1</v>
      </c>
      <c r="C1344" s="5" t="str">
        <f t="shared" si="1479"/>
        <v>CH</v>
      </c>
      <c r="D1344" t="s">
        <v>1346</v>
      </c>
      <c r="E1344" t="s">
        <v>8</v>
      </c>
      <c r="F1344" s="1">
        <f>IF(SUM([1]Transport!B$24,[1]Transport!B$27)=0,0,[1]Transport!B$27/SUM([1]Transport!B$24,[1]Transport!B$27)*F1341*(F$47+F$614)/(F$47+F$614+F$49))</f>
        <v>2.4084977901131858E-5</v>
      </c>
      <c r="G1344" s="1">
        <f>IF(SUM([1]Transport!C$24,[1]Transport!C$27)=0,0,[1]Transport!C$27/SUM([1]Transport!C$24,[1]Transport!C$27)*G1341*(G$47+G$614)/(G$47+G$614+G$49))</f>
        <v>1.2570472127429355E-4</v>
      </c>
      <c r="H1344" s="1">
        <f>IF(SUM([1]Transport!D$24,[1]Transport!D$27)=0,0,[1]Transport!D$27/SUM([1]Transport!D$24,[1]Transport!D$27)*H1341*(H$47+H$614)/(H$47+H$614+H$49))</f>
        <v>7.5282582633127016E-4</v>
      </c>
      <c r="I1344" s="1">
        <f>IF(SUM([1]Transport!E$24,[1]Transport!E$27)=0,0,[1]Transport!E$27/SUM([1]Transport!E$24,[1]Transport!E$27)*I1341*(I$47+I$614)/(I$47+I$614+I$49))</f>
        <v>0</v>
      </c>
      <c r="J1344" s="1">
        <f>IF(SUM([1]Transport!F$24,[1]Transport!F$27)=0,0,[1]Transport!F$27/SUM([1]Transport!F$24,[1]Transport!F$27)*J1341*(J$47+J$614)/(J$47+J$614+J$49))</f>
        <v>0</v>
      </c>
      <c r="K1344" s="1">
        <f>IF(SUM([1]Transport!G$24,[1]Transport!G$27)=0,0,[1]Transport!G$27/SUM([1]Transport!G$24,[1]Transport!G$27)*K1341*(K$47+K$614)/(K$47+K$614+K$49))</f>
        <v>0</v>
      </c>
      <c r="L1344" s="1">
        <f>IF(SUM([1]Transport!H$24,[1]Transport!H$27)=0,0,[1]Transport!H$27/SUM([1]Transport!H$24,[1]Transport!H$27)*L1341*(L$47+L$614)/(L$47+L$614+L$49))</f>
        <v>2.6994867576280072E-8</v>
      </c>
      <c r="M1344" s="1">
        <f>IF(SUM([1]Transport!I$24,[1]Transport!I$27)=0,0,[1]Transport!I$27/SUM([1]Transport!I$24,[1]Transport!I$27)*M1341*(M$47+M$614)/(M$47+M$614+M$49))</f>
        <v>2.5214301494915392E-8</v>
      </c>
      <c r="N1344" s="1">
        <f>IF(SUM([1]Transport!J$24,[1]Transport!J$27)=0,0,[1]Transport!J$27/SUM([1]Transport!J$24,[1]Transport!J$27)*N1341*(N$47+N$614)/(N$47+N$614+N$49))</f>
        <v>1.7592917206033797E-8</v>
      </c>
      <c r="O1344" s="1">
        <f>IF(SUM([1]Transport!K$24,[1]Transport!K$27)=0,0,[1]Transport!K$27/SUM([1]Transport!K$24,[1]Transport!K$27)*O1341*(O$47+O$614)/(O$47+O$614+O$49))</f>
        <v>2.7429125566906218E-8</v>
      </c>
      <c r="P1344" s="1">
        <f>IF(SUM([1]Transport!L$24,[1]Transport!L$27)=0,0,[1]Transport!L$27/SUM([1]Transport!L$24,[1]Transport!L$27)*P1341*(P$47+P$614)/(P$47+P$614+P$49))</f>
        <v>0</v>
      </c>
      <c r="Q1344" s="1">
        <f>IF(SUM([1]Transport!M$24,[1]Transport!M$27)=0,0,[1]Transport!M$27/SUM([1]Transport!M$24,[1]Transport!M$27)*Q1341*(Q$47+Q$614)/(Q$47+Q$614+Q$49))</f>
        <v>1.9167661245668501E-7</v>
      </c>
      <c r="S1344" s="3"/>
    </row>
    <row r="1345" spans="2:19" x14ac:dyDescent="0.5">
      <c r="B1345" s="5" t="str">
        <f t="shared" si="1478"/>
        <v>SPS1</v>
      </c>
      <c r="C1345" s="5" t="str">
        <f t="shared" si="1479"/>
        <v>CH</v>
      </c>
      <c r="D1345" t="s">
        <v>1347</v>
      </c>
      <c r="E1345" t="s">
        <v>8</v>
      </c>
      <c r="F1345" s="1">
        <f>IF(([1]Transport!B$24+[1]Transport!B$27)=0,0,(F$49+F$716)/([1]Transport!B$24+[1]Transport!B$27)*F1341)</f>
        <v>0</v>
      </c>
      <c r="G1345" s="1">
        <f>IF(([1]Transport!C$24+[1]Transport!C$27)=0,0,(G$49+G$716)/([1]Transport!C$24+[1]Transport!C$27)*G1341)</f>
        <v>0</v>
      </c>
      <c r="H1345" s="1">
        <f>IF(([1]Transport!D$24+[1]Transport!D$27)=0,0,(H$49+H$716)/([1]Transport!D$24+[1]Transport!D$27)*H1341)</f>
        <v>0</v>
      </c>
      <c r="I1345" s="1">
        <f>IF(([1]Transport!E$24+[1]Transport!E$27)=0,0,(I$49+I$716)/([1]Transport!E$24+[1]Transport!E$27)*I1341)</f>
        <v>0</v>
      </c>
      <c r="J1345" s="1">
        <f>IF(([1]Transport!F$24+[1]Transport!F$27)=0,0,(J$49+J$716)/([1]Transport!F$24+[1]Transport!F$27)*J1341)</f>
        <v>0</v>
      </c>
      <c r="K1345" s="1">
        <f>IF(([1]Transport!G$24+[1]Transport!G$27)=0,0,(K$49+K$716)/([1]Transport!G$24+[1]Transport!G$27)*K1341)</f>
        <v>0</v>
      </c>
      <c r="L1345" s="1">
        <f>IF(([1]Transport!H$24+[1]Transport!H$27)=0,0,(L$49+L$716)/([1]Transport!H$24+[1]Transport!H$27)*L1341)</f>
        <v>2.0954670890590311E-5</v>
      </c>
      <c r="M1345" s="1">
        <f>IF(([1]Transport!I$24+[1]Transport!I$27)=0,0,(M$49+M$716)/([1]Transport!I$24+[1]Transport!I$27)*M1341)</f>
        <v>1.1628100367390044E-5</v>
      </c>
      <c r="N1345" s="1">
        <f>IF(([1]Transport!J$24+[1]Transport!J$27)=0,0,(N$49+N$716)/([1]Transport!J$24+[1]Transport!J$27)*N1341)</f>
        <v>1.6035199234268692E-5</v>
      </c>
      <c r="O1345" s="1">
        <f>IF(([1]Transport!K$24+[1]Transport!K$27)=0,0,(O$49+O$716)/([1]Transport!K$24+[1]Transport!K$27)*O1341)</f>
        <v>1.218509824374468E-5</v>
      </c>
      <c r="P1345" s="1">
        <f>IF(([1]Transport!L$24+[1]Transport!L$27)=0,0,(P$49+P$716)/([1]Transport!L$24+[1]Transport!L$27)*P1341)</f>
        <v>0</v>
      </c>
      <c r="Q1345" s="1">
        <f>IF(([1]Transport!M$24+[1]Transport!M$27)=0,0,(Q$49+Q$716)/([1]Transport!M$24+[1]Transport!M$27)*Q1341)</f>
        <v>5.0913149244028721E-5</v>
      </c>
      <c r="S1345" s="3"/>
    </row>
    <row r="1346" spans="2:19" x14ac:dyDescent="0.5">
      <c r="B1346" s="5" t="str">
        <f t="shared" si="1478"/>
        <v>SPS1</v>
      </c>
      <c r="C1346" s="5" t="str">
        <f t="shared" si="1479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3.1352120221686194E-4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3.171943876356699E-4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3.161719757389108E-4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SUMPRODUCT(("T_B_u-ICEngaEXT"=[1]OUT_TransportEnergyCons!$A$3:$A$1000)*1,("Var_Fin"=[1]OUT_TransportEnergyCons!$B$3:$B$1000)*1,ISNUMBER(SEARCH("nga",[1]OUT_TransportEnergyCons!$C$3:$C$1000))*1,[1]OUT_TransportEnergyCons!H$3:H$1000)</f>
        <v>0</v>
      </c>
      <c r="K1346" s="1" cm="1">
        <f t="array" ref="K1346">SUMPRODUCT(("T_B_u-ICEngaEXT"=[1]OUT_TransportEnergyCons!$A$3:$A$1000)*1,("Var_Fin"=[1]OUT_TransportEnergyCons!$B$3:$B$1000)*1,ISNUMBER(SEARCH("nga",[1]OUT_TransportEnergyCons!$C$3:$C$1000))*1,[1]OUT_TransportEnergyCons!I$3:I$1000)</f>
        <v>0</v>
      </c>
      <c r="L1346" s="1" cm="1">
        <f t="array" ref="L1346">SUMPRODUCT(("T_B_u-ICEngaEXT"=[1]OUT_TransportEnergyCons!$A$3:$A$1000)*1,("Var_Fin"=[1]OUT_TransportEnergyCons!$B$3:$B$1000)*1,ISNUMBER(SEARCH("nga",[1]OUT_TransportEnergyCons!$C$3:$C$1000))*1,[1]OUT_TransportEnergyCons!J$3:J$1000)</f>
        <v>0</v>
      </c>
      <c r="M1346" s="1" cm="1">
        <f t="array" ref="M1346">SUMPRODUCT(("T_B_u-ICEngaEXT"=[1]OUT_TransportEnergyCons!$A$3:$A$1000)*1,("Var_Fin"=[1]OUT_TransportEnergyCons!$B$3:$B$1000)*1,ISNUMBER(SEARCH("nga",[1]OUT_TransportEnergyCons!$C$3:$C$1000))*1,[1]OUT_TransportEnergyCons!K$3:K$1000)</f>
        <v>0</v>
      </c>
      <c r="N1346" s="1" cm="1">
        <f t="array" ref="N1346">SUMPRODUCT(("T_B_u-ICEngaEXT"=[1]OUT_TransportEnergyCons!$A$3:$A$1000)*1,("Var_Fin"=[1]OUT_TransportEnergyCons!$B$3:$B$1000)*1,ISNUMBER(SEARCH("nga",[1]OUT_TransportEnergyCons!$C$3:$C$1000))*1,[1]OUT_TransportEnergyCons!L$3:L$1000)</f>
        <v>0</v>
      </c>
      <c r="O1346" s="1" cm="1">
        <f t="array" ref="O1346">SUMPRODUCT(("T_B_u-ICEngaEXT"=[1]OUT_TransportEnergyCons!$A$3:$A$1000)*1,("Var_Fin"=[1]OUT_TransportEnergyCons!$B$3:$B$1000)*1,ISNUMBER(SEARCH("nga",[1]OUT_TransportEnergyCons!$C$3:$C$1000))*1,[1]OUT_TransportEnergyCons!M$3:M$1000)</f>
        <v>0</v>
      </c>
      <c r="P1346" s="1" cm="1">
        <f t="array" ref="P1346">SUMPRODUCT(("T_B_u-ICEngaEXT"=[1]OUT_TransportEnergyCons!$A$3:$A$1000)*1,("Var_Fin"=[1]OUT_TransportEnergyCons!$B$3:$B$1000)*1,ISNUMBER(SEARCH("nga",[1]OUT_TransportEnergyCons!$C$3:$C$1000))*1,[1]OUT_TransportEnergyCons!N$3:N$1000)</f>
        <v>0</v>
      </c>
      <c r="Q1346" s="1" cm="1">
        <f t="array" ref="Q1346">SUMPRODUCT(("T_B_u-ICEngaEXT"=[1]OUT_TransportEnergyCons!$A$3:$A$1000)*1,("Var_Fin"=[1]OUT_TransportEnergyCons!$B$3:$B$1000)*1,ISNUMBER(SEARCH("nga",[1]OUT_TransportEnergyCons!$C$3:$C$1000))*1,[1]OUT_TransportEnergyCons!O$3:O$1000)</f>
        <v>0</v>
      </c>
      <c r="S1346" s="3"/>
    </row>
    <row r="1347" spans="2:19" x14ac:dyDescent="0.5">
      <c r="B1347" s="5" t="str">
        <f t="shared" si="1478"/>
        <v>SPS1</v>
      </c>
      <c r="C1347" s="5" t="str">
        <f t="shared" si="1479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2.6438063411005525E-4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2.7152952045574924E-3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0</v>
      </c>
      <c r="J1347" s="1" cm="1">
        <f t="array" ref="J1347">SUMPRODUCT(("T_B_u-ICEnga-S1"=[1]OUT_TransportEnergyCons!$A$3:$A$1000)*1,("Var_Fin"=[1]OUT_TransportEnergyCons!$B$3:$B$1000)*1,ISNUMBER(SEARCH("nga",[1]OUT_TransportEnergyCons!$C$3:$C$1000))*1,[1]OUT_TransportEnergyCons!H$3:H$1000)</f>
        <v>0</v>
      </c>
      <c r="K1347" s="1" cm="1">
        <f t="array" ref="K1347">SUMPRODUCT(("T_B_u-ICEnga-S1"=[1]OUT_TransportEnergyCons!$A$3:$A$1000)*1,("Var_Fin"=[1]OUT_TransportEnergyCons!$B$3:$B$1000)*1,ISNUMBER(SEARCH("nga",[1]OUT_TransportEnergyCons!$C$3:$C$1000))*1,[1]OUT_TransportEnergyCons!I$3:I$1000)</f>
        <v>0</v>
      </c>
      <c r="L1347" s="1" cm="1">
        <f t="array" ref="L1347">SUMPRODUCT(("T_B_u-ICEnga-S1"=[1]OUT_TransportEnergyCons!$A$3:$A$1000)*1,("Var_Fin"=[1]OUT_TransportEnergyCons!$B$3:$B$1000)*1,ISNUMBER(SEARCH("nga",[1]OUT_TransportEnergyCons!$C$3:$C$1000))*1,[1]OUT_TransportEnergyCons!J$3:J$1000)</f>
        <v>5.3560924063888832E-7</v>
      </c>
      <c r="M1347" s="1" cm="1">
        <f t="array" ref="M1347">SUMPRODUCT(("T_B_u-ICEnga-S1"=[1]OUT_TransportEnergyCons!$A$3:$A$1000)*1,("Var_Fin"=[1]OUT_TransportEnergyCons!$B$3:$B$1000)*1,ISNUMBER(SEARCH("nga",[1]OUT_TransportEnergyCons!$C$3:$C$1000))*1,[1]OUT_TransportEnergyCons!K$3:K$1000)</f>
        <v>2.5677994931553155E-7</v>
      </c>
      <c r="N1347" s="1" cm="1">
        <f t="array" ref="N1347">SUMPRODUCT(("T_B_u-ICEnga-S1"=[1]OUT_TransportEnergyCons!$A$3:$A$1000)*1,("Var_Fin"=[1]OUT_TransportEnergyCons!$B$3:$B$1000)*1,ISNUMBER(SEARCH("nga",[1]OUT_TransportEnergyCons!$C$3:$C$1000))*1,[1]OUT_TransportEnergyCons!L$3:L$1000)</f>
        <v>2.6639440429556419E-7</v>
      </c>
      <c r="O1347" s="1" cm="1">
        <f t="array" ref="O1347">SUMPRODUCT(("T_B_u-ICEnga-S1"=[1]OUT_TransportEnergyCons!$A$3:$A$1000)*1,("Var_Fin"=[1]OUT_TransportEnergyCons!$B$3:$B$1000)*1,ISNUMBER(SEARCH("nga",[1]OUT_TransportEnergyCons!$C$3:$C$1000))*1,[1]OUT_TransportEnergyCons!M$3:M$1000)</f>
        <v>2.5565776932097997E-7</v>
      </c>
      <c r="P1347" s="1" cm="1">
        <f t="array" ref="P1347">SUMPRODUCT(("T_B_u-ICEnga-S1"=[1]OUT_TransportEnergyCons!$A$3:$A$1000)*1,("Var_Fin"=[1]OUT_TransportEnergyCons!$B$3:$B$1000)*1,ISNUMBER(SEARCH("nga",[1]OUT_TransportEnergyCons!$C$3:$C$1000))*1,[1]OUT_TransportEnergyCons!N$3:N$1000)</f>
        <v>0</v>
      </c>
      <c r="Q1347" s="1" cm="1">
        <f t="array" ref="Q1347">SUMPRODUCT(("T_B_u-ICEnga-S1"=[1]OUT_TransportEnergyCons!$A$3:$A$1000)*1,("Var_Fin"=[1]OUT_TransportEnergyCons!$B$3:$B$1000)*1,ISNUMBER(SEARCH("nga",[1]OUT_TransportEnergyCons!$C$3:$C$1000))*1,[1]OUT_TransportEnergyCons!O$3:O$1000)</f>
        <v>1.1843183974104258E-6</v>
      </c>
      <c r="S1347" s="3"/>
    </row>
    <row r="1348" spans="2:19" x14ac:dyDescent="0.5">
      <c r="B1348" s="5" t="str">
        <f t="shared" si="1478"/>
        <v>SPS1</v>
      </c>
      <c r="C1348" s="5" t="str">
        <f t="shared" si="1479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2.0592519950339463E-4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1.2083247758947629E-2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SUMPRODUCT(("T_B_u-ICEnga-S2"=[1]OUT_TransportEnergyCons!$A$3:$A$1000)*1,("Var_Fin"=[1]OUT_TransportEnergyCons!$B$3:$B$1000)*1,ISNUMBER(SEARCH("nga",[1]OUT_TransportEnergyCons!$C$3:$C$1000))*1,[1]OUT_TransportEnergyCons!H$3:H$1000)</f>
        <v>0</v>
      </c>
      <c r="K1348" s="1" cm="1">
        <f t="array" ref="K1348">SUMPRODUCT(("T_B_u-ICEnga-S2"=[1]OUT_TransportEnergyCons!$A$3:$A$1000)*1,("Var_Fin"=[1]OUT_TransportEnergyCons!$B$3:$B$1000)*1,ISNUMBER(SEARCH("nga",[1]OUT_TransportEnergyCons!$C$3:$C$1000))*1,[1]OUT_TransportEnergyCons!I$3:I$1000)</f>
        <v>0</v>
      </c>
      <c r="L1348" s="1" cm="1">
        <f t="array" ref="L1348">SUMPRODUCT(("T_B_u-ICEnga-S2"=[1]OUT_TransportEnergyCons!$A$3:$A$1000)*1,("Var_Fin"=[1]OUT_TransportEnergyCons!$B$3:$B$1000)*1,ISNUMBER(SEARCH("nga",[1]OUT_TransportEnergyCons!$C$3:$C$1000))*1,[1]OUT_TransportEnergyCons!J$3:J$1000)</f>
        <v>0</v>
      </c>
      <c r="M1348" s="1" cm="1">
        <f t="array" ref="M1348">SUMPRODUCT(("T_B_u-ICEnga-S2"=[1]OUT_TransportEnergyCons!$A$3:$A$1000)*1,("Var_Fin"=[1]OUT_TransportEnergyCons!$B$3:$B$1000)*1,ISNUMBER(SEARCH("nga",[1]OUT_TransportEnergyCons!$C$3:$C$1000))*1,[1]OUT_TransportEnergyCons!K$3:K$1000)</f>
        <v>0</v>
      </c>
      <c r="N1348" s="1" cm="1">
        <f t="array" ref="N1348">SUMPRODUCT(("T_B_u-ICEnga-S2"=[1]OUT_TransportEnergyCons!$A$3:$A$1000)*1,("Var_Fin"=[1]OUT_TransportEnergyCons!$B$3:$B$1000)*1,ISNUMBER(SEARCH("nga",[1]OUT_TransportEnergyCons!$C$3:$C$1000))*1,[1]OUT_TransportEnergyCons!L$3:L$1000)</f>
        <v>0</v>
      </c>
      <c r="O1348" s="1" cm="1">
        <f t="array" ref="O1348">SUMPRODUCT(("T_B_u-ICEnga-S2"=[1]OUT_TransportEnergyCons!$A$3:$A$1000)*1,("Var_Fin"=[1]OUT_TransportEnergyCons!$B$3:$B$1000)*1,ISNUMBER(SEARCH("nga",[1]OUT_TransportEnergyCons!$C$3:$C$1000))*1,[1]OUT_TransportEnergyCons!M$3:M$1000)</f>
        <v>0</v>
      </c>
      <c r="P1348" s="1" cm="1">
        <f t="array" ref="P1348">SUMPRODUCT(("T_B_u-ICEnga-S2"=[1]OUT_TransportEnergyCons!$A$3:$A$1000)*1,("Var_Fin"=[1]OUT_TransportEnergyCons!$B$3:$B$1000)*1,ISNUMBER(SEARCH("nga",[1]OUT_TransportEnergyCons!$C$3:$C$1000))*1,[1]OUT_TransportEnergyCons!N$3:N$1000)</f>
        <v>0</v>
      </c>
      <c r="Q1348" s="1" cm="1">
        <f t="array" ref="Q1348">SUMPRODUCT(("T_B_u-ICEnga-S2"=[1]OUT_TransportEnergyCons!$A$3:$A$1000)*1,("Var_Fin"=[1]OUT_TransportEnergyCons!$B$3:$B$1000)*1,ISNUMBER(SEARCH("nga",[1]OUT_TransportEnergyCons!$C$3:$C$1000))*1,[1]OUT_TransportEnergyCons!O$3:O$1000)</f>
        <v>0</v>
      </c>
      <c r="S1348" s="3"/>
    </row>
    <row r="1349" spans="2:19" x14ac:dyDescent="0.5">
      <c r="B1349" s="5" t="str">
        <f t="shared" si="1478"/>
        <v>SPS1</v>
      </c>
      <c r="C1349" s="5" t="str">
        <f t="shared" si="1479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1.8713855935576998E-4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9.4931183814284364E-4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0</v>
      </c>
      <c r="J1349" s="1" cm="1">
        <f t="array" ref="J1349">SUMPRODUCT(("T_B_u-ICEnga-S3"=[1]OUT_TransportEnergyCons!$A$3:$A$1000)*1,("Var_Fin"=[1]OUT_TransportEnergyCons!$B$3:$B$1000)*1,ISNUMBER(SEARCH("nga",[1]OUT_TransportEnergyCons!$C$3:$C$1000))*1,[1]OUT_TransportEnergyCons!H$3:H$1000)</f>
        <v>0</v>
      </c>
      <c r="K1349" s="1" cm="1">
        <f t="array" ref="K1349">SUMPRODUCT(("T_B_u-ICEnga-S3"=[1]OUT_TransportEnergyCons!$A$3:$A$1000)*1,("Var_Fin"=[1]OUT_TransportEnergyCons!$B$3:$B$1000)*1,ISNUMBER(SEARCH("nga",[1]OUT_TransportEnergyCons!$C$3:$C$1000))*1,[1]OUT_TransportEnergyCons!I$3:I$1000)</f>
        <v>0</v>
      </c>
      <c r="L1349" s="1" cm="1">
        <f t="array" ref="L1349">SUMPRODUCT(("T_B_u-ICEnga-S3"=[1]OUT_TransportEnergyCons!$A$3:$A$1000)*1,("Var_Fin"=[1]OUT_TransportEnergyCons!$B$3:$B$1000)*1,ISNUMBER(SEARCH("nga",[1]OUT_TransportEnergyCons!$C$3:$C$1000))*1,[1]OUT_TransportEnergyCons!J$3:J$1000)</f>
        <v>0</v>
      </c>
      <c r="M1349" s="1" cm="1">
        <f t="array" ref="M1349">SUMPRODUCT(("T_B_u-ICEnga-S3"=[1]OUT_TransportEnergyCons!$A$3:$A$1000)*1,("Var_Fin"=[1]OUT_TransportEnergyCons!$B$3:$B$1000)*1,ISNUMBER(SEARCH("nga",[1]OUT_TransportEnergyCons!$C$3:$C$1000))*1,[1]OUT_TransportEnergyCons!K$3:K$1000)</f>
        <v>0</v>
      </c>
      <c r="N1349" s="1" cm="1">
        <f t="array" ref="N1349">SUMPRODUCT(("T_B_u-ICEnga-S3"=[1]OUT_TransportEnergyCons!$A$3:$A$1000)*1,("Var_Fin"=[1]OUT_TransportEnergyCons!$B$3:$B$1000)*1,ISNUMBER(SEARCH("nga",[1]OUT_TransportEnergyCons!$C$3:$C$1000))*1,[1]OUT_TransportEnergyCons!L$3:L$1000)</f>
        <v>0</v>
      </c>
      <c r="O1349" s="1" cm="1">
        <f t="array" ref="O1349">SUMPRODUCT(("T_B_u-ICEnga-S3"=[1]OUT_TransportEnergyCons!$A$3:$A$1000)*1,("Var_Fin"=[1]OUT_TransportEnergyCons!$B$3:$B$1000)*1,ISNUMBER(SEARCH("nga",[1]OUT_TransportEnergyCons!$C$3:$C$1000))*1,[1]OUT_TransportEnergyCons!M$3:M$1000)</f>
        <v>0</v>
      </c>
      <c r="P1349" s="1" cm="1">
        <f t="array" ref="P1349">SUMPRODUCT(("T_B_u-ICEnga-S3"=[1]OUT_TransportEnergyCons!$A$3:$A$1000)*1,("Var_Fin"=[1]OUT_TransportEnergyCons!$B$3:$B$1000)*1,ISNUMBER(SEARCH("nga",[1]OUT_TransportEnergyCons!$C$3:$C$1000))*1,[1]OUT_TransportEnergyCons!N$3:N$1000)</f>
        <v>0</v>
      </c>
      <c r="Q1349" s="1" cm="1">
        <f t="array" ref="Q1349">SUMPRODUCT(("T_B_u-ICEnga-S3"=[1]OUT_TransportEnergyCons!$A$3:$A$1000)*1,("Var_Fin"=[1]OUT_TransportEnergyCons!$B$3:$B$1000)*1,ISNUMBER(SEARCH("nga",[1]OUT_TransportEnergyCons!$C$3:$C$1000))*1,[1]OUT_TransportEnergyCons!O$3:O$1000)</f>
        <v>0</v>
      </c>
      <c r="S1349" s="3"/>
    </row>
    <row r="1350" spans="2:19" x14ac:dyDescent="0.5">
      <c r="B1350" s="5" t="str">
        <f t="shared" si="1478"/>
        <v>SPS1</v>
      </c>
      <c r="C1350" s="5" t="str">
        <f t="shared" si="1479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4.7898687420461863E-5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2.1291679903459503E-4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SUMPRODUCT(("T_B_u-ICEnga-S4"=[1]OUT_TransportEnergyCons!$A$3:$A$1000)*1,("Var_Fin"=[1]OUT_TransportEnergyCons!$B$3:$B$1000)*1,ISNUMBER(SEARCH("nga",[1]OUT_TransportEnergyCons!$C$3:$C$1000))*1,[1]OUT_TransportEnergyCons!H$3:H$1000)</f>
        <v>0</v>
      </c>
      <c r="K1350" s="1" cm="1">
        <f t="array" ref="K1350">SUMPRODUCT(("T_B_u-ICEnga-S4"=[1]OUT_TransportEnergyCons!$A$3:$A$1000)*1,("Var_Fin"=[1]OUT_TransportEnergyCons!$B$3:$B$1000)*1,ISNUMBER(SEARCH("nga",[1]OUT_TransportEnergyCons!$C$3:$C$1000))*1,[1]OUT_TransportEnergyCons!I$3:I$1000)</f>
        <v>0</v>
      </c>
      <c r="L1350" s="1" cm="1">
        <f t="array" ref="L1350">SUMPRODUCT(("T_B_u-ICEnga-S4"=[1]OUT_TransportEnergyCons!$A$3:$A$1000)*1,("Var_Fin"=[1]OUT_TransportEnergyCons!$B$3:$B$1000)*1,ISNUMBER(SEARCH("nga",[1]OUT_TransportEnergyCons!$C$3:$C$1000))*1,[1]OUT_TransportEnergyCons!J$3:J$1000)</f>
        <v>0</v>
      </c>
      <c r="M1350" s="1" cm="1">
        <f t="array" ref="M1350">SUMPRODUCT(("T_B_u-ICEnga-S4"=[1]OUT_TransportEnergyCons!$A$3:$A$1000)*1,("Var_Fin"=[1]OUT_TransportEnergyCons!$B$3:$B$1000)*1,ISNUMBER(SEARCH("nga",[1]OUT_TransportEnergyCons!$C$3:$C$1000))*1,[1]OUT_TransportEnergyCons!K$3:K$1000)</f>
        <v>0</v>
      </c>
      <c r="N1350" s="1" cm="1">
        <f t="array" ref="N1350">SUMPRODUCT(("T_B_u-ICEnga-S4"=[1]OUT_TransportEnergyCons!$A$3:$A$1000)*1,("Var_Fin"=[1]OUT_TransportEnergyCons!$B$3:$B$1000)*1,ISNUMBER(SEARCH("nga",[1]OUT_TransportEnergyCons!$C$3:$C$1000))*1,[1]OUT_TransportEnergyCons!L$3:L$1000)</f>
        <v>0</v>
      </c>
      <c r="O1350" s="1" cm="1">
        <f t="array" ref="O1350">SUMPRODUCT(("T_B_u-ICEnga-S4"=[1]OUT_TransportEnergyCons!$A$3:$A$1000)*1,("Var_Fin"=[1]OUT_TransportEnergyCons!$B$3:$B$1000)*1,ISNUMBER(SEARCH("nga",[1]OUT_TransportEnergyCons!$C$3:$C$1000))*1,[1]OUT_TransportEnergyCons!M$3:M$1000)</f>
        <v>0</v>
      </c>
      <c r="P1350" s="1" cm="1">
        <f t="array" ref="P1350">SUMPRODUCT(("T_B_u-ICEnga-S4"=[1]OUT_TransportEnergyCons!$A$3:$A$1000)*1,("Var_Fin"=[1]OUT_TransportEnergyCons!$B$3:$B$1000)*1,ISNUMBER(SEARCH("nga",[1]OUT_TransportEnergyCons!$C$3:$C$1000))*1,[1]OUT_TransportEnergyCons!N$3:N$1000)</f>
        <v>0</v>
      </c>
      <c r="Q1350" s="1" cm="1">
        <f t="array" ref="Q1350">SUMPRODUCT(("T_B_u-ICEnga-S4"=[1]OUT_TransportEnergyCons!$A$3:$A$1000)*1,("Var_Fin"=[1]OUT_TransportEnergyCons!$B$3:$B$1000)*1,ISNUMBER(SEARCH("nga",[1]OUT_TransportEnergyCons!$C$3:$C$1000))*1,[1]OUT_TransportEnergyCons!O$3:O$1000)</f>
        <v>0</v>
      </c>
      <c r="S1350" s="3"/>
    </row>
    <row r="1351" spans="2:19" x14ac:dyDescent="0.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0.29543006454738713</v>
      </c>
      <c r="G1351" s="3">
        <f t="shared" ref="G1351:K1351" si="1502">SUM(G1352:G1374)</f>
        <v>0.30116205931413231</v>
      </c>
      <c r="H1351" s="3">
        <f t="shared" si="1502"/>
        <v>0.3098479485546099</v>
      </c>
      <c r="I1351" s="3">
        <f t="shared" si="1502"/>
        <v>0.32430762799662877</v>
      </c>
      <c r="J1351" s="3">
        <f t="shared" si="1502"/>
        <v>0.3384554278312264</v>
      </c>
      <c r="K1351" s="3">
        <f t="shared" si="1502"/>
        <v>0.35284904523798255</v>
      </c>
      <c r="L1351" s="3">
        <f t="shared" ref="L1351:O1351" si="1503">SUM(L1352:L1374)</f>
        <v>0.36515017877548966</v>
      </c>
      <c r="M1351" s="3">
        <f t="shared" si="1503"/>
        <v>0.37744833122920834</v>
      </c>
      <c r="N1351" s="3">
        <f t="shared" si="1503"/>
        <v>0.38803952685466631</v>
      </c>
      <c r="O1351" s="3">
        <f t="shared" si="1503"/>
        <v>0.39908362710400191</v>
      </c>
      <c r="P1351" s="3">
        <f>SUM(P1352:P1374)</f>
        <v>0.41127978266823151</v>
      </c>
      <c r="Q1351" s="3">
        <f>SUM(Q1352:Q1374)</f>
        <v>0.42533078680399428</v>
      </c>
      <c r="S1351" s="3"/>
    </row>
    <row r="1352" spans="2:19" x14ac:dyDescent="0.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1.9674219309991944E-3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1.6054780168772837E-3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1.0040890307858863E-3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SUMPRODUCT(("T_B_u-BeVELCEXT"=[1]OUT_TransportEnergyCons!$A$3:$A$1000)*1,("var_fout"=[1]OUT_TransportEnergyCons!$B$3:$B$1000)*1,ISNUMBER(SEARCH("tpbsu",[1]OUT_TransportEnergyCons!$C$3:$C$1000))*1,[1]OUT_TransportEnergyCons!H$3:H$1000)</f>
        <v>0</v>
      </c>
      <c r="K1352" s="1" cm="1">
        <f t="array" ref="K1352">SUMPRODUCT(("T_B_u-BeVELCEXT"=[1]OUT_TransportEnergyCons!$A$3:$A$1000)*1,("var_fout"=[1]OUT_TransportEnergyCons!$B$3:$B$1000)*1,ISNUMBER(SEARCH("tpbsu",[1]OUT_TransportEnergyCons!$C$3:$C$1000))*1,[1]OUT_TransportEnergyCons!I$3:I$1000)</f>
        <v>0</v>
      </c>
      <c r="L1352" s="1" cm="1">
        <f t="array" ref="L1352">SUMPRODUCT(("T_B_u-BeVELCEXT"=[1]OUT_TransportEnergyCons!$A$3:$A$1000)*1,("var_fout"=[1]OUT_TransportEnergyCons!$B$3:$B$1000)*1,ISNUMBER(SEARCH("tpbsu",[1]OUT_TransportEnergyCons!$C$3:$C$1000))*1,[1]OUT_TransportEnergyCons!J$3:J$1000)</f>
        <v>0</v>
      </c>
      <c r="M1352" s="1" cm="1">
        <f t="array" ref="M1352">SUMPRODUCT(("T_B_u-BeVELCEXT"=[1]OUT_TransportEnergyCons!$A$3:$A$1000)*1,("var_fout"=[1]OUT_TransportEnergyCons!$B$3:$B$1000)*1,ISNUMBER(SEARCH("tpbsu",[1]OUT_TransportEnergyCons!$C$3:$C$1000))*1,[1]OUT_TransportEnergyCons!K$3:K$1000)</f>
        <v>0</v>
      </c>
      <c r="N1352" s="1" cm="1">
        <f t="array" ref="N1352">SUMPRODUCT(("T_B_u-BeVELCEXT"=[1]OUT_TransportEnergyCons!$A$3:$A$1000)*1,("var_fout"=[1]OUT_TransportEnergyCons!$B$3:$B$1000)*1,ISNUMBER(SEARCH("tpbsu",[1]OUT_TransportEnergyCons!$C$3:$C$1000))*1,[1]OUT_TransportEnergyCons!L$3:L$1000)</f>
        <v>0</v>
      </c>
      <c r="O1352" s="1" cm="1">
        <f t="array" ref="O1352">SUMPRODUCT(("T_B_u-BeVELCEXT"=[1]OUT_TransportEnergyCons!$A$3:$A$1000)*1,("var_fout"=[1]OUT_TransportEnergyCons!$B$3:$B$1000)*1,ISNUMBER(SEARCH("tpbsu",[1]OUT_TransportEnergyCons!$C$3:$C$1000))*1,[1]OUT_TransportEnergyCons!M$3:M$1000)</f>
        <v>0</v>
      </c>
      <c r="P1352" s="1" cm="1">
        <f t="array" ref="P1352">SUMPRODUCT(("T_B_u-BeVELCEXT"=[1]OUT_TransportEnergyCons!$A$3:$A$1000)*1,("var_fout"=[1]OUT_TransportEnergyCons!$B$3:$B$1000)*1,ISNUMBER(SEARCH("tpbsu",[1]OUT_TransportEnergyCons!$C$3:$C$1000))*1,[1]OUT_TransportEnergyCons!N$3:N$1000)</f>
        <v>0</v>
      </c>
      <c r="Q1352" s="1" cm="1">
        <f t="array" ref="Q1352">SUMPRODUCT(("T_B_u-BeVELCEXT"=[1]OUT_TransportEnergyCons!$A$3:$A$1000)*1,("var_fout"=[1]OUT_TransportEnergyCons!$B$3:$B$1000)*1,ISNUMBER(SEARCH("tpbsu",[1]OUT_TransportEnergyCons!$C$3:$C$1000))*1,[1]OUT_TransportEnergyCons!O$3:O$1000)</f>
        <v>0</v>
      </c>
      <c r="S1352" s="3"/>
    </row>
    <row r="1353" spans="2:19" x14ac:dyDescent="0.5">
      <c r="B1353" s="5" t="str">
        <f t="shared" ref="B1353:B1374" si="1504">B1352</f>
        <v>SPS1</v>
      </c>
      <c r="C1353" s="5" t="str">
        <f t="shared" ref="C1353:C1374" si="1505">C1352</f>
        <v>CH</v>
      </c>
      <c r="D1353" t="s">
        <v>1350</v>
      </c>
      <c r="E1353" t="str">
        <f t="shared" ref="E1353:E1374" si="1506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1.8153869396208529E-7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6.2315041492702595E-4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1.6223873746993142E-3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0.11013156191077003</v>
      </c>
      <c r="J1353" s="1" cm="1">
        <f t="array" ref="J1353">SUMPRODUCT(("T_B_u-BEVELC-S1"=[1]OUT_TransportEnergyCons!$A$3:$A$1000)*1,("var_fout"=[1]OUT_TransportEnergyCons!$B$3:$B$1000)*1,ISNUMBER(SEARCH("tpbsu",[1]OUT_TransportEnergyCons!$C$3:$C$1000))*1,[1]OUT_TransportEnergyCons!H$3:H$1000)</f>
        <v>0.11466970179513394</v>
      </c>
      <c r="K1353" s="1" cm="1">
        <f t="array" ref="K1353">SUMPRODUCT(("T_B_u-BEVELC-S1"=[1]OUT_TransportEnergyCons!$A$3:$A$1000)*1,("var_fout"=[1]OUT_TransportEnergyCons!$B$3:$B$1000)*1,ISNUMBER(SEARCH("tpbsu",[1]OUT_TransportEnergyCons!$C$3:$C$1000))*1,[1]OUT_TransportEnergyCons!I$3:I$1000)</f>
        <v>0.11934575656080683</v>
      </c>
      <c r="L1353" s="1" cm="1">
        <f t="array" ref="L1353">SUMPRODUCT(("T_B_u-BEVELC-S1"=[1]OUT_TransportEnergyCons!$A$3:$A$1000)*1,("var_fout"=[1]OUT_TransportEnergyCons!$B$3:$B$1000)*1,ISNUMBER(SEARCH("tpbsu",[1]OUT_TransportEnergyCons!$C$3:$C$1000))*1,[1]OUT_TransportEnergyCons!J$3:J$1000)</f>
        <v>0.12293017044820463</v>
      </c>
      <c r="M1353" s="1" cm="1">
        <f t="array" ref="M1353">SUMPRODUCT(("T_B_u-BEVELC-S1"=[1]OUT_TransportEnergyCons!$A$3:$A$1000)*1,("var_fout"=[1]OUT_TransportEnergyCons!$B$3:$B$1000)*1,ISNUMBER(SEARCH("tpbsu",[1]OUT_TransportEnergyCons!$C$3:$C$1000))*1,[1]OUT_TransportEnergyCons!K$3:K$1000)</f>
        <v>0.12543969511758393</v>
      </c>
      <c r="N1353" s="1" cm="1">
        <f t="array" ref="N1353">SUMPRODUCT(("T_B_u-BEVELC-S1"=[1]OUT_TransportEnergyCons!$A$3:$A$1000)*1,("var_fout"=[1]OUT_TransportEnergyCons!$B$3:$B$1000)*1,ISNUMBER(SEARCH("tpbsu",[1]OUT_TransportEnergyCons!$C$3:$C$1000))*1,[1]OUT_TransportEnergyCons!L$3:L$1000)</f>
        <v>0.12702896996058904</v>
      </c>
      <c r="O1353" s="1" cm="1">
        <f t="array" ref="O1353">SUMPRODUCT(("T_B_u-BEVELC-S1"=[1]OUT_TransportEnergyCons!$A$3:$A$1000)*1,("var_fout"=[1]OUT_TransportEnergyCons!$B$3:$B$1000)*1,ISNUMBER(SEARCH("tpbsu",[1]OUT_TransportEnergyCons!$C$3:$C$1000))*1,[1]OUT_TransportEnergyCons!M$3:M$1000)</f>
        <v>0.12294085516103137</v>
      </c>
      <c r="P1353" s="1" cm="1">
        <f t="array" ref="P1353">SUMPRODUCT(("T_B_u-BEVELC-S1"=[1]OUT_TransportEnergyCons!$A$3:$A$1000)*1,("var_fout"=[1]OUT_TransportEnergyCons!$B$3:$B$1000)*1,ISNUMBER(SEARCH("tpbsu",[1]OUT_TransportEnergyCons!$C$3:$C$1000))*1,[1]OUT_TransportEnergyCons!N$3:N$1000)</f>
        <v>9.0047372323844688E-2</v>
      </c>
      <c r="Q1353" s="1" cm="1">
        <f t="array" ref="Q1353">SUMPRODUCT(("T_B_u-BEVELC-S1"=[1]OUT_TransportEnergyCons!$A$3:$A$1000)*1,("var_fout"=[1]OUT_TransportEnergyCons!$B$3:$B$1000)*1,ISNUMBER(SEARCH("tpbsu",[1]OUT_TransportEnergyCons!$C$3:$C$1000))*1,[1]OUT_TransportEnergyCons!O$3:O$1000)</f>
        <v>7.8890772272558446E-2</v>
      </c>
      <c r="S1353" s="3"/>
    </row>
    <row r="1354" spans="2:19" x14ac:dyDescent="0.5">
      <c r="B1354" s="5" t="str">
        <f t="shared" si="1504"/>
        <v>SPS1</v>
      </c>
      <c r="C1354" s="5" t="str">
        <f t="shared" si="1505"/>
        <v>CH</v>
      </c>
      <c r="D1354" t="s">
        <v>1351</v>
      </c>
      <c r="E1354" t="str">
        <f t="shared" si="1506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4.0435506944943238E-4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6.9992418111520236E-4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1.3906445010840353E-3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3.963052717898858E-2</v>
      </c>
      <c r="J1354" s="1" cm="1">
        <f t="array" ref="J1354">SUMPRODUCT(("T_B_u-BEVELC-S2"=[1]OUT_TransportEnergyCons!$A$3:$A$1000)*1,("var_fout"=[1]OUT_TransportEnergyCons!$B$3:$B$1000)*1,ISNUMBER(SEARCH("tpbsu",[1]OUT_TransportEnergyCons!$C$3:$C$1000))*1,[1]OUT_TransportEnergyCons!H$3:H$1000)</f>
        <v>4.1255012268869559E-2</v>
      </c>
      <c r="K1354" s="1" cm="1">
        <f t="array" ref="K1354">SUMPRODUCT(("T_B_u-BEVELC-S2"=[1]OUT_TransportEnergyCons!$A$3:$A$1000)*1,("var_fout"=[1]OUT_TransportEnergyCons!$B$3:$B$1000)*1,ISNUMBER(SEARCH("tpbsu",[1]OUT_TransportEnergyCons!$C$3:$C$1000))*1,[1]OUT_TransportEnergyCons!I$3:I$1000)</f>
        <v>4.2924436458574688E-2</v>
      </c>
      <c r="L1354" s="1" cm="1">
        <f t="array" ref="L1354">SUMPRODUCT(("T_B_u-BEVELC-S2"=[1]OUT_TransportEnergyCons!$A$3:$A$1000)*1,("var_fout"=[1]OUT_TransportEnergyCons!$B$3:$B$1000)*1,ISNUMBER(SEARCH("tpbsu",[1]OUT_TransportEnergyCons!$C$3:$C$1000))*1,[1]OUT_TransportEnergyCons!J$3:J$1000)</f>
        <v>4.4179525858924956E-2</v>
      </c>
      <c r="M1354" s="1" cm="1">
        <f t="array" ref="M1354">SUMPRODUCT(("T_B_u-BEVELC-S2"=[1]OUT_TransportEnergyCons!$A$3:$A$1000)*1,("var_fout"=[1]OUT_TransportEnergyCons!$B$3:$B$1000)*1,ISNUMBER(SEARCH("tpbsu",[1]OUT_TransportEnergyCons!$C$3:$C$1000))*1,[1]OUT_TransportEnergyCons!K$3:K$1000)</f>
        <v>4.5287049226643783E-2</v>
      </c>
      <c r="N1354" s="1" cm="1">
        <f t="array" ref="N1354">SUMPRODUCT(("T_B_u-BEVELC-S2"=[1]OUT_TransportEnergyCons!$A$3:$A$1000)*1,("var_fout"=[1]OUT_TransportEnergyCons!$B$3:$B$1000)*1,ISNUMBER(SEARCH("tpbsu",[1]OUT_TransportEnergyCons!$C$3:$C$1000))*1,[1]OUT_TransportEnergyCons!L$3:L$1000)</f>
        <v>4.6128750999080689E-2</v>
      </c>
      <c r="O1354" s="1" cm="1">
        <f t="array" ref="O1354">SUMPRODUCT(("T_B_u-BEVELC-S2"=[1]OUT_TransportEnergyCons!$A$3:$A$1000)*1,("var_fout"=[1]OUT_TransportEnergyCons!$B$3:$B$1000)*1,ISNUMBER(SEARCH("tpbsu",[1]OUT_TransportEnergyCons!$C$3:$C$1000))*1,[1]OUT_TransportEnergyCons!M$3:M$1000)</f>
        <v>4.6756722949545526E-2</v>
      </c>
      <c r="P1354" s="1" cm="1">
        <f t="array" ref="P1354">SUMPRODUCT(("T_B_u-BEVELC-S2"=[1]OUT_TransportEnergyCons!$A$3:$A$1000)*1,("var_fout"=[1]OUT_TransportEnergyCons!$B$3:$B$1000)*1,ISNUMBER(SEARCH("tpbsu",[1]OUT_TransportEnergyCons!$C$3:$C$1000))*1,[1]OUT_TransportEnergyCons!N$3:N$1000)</f>
        <v>4.7542874642704222E-2</v>
      </c>
      <c r="Q1354" s="1" cm="1">
        <f t="array" ref="Q1354">SUMPRODUCT(("T_B_u-BEVELC-S2"=[1]OUT_TransportEnergyCons!$A$3:$A$1000)*1,("var_fout"=[1]OUT_TransportEnergyCons!$B$3:$B$1000)*1,ISNUMBER(SEARCH("tpbsu",[1]OUT_TransportEnergyCons!$C$3:$C$1000))*1,[1]OUT_TransportEnergyCons!O$3:O$1000)</f>
        <v>4.7764303859745005E-2</v>
      </c>
      <c r="S1354" s="3"/>
    </row>
    <row r="1355" spans="2:19" x14ac:dyDescent="0.5">
      <c r="B1355" s="5" t="str">
        <f t="shared" si="1504"/>
        <v>SPS1</v>
      </c>
      <c r="C1355" s="5" t="str">
        <f t="shared" si="1505"/>
        <v>CH</v>
      </c>
      <c r="D1355" t="s">
        <v>1352</v>
      </c>
      <c r="E1355" t="str">
        <f t="shared" si="1506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8.1406415967594486E-4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1.1534414666755002E-3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1.4210339926664509E-3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0.10491108225821312</v>
      </c>
      <c r="J1355" s="1" cm="1">
        <f t="array" ref="J1355">SUMPRODUCT(("T_B_u-BEVELC-S3"=[1]OUT_TransportEnergyCons!$A$3:$A$1000)*1,("var_fout"=[1]OUT_TransportEnergyCons!$B$3:$B$1000)*1,ISNUMBER(SEARCH("tpbsu",[1]OUT_TransportEnergyCons!$C$3:$C$1000))*1,[1]OUT_TransportEnergyCons!H$3:H$1000)</f>
        <v>0.10064531208083725</v>
      </c>
      <c r="K1355" s="1" cm="1">
        <f t="array" ref="K1355">SUMPRODUCT(("T_B_u-BEVELC-S3"=[1]OUT_TransportEnergyCons!$A$3:$A$1000)*1,("var_fout"=[1]OUT_TransportEnergyCons!$B$3:$B$1000)*1,ISNUMBER(SEARCH("tpbsu",[1]OUT_TransportEnergyCons!$C$3:$C$1000))*1,[1]OUT_TransportEnergyCons!I$3:I$1000)</f>
        <v>9.5352466077220158E-2</v>
      </c>
      <c r="L1355" s="1" cm="1">
        <f t="array" ref="L1355">SUMPRODUCT(("T_B_u-BEVELC-S3"=[1]OUT_TransportEnergyCons!$A$3:$A$1000)*1,("var_fout"=[1]OUT_TransportEnergyCons!$B$3:$B$1000)*1,ISNUMBER(SEARCH("tpbsu",[1]OUT_TransportEnergyCons!$C$3:$C$1000))*1,[1]OUT_TransportEnergyCons!J$3:J$1000)</f>
        <v>8.8732406462088034E-2</v>
      </c>
      <c r="M1355" s="1" cm="1">
        <f t="array" ref="M1355">SUMPRODUCT(("T_B_u-BEVELC-S3"=[1]OUT_TransportEnergyCons!$A$3:$A$1000)*1,("var_fout"=[1]OUT_TransportEnergyCons!$B$3:$B$1000)*1,ISNUMBER(SEARCH("tpbsu",[1]OUT_TransportEnergyCons!$C$3:$C$1000))*1,[1]OUT_TransportEnergyCons!K$3:K$1000)</f>
        <v>8.3334498242963712E-2</v>
      </c>
      <c r="N1355" s="1" cm="1">
        <f t="array" ref="N1355">SUMPRODUCT(("T_B_u-BEVELC-S3"=[1]OUT_TransportEnergyCons!$A$3:$A$1000)*1,("var_fout"=[1]OUT_TransportEnergyCons!$B$3:$B$1000)*1,ISNUMBER(SEARCH("tpbsu",[1]OUT_TransportEnergyCons!$C$3:$C$1000))*1,[1]OUT_TransportEnergyCons!L$3:L$1000)</f>
        <v>7.8594694674249815E-2</v>
      </c>
      <c r="O1355" s="1" cm="1">
        <f t="array" ref="O1355">SUMPRODUCT(("T_B_u-BEVELC-S3"=[1]OUT_TransportEnergyCons!$A$3:$A$1000)*1,("var_fout"=[1]OUT_TransportEnergyCons!$B$3:$B$1000)*1,ISNUMBER(SEARCH("tpbsu",[1]OUT_TransportEnergyCons!$C$3:$C$1000))*1,[1]OUT_TransportEnergyCons!M$3:M$1000)</f>
        <v>7.8573860797256007E-2</v>
      </c>
      <c r="P1355" s="1" cm="1">
        <f t="array" ref="P1355">SUMPRODUCT(("T_B_u-BEVELC-S3"=[1]OUT_TransportEnergyCons!$A$3:$A$1000)*1,("var_fout"=[1]OUT_TransportEnergyCons!$B$3:$B$1000)*1,ISNUMBER(SEARCH("tpbsu",[1]OUT_TransportEnergyCons!$C$3:$C$1000))*1,[1]OUT_TransportEnergyCons!N$3:N$1000)</f>
        <v>0.10909123360315318</v>
      </c>
      <c r="Q1355" s="1" cm="1">
        <f t="array" ref="Q1355">SUMPRODUCT(("T_B_u-BEVELC-S3"=[1]OUT_TransportEnergyCons!$A$3:$A$1000)*1,("var_fout"=[1]OUT_TransportEnergyCons!$B$3:$B$1000)*1,ISNUMBER(SEARCH("tpbsu",[1]OUT_TransportEnergyCons!$C$3:$C$1000))*1,[1]OUT_TransportEnergyCons!O$3:O$1000)</f>
        <v>0.12576238243727855</v>
      </c>
      <c r="S1355" s="3"/>
    </row>
    <row r="1356" spans="2:19" x14ac:dyDescent="0.5">
      <c r="B1356" s="5" t="str">
        <f t="shared" si="1504"/>
        <v>SPS1</v>
      </c>
      <c r="C1356" s="5" t="str">
        <f t="shared" si="1505"/>
        <v>CH</v>
      </c>
      <c r="D1356" t="s">
        <v>1353</v>
      </c>
      <c r="E1356" t="str">
        <f t="shared" si="1506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3.4851561868723066E-5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5.7103204094944618E-5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1.0685922662730186E-4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4.5127758046159152E-5</v>
      </c>
      <c r="J1356" s="1" cm="1">
        <f t="array" ref="J1356">SUMPRODUCT(("T_B_u-BEVELC-S4"=[1]OUT_TransportEnergyCons!$A$3:$A$1000)*1,("var_fout"=[1]OUT_TransportEnergyCons!$B$3:$B$1000)*1,ISNUMBER(SEARCH("tpbsu",[1]OUT_TransportEnergyCons!$C$3:$C$1000))*1,[1]OUT_TransportEnergyCons!H$3:H$1000)</f>
        <v>5.2043022374637594E-5</v>
      </c>
      <c r="K1356" s="1" cm="1">
        <f t="array" ref="K1356">SUMPRODUCT(("T_B_u-BEVELC-S4"=[1]OUT_TransportEnergyCons!$A$3:$A$1000)*1,("var_fout"=[1]OUT_TransportEnergyCons!$B$3:$B$1000)*1,ISNUMBER(SEARCH("tpbsu",[1]OUT_TransportEnergyCons!$C$3:$C$1000))*1,[1]OUT_TransportEnergyCons!I$3:I$1000)</f>
        <v>7.2396403184850526E-5</v>
      </c>
      <c r="L1356" s="1" cm="1">
        <f t="array" ref="L1356">SUMPRODUCT(("T_B_u-BEVELC-S4"=[1]OUT_TransportEnergyCons!$A$3:$A$1000)*1,("var_fout"=[1]OUT_TransportEnergyCons!$B$3:$B$1000)*1,ISNUMBER(SEARCH("tpbsu",[1]OUT_TransportEnergyCons!$C$3:$C$1000))*1,[1]OUT_TransportEnergyCons!J$3:J$1000)</f>
        <v>7.863597054585154E-5</v>
      </c>
      <c r="M1356" s="1" cm="1">
        <f t="array" ref="M1356">SUMPRODUCT(("T_B_u-BEVELC-S4"=[1]OUT_TransportEnergyCons!$A$3:$A$1000)*1,("var_fout"=[1]OUT_TransportEnergyCons!$B$3:$B$1000)*1,ISNUMBER(SEARCH("tpbsu",[1]OUT_TransportEnergyCons!$C$3:$C$1000))*1,[1]OUT_TransportEnergyCons!K$3:K$1000)</f>
        <v>1.4061120609299259E-4</v>
      </c>
      <c r="N1356" s="1" cm="1">
        <f t="array" ref="N1356">SUMPRODUCT(("T_B_u-BEVELC-S4"=[1]OUT_TransportEnergyCons!$A$3:$A$1000)*1,("var_fout"=[1]OUT_TransportEnergyCons!$B$3:$B$1000)*1,ISNUMBER(SEARCH("tpbsu",[1]OUT_TransportEnergyCons!$C$3:$C$1000))*1,[1]OUT_TransportEnergyCons!L$3:L$1000)</f>
        <v>1.0253758552411017E-4</v>
      </c>
      <c r="O1356" s="1" cm="1">
        <f t="array" ref="O1356">SUMPRODUCT(("T_B_u-BEVELC-S4"=[1]OUT_TransportEnergyCons!$A$3:$A$1000)*1,("var_fout"=[1]OUT_TransportEnergyCons!$B$3:$B$1000)*1,ISNUMBER(SEARCH("tpbsu",[1]OUT_TransportEnergyCons!$C$3:$C$1000))*1,[1]OUT_TransportEnergyCons!M$3:M$1000)</f>
        <v>1.2163681555081712E-4</v>
      </c>
      <c r="P1356" s="1" cm="1">
        <f t="array" ref="P1356">SUMPRODUCT(("T_B_u-BEVELC-S4"=[1]OUT_TransportEnergyCons!$A$3:$A$1000)*1,("var_fout"=[1]OUT_TransportEnergyCons!$B$3:$B$1000)*1,ISNUMBER(SEARCH("tpbsu",[1]OUT_TransportEnergyCons!$C$3:$C$1000))*1,[1]OUT_TransportEnergyCons!N$3:N$1000)</f>
        <v>1.3528823802149749E-4</v>
      </c>
      <c r="Q1356" s="1" cm="1">
        <f t="array" ref="Q1356">SUMPRODUCT(("T_B_u-BEVELC-S4"=[1]OUT_TransportEnergyCons!$A$3:$A$1000)*1,("var_fout"=[1]OUT_TransportEnergyCons!$B$3:$B$1000)*1,ISNUMBER(SEARCH("tpbsu",[1]OUT_TransportEnergyCons!$C$3:$C$1000))*1,[1]OUT_TransportEnergyCons!O$3:O$1000)</f>
        <v>2.1076396435174447E-4</v>
      </c>
      <c r="S1356" s="3"/>
    </row>
    <row r="1357" spans="2:19" x14ac:dyDescent="0.5">
      <c r="B1357" s="5" t="str">
        <f t="shared" si="1504"/>
        <v>SPS1</v>
      </c>
      <c r="C1357" s="5" t="str">
        <f t="shared" si="1505"/>
        <v>CH</v>
      </c>
      <c r="D1357" t="s">
        <v>1354</v>
      </c>
      <c r="E1357" t="str">
        <f t="shared" si="1506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6.7545541651376178E-7</v>
      </c>
      <c r="J1357" s="1" cm="1">
        <f t="array" ref="J1357">SUMPRODUCT(("T_B_u-FCLH2O-S1"=[1]OUT_TransportEnergyCons!$A$3:$A$1000)*1,("var_fout"=[1]OUT_TransportEnergyCons!$B$3:$B$1000)*1,ISNUMBER(SEARCH("tpbsu",[1]OUT_TransportEnergyCons!$C$3:$C$1000))*1,[1]OUT_TransportEnergyCons!H$3:H$1000)</f>
        <v>8.1115357179546004E-8</v>
      </c>
      <c r="K1357" s="1" cm="1">
        <f t="array" ref="K1357">SUMPRODUCT(("T_B_u-FCLH2O-S1"=[1]OUT_TransportEnergyCons!$A$3:$A$1000)*1,("var_fout"=[1]OUT_TransportEnergyCons!$B$3:$B$1000)*1,ISNUMBER(SEARCH("tpbsu",[1]OUT_TransportEnergyCons!$C$3:$C$1000))*1,[1]OUT_TransportEnergyCons!I$3:I$1000)</f>
        <v>0</v>
      </c>
      <c r="L1357" s="1" cm="1">
        <f t="array" ref="L1357">SUMPRODUCT(("T_B_u-FCLH2O-S1"=[1]OUT_TransportEnergyCons!$A$3:$A$1000)*1,("var_fout"=[1]OUT_TransportEnergyCons!$B$3:$B$1000)*1,ISNUMBER(SEARCH("tpbsu",[1]OUT_TransportEnergyCons!$C$3:$C$1000))*1,[1]OUT_TransportEnergyCons!J$3:J$1000)</f>
        <v>0</v>
      </c>
      <c r="M1357" s="1" cm="1">
        <f t="array" ref="M1357">SUMPRODUCT(("T_B_u-FCLH2O-S1"=[1]OUT_TransportEnergyCons!$A$3:$A$1000)*1,("var_fout"=[1]OUT_TransportEnergyCons!$B$3:$B$1000)*1,ISNUMBER(SEARCH("tpbsu",[1]OUT_TransportEnergyCons!$C$3:$C$1000))*1,[1]OUT_TransportEnergyCons!K$3:K$1000)</f>
        <v>0</v>
      </c>
      <c r="N1357" s="1" cm="1">
        <f t="array" ref="N1357">SUMPRODUCT(("T_B_u-FCLH2O-S1"=[1]OUT_TransportEnergyCons!$A$3:$A$1000)*1,("var_fout"=[1]OUT_TransportEnergyCons!$B$3:$B$1000)*1,ISNUMBER(SEARCH("tpbsu",[1]OUT_TransportEnergyCons!$C$3:$C$1000))*1,[1]OUT_TransportEnergyCons!L$3:L$1000)</f>
        <v>0</v>
      </c>
      <c r="O1357" s="1" cm="1">
        <f t="array" ref="O1357">SUMPRODUCT(("T_B_u-FCLH2O-S1"=[1]OUT_TransportEnergyCons!$A$3:$A$1000)*1,("var_fout"=[1]OUT_TransportEnergyCons!$B$3:$B$1000)*1,ISNUMBER(SEARCH("tpbsu",[1]OUT_TransportEnergyCons!$C$3:$C$1000))*1,[1]OUT_TransportEnergyCons!M$3:M$1000)</f>
        <v>0</v>
      </c>
      <c r="P1357" s="1" cm="1">
        <f t="array" ref="P1357">SUMPRODUCT(("T_B_u-FCLH2O-S1"=[1]OUT_TransportEnergyCons!$A$3:$A$1000)*1,("var_fout"=[1]OUT_TransportEnergyCons!$B$3:$B$1000)*1,ISNUMBER(SEARCH("tpbsu",[1]OUT_TransportEnergyCons!$C$3:$C$1000))*1,[1]OUT_TransportEnergyCons!N$3:N$1000)</f>
        <v>0</v>
      </c>
      <c r="Q1357" s="1" cm="1">
        <f t="array" ref="Q1357">SUMPRODUCT(("T_B_u-FCLH2O-S1"=[1]OUT_TransportEnergyCons!$A$3:$A$1000)*1,("var_fout"=[1]OUT_TransportEnergyCons!$B$3:$B$1000)*1,ISNUMBER(SEARCH("tpbsu",[1]OUT_TransportEnergyCons!$C$3:$C$1000))*1,[1]OUT_TransportEnergyCons!O$3:O$1000)</f>
        <v>1.5318407314057862E-7</v>
      </c>
      <c r="S1357" s="3"/>
    </row>
    <row r="1358" spans="2:19" x14ac:dyDescent="0.5">
      <c r="B1358" s="5" t="str">
        <f t="shared" si="1504"/>
        <v>SPS1</v>
      </c>
      <c r="C1358" s="5" t="str">
        <f t="shared" si="1505"/>
        <v>CH</v>
      </c>
      <c r="D1358" t="s">
        <v>1355</v>
      </c>
      <c r="E1358" t="str">
        <f t="shared" si="1506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SUMPRODUCT(("T_B_u-FCLH2O-S2"=[1]OUT_TransportEnergyCons!$A$3:$A$1000)*1,("var_fout"=[1]OUT_TransportEnergyCons!$B$3:$B$1000)*1,ISNUMBER(SEARCH("tpbsu",[1]OUT_TransportEnergyCons!$C$3:$C$1000))*1,[1]OUT_TransportEnergyCons!H$3:H$1000)</f>
        <v>0</v>
      </c>
      <c r="K1358" s="1" cm="1">
        <f t="array" ref="K1358">SUMPRODUCT(("T_B_u-FCLH2O-S2"=[1]OUT_TransportEnergyCons!$A$3:$A$1000)*1,("var_fout"=[1]OUT_TransportEnergyCons!$B$3:$B$1000)*1,ISNUMBER(SEARCH("tpbsu",[1]OUT_TransportEnergyCons!$C$3:$C$1000))*1,[1]OUT_TransportEnergyCons!I$3:I$1000)</f>
        <v>0</v>
      </c>
      <c r="L1358" s="1" cm="1">
        <f t="array" ref="L1358">SUMPRODUCT(("T_B_u-FCLH2O-S2"=[1]OUT_TransportEnergyCons!$A$3:$A$1000)*1,("var_fout"=[1]OUT_TransportEnergyCons!$B$3:$B$1000)*1,ISNUMBER(SEARCH("tpbsu",[1]OUT_TransportEnergyCons!$C$3:$C$1000))*1,[1]OUT_TransportEnergyCons!J$3:J$1000)</f>
        <v>0</v>
      </c>
      <c r="M1358" s="1" cm="1">
        <f t="array" ref="M1358">SUMPRODUCT(("T_B_u-FCLH2O-S2"=[1]OUT_TransportEnergyCons!$A$3:$A$1000)*1,("var_fout"=[1]OUT_TransportEnergyCons!$B$3:$B$1000)*1,ISNUMBER(SEARCH("tpbsu",[1]OUT_TransportEnergyCons!$C$3:$C$1000))*1,[1]OUT_TransportEnergyCons!K$3:K$1000)</f>
        <v>0</v>
      </c>
      <c r="N1358" s="1" cm="1">
        <f t="array" ref="N1358">SUMPRODUCT(("T_B_u-FCLH2O-S2"=[1]OUT_TransportEnergyCons!$A$3:$A$1000)*1,("var_fout"=[1]OUT_TransportEnergyCons!$B$3:$B$1000)*1,ISNUMBER(SEARCH("tpbsu",[1]OUT_TransportEnergyCons!$C$3:$C$1000))*1,[1]OUT_TransportEnergyCons!L$3:L$1000)</f>
        <v>0</v>
      </c>
      <c r="O1358" s="1" cm="1">
        <f t="array" ref="O1358">SUMPRODUCT(("T_B_u-FCLH2O-S2"=[1]OUT_TransportEnergyCons!$A$3:$A$1000)*1,("var_fout"=[1]OUT_TransportEnergyCons!$B$3:$B$1000)*1,ISNUMBER(SEARCH("tpbsu",[1]OUT_TransportEnergyCons!$C$3:$C$1000))*1,[1]OUT_TransportEnergyCons!M$3:M$1000)</f>
        <v>0</v>
      </c>
      <c r="P1358" s="1" cm="1">
        <f t="array" ref="P1358">SUMPRODUCT(("T_B_u-FCLH2O-S2"=[1]OUT_TransportEnergyCons!$A$3:$A$1000)*1,("var_fout"=[1]OUT_TransportEnergyCons!$B$3:$B$1000)*1,ISNUMBER(SEARCH("tpbsu",[1]OUT_TransportEnergyCons!$C$3:$C$1000))*1,[1]OUT_TransportEnergyCons!N$3:N$1000)</f>
        <v>0</v>
      </c>
      <c r="Q1358" s="1" cm="1">
        <f t="array" ref="Q1358">SUMPRODUCT(("T_B_u-FCLH2O-S2"=[1]OUT_TransportEnergyCons!$A$3:$A$1000)*1,("var_fout"=[1]OUT_TransportEnergyCons!$B$3:$B$1000)*1,ISNUMBER(SEARCH("tpbsu",[1]OUT_TransportEnergyCons!$C$3:$C$1000))*1,[1]OUT_TransportEnergyCons!O$3:O$1000)</f>
        <v>0</v>
      </c>
      <c r="S1358" s="3"/>
    </row>
    <row r="1359" spans="2:19" x14ac:dyDescent="0.5">
      <c r="B1359" s="5" t="str">
        <f t="shared" si="1504"/>
        <v>SPS1</v>
      </c>
      <c r="C1359" s="5" t="str">
        <f t="shared" si="1505"/>
        <v>CH</v>
      </c>
      <c r="D1359" t="s">
        <v>1356</v>
      </c>
      <c r="E1359" t="str">
        <f t="shared" si="1506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0</v>
      </c>
      <c r="J1359" s="1" cm="1">
        <f t="array" ref="J1359">SUMPRODUCT(("T_B_u-FCLH2O-S3"=[1]OUT_TransportEnergyCons!$A$3:$A$1000)*1,("var_fout"=[1]OUT_TransportEnergyCons!$B$3:$B$1000)*1,ISNUMBER(SEARCH("tpbsu",[1]OUT_TransportEnergyCons!$C$3:$C$1000))*1,[1]OUT_TransportEnergyCons!H$3:H$1000)</f>
        <v>0</v>
      </c>
      <c r="K1359" s="1" cm="1">
        <f t="array" ref="K1359">SUMPRODUCT(("T_B_u-FCLH2O-S3"=[1]OUT_TransportEnergyCons!$A$3:$A$1000)*1,("var_fout"=[1]OUT_TransportEnergyCons!$B$3:$B$1000)*1,ISNUMBER(SEARCH("tpbsu",[1]OUT_TransportEnergyCons!$C$3:$C$1000))*1,[1]OUT_TransportEnergyCons!I$3:I$1000)</f>
        <v>0</v>
      </c>
      <c r="L1359" s="1" cm="1">
        <f t="array" ref="L1359">SUMPRODUCT(("T_B_u-FCLH2O-S3"=[1]OUT_TransportEnergyCons!$A$3:$A$1000)*1,("var_fout"=[1]OUT_TransportEnergyCons!$B$3:$B$1000)*1,ISNUMBER(SEARCH("tpbsu",[1]OUT_TransportEnergyCons!$C$3:$C$1000))*1,[1]OUT_TransportEnergyCons!J$3:J$1000)</f>
        <v>0</v>
      </c>
      <c r="M1359" s="1" cm="1">
        <f t="array" ref="M1359">SUMPRODUCT(("T_B_u-FCLH2O-S3"=[1]OUT_TransportEnergyCons!$A$3:$A$1000)*1,("var_fout"=[1]OUT_TransportEnergyCons!$B$3:$B$1000)*1,ISNUMBER(SEARCH("tpbsu",[1]OUT_TransportEnergyCons!$C$3:$C$1000))*1,[1]OUT_TransportEnergyCons!K$3:K$1000)</f>
        <v>0</v>
      </c>
      <c r="N1359" s="1" cm="1">
        <f t="array" ref="N1359">SUMPRODUCT(("T_B_u-FCLH2O-S3"=[1]OUT_TransportEnergyCons!$A$3:$A$1000)*1,("var_fout"=[1]OUT_TransportEnergyCons!$B$3:$B$1000)*1,ISNUMBER(SEARCH("tpbsu",[1]OUT_TransportEnergyCons!$C$3:$C$1000))*1,[1]OUT_TransportEnergyCons!L$3:L$1000)</f>
        <v>0</v>
      </c>
      <c r="O1359" s="1" cm="1">
        <f t="array" ref="O1359">SUMPRODUCT(("T_B_u-FCLH2O-S3"=[1]OUT_TransportEnergyCons!$A$3:$A$1000)*1,("var_fout"=[1]OUT_TransportEnergyCons!$B$3:$B$1000)*1,ISNUMBER(SEARCH("tpbsu",[1]OUT_TransportEnergyCons!$C$3:$C$1000))*1,[1]OUT_TransportEnergyCons!M$3:M$1000)</f>
        <v>0</v>
      </c>
      <c r="P1359" s="1" cm="1">
        <f t="array" ref="P1359">SUMPRODUCT(("T_B_u-FCLH2O-S3"=[1]OUT_TransportEnergyCons!$A$3:$A$1000)*1,("var_fout"=[1]OUT_TransportEnergyCons!$B$3:$B$1000)*1,ISNUMBER(SEARCH("tpbsu",[1]OUT_TransportEnergyCons!$C$3:$C$1000))*1,[1]OUT_TransportEnergyCons!N$3:N$1000)</f>
        <v>0</v>
      </c>
      <c r="Q1359" s="1" cm="1">
        <f t="array" ref="Q1359">SUMPRODUCT(("T_B_u-FCLH2O-S3"=[1]OUT_TransportEnergyCons!$A$3:$A$1000)*1,("var_fout"=[1]OUT_TransportEnergyCons!$B$3:$B$1000)*1,ISNUMBER(SEARCH("tpbsu",[1]OUT_TransportEnergyCons!$C$3:$C$1000))*1,[1]OUT_TransportEnergyCons!O$3:O$1000)</f>
        <v>0</v>
      </c>
      <c r="S1359" s="3"/>
    </row>
    <row r="1360" spans="2:19" x14ac:dyDescent="0.5">
      <c r="B1360" s="5" t="str">
        <f t="shared" si="1504"/>
        <v>SPS1</v>
      </c>
      <c r="C1360" s="5" t="str">
        <f t="shared" si="1505"/>
        <v>CH</v>
      </c>
      <c r="D1360" t="s">
        <v>1357</v>
      </c>
      <c r="E1360" t="str">
        <f t="shared" si="1506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SUMPRODUCT(("T_B_u-FCLH2O-S4"=[1]OUT_TransportEnergyCons!$A$3:$A$1000)*1,("var_fout"=[1]OUT_TransportEnergyCons!$B$3:$B$1000)*1,ISNUMBER(SEARCH("tpbsu",[1]OUT_TransportEnergyCons!$C$3:$C$1000))*1,[1]OUT_TransportEnergyCons!H$3:H$1000)</f>
        <v>0</v>
      </c>
      <c r="K1360" s="1" cm="1">
        <f t="array" ref="K1360">SUMPRODUCT(("T_B_u-FCLH2O-S4"=[1]OUT_TransportEnergyCons!$A$3:$A$1000)*1,("var_fout"=[1]OUT_TransportEnergyCons!$B$3:$B$1000)*1,ISNUMBER(SEARCH("tpbsu",[1]OUT_TransportEnergyCons!$C$3:$C$1000))*1,[1]OUT_TransportEnergyCons!I$3:I$1000)</f>
        <v>0</v>
      </c>
      <c r="L1360" s="1" cm="1">
        <f t="array" ref="L1360">SUMPRODUCT(("T_B_u-FCLH2O-S4"=[1]OUT_TransportEnergyCons!$A$3:$A$1000)*1,("var_fout"=[1]OUT_TransportEnergyCons!$B$3:$B$1000)*1,ISNUMBER(SEARCH("tpbsu",[1]OUT_TransportEnergyCons!$C$3:$C$1000))*1,[1]OUT_TransportEnergyCons!J$3:J$1000)</f>
        <v>0</v>
      </c>
      <c r="M1360" s="1" cm="1">
        <f t="array" ref="M1360">SUMPRODUCT(("T_B_u-FCLH2O-S4"=[1]OUT_TransportEnergyCons!$A$3:$A$1000)*1,("var_fout"=[1]OUT_TransportEnergyCons!$B$3:$B$1000)*1,ISNUMBER(SEARCH("tpbsu",[1]OUT_TransportEnergyCons!$C$3:$C$1000))*1,[1]OUT_TransportEnergyCons!K$3:K$1000)</f>
        <v>0</v>
      </c>
      <c r="N1360" s="1" cm="1">
        <f t="array" ref="N1360">SUMPRODUCT(("T_B_u-FCLH2O-S4"=[1]OUT_TransportEnergyCons!$A$3:$A$1000)*1,("var_fout"=[1]OUT_TransportEnergyCons!$B$3:$B$1000)*1,ISNUMBER(SEARCH("tpbsu",[1]OUT_TransportEnergyCons!$C$3:$C$1000))*1,[1]OUT_TransportEnergyCons!L$3:L$1000)</f>
        <v>0</v>
      </c>
      <c r="O1360" s="1" cm="1">
        <f t="array" ref="O1360">SUMPRODUCT(("T_B_u-FCLH2O-S4"=[1]OUT_TransportEnergyCons!$A$3:$A$1000)*1,("var_fout"=[1]OUT_TransportEnergyCons!$B$3:$B$1000)*1,ISNUMBER(SEARCH("tpbsu",[1]OUT_TransportEnergyCons!$C$3:$C$1000))*1,[1]OUT_TransportEnergyCons!M$3:M$1000)</f>
        <v>0</v>
      </c>
      <c r="P1360" s="1" cm="1">
        <f t="array" ref="P1360">SUMPRODUCT(("T_B_u-FCLH2O-S4"=[1]OUT_TransportEnergyCons!$A$3:$A$1000)*1,("var_fout"=[1]OUT_TransportEnergyCons!$B$3:$B$1000)*1,ISNUMBER(SEARCH("tpbsu",[1]OUT_TransportEnergyCons!$C$3:$C$1000))*1,[1]OUT_TransportEnergyCons!N$3:N$1000)</f>
        <v>0</v>
      </c>
      <c r="Q1360" s="1" cm="1">
        <f t="array" ref="Q1360">SUMPRODUCT(("T_B_u-FCLH2O-S4"=[1]OUT_TransportEnergyCons!$A$3:$A$1000)*1,("var_fout"=[1]OUT_TransportEnergyCons!$B$3:$B$1000)*1,ISNUMBER(SEARCH("tpbsu",[1]OUT_TransportEnergyCons!$C$3:$C$1000))*1,[1]OUT_TransportEnergyCons!O$3:O$1000)</f>
        <v>0</v>
      </c>
      <c r="S1360" s="3"/>
    </row>
    <row r="1361" spans="2:19" x14ac:dyDescent="0.5">
      <c r="B1361" s="5" t="str">
        <f t="shared" si="1504"/>
        <v>SPS1</v>
      </c>
      <c r="C1361" s="5" t="str">
        <f t="shared" si="1505"/>
        <v>CH</v>
      </c>
      <c r="D1361" t="s">
        <v>1358</v>
      </c>
      <c r="E1361" t="str">
        <f t="shared" si="1506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1.2215312664779724E-3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1.4052751875178017E-3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1.7998283600551893E-4</v>
      </c>
      <c r="J1361" s="1" cm="1">
        <f t="array" ref="J1361">SUMPRODUCT(("T_B_u-HYBDSL-S1"=[1]OUT_TransportEnergyCons!$A$3:$A$1000)*1,("var_fout"=[1]OUT_TransportEnergyCons!$B$3:$B$1000)*1,ISNUMBER(SEARCH("tpbsu",[1]OUT_TransportEnergyCons!$C$3:$C$1000))*1,[1]OUT_TransportEnergyCons!H$3:H$1000)</f>
        <v>4.5779607155671412E-4</v>
      </c>
      <c r="K1361" s="1" cm="1">
        <f t="array" ref="K1361">SUMPRODUCT(("T_B_u-HYBDSL-S1"=[1]OUT_TransportEnergyCons!$A$3:$A$1000)*1,("var_fout"=[1]OUT_TransportEnergyCons!$B$3:$B$1000)*1,ISNUMBER(SEARCH("tpbsu",[1]OUT_TransportEnergyCons!$C$3:$C$1000))*1,[1]OUT_TransportEnergyCons!I$3:I$1000)</f>
        <v>6.5044289839793275E-4</v>
      </c>
      <c r="L1361" s="1" cm="1">
        <f t="array" ref="L1361">SUMPRODUCT(("T_B_u-HYBDSL-S1"=[1]OUT_TransportEnergyCons!$A$3:$A$1000)*1,("var_fout"=[1]OUT_TransportEnergyCons!$B$3:$B$1000)*1,ISNUMBER(SEARCH("tpbsu",[1]OUT_TransportEnergyCons!$C$3:$C$1000))*1,[1]OUT_TransportEnergyCons!J$3:J$1000)</f>
        <v>1.2468571866612727E-3</v>
      </c>
      <c r="M1361" s="1" cm="1">
        <f t="array" ref="M1361">SUMPRODUCT(("T_B_u-HYBDSL-S1"=[1]OUT_TransportEnergyCons!$A$3:$A$1000)*1,("var_fout"=[1]OUT_TransportEnergyCons!$B$3:$B$1000)*1,ISNUMBER(SEARCH("tpbsu",[1]OUT_TransportEnergyCons!$C$3:$C$1000))*1,[1]OUT_TransportEnergyCons!K$3:K$1000)</f>
        <v>2.852301323896285E-3</v>
      </c>
      <c r="N1361" s="1" cm="1">
        <f t="array" ref="N1361">SUMPRODUCT(("T_B_u-HYBDSL-S1"=[1]OUT_TransportEnergyCons!$A$3:$A$1000)*1,("var_fout"=[1]OUT_TransportEnergyCons!$B$3:$B$1000)*1,ISNUMBER(SEARCH("tpbsu",[1]OUT_TransportEnergyCons!$C$3:$C$1000))*1,[1]OUT_TransportEnergyCons!L$3:L$1000)</f>
        <v>4.9032560162208154E-3</v>
      </c>
      <c r="O1361" s="1" cm="1">
        <f t="array" ref="O1361">SUMPRODUCT(("T_B_u-HYBDSL-S1"=[1]OUT_TransportEnergyCons!$A$3:$A$1000)*1,("var_fout"=[1]OUT_TransportEnergyCons!$B$3:$B$1000)*1,ISNUMBER(SEARCH("tpbsu",[1]OUT_TransportEnergyCons!$C$3:$C$1000))*1,[1]OUT_TransportEnergyCons!M$3:M$1000)</f>
        <v>1.2733164877425622E-2</v>
      </c>
      <c r="P1361" s="1" cm="1">
        <f t="array" ref="P1361">SUMPRODUCT(("T_B_u-HYBDSL-S1"=[1]OUT_TransportEnergyCons!$A$3:$A$1000)*1,("var_fout"=[1]OUT_TransportEnergyCons!$B$3:$B$1000)*1,ISNUMBER(SEARCH("tpbsu",[1]OUT_TransportEnergyCons!$C$3:$C$1000))*1,[1]OUT_TransportEnergyCons!N$3:N$1000)</f>
        <v>4.9749743386794755E-2</v>
      </c>
      <c r="Q1361" s="1" cm="1">
        <f t="array" ref="Q1361">SUMPRODUCT(("T_B_u-HYBDSL-S1"=[1]OUT_TransportEnergyCons!$A$3:$A$1000)*1,("var_fout"=[1]OUT_TransportEnergyCons!$B$3:$B$1000)*1,ISNUMBER(SEARCH("tpbsu",[1]OUT_TransportEnergyCons!$C$3:$C$1000))*1,[1]OUT_TransportEnergyCons!O$3:O$1000)</f>
        <v>6.5595047763911674E-2</v>
      </c>
      <c r="S1361" s="3"/>
    </row>
    <row r="1362" spans="2:19" x14ac:dyDescent="0.5">
      <c r="B1362" s="5" t="str">
        <f t="shared" si="1504"/>
        <v>SPS1</v>
      </c>
      <c r="C1362" s="5" t="str">
        <f t="shared" si="1505"/>
        <v>CH</v>
      </c>
      <c r="D1362" t="s">
        <v>1359</v>
      </c>
      <c r="E1362" t="str">
        <f t="shared" si="1506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1.1621131027656001E-4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2.0928894195990159E-4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2.0561671887726874E-4</v>
      </c>
      <c r="J1362" s="1" cm="1">
        <f t="array" ref="J1362">SUMPRODUCT(("T_B_u-HYBDSL-S2"=[1]OUT_TransportEnergyCons!$A$3:$A$1000)*1,("var_fout"=[1]OUT_TransportEnergyCons!$B$3:$B$1000)*1,ISNUMBER(SEARCH("tpbsu",[1]OUT_TransportEnergyCons!$C$3:$C$1000))*1,[1]OUT_TransportEnergyCons!H$3:H$1000)</f>
        <v>3.1847066519252336E-4</v>
      </c>
      <c r="K1362" s="1" cm="1">
        <f t="array" ref="K1362">SUMPRODUCT(("T_B_u-HYBDSL-S2"=[1]OUT_TransportEnergyCons!$A$3:$A$1000)*1,("var_fout"=[1]OUT_TransportEnergyCons!$B$3:$B$1000)*1,ISNUMBER(SEARCH("tpbsu",[1]OUT_TransportEnergyCons!$C$3:$C$1000))*1,[1]OUT_TransportEnergyCons!I$3:I$1000)</f>
        <v>4.1669785470966838E-4</v>
      </c>
      <c r="L1362" s="1" cm="1">
        <f t="array" ref="L1362">SUMPRODUCT(("T_B_u-HYBDSL-S2"=[1]OUT_TransportEnergyCons!$A$3:$A$1000)*1,("var_fout"=[1]OUT_TransportEnergyCons!$B$3:$B$1000)*1,ISNUMBER(SEARCH("tpbsu",[1]OUT_TransportEnergyCons!$C$3:$C$1000))*1,[1]OUT_TransportEnergyCons!J$3:J$1000)</f>
        <v>6.7386915881365267E-4</v>
      </c>
      <c r="M1362" s="1" cm="1">
        <f t="array" ref="M1362">SUMPRODUCT(("T_B_u-HYBDSL-S2"=[1]OUT_TransportEnergyCons!$A$3:$A$1000)*1,("var_fout"=[1]OUT_TransportEnergyCons!$B$3:$B$1000)*1,ISNUMBER(SEARCH("tpbsu",[1]OUT_TransportEnergyCons!$C$3:$C$1000))*1,[1]OUT_TransportEnergyCons!K$3:K$1000)</f>
        <v>1.0772211686776263E-3</v>
      </c>
      <c r="N1362" s="1" cm="1">
        <f t="array" ref="N1362">SUMPRODUCT(("T_B_u-HYBDSL-S2"=[1]OUT_TransportEnergyCons!$A$3:$A$1000)*1,("var_fout"=[1]OUT_TransportEnergyCons!$B$3:$B$1000)*1,ISNUMBER(SEARCH("tpbsu",[1]OUT_TransportEnergyCons!$C$3:$C$1000))*1,[1]OUT_TransportEnergyCons!L$3:L$1000)</f>
        <v>1.5361916088399903E-3</v>
      </c>
      <c r="O1362" s="1" cm="1">
        <f t="array" ref="O1362">SUMPRODUCT(("T_B_u-HYBDSL-S2"=[1]OUT_TransportEnergyCons!$A$3:$A$1000)*1,("var_fout"=[1]OUT_TransportEnergyCons!$B$3:$B$1000)*1,ISNUMBER(SEARCH("tpbsu",[1]OUT_TransportEnergyCons!$C$3:$C$1000))*1,[1]OUT_TransportEnergyCons!M$3:M$1000)</f>
        <v>2.2657557852894259E-3</v>
      </c>
      <c r="P1362" s="1" cm="1">
        <f t="array" ref="P1362">SUMPRODUCT(("T_B_u-HYBDSL-S2"=[1]OUT_TransportEnergyCons!$A$3:$A$1000)*1,("var_fout"=[1]OUT_TransportEnergyCons!$B$3:$B$1000)*1,ISNUMBER(SEARCH("tpbsu",[1]OUT_TransportEnergyCons!$C$3:$C$1000))*1,[1]OUT_TransportEnergyCons!N$3:N$1000)</f>
        <v>2.9768258849610244E-3</v>
      </c>
      <c r="Q1362" s="1" cm="1">
        <f t="array" ref="Q1362">SUMPRODUCT(("T_B_u-HYBDSL-S2"=[1]OUT_TransportEnergyCons!$A$3:$A$1000)*1,("var_fout"=[1]OUT_TransportEnergyCons!$B$3:$B$1000)*1,ISNUMBER(SEARCH("tpbsu",[1]OUT_TransportEnergyCons!$C$3:$C$1000))*1,[1]OUT_TransportEnergyCons!O$3:O$1000)</f>
        <v>4.484865648667599E-3</v>
      </c>
      <c r="S1362" s="3"/>
    </row>
    <row r="1363" spans="2:19" x14ac:dyDescent="0.5">
      <c r="B1363" s="5" t="str">
        <f t="shared" si="1504"/>
        <v>SPS1</v>
      </c>
      <c r="C1363" s="5" t="str">
        <f t="shared" si="1505"/>
        <v>CH</v>
      </c>
      <c r="D1363" t="s">
        <v>1360</v>
      </c>
      <c r="E1363" t="str">
        <f t="shared" si="1506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2.9487777226847155E-3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4.7229149646468953E-2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6.9181847864586254E-2</v>
      </c>
      <c r="J1363" s="1" cm="1">
        <f t="array" ref="J1363">SUMPRODUCT(("T_B_u-HYBDSL-S3"=[1]OUT_TransportEnergyCons!$A$3:$A$1000)*1,("var_fout"=[1]OUT_TransportEnergyCons!$B$3:$B$1000)*1,ISNUMBER(SEARCH("tpbsu",[1]OUT_TransportEnergyCons!$C$3:$C$1000))*1,[1]OUT_TransportEnergyCons!H$3:H$1000)</f>
        <v>8.1041431880219408E-2</v>
      </c>
      <c r="K1363" s="1" cm="1">
        <f t="array" ref="K1363">SUMPRODUCT(("T_B_u-HYBDSL-S3"=[1]OUT_TransportEnergyCons!$A$3:$A$1000)*1,("var_fout"=[1]OUT_TransportEnergyCons!$B$3:$B$1000)*1,ISNUMBER(SEARCH("tpbsu",[1]OUT_TransportEnergyCons!$C$3:$C$1000))*1,[1]OUT_TransportEnergyCons!I$3:I$1000)</f>
        <v>9.4060636151314311E-2</v>
      </c>
      <c r="L1363" s="1" cm="1">
        <f t="array" ref="L1363">SUMPRODUCT(("T_B_u-HYBDSL-S3"=[1]OUT_TransportEnergyCons!$A$3:$A$1000)*1,("var_fout"=[1]OUT_TransportEnergyCons!$B$3:$B$1000)*1,ISNUMBER(SEARCH("tpbsu",[1]OUT_TransportEnergyCons!$C$3:$C$1000))*1,[1]OUT_TransportEnergyCons!J$3:J$1000)</f>
        <v>0.10728376595725095</v>
      </c>
      <c r="M1363" s="1" cm="1">
        <f t="array" ref="M1363">SUMPRODUCT(("T_B_u-HYBDSL-S3"=[1]OUT_TransportEnergyCons!$A$3:$A$1000)*1,("var_fout"=[1]OUT_TransportEnergyCons!$B$3:$B$1000)*1,ISNUMBER(SEARCH("tpbsu",[1]OUT_TransportEnergyCons!$C$3:$C$1000))*1,[1]OUT_TransportEnergyCons!K$3:K$1000)</f>
        <v>0.11928310127582548</v>
      </c>
      <c r="N1363" s="1" cm="1">
        <f t="array" ref="N1363">SUMPRODUCT(("T_B_u-HYBDSL-S3"=[1]OUT_TransportEnergyCons!$A$3:$A$1000)*1,("var_fout"=[1]OUT_TransportEnergyCons!$B$3:$B$1000)*1,ISNUMBER(SEARCH("tpbsu",[1]OUT_TransportEnergyCons!$C$3:$C$1000))*1,[1]OUT_TransportEnergyCons!L$3:L$1000)</f>
        <v>0.1297088202886692</v>
      </c>
      <c r="O1363" s="1" cm="1">
        <f t="array" ref="O1363">SUMPRODUCT(("T_B_u-HYBDSL-S3"=[1]OUT_TransportEnergyCons!$A$3:$A$1000)*1,("var_fout"=[1]OUT_TransportEnergyCons!$B$3:$B$1000)*1,ISNUMBER(SEARCH("tpbsu",[1]OUT_TransportEnergyCons!$C$3:$C$1000))*1,[1]OUT_TransportEnergyCons!M$3:M$1000)</f>
        <v>0.13565813562447351</v>
      </c>
      <c r="P1363" s="1" cm="1">
        <f t="array" ref="P1363">SUMPRODUCT(("T_B_u-HYBDSL-S3"=[1]OUT_TransportEnergyCons!$A$3:$A$1000)*1,("var_fout"=[1]OUT_TransportEnergyCons!$B$3:$B$1000)*1,ISNUMBER(SEARCH("tpbsu",[1]OUT_TransportEnergyCons!$C$3:$C$1000))*1,[1]OUT_TransportEnergyCons!N$3:N$1000)</f>
        <v>0.11168699545524627</v>
      </c>
      <c r="Q1363" s="1" cm="1">
        <f t="array" ref="Q1363">SUMPRODUCT(("T_B_u-HYBDSL-S3"=[1]OUT_TransportEnergyCons!$A$3:$A$1000)*1,("var_fout"=[1]OUT_TransportEnergyCons!$B$3:$B$1000)*1,ISNUMBER(SEARCH("tpbsu",[1]OUT_TransportEnergyCons!$C$3:$C$1000))*1,[1]OUT_TransportEnergyCons!O$3:O$1000)</f>
        <v>0.10255857687178219</v>
      </c>
      <c r="S1363" s="3"/>
    </row>
    <row r="1364" spans="2:19" x14ac:dyDescent="0.5">
      <c r="B1364" s="5" t="str">
        <f t="shared" si="1504"/>
        <v>SPS1</v>
      </c>
      <c r="C1364" s="5" t="str">
        <f t="shared" si="1505"/>
        <v>CH</v>
      </c>
      <c r="D1364" t="s">
        <v>1361</v>
      </c>
      <c r="E1364" t="str">
        <f t="shared" si="1506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9.0317909527042324E-6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1.7400929296220568E-5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1.5640418518554827E-5</v>
      </c>
      <c r="J1364" s="1" cm="1">
        <f t="array" ref="J1364">SUMPRODUCT(("T_B_u-HYBDSL-S4"=[1]OUT_TransportEnergyCons!$A$3:$A$1000)*1,("var_fout"=[1]OUT_TransportEnergyCons!$B$3:$B$1000)*1,ISNUMBER(SEARCH("tpbsu",[1]OUT_TransportEnergyCons!$C$3:$C$1000))*1,[1]OUT_TransportEnergyCons!H$3:H$1000)</f>
        <v>1.5578931685208484E-5</v>
      </c>
      <c r="K1364" s="1" cm="1">
        <f t="array" ref="K1364">SUMPRODUCT(("T_B_u-HYBDSL-S4"=[1]OUT_TransportEnergyCons!$A$3:$A$1000)*1,("var_fout"=[1]OUT_TransportEnergyCons!$B$3:$B$1000)*1,ISNUMBER(SEARCH("tpbsu",[1]OUT_TransportEnergyCons!$C$3:$C$1000))*1,[1]OUT_TransportEnergyCons!I$3:I$1000)</f>
        <v>2.6212833774118841E-5</v>
      </c>
      <c r="L1364" s="1" cm="1">
        <f t="array" ref="L1364">SUMPRODUCT(("T_B_u-HYBDSL-S4"=[1]OUT_TransportEnergyCons!$A$3:$A$1000)*1,("var_fout"=[1]OUT_TransportEnergyCons!$B$3:$B$1000)*1,ISNUMBER(SEARCH("tpbsu",[1]OUT_TransportEnergyCons!$C$3:$C$1000))*1,[1]OUT_TransportEnergyCons!J$3:J$1000)</f>
        <v>2.4861770256862871E-5</v>
      </c>
      <c r="M1364" s="1" cm="1">
        <f t="array" ref="M1364">SUMPRODUCT(("T_B_u-HYBDSL-S4"=[1]OUT_TransportEnergyCons!$A$3:$A$1000)*1,("var_fout"=[1]OUT_TransportEnergyCons!$B$3:$B$1000)*1,ISNUMBER(SEARCH("tpbsu",[1]OUT_TransportEnergyCons!$C$3:$C$1000))*1,[1]OUT_TransportEnergyCons!K$3:K$1000)</f>
        <v>3.3810507788330789E-5</v>
      </c>
      <c r="N1364" s="1" cm="1">
        <f t="array" ref="N1364">SUMPRODUCT(("T_B_u-HYBDSL-S4"=[1]OUT_TransportEnergyCons!$A$3:$A$1000)*1,("var_fout"=[1]OUT_TransportEnergyCons!$B$3:$B$1000)*1,ISNUMBER(SEARCH("tpbsu",[1]OUT_TransportEnergyCons!$C$3:$C$1000))*1,[1]OUT_TransportEnergyCons!L$3:L$1000)</f>
        <v>3.6260945752739051E-5</v>
      </c>
      <c r="O1364" s="1" cm="1">
        <f t="array" ref="O1364">SUMPRODUCT(("T_B_u-HYBDSL-S4"=[1]OUT_TransportEnergyCons!$A$3:$A$1000)*1,("var_fout"=[1]OUT_TransportEnergyCons!$B$3:$B$1000)*1,ISNUMBER(SEARCH("tpbsu",[1]OUT_TransportEnergyCons!$C$3:$C$1000))*1,[1]OUT_TransportEnergyCons!M$3:M$1000)</f>
        <v>3.3452122310218795E-5</v>
      </c>
      <c r="P1364" s="1" cm="1">
        <f t="array" ref="P1364">SUMPRODUCT(("T_B_u-HYBDSL-S4"=[1]OUT_TransportEnergyCons!$A$3:$A$1000)*1,("var_fout"=[1]OUT_TransportEnergyCons!$B$3:$B$1000)*1,ISNUMBER(SEARCH("tpbsu",[1]OUT_TransportEnergyCons!$C$3:$C$1000))*1,[1]OUT_TransportEnergyCons!N$3:N$1000)</f>
        <v>4.9449133505895426E-5</v>
      </c>
      <c r="Q1364" s="1" cm="1">
        <f t="array" ref="Q1364">SUMPRODUCT(("T_B_u-HYBDSL-S4"=[1]OUT_TransportEnergyCons!$A$3:$A$1000)*1,("var_fout"=[1]OUT_TransportEnergyCons!$B$3:$B$1000)*1,ISNUMBER(SEARCH("tpbsu",[1]OUT_TransportEnergyCons!$C$3:$C$1000))*1,[1]OUT_TransportEnergyCons!O$3:O$1000)</f>
        <v>6.3680523917646422E-5</v>
      </c>
      <c r="S1364" s="3"/>
    </row>
    <row r="1365" spans="2:19" x14ac:dyDescent="0.5">
      <c r="B1365" s="5" t="str">
        <f t="shared" si="1504"/>
        <v>SPS1</v>
      </c>
      <c r="C1365" s="5" t="str">
        <f t="shared" si="1505"/>
        <v>CH</v>
      </c>
      <c r="D1365" t="s">
        <v>2001</v>
      </c>
      <c r="E1365" t="str">
        <f t="shared" si="1506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0.24213820191500948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0.19377253326417959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0.12107861961469553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SUMPRODUCT(("T_B_u-ICEDSLEXT"=[1]OUT_TransportEnergyCons!$A$3:$A$1000)*1,("var_fout"=[1]OUT_TransportEnergyCons!$B$3:$B$1000)*1,ISNUMBER(SEARCH("tpbsu",[1]OUT_TransportEnergyCons!$C$3:$C$1000))*1,[1]OUT_TransportEnergyCons!H$3:H$1000)</f>
        <v>0</v>
      </c>
      <c r="K1365" s="1" cm="1">
        <f t="array" ref="K1365">SUMPRODUCT(("T_B_u-ICEDSLEXT"=[1]OUT_TransportEnergyCons!$A$3:$A$1000)*1,("var_fout"=[1]OUT_TransportEnergyCons!$B$3:$B$1000)*1,ISNUMBER(SEARCH("tpbsu",[1]OUT_TransportEnergyCons!$C$3:$C$1000))*1,[1]OUT_TransportEnergyCons!I$3:I$1000)</f>
        <v>0</v>
      </c>
      <c r="L1365" s="1" cm="1">
        <f t="array" ref="L1365">SUMPRODUCT(("T_B_u-ICEDSLEXT"=[1]OUT_TransportEnergyCons!$A$3:$A$1000)*1,("var_fout"=[1]OUT_TransportEnergyCons!$B$3:$B$1000)*1,ISNUMBER(SEARCH("tpbsu",[1]OUT_TransportEnergyCons!$C$3:$C$1000))*1,[1]OUT_TransportEnergyCons!J$3:J$1000)</f>
        <v>0</v>
      </c>
      <c r="M1365" s="1" cm="1">
        <f t="array" ref="M1365">SUMPRODUCT(("T_B_u-ICEDSLEXT"=[1]OUT_TransportEnergyCons!$A$3:$A$1000)*1,("var_fout"=[1]OUT_TransportEnergyCons!$B$3:$B$1000)*1,ISNUMBER(SEARCH("tpbsu",[1]OUT_TransportEnergyCons!$C$3:$C$1000))*1,[1]OUT_TransportEnergyCons!K$3:K$1000)</f>
        <v>0</v>
      </c>
      <c r="N1365" s="1" cm="1">
        <f t="array" ref="N1365">SUMPRODUCT(("T_B_u-ICEDSLEXT"=[1]OUT_TransportEnergyCons!$A$3:$A$1000)*1,("var_fout"=[1]OUT_TransportEnergyCons!$B$3:$B$1000)*1,ISNUMBER(SEARCH("tpbsu",[1]OUT_TransportEnergyCons!$C$3:$C$1000))*1,[1]OUT_TransportEnergyCons!L$3:L$1000)</f>
        <v>0</v>
      </c>
      <c r="O1365" s="1" cm="1">
        <f t="array" ref="O1365">SUMPRODUCT(("T_B_u-ICEDSLEXT"=[1]OUT_TransportEnergyCons!$A$3:$A$1000)*1,("var_fout"=[1]OUT_TransportEnergyCons!$B$3:$B$1000)*1,ISNUMBER(SEARCH("tpbsu",[1]OUT_TransportEnergyCons!$C$3:$C$1000))*1,[1]OUT_TransportEnergyCons!M$3:M$1000)</f>
        <v>0</v>
      </c>
      <c r="P1365" s="1" cm="1">
        <f t="array" ref="P1365">SUMPRODUCT(("T_B_u-ICEDSLEXT"=[1]OUT_TransportEnergyCons!$A$3:$A$1000)*1,("var_fout"=[1]OUT_TransportEnergyCons!$B$3:$B$1000)*1,ISNUMBER(SEARCH("tpbsu",[1]OUT_TransportEnergyCons!$C$3:$C$1000))*1,[1]OUT_TransportEnergyCons!N$3:N$1000)</f>
        <v>0</v>
      </c>
      <c r="Q1365" s="1" cm="1">
        <f t="array" ref="Q1365">SUMPRODUCT(("T_B_u-ICEDSLEXT"=[1]OUT_TransportEnergyCons!$A$3:$A$1000)*1,("var_fout"=[1]OUT_TransportEnergyCons!$B$3:$B$1000)*1,ISNUMBER(SEARCH("tpbsu",[1]OUT_TransportEnergyCons!$C$3:$C$1000))*1,[1]OUT_TransportEnergyCons!O$3:O$1000)</f>
        <v>0</v>
      </c>
      <c r="S1365" s="3"/>
    </row>
    <row r="1366" spans="2:19" x14ac:dyDescent="0.5">
      <c r="B1366" s="5" t="str">
        <f t="shared" si="1504"/>
        <v>SPS1</v>
      </c>
      <c r="C1366" s="5" t="str">
        <f t="shared" si="1505"/>
        <v>CH</v>
      </c>
      <c r="D1366" t="s">
        <v>1362</v>
      </c>
      <c r="E1366" t="str">
        <f t="shared" si="1506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3.754850641271262E-5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3.2790931613268348E-2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5.9585132247412034E-2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5.5655972067988791E-6</v>
      </c>
      <c r="J1366" s="1" cm="1">
        <f t="array" ref="J1366">SUMPRODUCT(("T_B_u-ICEDSL-S1"=[1]OUT_TransportEnergyCons!$A$3:$A$1000)*1,("var_fout"=[1]OUT_TransportEnergyCons!$B$3:$B$1000)*1,ISNUMBER(SEARCH("tpbsu",[1]OUT_TransportEnergyCons!$C$3:$C$1000))*1,[1]OUT_TransportEnergyCons!H$3:H$1000)</f>
        <v>0</v>
      </c>
      <c r="K1366" s="1" cm="1">
        <f t="array" ref="K1366">SUMPRODUCT(("T_B_u-ICEDSL-S1"=[1]OUT_TransportEnergyCons!$A$3:$A$1000)*1,("var_fout"=[1]OUT_TransportEnergyCons!$B$3:$B$1000)*1,ISNUMBER(SEARCH("tpbsu",[1]OUT_TransportEnergyCons!$C$3:$C$1000))*1,[1]OUT_TransportEnergyCons!I$3:I$1000)</f>
        <v>0</v>
      </c>
      <c r="L1366" s="1" cm="1">
        <f t="array" ref="L1366">SUMPRODUCT(("T_B_u-ICEDSL-S1"=[1]OUT_TransportEnergyCons!$A$3:$A$1000)*1,("var_fout"=[1]OUT_TransportEnergyCons!$B$3:$B$1000)*1,ISNUMBER(SEARCH("tpbsu",[1]OUT_TransportEnergyCons!$C$3:$C$1000))*1,[1]OUT_TransportEnergyCons!J$3:J$1000)</f>
        <v>0</v>
      </c>
      <c r="M1366" s="1" cm="1">
        <f t="array" ref="M1366">SUMPRODUCT(("T_B_u-ICEDSL-S1"=[1]OUT_TransportEnergyCons!$A$3:$A$1000)*1,("var_fout"=[1]OUT_TransportEnergyCons!$B$3:$B$1000)*1,ISNUMBER(SEARCH("tpbsu",[1]OUT_TransportEnergyCons!$C$3:$C$1000))*1,[1]OUT_TransportEnergyCons!K$3:K$1000)</f>
        <v>0</v>
      </c>
      <c r="N1366" s="1" cm="1">
        <f t="array" ref="N1366">SUMPRODUCT(("T_B_u-ICEDSL-S1"=[1]OUT_TransportEnergyCons!$A$3:$A$1000)*1,("var_fout"=[1]OUT_TransportEnergyCons!$B$3:$B$1000)*1,ISNUMBER(SEARCH("tpbsu",[1]OUT_TransportEnergyCons!$C$3:$C$1000))*1,[1]OUT_TransportEnergyCons!L$3:L$1000)</f>
        <v>0</v>
      </c>
      <c r="O1366" s="1" cm="1">
        <f t="array" ref="O1366">SUMPRODUCT(("T_B_u-ICEDSL-S1"=[1]OUT_TransportEnergyCons!$A$3:$A$1000)*1,("var_fout"=[1]OUT_TransportEnergyCons!$B$3:$B$1000)*1,ISNUMBER(SEARCH("tpbsu",[1]OUT_TransportEnergyCons!$C$3:$C$1000))*1,[1]OUT_TransportEnergyCons!M$3:M$1000)</f>
        <v>0</v>
      </c>
      <c r="P1366" s="1" cm="1">
        <f t="array" ref="P1366">SUMPRODUCT(("T_B_u-ICEDSL-S1"=[1]OUT_TransportEnergyCons!$A$3:$A$1000)*1,("var_fout"=[1]OUT_TransportEnergyCons!$B$3:$B$1000)*1,ISNUMBER(SEARCH("tpbsu",[1]OUT_TransportEnergyCons!$C$3:$C$1000))*1,[1]OUT_TransportEnergyCons!N$3:N$1000)</f>
        <v>0</v>
      </c>
      <c r="Q1366" s="1" cm="1">
        <f t="array" ref="Q1366">SUMPRODUCT(("T_B_u-ICEDSL-S1"=[1]OUT_TransportEnergyCons!$A$3:$A$1000)*1,("var_fout"=[1]OUT_TransportEnergyCons!$B$3:$B$1000)*1,ISNUMBER(SEARCH("tpbsu",[1]OUT_TransportEnergyCons!$C$3:$C$1000))*1,[1]OUT_TransportEnergyCons!O$3:O$1000)</f>
        <v>4.1216723396212101E-8</v>
      </c>
      <c r="S1366" s="3"/>
    </row>
    <row r="1367" spans="2:19" x14ac:dyDescent="0.5">
      <c r="B1367" s="5" t="str">
        <f t="shared" si="1504"/>
        <v>SPS1</v>
      </c>
      <c r="C1367" s="5" t="str">
        <f t="shared" si="1505"/>
        <v>CH</v>
      </c>
      <c r="D1367" t="s">
        <v>1363</v>
      </c>
      <c r="E1367" t="str">
        <f t="shared" si="1506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9.3436400331417275E-3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1.1725911002891439E-2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2.0113881501337305E-2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SUMPRODUCT(("T_B_u-ICEDSL-S2"=[1]OUT_TransportEnergyCons!$A$3:$A$1000)*1,("var_fout"=[1]OUT_TransportEnergyCons!$B$3:$B$1000)*1,ISNUMBER(SEARCH("tpbsu",[1]OUT_TransportEnergyCons!$C$3:$C$1000))*1,[1]OUT_TransportEnergyCons!H$3:H$1000)</f>
        <v>0</v>
      </c>
      <c r="K1367" s="1" cm="1">
        <f t="array" ref="K1367">SUMPRODUCT(("T_B_u-ICEDSL-S2"=[1]OUT_TransportEnergyCons!$A$3:$A$1000)*1,("var_fout"=[1]OUT_TransportEnergyCons!$B$3:$B$1000)*1,ISNUMBER(SEARCH("tpbsu",[1]OUT_TransportEnergyCons!$C$3:$C$1000))*1,[1]OUT_TransportEnergyCons!I$3:I$1000)</f>
        <v>0</v>
      </c>
      <c r="L1367" s="1" cm="1">
        <f t="array" ref="L1367">SUMPRODUCT(("T_B_u-ICEDSL-S2"=[1]OUT_TransportEnergyCons!$A$3:$A$1000)*1,("var_fout"=[1]OUT_TransportEnergyCons!$B$3:$B$1000)*1,ISNUMBER(SEARCH("tpbsu",[1]OUT_TransportEnergyCons!$C$3:$C$1000))*1,[1]OUT_TransportEnergyCons!J$3:J$1000)</f>
        <v>0</v>
      </c>
      <c r="M1367" s="1" cm="1">
        <f t="array" ref="M1367">SUMPRODUCT(("T_B_u-ICEDSL-S2"=[1]OUT_TransportEnergyCons!$A$3:$A$1000)*1,("var_fout"=[1]OUT_TransportEnergyCons!$B$3:$B$1000)*1,ISNUMBER(SEARCH("tpbsu",[1]OUT_TransportEnergyCons!$C$3:$C$1000))*1,[1]OUT_TransportEnergyCons!K$3:K$1000)</f>
        <v>0</v>
      </c>
      <c r="N1367" s="1" cm="1">
        <f t="array" ref="N1367">SUMPRODUCT(("T_B_u-ICEDSL-S2"=[1]OUT_TransportEnergyCons!$A$3:$A$1000)*1,("var_fout"=[1]OUT_TransportEnergyCons!$B$3:$B$1000)*1,ISNUMBER(SEARCH("tpbsu",[1]OUT_TransportEnergyCons!$C$3:$C$1000))*1,[1]OUT_TransportEnergyCons!L$3:L$1000)</f>
        <v>0</v>
      </c>
      <c r="O1367" s="1" cm="1">
        <f t="array" ref="O1367">SUMPRODUCT(("T_B_u-ICEDSL-S2"=[1]OUT_TransportEnergyCons!$A$3:$A$1000)*1,("var_fout"=[1]OUT_TransportEnergyCons!$B$3:$B$1000)*1,ISNUMBER(SEARCH("tpbsu",[1]OUT_TransportEnergyCons!$C$3:$C$1000))*1,[1]OUT_TransportEnergyCons!M$3:M$1000)</f>
        <v>0</v>
      </c>
      <c r="P1367" s="1" cm="1">
        <f t="array" ref="P1367">SUMPRODUCT(("T_B_u-ICEDSL-S2"=[1]OUT_TransportEnergyCons!$A$3:$A$1000)*1,("var_fout"=[1]OUT_TransportEnergyCons!$B$3:$B$1000)*1,ISNUMBER(SEARCH("tpbsu",[1]OUT_TransportEnergyCons!$C$3:$C$1000))*1,[1]OUT_TransportEnergyCons!N$3:N$1000)</f>
        <v>0</v>
      </c>
      <c r="Q1367" s="1" cm="1">
        <f t="array" ref="Q1367">SUMPRODUCT(("T_B_u-ICEDSL-S2"=[1]OUT_TransportEnergyCons!$A$3:$A$1000)*1,("var_fout"=[1]OUT_TransportEnergyCons!$B$3:$B$1000)*1,ISNUMBER(SEARCH("tpbsu",[1]OUT_TransportEnergyCons!$C$3:$C$1000))*1,[1]OUT_TransportEnergyCons!O$3:O$1000)</f>
        <v>0</v>
      </c>
      <c r="S1367" s="3"/>
    </row>
    <row r="1368" spans="2:19" x14ac:dyDescent="0.5">
      <c r="B1368" s="5" t="str">
        <f t="shared" si="1504"/>
        <v>SPS1</v>
      </c>
      <c r="C1368" s="5" t="str">
        <f t="shared" si="1505"/>
        <v>CH</v>
      </c>
      <c r="D1368" t="s">
        <v>1364</v>
      </c>
      <c r="E1368" t="str">
        <f t="shared" si="1506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3.6053708516456104E-2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5.0768874031134587E-2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5.0898495030251588E-2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SUMPRODUCT(("T_B_u-ICEDSL-S3"=[1]OUT_TransportEnergyCons!$A$3:$A$1000)*1,("var_fout"=[1]OUT_TransportEnergyCons!$B$3:$B$1000)*1,ISNUMBER(SEARCH("tpbsu",[1]OUT_TransportEnergyCons!$C$3:$C$1000))*1,[1]OUT_TransportEnergyCons!H$3:H$1000)</f>
        <v>0</v>
      </c>
      <c r="K1368" s="1" cm="1">
        <f t="array" ref="K1368">SUMPRODUCT(("T_B_u-ICEDSL-S3"=[1]OUT_TransportEnergyCons!$A$3:$A$1000)*1,("var_fout"=[1]OUT_TransportEnergyCons!$B$3:$B$1000)*1,ISNUMBER(SEARCH("tpbsu",[1]OUT_TransportEnergyCons!$C$3:$C$1000))*1,[1]OUT_TransportEnergyCons!I$3:I$1000)</f>
        <v>0</v>
      </c>
      <c r="L1368" s="1" cm="1">
        <f t="array" ref="L1368">SUMPRODUCT(("T_B_u-ICEDSL-S3"=[1]OUT_TransportEnergyCons!$A$3:$A$1000)*1,("var_fout"=[1]OUT_TransportEnergyCons!$B$3:$B$1000)*1,ISNUMBER(SEARCH("tpbsu",[1]OUT_TransportEnergyCons!$C$3:$C$1000))*1,[1]OUT_TransportEnergyCons!J$3:J$1000)</f>
        <v>0</v>
      </c>
      <c r="M1368" s="1" cm="1">
        <f t="array" ref="M1368">SUMPRODUCT(("T_B_u-ICEDSL-S3"=[1]OUT_TransportEnergyCons!$A$3:$A$1000)*1,("var_fout"=[1]OUT_TransportEnergyCons!$B$3:$B$1000)*1,ISNUMBER(SEARCH("tpbsu",[1]OUT_TransportEnergyCons!$C$3:$C$1000))*1,[1]OUT_TransportEnergyCons!K$3:K$1000)</f>
        <v>0</v>
      </c>
      <c r="N1368" s="1" cm="1">
        <f t="array" ref="N1368">SUMPRODUCT(("T_B_u-ICEDSL-S3"=[1]OUT_TransportEnergyCons!$A$3:$A$1000)*1,("var_fout"=[1]OUT_TransportEnergyCons!$B$3:$B$1000)*1,ISNUMBER(SEARCH("tpbsu",[1]OUT_TransportEnergyCons!$C$3:$C$1000))*1,[1]OUT_TransportEnergyCons!L$3:L$1000)</f>
        <v>0</v>
      </c>
      <c r="O1368" s="1" cm="1">
        <f t="array" ref="O1368">SUMPRODUCT(("T_B_u-ICEDSL-S3"=[1]OUT_TransportEnergyCons!$A$3:$A$1000)*1,("var_fout"=[1]OUT_TransportEnergyCons!$B$3:$B$1000)*1,ISNUMBER(SEARCH("tpbsu",[1]OUT_TransportEnergyCons!$C$3:$C$1000))*1,[1]OUT_TransportEnergyCons!M$3:M$1000)</f>
        <v>0</v>
      </c>
      <c r="P1368" s="1" cm="1">
        <f t="array" ref="P1368">SUMPRODUCT(("T_B_u-ICEDSL-S3"=[1]OUT_TransportEnergyCons!$A$3:$A$1000)*1,("var_fout"=[1]OUT_TransportEnergyCons!$B$3:$B$1000)*1,ISNUMBER(SEARCH("tpbsu",[1]OUT_TransportEnergyCons!$C$3:$C$1000))*1,[1]OUT_TransportEnergyCons!N$3:N$1000)</f>
        <v>0</v>
      </c>
      <c r="Q1368" s="1" cm="1">
        <f t="array" ref="Q1368">SUMPRODUCT(("T_B_u-ICEDSL-S3"=[1]OUT_TransportEnergyCons!$A$3:$A$1000)*1,("var_fout"=[1]OUT_TransportEnergyCons!$B$3:$B$1000)*1,ISNUMBER(SEARCH("tpbsu",[1]OUT_TransportEnergyCons!$C$3:$C$1000))*1,[1]OUT_TransportEnergyCons!O$3:O$1000)</f>
        <v>0</v>
      </c>
      <c r="S1368" s="3"/>
    </row>
    <row r="1369" spans="2:19" x14ac:dyDescent="0.5">
      <c r="B1369" s="5" t="str">
        <f t="shared" si="1504"/>
        <v>SPS1</v>
      </c>
      <c r="C1369" s="5" t="str">
        <f t="shared" si="1505"/>
        <v>CH</v>
      </c>
      <c r="D1369" t="s">
        <v>1365</v>
      </c>
      <c r="E1369" t="str">
        <f t="shared" si="1506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2.566137445650325E-4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5.9051923116859524E-5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6.2159915239384591E-5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SUMPRODUCT(("T_B_u-ICEDSL-S4"=[1]OUT_TransportEnergyCons!$A$3:$A$1000)*1,("var_fout"=[1]OUT_TransportEnergyCons!$B$3:$B$1000)*1,ISNUMBER(SEARCH("tpbsu",[1]OUT_TransportEnergyCons!$C$3:$C$1000))*1,[1]OUT_TransportEnergyCons!H$3:H$1000)</f>
        <v>0</v>
      </c>
      <c r="K1369" s="1" cm="1">
        <f t="array" ref="K1369">SUMPRODUCT(("T_B_u-ICEDSL-S4"=[1]OUT_TransportEnergyCons!$A$3:$A$1000)*1,("var_fout"=[1]OUT_TransportEnergyCons!$B$3:$B$1000)*1,ISNUMBER(SEARCH("tpbsu",[1]OUT_TransportEnergyCons!$C$3:$C$1000))*1,[1]OUT_TransportEnergyCons!I$3:I$1000)</f>
        <v>0</v>
      </c>
      <c r="L1369" s="1" cm="1">
        <f t="array" ref="L1369">SUMPRODUCT(("T_B_u-ICEDSL-S4"=[1]OUT_TransportEnergyCons!$A$3:$A$1000)*1,("var_fout"=[1]OUT_TransportEnergyCons!$B$3:$B$1000)*1,ISNUMBER(SEARCH("tpbsu",[1]OUT_TransportEnergyCons!$C$3:$C$1000))*1,[1]OUT_TransportEnergyCons!J$3:J$1000)</f>
        <v>0</v>
      </c>
      <c r="M1369" s="1" cm="1">
        <f t="array" ref="M1369">SUMPRODUCT(("T_B_u-ICEDSL-S4"=[1]OUT_TransportEnergyCons!$A$3:$A$1000)*1,("var_fout"=[1]OUT_TransportEnergyCons!$B$3:$B$1000)*1,ISNUMBER(SEARCH("tpbsu",[1]OUT_TransportEnergyCons!$C$3:$C$1000))*1,[1]OUT_TransportEnergyCons!K$3:K$1000)</f>
        <v>0</v>
      </c>
      <c r="N1369" s="1" cm="1">
        <f t="array" ref="N1369">SUMPRODUCT(("T_B_u-ICEDSL-S4"=[1]OUT_TransportEnergyCons!$A$3:$A$1000)*1,("var_fout"=[1]OUT_TransportEnergyCons!$B$3:$B$1000)*1,ISNUMBER(SEARCH("tpbsu",[1]OUT_TransportEnergyCons!$C$3:$C$1000))*1,[1]OUT_TransportEnergyCons!L$3:L$1000)</f>
        <v>0</v>
      </c>
      <c r="O1369" s="1" cm="1">
        <f t="array" ref="O1369">SUMPRODUCT(("T_B_u-ICEDSL-S4"=[1]OUT_TransportEnergyCons!$A$3:$A$1000)*1,("var_fout"=[1]OUT_TransportEnergyCons!$B$3:$B$1000)*1,ISNUMBER(SEARCH("tpbsu",[1]OUT_TransportEnergyCons!$C$3:$C$1000))*1,[1]OUT_TransportEnergyCons!M$3:M$1000)</f>
        <v>0</v>
      </c>
      <c r="P1369" s="1" cm="1">
        <f t="array" ref="P1369">SUMPRODUCT(("T_B_u-ICEDSL-S4"=[1]OUT_TransportEnergyCons!$A$3:$A$1000)*1,("var_fout"=[1]OUT_TransportEnergyCons!$B$3:$B$1000)*1,ISNUMBER(SEARCH("tpbsu",[1]OUT_TransportEnergyCons!$C$3:$C$1000))*1,[1]OUT_TransportEnergyCons!N$3:N$1000)</f>
        <v>0</v>
      </c>
      <c r="Q1369" s="1" cm="1">
        <f t="array" ref="Q1369">SUMPRODUCT(("T_B_u-ICEDSL-S4"=[1]OUT_TransportEnergyCons!$A$3:$A$1000)*1,("var_fout"=[1]OUT_TransportEnergyCons!$B$3:$B$1000)*1,ISNUMBER(SEARCH("tpbsu",[1]OUT_TransportEnergyCons!$C$3:$C$1000))*1,[1]OUT_TransportEnergyCons!O$3:O$1000)</f>
        <v>0</v>
      </c>
      <c r="S1369" s="3"/>
    </row>
    <row r="1370" spans="2:19" x14ac:dyDescent="0.5">
      <c r="B1370" s="5" t="str">
        <f t="shared" si="1504"/>
        <v>SPS1</v>
      </c>
      <c r="C1370" s="5" t="str">
        <f t="shared" si="1505"/>
        <v>CH</v>
      </c>
      <c r="D1370" t="s">
        <v>2005</v>
      </c>
      <c r="E1370" t="str">
        <f t="shared" si="1506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4.3794775711148001E-3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3.5484523699804505E-3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2.217778560119333E-3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SUMPRODUCT(("T_B_u-ICEngaEXT"=[1]OUT_TransportEnergyCons!$A$3:$A$1000)*1,("var_fout"=[1]OUT_TransportEnergyCons!$B$3:$B$1000)*1,ISNUMBER(SEARCH("tpbsu",[1]OUT_TransportEnergyCons!$C$3:$C$1000))*1,[1]OUT_TransportEnergyCons!H$3:H$1000)</f>
        <v>0</v>
      </c>
      <c r="K1370" s="1" cm="1">
        <f t="array" ref="K1370">SUMPRODUCT(("T_B_u-ICEngaEXT"=[1]OUT_TransportEnergyCons!$A$3:$A$1000)*1,("var_fout"=[1]OUT_TransportEnergyCons!$B$3:$B$1000)*1,ISNUMBER(SEARCH("tpbsu",[1]OUT_TransportEnergyCons!$C$3:$C$1000))*1,[1]OUT_TransportEnergyCons!I$3:I$1000)</f>
        <v>0</v>
      </c>
      <c r="L1370" s="1" cm="1">
        <f t="array" ref="L1370">SUMPRODUCT(("T_B_u-ICEngaEXT"=[1]OUT_TransportEnergyCons!$A$3:$A$1000)*1,("var_fout"=[1]OUT_TransportEnergyCons!$B$3:$B$1000)*1,ISNUMBER(SEARCH("tpbsu",[1]OUT_TransportEnergyCons!$C$3:$C$1000))*1,[1]OUT_TransportEnergyCons!J$3:J$1000)</f>
        <v>0</v>
      </c>
      <c r="M1370" s="1" cm="1">
        <f t="array" ref="M1370">SUMPRODUCT(("T_B_u-ICEngaEXT"=[1]OUT_TransportEnergyCons!$A$3:$A$1000)*1,("var_fout"=[1]OUT_TransportEnergyCons!$B$3:$B$1000)*1,ISNUMBER(SEARCH("tpbsu",[1]OUT_TransportEnergyCons!$C$3:$C$1000))*1,[1]OUT_TransportEnergyCons!K$3:K$1000)</f>
        <v>0</v>
      </c>
      <c r="N1370" s="1" cm="1">
        <f t="array" ref="N1370">SUMPRODUCT(("T_B_u-ICEngaEXT"=[1]OUT_TransportEnergyCons!$A$3:$A$1000)*1,("var_fout"=[1]OUT_TransportEnergyCons!$B$3:$B$1000)*1,ISNUMBER(SEARCH("tpbsu",[1]OUT_TransportEnergyCons!$C$3:$C$1000))*1,[1]OUT_TransportEnergyCons!L$3:L$1000)</f>
        <v>0</v>
      </c>
      <c r="O1370" s="1" cm="1">
        <f t="array" ref="O1370">SUMPRODUCT(("T_B_u-ICEngaEXT"=[1]OUT_TransportEnergyCons!$A$3:$A$1000)*1,("var_fout"=[1]OUT_TransportEnergyCons!$B$3:$B$1000)*1,ISNUMBER(SEARCH("tpbsu",[1]OUT_TransportEnergyCons!$C$3:$C$1000))*1,[1]OUT_TransportEnergyCons!M$3:M$1000)</f>
        <v>0</v>
      </c>
      <c r="P1370" s="1" cm="1">
        <f t="array" ref="P1370">SUMPRODUCT(("T_B_u-ICEngaEXT"=[1]OUT_TransportEnergyCons!$A$3:$A$1000)*1,("var_fout"=[1]OUT_TransportEnergyCons!$B$3:$B$1000)*1,ISNUMBER(SEARCH("tpbsu",[1]OUT_TransportEnergyCons!$C$3:$C$1000))*1,[1]OUT_TransportEnergyCons!N$3:N$1000)</f>
        <v>0</v>
      </c>
      <c r="Q1370" s="1" cm="1">
        <f t="array" ref="Q1370">SUMPRODUCT(("T_B_u-ICEngaEXT"=[1]OUT_TransportEnergyCons!$A$3:$A$1000)*1,("var_fout"=[1]OUT_TransportEnergyCons!$B$3:$B$1000)*1,ISNUMBER(SEARCH("tpbsu",[1]OUT_TransportEnergyCons!$C$3:$C$1000))*1,[1]OUT_TransportEnergyCons!O$3:O$1000)</f>
        <v>0</v>
      </c>
      <c r="S1370" s="3"/>
    </row>
    <row r="1371" spans="2:19" x14ac:dyDescent="0.5">
      <c r="B1371" s="5" t="str">
        <f t="shared" si="1504"/>
        <v>SPS1</v>
      </c>
      <c r="C1371" s="5" t="str">
        <f t="shared" si="1505"/>
        <v>CH</v>
      </c>
      <c r="D1371" t="s">
        <v>1366</v>
      </c>
      <c r="E1371" t="str">
        <f t="shared" si="1506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3.1788471714921398E-5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3.4231680836583977E-4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0</v>
      </c>
      <c r="J1371" s="1" cm="1">
        <f t="array" ref="J1371">SUMPRODUCT(("T_B_u-ICEnga-S1"=[1]OUT_TransportEnergyCons!$A$3:$A$1000)*1,("var_fout"=[1]OUT_TransportEnergyCons!$B$3:$B$1000)*1,ISNUMBER(SEARCH("tpbsu",[1]OUT_TransportEnergyCons!$C$3:$C$1000))*1,[1]OUT_TransportEnergyCons!H$3:H$1000)</f>
        <v>0</v>
      </c>
      <c r="K1371" s="1" cm="1">
        <f t="array" ref="K1371">SUMPRODUCT(("T_B_u-ICEnga-S1"=[1]OUT_TransportEnergyCons!$A$3:$A$1000)*1,("var_fout"=[1]OUT_TransportEnergyCons!$B$3:$B$1000)*1,ISNUMBER(SEARCH("tpbsu",[1]OUT_TransportEnergyCons!$C$3:$C$1000))*1,[1]OUT_TransportEnergyCons!I$3:I$1000)</f>
        <v>0</v>
      </c>
      <c r="L1371" s="1" cm="1">
        <f t="array" ref="L1371">SUMPRODUCT(("T_B_u-ICEnga-S1"=[1]OUT_TransportEnergyCons!$A$3:$A$1000)*1,("var_fout"=[1]OUT_TransportEnergyCons!$B$3:$B$1000)*1,ISNUMBER(SEARCH("tpbsu",[1]OUT_TransportEnergyCons!$C$3:$C$1000))*1,[1]OUT_TransportEnergyCons!J$3:J$1000)</f>
        <v>8.5962743419940189E-8</v>
      </c>
      <c r="M1371" s="1" cm="1">
        <f t="array" ref="M1371">SUMPRODUCT(("T_B_u-ICEnga-S1"=[1]OUT_TransportEnergyCons!$A$3:$A$1000)*1,("var_fout"=[1]OUT_TransportEnergyCons!$B$3:$B$1000)*1,ISNUMBER(SEARCH("tpbsu",[1]OUT_TransportEnergyCons!$C$3:$C$1000))*1,[1]OUT_TransportEnergyCons!K$3:K$1000)</f>
        <v>4.3159736179920498E-8</v>
      </c>
      <c r="N1371" s="1" cm="1">
        <f t="array" ref="N1371">SUMPRODUCT(("T_B_u-ICEnga-S1"=[1]OUT_TransportEnergyCons!$A$3:$A$1000)*1,("var_fout"=[1]OUT_TransportEnergyCons!$B$3:$B$1000)*1,ISNUMBER(SEARCH("tpbsu",[1]OUT_TransportEnergyCons!$C$3:$C$1000))*1,[1]OUT_TransportEnergyCons!L$3:L$1000)</f>
        <v>4.4775739849825499E-8</v>
      </c>
      <c r="O1371" s="1" cm="1">
        <f t="array" ref="O1371">SUMPRODUCT(("T_B_u-ICEnga-S1"=[1]OUT_TransportEnergyCons!$A$3:$A$1000)*1,("var_fout"=[1]OUT_TransportEnergyCons!$B$3:$B$1000)*1,ISNUMBER(SEARCH("tpbsu",[1]OUT_TransportEnergyCons!$C$3:$C$1000))*1,[1]OUT_TransportEnergyCons!M$3:M$1000)</f>
        <v>4.2971119457156999E-8</v>
      </c>
      <c r="P1371" s="1" cm="1">
        <f t="array" ref="P1371">SUMPRODUCT(("T_B_u-ICEnga-S1"=[1]OUT_TransportEnergyCons!$A$3:$A$1000)*1,("var_fout"=[1]OUT_TransportEnergyCons!$B$3:$B$1000)*1,ISNUMBER(SEARCH("tpbsu",[1]OUT_TransportEnergyCons!$C$3:$C$1000))*1,[1]OUT_TransportEnergyCons!N$3:N$1000)</f>
        <v>0</v>
      </c>
      <c r="Q1371" s="1" cm="1">
        <f t="array" ref="Q1371">SUMPRODUCT(("T_B_u-ICEnga-S1"=[1]OUT_TransportEnergyCons!$A$3:$A$1000)*1,("var_fout"=[1]OUT_TransportEnergyCons!$B$3:$B$1000)*1,ISNUMBER(SEARCH("tpbsu",[1]OUT_TransportEnergyCons!$C$3:$C$1000))*1,[1]OUT_TransportEnergyCons!O$3:O$1000)</f>
        <v>1.990609847907172E-7</v>
      </c>
      <c r="S1371" s="3"/>
    </row>
    <row r="1372" spans="2:19" x14ac:dyDescent="0.5">
      <c r="B1372" s="5" t="str">
        <f t="shared" si="1504"/>
        <v>SPS1</v>
      </c>
      <c r="C1372" s="5" t="str">
        <f t="shared" si="1505"/>
        <v>CH</v>
      </c>
      <c r="D1372" t="s">
        <v>1367</v>
      </c>
      <c r="E1372" t="str">
        <f t="shared" si="1506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1.7503245805810658E-5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1.079443906475029E-3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SUMPRODUCT(("T_B_u-ICEnga-S2"=[1]OUT_TransportEnergyCons!$A$3:$A$1000)*1,("var_fout"=[1]OUT_TransportEnergyCons!$B$3:$B$1000)*1,ISNUMBER(SEARCH("tpbsu",[1]OUT_TransportEnergyCons!$C$3:$C$1000))*1,[1]OUT_TransportEnergyCons!H$3:H$1000)</f>
        <v>0</v>
      </c>
      <c r="K1372" s="1" cm="1">
        <f t="array" ref="K1372">SUMPRODUCT(("T_B_u-ICEnga-S2"=[1]OUT_TransportEnergyCons!$A$3:$A$1000)*1,("var_fout"=[1]OUT_TransportEnergyCons!$B$3:$B$1000)*1,ISNUMBER(SEARCH("tpbsu",[1]OUT_TransportEnergyCons!$C$3:$C$1000))*1,[1]OUT_TransportEnergyCons!I$3:I$1000)</f>
        <v>0</v>
      </c>
      <c r="L1372" s="1" cm="1">
        <f t="array" ref="L1372">SUMPRODUCT(("T_B_u-ICEnga-S2"=[1]OUT_TransportEnergyCons!$A$3:$A$1000)*1,("var_fout"=[1]OUT_TransportEnergyCons!$B$3:$B$1000)*1,ISNUMBER(SEARCH("tpbsu",[1]OUT_TransportEnergyCons!$C$3:$C$1000))*1,[1]OUT_TransportEnergyCons!J$3:J$1000)</f>
        <v>0</v>
      </c>
      <c r="M1372" s="1" cm="1">
        <f t="array" ref="M1372">SUMPRODUCT(("T_B_u-ICEnga-S2"=[1]OUT_TransportEnergyCons!$A$3:$A$1000)*1,("var_fout"=[1]OUT_TransportEnergyCons!$B$3:$B$1000)*1,ISNUMBER(SEARCH("tpbsu",[1]OUT_TransportEnergyCons!$C$3:$C$1000))*1,[1]OUT_TransportEnergyCons!K$3:K$1000)</f>
        <v>0</v>
      </c>
      <c r="N1372" s="1" cm="1">
        <f t="array" ref="N1372">SUMPRODUCT(("T_B_u-ICEnga-S2"=[1]OUT_TransportEnergyCons!$A$3:$A$1000)*1,("var_fout"=[1]OUT_TransportEnergyCons!$B$3:$B$1000)*1,ISNUMBER(SEARCH("tpbsu",[1]OUT_TransportEnergyCons!$C$3:$C$1000))*1,[1]OUT_TransportEnergyCons!L$3:L$1000)</f>
        <v>0</v>
      </c>
      <c r="O1372" s="1" cm="1">
        <f t="array" ref="O1372">SUMPRODUCT(("T_B_u-ICEnga-S2"=[1]OUT_TransportEnergyCons!$A$3:$A$1000)*1,("var_fout"=[1]OUT_TransportEnergyCons!$B$3:$B$1000)*1,ISNUMBER(SEARCH("tpbsu",[1]OUT_TransportEnergyCons!$C$3:$C$1000))*1,[1]OUT_TransportEnergyCons!M$3:M$1000)</f>
        <v>0</v>
      </c>
      <c r="P1372" s="1" cm="1">
        <f t="array" ref="P1372">SUMPRODUCT(("T_B_u-ICEnga-S2"=[1]OUT_TransportEnergyCons!$A$3:$A$1000)*1,("var_fout"=[1]OUT_TransportEnergyCons!$B$3:$B$1000)*1,ISNUMBER(SEARCH("tpbsu",[1]OUT_TransportEnergyCons!$C$3:$C$1000))*1,[1]OUT_TransportEnergyCons!N$3:N$1000)</f>
        <v>0</v>
      </c>
      <c r="Q1372" s="1" cm="1">
        <f t="array" ref="Q1372">SUMPRODUCT(("T_B_u-ICEnga-S2"=[1]OUT_TransportEnergyCons!$A$3:$A$1000)*1,("var_fout"=[1]OUT_TransportEnergyCons!$B$3:$B$1000)*1,ISNUMBER(SEARCH("tpbsu",[1]OUT_TransportEnergyCons!$C$3:$C$1000))*1,[1]OUT_TransportEnergyCons!O$3:O$1000)</f>
        <v>0</v>
      </c>
      <c r="S1372" s="3"/>
    </row>
    <row r="1373" spans="2:19" x14ac:dyDescent="0.5">
      <c r="B1373" s="5" t="str">
        <f t="shared" si="1504"/>
        <v>SPS1</v>
      </c>
      <c r="C1373" s="5" t="str">
        <f t="shared" si="1505"/>
        <v>CH</v>
      </c>
      <c r="D1373" t="s">
        <v>1368</v>
      </c>
      <c r="E1373" t="str">
        <f t="shared" si="1506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1.05587567717149E-5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5.5691720609060242E-5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0</v>
      </c>
      <c r="J1373" s="1" cm="1">
        <f t="array" ref="J1373">SUMPRODUCT(("T_B_u-ICEnga-S3"=[1]OUT_TransportEnergyCons!$A$3:$A$1000)*1,("var_fout"=[1]OUT_TransportEnergyCons!$B$3:$B$1000)*1,ISNUMBER(SEARCH("tpbsu",[1]OUT_TransportEnergyCons!$C$3:$C$1000))*1,[1]OUT_TransportEnergyCons!H$3:H$1000)</f>
        <v>0</v>
      </c>
      <c r="K1373" s="1" cm="1">
        <f t="array" ref="K1373">SUMPRODUCT(("T_B_u-ICEnga-S3"=[1]OUT_TransportEnergyCons!$A$3:$A$1000)*1,("var_fout"=[1]OUT_TransportEnergyCons!$B$3:$B$1000)*1,ISNUMBER(SEARCH("tpbsu",[1]OUT_TransportEnergyCons!$C$3:$C$1000))*1,[1]OUT_TransportEnergyCons!I$3:I$1000)</f>
        <v>0</v>
      </c>
      <c r="L1373" s="1" cm="1">
        <f t="array" ref="L1373">SUMPRODUCT(("T_B_u-ICEnga-S3"=[1]OUT_TransportEnergyCons!$A$3:$A$1000)*1,("var_fout"=[1]OUT_TransportEnergyCons!$B$3:$B$1000)*1,ISNUMBER(SEARCH("tpbsu",[1]OUT_TransportEnergyCons!$C$3:$C$1000))*1,[1]OUT_TransportEnergyCons!J$3:J$1000)</f>
        <v>0</v>
      </c>
      <c r="M1373" s="1" cm="1">
        <f t="array" ref="M1373">SUMPRODUCT(("T_B_u-ICEnga-S3"=[1]OUT_TransportEnergyCons!$A$3:$A$1000)*1,("var_fout"=[1]OUT_TransportEnergyCons!$B$3:$B$1000)*1,ISNUMBER(SEARCH("tpbsu",[1]OUT_TransportEnergyCons!$C$3:$C$1000))*1,[1]OUT_TransportEnergyCons!K$3:K$1000)</f>
        <v>0</v>
      </c>
      <c r="N1373" s="1" cm="1">
        <f t="array" ref="N1373">SUMPRODUCT(("T_B_u-ICEnga-S3"=[1]OUT_TransportEnergyCons!$A$3:$A$1000)*1,("var_fout"=[1]OUT_TransportEnergyCons!$B$3:$B$1000)*1,ISNUMBER(SEARCH("tpbsu",[1]OUT_TransportEnergyCons!$C$3:$C$1000))*1,[1]OUT_TransportEnergyCons!L$3:L$1000)</f>
        <v>0</v>
      </c>
      <c r="O1373" s="1" cm="1">
        <f t="array" ref="O1373">SUMPRODUCT(("T_B_u-ICEnga-S3"=[1]OUT_TransportEnergyCons!$A$3:$A$1000)*1,("var_fout"=[1]OUT_TransportEnergyCons!$B$3:$B$1000)*1,ISNUMBER(SEARCH("tpbsu",[1]OUT_TransportEnergyCons!$C$3:$C$1000))*1,[1]OUT_TransportEnergyCons!M$3:M$1000)</f>
        <v>0</v>
      </c>
      <c r="P1373" s="1" cm="1">
        <f t="array" ref="P1373">SUMPRODUCT(("T_B_u-ICEnga-S3"=[1]OUT_TransportEnergyCons!$A$3:$A$1000)*1,("var_fout"=[1]OUT_TransportEnergyCons!$B$3:$B$1000)*1,ISNUMBER(SEARCH("tpbsu",[1]OUT_TransportEnergyCons!$C$3:$C$1000))*1,[1]OUT_TransportEnergyCons!N$3:N$1000)</f>
        <v>0</v>
      </c>
      <c r="Q1373" s="1" cm="1">
        <f t="array" ref="Q1373">SUMPRODUCT(("T_B_u-ICEnga-S3"=[1]OUT_TransportEnergyCons!$A$3:$A$1000)*1,("var_fout"=[1]OUT_TransportEnergyCons!$B$3:$B$1000)*1,ISNUMBER(SEARCH("tpbsu",[1]OUT_TransportEnergyCons!$C$3:$C$1000))*1,[1]OUT_TransportEnergyCons!O$3:O$1000)</f>
        <v>0</v>
      </c>
      <c r="S1373" s="3"/>
    </row>
    <row r="1374" spans="2:19" x14ac:dyDescent="0.5">
      <c r="B1374" s="5" t="str">
        <f t="shared" si="1504"/>
        <v>SPS1</v>
      </c>
      <c r="C1374" s="5" t="str">
        <f t="shared" si="1505"/>
        <v>CH</v>
      </c>
      <c r="D1374" t="s">
        <v>1369</v>
      </c>
      <c r="E1374" t="str">
        <f t="shared" si="1506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1.805261186678781E-6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8.3004189989508629E-6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SUMPRODUCT(("T_B_u-ICEnga-S4"=[1]OUT_TransportEnergyCons!$A$3:$A$1000)*1,("var_fout"=[1]OUT_TransportEnergyCons!$B$3:$B$1000)*1,ISNUMBER(SEARCH("tpbsu",[1]OUT_TransportEnergyCons!$C$3:$C$1000))*1,[1]OUT_TransportEnergyCons!H$3:H$1000)</f>
        <v>0</v>
      </c>
      <c r="K1374" s="1" cm="1">
        <f t="array" ref="K1374">SUMPRODUCT(("T_B_u-ICEnga-S4"=[1]OUT_TransportEnergyCons!$A$3:$A$1000)*1,("var_fout"=[1]OUT_TransportEnergyCons!$B$3:$B$1000)*1,ISNUMBER(SEARCH("tpbsu",[1]OUT_TransportEnergyCons!$C$3:$C$1000))*1,[1]OUT_TransportEnergyCons!I$3:I$1000)</f>
        <v>0</v>
      </c>
      <c r="L1374" s="1" cm="1">
        <f t="array" ref="L1374">SUMPRODUCT(("T_B_u-ICEnga-S4"=[1]OUT_TransportEnergyCons!$A$3:$A$1000)*1,("var_fout"=[1]OUT_TransportEnergyCons!$B$3:$B$1000)*1,ISNUMBER(SEARCH("tpbsu",[1]OUT_TransportEnergyCons!$C$3:$C$1000))*1,[1]OUT_TransportEnergyCons!J$3:J$1000)</f>
        <v>0</v>
      </c>
      <c r="M1374" s="1" cm="1">
        <f t="array" ref="M1374">SUMPRODUCT(("T_B_u-ICEnga-S4"=[1]OUT_TransportEnergyCons!$A$3:$A$1000)*1,("var_fout"=[1]OUT_TransportEnergyCons!$B$3:$B$1000)*1,ISNUMBER(SEARCH("tpbsu",[1]OUT_TransportEnergyCons!$C$3:$C$1000))*1,[1]OUT_TransportEnergyCons!K$3:K$1000)</f>
        <v>0</v>
      </c>
      <c r="N1374" s="1" cm="1">
        <f t="array" ref="N1374">SUMPRODUCT(("T_B_u-ICEnga-S4"=[1]OUT_TransportEnergyCons!$A$3:$A$1000)*1,("var_fout"=[1]OUT_TransportEnergyCons!$B$3:$B$1000)*1,ISNUMBER(SEARCH("tpbsu",[1]OUT_TransportEnergyCons!$C$3:$C$1000))*1,[1]OUT_TransportEnergyCons!L$3:L$1000)</f>
        <v>0</v>
      </c>
      <c r="O1374" s="1" cm="1">
        <f t="array" ref="O1374">SUMPRODUCT(("T_B_u-ICEnga-S4"=[1]OUT_TransportEnergyCons!$A$3:$A$1000)*1,("var_fout"=[1]OUT_TransportEnergyCons!$B$3:$B$1000)*1,ISNUMBER(SEARCH("tpbsu",[1]OUT_TransportEnergyCons!$C$3:$C$1000))*1,[1]OUT_TransportEnergyCons!M$3:M$1000)</f>
        <v>0</v>
      </c>
      <c r="P1374" s="1" cm="1">
        <f t="array" ref="P1374">SUMPRODUCT(("T_B_u-ICEnga-S4"=[1]OUT_TransportEnergyCons!$A$3:$A$1000)*1,("var_fout"=[1]OUT_TransportEnergyCons!$B$3:$B$1000)*1,ISNUMBER(SEARCH("tpbsu",[1]OUT_TransportEnergyCons!$C$3:$C$1000))*1,[1]OUT_TransportEnergyCons!N$3:N$1000)</f>
        <v>0</v>
      </c>
      <c r="Q1374" s="1" cm="1">
        <f t="array" ref="Q1374">SUMPRODUCT(("T_B_u-ICEnga-S4"=[1]OUT_TransportEnergyCons!$A$3:$A$1000)*1,("var_fout"=[1]OUT_TransportEnergyCons!$B$3:$B$1000)*1,ISNUMBER(SEARCH("tpbsu",[1]OUT_TransportEnergyCons!$C$3:$C$1000))*1,[1]OUT_TransportEnergyCons!O$3:O$1000)</f>
        <v>0</v>
      </c>
      <c r="S1374" s="3"/>
    </row>
    <row r="1375" spans="2:19" x14ac:dyDescent="0.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0" t="s">
        <v>292</v>
      </c>
      <c r="G1375" s="20" t="s">
        <v>292</v>
      </c>
      <c r="H1375" s="20" t="s">
        <v>292</v>
      </c>
      <c r="I1375" s="20" t="s">
        <v>292</v>
      </c>
      <c r="J1375" s="20" t="s">
        <v>292</v>
      </c>
      <c r="K1375" s="20" t="s">
        <v>292</v>
      </c>
      <c r="L1375" s="20" t="s">
        <v>292</v>
      </c>
      <c r="M1375" s="20" t="s">
        <v>292</v>
      </c>
      <c r="N1375" s="20" t="s">
        <v>292</v>
      </c>
      <c r="O1375" s="20" t="s">
        <v>292</v>
      </c>
      <c r="P1375" s="20" t="s">
        <v>292</v>
      </c>
      <c r="Q1375" s="20" t="s">
        <v>292</v>
      </c>
      <c r="S1375" s="3"/>
    </row>
    <row r="1376" spans="2:19" x14ac:dyDescent="0.5">
      <c r="B1376" s="5" t="str">
        <f t="shared" ref="B1376:B1398" si="1507">B1375</f>
        <v>SPS1</v>
      </c>
      <c r="C1376" s="5" t="str">
        <f t="shared" ref="C1376:C1398" si="1508">C1375</f>
        <v>CH</v>
      </c>
      <c r="D1376" t="s">
        <v>1371</v>
      </c>
      <c r="E1376" t="s">
        <v>1229</v>
      </c>
      <c r="F1376" s="1">
        <f>IFERROR(F1352/F1317,"-")</f>
        <v>4.1906042144660294</v>
      </c>
      <c r="G1376" s="1">
        <f t="shared" ref="G1376:K1376" si="1509">IFERROR(G1352/G1317,"-")</f>
        <v>3.3737507326839329</v>
      </c>
      <c r="H1376" s="1">
        <f t="shared" si="1509"/>
        <v>2.1484705100107915</v>
      </c>
      <c r="I1376" s="1" t="str">
        <f t="shared" si="1509"/>
        <v>-</v>
      </c>
      <c r="J1376" s="1" t="str">
        <f t="shared" si="1509"/>
        <v>-</v>
      </c>
      <c r="K1376" s="1" t="str">
        <f t="shared" si="1509"/>
        <v>-</v>
      </c>
      <c r="L1376" s="1" t="str">
        <f t="shared" ref="L1376:O1376" si="1510">IFERROR(L1352/L1317,"-")</f>
        <v>-</v>
      </c>
      <c r="M1376" s="1" t="str">
        <f t="shared" si="1510"/>
        <v>-</v>
      </c>
      <c r="N1376" s="1" t="str">
        <f t="shared" si="1510"/>
        <v>-</v>
      </c>
      <c r="O1376" s="1" t="str">
        <f t="shared" si="1510"/>
        <v>-</v>
      </c>
      <c r="P1376" s="1" t="str">
        <f t="shared" ref="P1376:Q1380" si="1511">IFERROR(P1352/P1317,"-")</f>
        <v>-</v>
      </c>
      <c r="Q1376" s="1" t="str">
        <f t="shared" si="1511"/>
        <v>-</v>
      </c>
      <c r="S1376" s="3"/>
    </row>
    <row r="1377" spans="2:19" x14ac:dyDescent="0.5">
      <c r="B1377" s="5" t="str">
        <f t="shared" si="1507"/>
        <v>SPS1</v>
      </c>
      <c r="C1377" s="5" t="str">
        <f t="shared" si="1508"/>
        <v>CH</v>
      </c>
      <c r="D1377" t="s">
        <v>1372</v>
      </c>
      <c r="E1377" t="s">
        <v>1229</v>
      </c>
      <c r="F1377" s="1">
        <f t="shared" ref="F1377:K1377" si="1512">IFERROR(F1353/F1318,"-")</f>
        <v>0.37869321701871772</v>
      </c>
      <c r="G1377" s="1">
        <f t="shared" si="1512"/>
        <v>0.3924203095784487</v>
      </c>
      <c r="H1377" s="1">
        <f t="shared" si="1512"/>
        <v>0.40494940142687624</v>
      </c>
      <c r="I1377" s="1">
        <f t="shared" si="1512"/>
        <v>0.4471788938683649</v>
      </c>
      <c r="J1377" s="1">
        <f t="shared" si="1512"/>
        <v>0.47081938418121533</v>
      </c>
      <c r="K1377" s="1">
        <f t="shared" si="1512"/>
        <v>0.47271268953982576</v>
      </c>
      <c r="L1377" s="1">
        <f t="shared" ref="L1377:O1377" si="1513">IFERROR(L1353/L1318,"-")</f>
        <v>0.49696164434134743</v>
      </c>
      <c r="M1377" s="1">
        <f t="shared" si="1513"/>
        <v>0.53112084501350521</v>
      </c>
      <c r="N1377" s="1">
        <f t="shared" si="1513"/>
        <v>0.53780615281257405</v>
      </c>
      <c r="O1377" s="1">
        <f t="shared" si="1513"/>
        <v>0.54235716283703606</v>
      </c>
      <c r="P1377" s="1">
        <f t="shared" si="1511"/>
        <v>0.54235716283703506</v>
      </c>
      <c r="Q1377" s="1">
        <f t="shared" si="1511"/>
        <v>0.5423571628370355</v>
      </c>
      <c r="S1377" s="3"/>
    </row>
    <row r="1378" spans="2:19" x14ac:dyDescent="0.5">
      <c r="B1378" s="5" t="str">
        <f t="shared" si="1507"/>
        <v>SPS1</v>
      </c>
      <c r="C1378" s="5" t="str">
        <f t="shared" si="1508"/>
        <v>CH</v>
      </c>
      <c r="D1378" t="s">
        <v>1373</v>
      </c>
      <c r="E1378" t="s">
        <v>1229</v>
      </c>
      <c r="F1378" s="1">
        <f t="shared" ref="F1378:K1378" si="1514">IFERROR(F1354/F1319,"-")</f>
        <v>0.27518070496490721</v>
      </c>
      <c r="G1378" s="1">
        <f t="shared" si="1514"/>
        <v>0.27842866398767846</v>
      </c>
      <c r="H1378" s="1">
        <f t="shared" si="1514"/>
        <v>0.28825168649050914</v>
      </c>
      <c r="I1378" s="1">
        <f t="shared" si="1514"/>
        <v>0.32338899253796316</v>
      </c>
      <c r="J1378" s="1">
        <f t="shared" si="1514"/>
        <v>0.33923523486758961</v>
      </c>
      <c r="K1378" s="1">
        <f t="shared" si="1514"/>
        <v>0.34361976667326244</v>
      </c>
      <c r="L1378" s="1">
        <f t="shared" ref="L1378:O1378" si="1515">IFERROR(L1354/L1319,"-")</f>
        <v>0.35775916578379202</v>
      </c>
      <c r="M1378" s="1">
        <f t="shared" si="1515"/>
        <v>0.38343108522318742</v>
      </c>
      <c r="N1378" s="1">
        <f t="shared" si="1515"/>
        <v>0.38913988460970311</v>
      </c>
      <c r="O1378" s="1">
        <f t="shared" si="1515"/>
        <v>0.39241606511730986</v>
      </c>
      <c r="P1378" s="1">
        <f t="shared" si="1511"/>
        <v>0.39241606511730986</v>
      </c>
      <c r="Q1378" s="1">
        <f t="shared" si="1511"/>
        <v>0.39241606511730992</v>
      </c>
      <c r="S1378" s="3"/>
    </row>
    <row r="1379" spans="2:19" x14ac:dyDescent="0.5">
      <c r="B1379" s="5" t="str">
        <f t="shared" si="1507"/>
        <v>SPS1</v>
      </c>
      <c r="C1379" s="5" t="str">
        <f t="shared" si="1508"/>
        <v>CH</v>
      </c>
      <c r="D1379" t="s">
        <v>1374</v>
      </c>
      <c r="E1379" t="s">
        <v>1229</v>
      </c>
      <c r="F1379" s="1">
        <f t="shared" ref="F1379:K1379" si="1516">IFERROR(F1355/F1320,"-")</f>
        <v>0.18297040713439899</v>
      </c>
      <c r="G1379" s="1">
        <f t="shared" si="1516"/>
        <v>0.18532332689304085</v>
      </c>
      <c r="H1379" s="1">
        <f t="shared" si="1516"/>
        <v>0.18769205723384721</v>
      </c>
      <c r="I1379" s="1">
        <f t="shared" si="1516"/>
        <v>0.21578407425413648</v>
      </c>
      <c r="J1379" s="1">
        <f t="shared" si="1516"/>
        <v>0.21839384920036409</v>
      </c>
      <c r="K1379" s="1">
        <f t="shared" si="1516"/>
        <v>0.23635929861837257</v>
      </c>
      <c r="L1379" s="1">
        <f t="shared" ref="L1379:O1379" si="1517">IFERROR(L1355/L1320,"-")</f>
        <v>0.24139825965082051</v>
      </c>
      <c r="M1379" s="1">
        <f t="shared" si="1517"/>
        <v>0.2588937638914392</v>
      </c>
      <c r="N1379" s="1">
        <f t="shared" si="1517"/>
        <v>0.26160920653474956</v>
      </c>
      <c r="O1379" s="1">
        <f t="shared" si="1517"/>
        <v>0.26214281836713765</v>
      </c>
      <c r="P1379" s="1">
        <f t="shared" si="1511"/>
        <v>0.26214281836713793</v>
      </c>
      <c r="Q1379" s="1">
        <f t="shared" si="1511"/>
        <v>0.26214281836713788</v>
      </c>
      <c r="S1379" s="3"/>
    </row>
    <row r="1380" spans="2:19" x14ac:dyDescent="0.5">
      <c r="B1380" s="5" t="str">
        <f t="shared" si="1507"/>
        <v>SPS1</v>
      </c>
      <c r="C1380" s="5" t="str">
        <f t="shared" si="1508"/>
        <v>CH</v>
      </c>
      <c r="D1380" t="s">
        <v>1375</v>
      </c>
      <c r="E1380" t="s">
        <v>1229</v>
      </c>
      <c r="F1380" s="1">
        <f t="shared" ref="F1380:K1380" si="1518">IFERROR(F1356/F1321,"-")</f>
        <v>0.12198710645807087</v>
      </c>
      <c r="G1380" s="1">
        <f t="shared" si="1518"/>
        <v>0.12431946544425583</v>
      </c>
      <c r="H1380" s="1">
        <f t="shared" si="1518"/>
        <v>0.12743466707259443</v>
      </c>
      <c r="I1380" s="1">
        <f t="shared" si="1518"/>
        <v>0.13707473941989642</v>
      </c>
      <c r="J1380" s="1">
        <f t="shared" si="1518"/>
        <v>0.15046346476720457</v>
      </c>
      <c r="K1380" s="1">
        <f t="shared" si="1518"/>
        <v>0.15699164611082397</v>
      </c>
      <c r="L1380" s="1">
        <f t="shared" ref="L1380:O1380" si="1519">IFERROR(L1356/L1321,"-")</f>
        <v>0.16506885049678227</v>
      </c>
      <c r="M1380" s="1">
        <f t="shared" si="1519"/>
        <v>0.17283105591582076</v>
      </c>
      <c r="N1380" s="1">
        <f t="shared" si="1519"/>
        <v>0.17547614587850299</v>
      </c>
      <c r="O1380" s="1">
        <f t="shared" si="1519"/>
        <v>0.17547614587850285</v>
      </c>
      <c r="P1380" s="1">
        <f t="shared" si="1511"/>
        <v>0.17547614587850308</v>
      </c>
      <c r="Q1380" s="1">
        <f t="shared" si="1511"/>
        <v>0.17547614587850296</v>
      </c>
      <c r="S1380" s="3"/>
    </row>
    <row r="1381" spans="2:19" x14ac:dyDescent="0.5">
      <c r="B1381" s="5" t="str">
        <f t="shared" si="1507"/>
        <v>SPS1</v>
      </c>
      <c r="C1381" s="5" t="str">
        <f t="shared" si="1508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520">IFERROR(G1357/G1323,"-")</f>
        <v>-</v>
      </c>
      <c r="H1381" s="1" t="str">
        <f t="shared" si="1520"/>
        <v>-</v>
      </c>
      <c r="I1381" s="1">
        <f t="shared" si="1520"/>
        <v>0.23440176174444097</v>
      </c>
      <c r="J1381" s="1">
        <f t="shared" si="1520"/>
        <v>0.25166155898679521</v>
      </c>
      <c r="K1381" s="1" t="str">
        <f t="shared" si="1520"/>
        <v>-</v>
      </c>
      <c r="L1381" s="1" t="str">
        <f t="shared" ref="L1381:O1381" si="1521">IFERROR(L1357/L1323,"-")</f>
        <v>-</v>
      </c>
      <c r="M1381" s="1" t="str">
        <f t="shared" si="1521"/>
        <v>-</v>
      </c>
      <c r="N1381" s="1" t="str">
        <f t="shared" si="1521"/>
        <v>-</v>
      </c>
      <c r="O1381" s="1" t="str">
        <f t="shared" si="1521"/>
        <v>-</v>
      </c>
      <c r="P1381" s="1" t="str">
        <f t="shared" ref="P1381:Q1384" si="1522">IFERROR(P1357/P1323,"-")</f>
        <v>-</v>
      </c>
      <c r="Q1381" s="1">
        <f t="shared" si="1522"/>
        <v>0.30344095071385818</v>
      </c>
      <c r="S1381" s="3"/>
    </row>
    <row r="1382" spans="2:19" x14ac:dyDescent="0.5">
      <c r="B1382" s="5" t="str">
        <f t="shared" si="1507"/>
        <v>SPS1</v>
      </c>
      <c r="C1382" s="5" t="str">
        <f t="shared" si="1508"/>
        <v>CH</v>
      </c>
      <c r="D1382" t="s">
        <v>1377</v>
      </c>
      <c r="E1382" t="s">
        <v>1229</v>
      </c>
      <c r="F1382" s="1" t="str">
        <f t="shared" ref="F1382:K1382" si="1523">IFERROR(F1358/F1324,"-")</f>
        <v>-</v>
      </c>
      <c r="G1382" s="1" t="str">
        <f t="shared" si="1523"/>
        <v>-</v>
      </c>
      <c r="H1382" s="1" t="str">
        <f t="shared" si="1523"/>
        <v>-</v>
      </c>
      <c r="I1382" s="1" t="str">
        <f t="shared" si="1523"/>
        <v>-</v>
      </c>
      <c r="J1382" s="1" t="str">
        <f t="shared" si="1523"/>
        <v>-</v>
      </c>
      <c r="K1382" s="1" t="str">
        <f t="shared" si="1523"/>
        <v>-</v>
      </c>
      <c r="L1382" s="1" t="str">
        <f t="shared" ref="L1382:O1382" si="1524">IFERROR(L1358/L1324,"-")</f>
        <v>-</v>
      </c>
      <c r="M1382" s="1" t="str">
        <f t="shared" si="1524"/>
        <v>-</v>
      </c>
      <c r="N1382" s="1" t="str">
        <f t="shared" si="1524"/>
        <v>-</v>
      </c>
      <c r="O1382" s="1" t="str">
        <f t="shared" si="1524"/>
        <v>-</v>
      </c>
      <c r="P1382" s="1" t="str">
        <f t="shared" si="1522"/>
        <v>-</v>
      </c>
      <c r="Q1382" s="1" t="str">
        <f t="shared" si="1522"/>
        <v>-</v>
      </c>
      <c r="S1382" s="3"/>
    </row>
    <row r="1383" spans="2:19" x14ac:dyDescent="0.5">
      <c r="B1383" s="5" t="str">
        <f t="shared" si="1507"/>
        <v>SPS1</v>
      </c>
      <c r="C1383" s="5" t="str">
        <f t="shared" si="1508"/>
        <v>CH</v>
      </c>
      <c r="D1383" t="s">
        <v>1378</v>
      </c>
      <c r="E1383" t="s">
        <v>1229</v>
      </c>
      <c r="F1383" s="1" t="str">
        <f t="shared" ref="F1383:K1383" si="1525">IFERROR(F1359/F1325,"-")</f>
        <v>-</v>
      </c>
      <c r="G1383" s="1" t="str">
        <f t="shared" si="1525"/>
        <v>-</v>
      </c>
      <c r="H1383" s="1" t="str">
        <f t="shared" si="1525"/>
        <v>-</v>
      </c>
      <c r="I1383" s="1" t="str">
        <f t="shared" si="1525"/>
        <v>-</v>
      </c>
      <c r="J1383" s="1" t="str">
        <f t="shared" si="1525"/>
        <v>-</v>
      </c>
      <c r="K1383" s="1" t="str">
        <f t="shared" si="1525"/>
        <v>-</v>
      </c>
      <c r="L1383" s="1" t="str">
        <f t="shared" ref="L1383:O1383" si="1526">IFERROR(L1359/L1325,"-")</f>
        <v>-</v>
      </c>
      <c r="M1383" s="1" t="str">
        <f t="shared" si="1526"/>
        <v>-</v>
      </c>
      <c r="N1383" s="1" t="str">
        <f t="shared" si="1526"/>
        <v>-</v>
      </c>
      <c r="O1383" s="1" t="str">
        <f t="shared" si="1526"/>
        <v>-</v>
      </c>
      <c r="P1383" s="1" t="str">
        <f t="shared" si="1522"/>
        <v>-</v>
      </c>
      <c r="Q1383" s="1" t="str">
        <f t="shared" si="1522"/>
        <v>-</v>
      </c>
      <c r="S1383" s="3"/>
    </row>
    <row r="1384" spans="2:19" x14ac:dyDescent="0.5">
      <c r="B1384" s="5" t="str">
        <f t="shared" si="1507"/>
        <v>SPS1</v>
      </c>
      <c r="C1384" s="5" t="str">
        <f t="shared" si="1508"/>
        <v>CH</v>
      </c>
      <c r="D1384" t="s">
        <v>1379</v>
      </c>
      <c r="E1384" t="s">
        <v>1229</v>
      </c>
      <c r="F1384" s="1" t="str">
        <f t="shared" ref="F1384:K1384" si="1527">IFERROR(F1360/F1326,"-")</f>
        <v>-</v>
      </c>
      <c r="G1384" s="1" t="str">
        <f t="shared" si="1527"/>
        <v>-</v>
      </c>
      <c r="H1384" s="1" t="str">
        <f t="shared" si="1527"/>
        <v>-</v>
      </c>
      <c r="I1384" s="1" t="str">
        <f t="shared" si="1527"/>
        <v>-</v>
      </c>
      <c r="J1384" s="1" t="str">
        <f t="shared" si="1527"/>
        <v>-</v>
      </c>
      <c r="K1384" s="1" t="str">
        <f t="shared" si="1527"/>
        <v>-</v>
      </c>
      <c r="L1384" s="1" t="str">
        <f t="shared" ref="L1384:O1384" si="1528">IFERROR(L1360/L1326,"-")</f>
        <v>-</v>
      </c>
      <c r="M1384" s="1" t="str">
        <f t="shared" si="1528"/>
        <v>-</v>
      </c>
      <c r="N1384" s="1" t="str">
        <f t="shared" si="1528"/>
        <v>-</v>
      </c>
      <c r="O1384" s="1" t="str">
        <f t="shared" si="1528"/>
        <v>-</v>
      </c>
      <c r="P1384" s="1" t="str">
        <f t="shared" si="1522"/>
        <v>-</v>
      </c>
      <c r="Q1384" s="1" t="str">
        <f t="shared" si="1522"/>
        <v>-</v>
      </c>
      <c r="S1384" s="3"/>
    </row>
    <row r="1385" spans="2:19" x14ac:dyDescent="0.5">
      <c r="B1385" s="5" t="str">
        <f t="shared" si="1507"/>
        <v>SPS1</v>
      </c>
      <c r="C1385" s="5" t="str">
        <f t="shared" si="1508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529">IFERROR(G1361/G1332,"-")</f>
        <v>0.16251369968883864</v>
      </c>
      <c r="H1385" s="1">
        <f t="shared" si="1529"/>
        <v>0.16359043975824866</v>
      </c>
      <c r="I1385" s="1">
        <f t="shared" si="1529"/>
        <v>0.17537725284536615</v>
      </c>
      <c r="J1385" s="1">
        <f t="shared" si="1529"/>
        <v>0.19071316246987013</v>
      </c>
      <c r="K1385" s="1">
        <f t="shared" si="1529"/>
        <v>0.19872512721970809</v>
      </c>
      <c r="L1385" s="1">
        <f t="shared" ref="L1385:O1385" si="1530">IFERROR(L1361/L1332,"-")</f>
        <v>0.20942799711162405</v>
      </c>
      <c r="M1385" s="1">
        <f t="shared" si="1530"/>
        <v>0.2213904392387587</v>
      </c>
      <c r="N1385" s="1">
        <f t="shared" si="1530"/>
        <v>0.2242022094906794</v>
      </c>
      <c r="O1385" s="1">
        <f t="shared" si="1530"/>
        <v>0.22493286651934519</v>
      </c>
      <c r="P1385" s="1">
        <f t="shared" ref="P1385:Q1393" si="1531">IFERROR(P1361/P1332,"-")</f>
        <v>0.2249328665193451</v>
      </c>
      <c r="Q1385" s="1">
        <f t="shared" si="1531"/>
        <v>0.22493286651934474</v>
      </c>
      <c r="S1385" s="3"/>
    </row>
    <row r="1386" spans="2:19" x14ac:dyDescent="0.5">
      <c r="B1386" s="5" t="str">
        <f t="shared" si="1507"/>
        <v>SPS1</v>
      </c>
      <c r="C1386" s="5" t="str">
        <f t="shared" si="1508"/>
        <v>CH</v>
      </c>
      <c r="D1386" t="s">
        <v>1381</v>
      </c>
      <c r="E1386" t="s">
        <v>1229</v>
      </c>
      <c r="F1386" s="1" t="str">
        <f t="shared" ref="F1386:K1386" si="1532">IFERROR(F1362/F1333,"-")</f>
        <v>-</v>
      </c>
      <c r="G1386" s="1">
        <f t="shared" si="1532"/>
        <v>0.11649393435744147</v>
      </c>
      <c r="H1386" s="1">
        <f t="shared" si="1532"/>
        <v>0.1189799166830518</v>
      </c>
      <c r="I1386" s="1">
        <f t="shared" si="1532"/>
        <v>0.12484695009656437</v>
      </c>
      <c r="J1386" s="1">
        <f t="shared" si="1532"/>
        <v>0.13508791532729317</v>
      </c>
      <c r="K1386" s="1">
        <f t="shared" si="1532"/>
        <v>0.14251791906668054</v>
      </c>
      <c r="L1386" s="1">
        <f t="shared" ref="L1386:O1386" si="1533">IFERROR(L1362/L1333,"-")</f>
        <v>0.1494283095499831</v>
      </c>
      <c r="M1386" s="1">
        <f t="shared" si="1533"/>
        <v>0.1577387044229267</v>
      </c>
      <c r="N1386" s="1">
        <f t="shared" si="1533"/>
        <v>0.16041339837066482</v>
      </c>
      <c r="O1386" s="1">
        <f t="shared" si="1533"/>
        <v>0.16121889029459074</v>
      </c>
      <c r="P1386" s="1">
        <f t="shared" si="1531"/>
        <v>0.16121889029459102</v>
      </c>
      <c r="Q1386" s="1">
        <f t="shared" si="1531"/>
        <v>0.16121889029459124</v>
      </c>
      <c r="S1386" s="3"/>
    </row>
    <row r="1387" spans="2:19" x14ac:dyDescent="0.5">
      <c r="B1387" s="5" t="str">
        <f t="shared" si="1507"/>
        <v>SPS1</v>
      </c>
      <c r="C1387" s="5" t="str">
        <f t="shared" si="1508"/>
        <v>CH</v>
      </c>
      <c r="D1387" t="s">
        <v>1382</v>
      </c>
      <c r="E1387" t="s">
        <v>1229</v>
      </c>
      <c r="F1387" s="1" t="str">
        <f t="shared" ref="F1387:K1387" si="1534">IFERROR(F1363/F1334,"-")</f>
        <v>-</v>
      </c>
      <c r="G1387" s="1">
        <f t="shared" si="1534"/>
        <v>7.8235828164578899E-2</v>
      </c>
      <c r="H1387" s="1">
        <f t="shared" si="1534"/>
        <v>8.1943276589621902E-2</v>
      </c>
      <c r="I1387" s="1">
        <f t="shared" si="1534"/>
        <v>8.4192174761323291E-2</v>
      </c>
      <c r="J1387" s="1">
        <f t="shared" si="1534"/>
        <v>9.2651886543364675E-2</v>
      </c>
      <c r="K1387" s="1">
        <f t="shared" si="1534"/>
        <v>9.5329837048892641E-2</v>
      </c>
      <c r="L1387" s="1">
        <f t="shared" ref="L1387:O1387" si="1535">IFERROR(L1363/L1334,"-")</f>
        <v>0.10134463181498539</v>
      </c>
      <c r="M1387" s="1">
        <f t="shared" si="1535"/>
        <v>0.10567365969769774</v>
      </c>
      <c r="N1387" s="1">
        <f t="shared" si="1535"/>
        <v>0.10821930892238876</v>
      </c>
      <c r="O1387" s="1">
        <f t="shared" si="1535"/>
        <v>0.10864967662065901</v>
      </c>
      <c r="P1387" s="1">
        <f t="shared" si="1531"/>
        <v>0.10864967662065912</v>
      </c>
      <c r="Q1387" s="1">
        <f t="shared" si="1531"/>
        <v>0.10864967662065894</v>
      </c>
      <c r="S1387" s="3"/>
    </row>
    <row r="1388" spans="2:19" x14ac:dyDescent="0.5">
      <c r="B1388" s="5" t="str">
        <f t="shared" si="1507"/>
        <v>SPS1</v>
      </c>
      <c r="C1388" s="5" t="str">
        <f t="shared" si="1508"/>
        <v>CH</v>
      </c>
      <c r="D1388" t="s">
        <v>1383</v>
      </c>
      <c r="E1388" t="s">
        <v>1229</v>
      </c>
      <c r="F1388" s="1" t="str">
        <f t="shared" ref="F1388:K1388" si="1536">IFERROR(F1364/F1335,"-")</f>
        <v>-</v>
      </c>
      <c r="G1388" s="1">
        <f t="shared" si="1536"/>
        <v>5.2751439830497716E-2</v>
      </c>
      <c r="H1388" s="1">
        <f t="shared" si="1536"/>
        <v>5.3951777808495929E-2</v>
      </c>
      <c r="I1388" s="1">
        <f t="shared" si="1536"/>
        <v>5.7110696723702094E-2</v>
      </c>
      <c r="J1388" s="1">
        <f t="shared" si="1536"/>
        <v>6.2965773134393263E-2</v>
      </c>
      <c r="K1388" s="1">
        <f t="shared" si="1536"/>
        <v>6.516180386195998E-2</v>
      </c>
      <c r="L1388" s="1">
        <f t="shared" ref="L1388:O1388" si="1537">IFERROR(L1364/L1335,"-")</f>
        <v>6.8987955701034706E-2</v>
      </c>
      <c r="M1388" s="1">
        <f t="shared" si="1537"/>
        <v>7.2200928795975922E-2</v>
      </c>
      <c r="N1388" s="1">
        <f t="shared" si="1537"/>
        <v>7.3435402919044782E-2</v>
      </c>
      <c r="O1388" s="1">
        <f t="shared" si="1537"/>
        <v>7.3435402919044809E-2</v>
      </c>
      <c r="P1388" s="1">
        <f t="shared" si="1531"/>
        <v>7.3435402919044851E-2</v>
      </c>
      <c r="Q1388" s="1">
        <f t="shared" si="1531"/>
        <v>7.3435402919044851E-2</v>
      </c>
      <c r="S1388" s="3"/>
    </row>
    <row r="1389" spans="2:19" x14ac:dyDescent="0.5">
      <c r="B1389" s="5" t="str">
        <f t="shared" si="1507"/>
        <v>SPS1</v>
      </c>
      <c r="C1389" s="5" t="str">
        <f t="shared" si="1508"/>
        <v>CH</v>
      </c>
      <c r="D1389" t="s">
        <v>2002</v>
      </c>
      <c r="E1389" t="s">
        <v>1229</v>
      </c>
      <c r="F1389" s="1">
        <f>IFERROR(F1365/F1336,"-")</f>
        <v>13.9686807148868</v>
      </c>
      <c r="G1389" s="1">
        <f t="shared" ref="G1389:K1389" si="1538">IFERROR(G1365/G1336,"-")</f>
        <v>11.189596541502667</v>
      </c>
      <c r="H1389" s="1">
        <f t="shared" si="1538"/>
        <v>7.0209702814264228</v>
      </c>
      <c r="I1389" s="1" t="str">
        <f t="shared" si="1538"/>
        <v>-</v>
      </c>
      <c r="J1389" s="1" t="str">
        <f t="shared" si="1538"/>
        <v>-</v>
      </c>
      <c r="K1389" s="1" t="str">
        <f t="shared" si="1538"/>
        <v>-</v>
      </c>
      <c r="L1389" s="1" t="str">
        <f t="shared" ref="L1389:O1389" si="1539">IFERROR(L1365/L1336,"-")</f>
        <v>-</v>
      </c>
      <c r="M1389" s="1" t="str">
        <f t="shared" si="1539"/>
        <v>-</v>
      </c>
      <c r="N1389" s="1" t="str">
        <f t="shared" si="1539"/>
        <v>-</v>
      </c>
      <c r="O1389" s="1" t="str">
        <f t="shared" si="1539"/>
        <v>-</v>
      </c>
      <c r="P1389" s="1" t="str">
        <f t="shared" si="1531"/>
        <v>-</v>
      </c>
      <c r="Q1389" s="1" t="str">
        <f t="shared" si="1531"/>
        <v>-</v>
      </c>
      <c r="S1389" s="3"/>
    </row>
    <row r="1390" spans="2:19" x14ac:dyDescent="0.5">
      <c r="B1390" s="5" t="str">
        <f t="shared" si="1507"/>
        <v>SPS1</v>
      </c>
      <c r="C1390" s="5" t="str">
        <f t="shared" si="1508"/>
        <v>CH</v>
      </c>
      <c r="D1390" t="s">
        <v>1384</v>
      </c>
      <c r="E1390" t="s">
        <v>1229</v>
      </c>
      <c r="F1390" s="1">
        <f t="shared" ref="F1390:K1390" si="1540">IFERROR(F1366/F1337,"-")</f>
        <v>0.12391916748597492</v>
      </c>
      <c r="G1390" s="1">
        <f t="shared" si="1540"/>
        <v>0.12851015103052948</v>
      </c>
      <c r="H1390" s="1">
        <f t="shared" si="1540"/>
        <v>0.13152149120539161</v>
      </c>
      <c r="I1390" s="1">
        <f t="shared" si="1540"/>
        <v>0.12391916748597503</v>
      </c>
      <c r="J1390" s="1" t="str">
        <f t="shared" si="1540"/>
        <v>-</v>
      </c>
      <c r="K1390" s="1" t="str">
        <f t="shared" si="1540"/>
        <v>-</v>
      </c>
      <c r="L1390" s="1" t="str">
        <f t="shared" ref="L1390:O1390" si="1541">IFERROR(L1366/L1337,"-")</f>
        <v>-</v>
      </c>
      <c r="M1390" s="1" t="str">
        <f t="shared" si="1541"/>
        <v>-</v>
      </c>
      <c r="N1390" s="1" t="str">
        <f t="shared" si="1541"/>
        <v>-</v>
      </c>
      <c r="O1390" s="1" t="str">
        <f t="shared" si="1541"/>
        <v>-</v>
      </c>
      <c r="P1390" s="1" t="str">
        <f t="shared" si="1531"/>
        <v>-</v>
      </c>
      <c r="Q1390" s="1">
        <f t="shared" si="1531"/>
        <v>0.17864768698655806</v>
      </c>
      <c r="S1390" s="3"/>
    </row>
    <row r="1391" spans="2:19" x14ac:dyDescent="0.5">
      <c r="B1391" s="5" t="str">
        <f t="shared" si="1507"/>
        <v>SPS1</v>
      </c>
      <c r="C1391" s="5" t="str">
        <f t="shared" si="1508"/>
        <v>CH</v>
      </c>
      <c r="D1391" t="s">
        <v>1385</v>
      </c>
      <c r="E1391" t="s">
        <v>1229</v>
      </c>
      <c r="F1391" s="1">
        <f t="shared" ref="F1391:K1391" si="1542">IFERROR(F1367/F1338,"-")</f>
        <v>8.7465847585616791E-2</v>
      </c>
      <c r="G1391" s="1">
        <f t="shared" si="1542"/>
        <v>8.7789579535444098E-2</v>
      </c>
      <c r="H1391" s="1">
        <f t="shared" si="1542"/>
        <v>9.0666333723141312E-2</v>
      </c>
      <c r="I1391" s="1" t="str">
        <f t="shared" si="1542"/>
        <v>-</v>
      </c>
      <c r="J1391" s="1" t="str">
        <f t="shared" si="1542"/>
        <v>-</v>
      </c>
      <c r="K1391" s="1" t="str">
        <f t="shared" si="1542"/>
        <v>-</v>
      </c>
      <c r="L1391" s="1" t="str">
        <f t="shared" ref="L1391:O1391" si="1543">IFERROR(L1367/L1338,"-")</f>
        <v>-</v>
      </c>
      <c r="M1391" s="1" t="str">
        <f t="shared" si="1543"/>
        <v>-</v>
      </c>
      <c r="N1391" s="1" t="str">
        <f t="shared" si="1543"/>
        <v>-</v>
      </c>
      <c r="O1391" s="1" t="str">
        <f t="shared" si="1543"/>
        <v>-</v>
      </c>
      <c r="P1391" s="1" t="str">
        <f t="shared" si="1531"/>
        <v>-</v>
      </c>
      <c r="Q1391" s="1" t="str">
        <f t="shared" si="1531"/>
        <v>-</v>
      </c>
      <c r="S1391" s="3"/>
    </row>
    <row r="1392" spans="2:19" x14ac:dyDescent="0.5">
      <c r="B1392" s="5" t="str">
        <f t="shared" si="1507"/>
        <v>SPS1</v>
      </c>
      <c r="C1392" s="5" t="str">
        <f t="shared" si="1508"/>
        <v>CH</v>
      </c>
      <c r="D1392" t="s">
        <v>1386</v>
      </c>
      <c r="E1392" t="s">
        <v>1229</v>
      </c>
      <c r="F1392" s="1">
        <f t="shared" ref="F1392:K1392" si="1544">IFERROR(F1368/F1339,"-")</f>
        <v>5.7949527986548621E-2</v>
      </c>
      <c r="G1392" s="1">
        <f t="shared" si="1544"/>
        <v>5.811648173675326E-2</v>
      </c>
      <c r="H1392" s="1">
        <f t="shared" si="1544"/>
        <v>5.8122360814094172E-2</v>
      </c>
      <c r="I1392" s="1" t="str">
        <f t="shared" si="1544"/>
        <v>-</v>
      </c>
      <c r="J1392" s="1" t="str">
        <f t="shared" si="1544"/>
        <v>-</v>
      </c>
      <c r="K1392" s="1" t="str">
        <f t="shared" si="1544"/>
        <v>-</v>
      </c>
      <c r="L1392" s="1" t="str">
        <f t="shared" ref="L1392:O1392" si="1545">IFERROR(L1368/L1339,"-")</f>
        <v>-</v>
      </c>
      <c r="M1392" s="1" t="str">
        <f t="shared" si="1545"/>
        <v>-</v>
      </c>
      <c r="N1392" s="1" t="str">
        <f t="shared" si="1545"/>
        <v>-</v>
      </c>
      <c r="O1392" s="1" t="str">
        <f t="shared" si="1545"/>
        <v>-</v>
      </c>
      <c r="P1392" s="1" t="str">
        <f t="shared" si="1531"/>
        <v>-</v>
      </c>
      <c r="Q1392" s="1" t="str">
        <f t="shared" si="1531"/>
        <v>-</v>
      </c>
      <c r="S1392" s="3"/>
    </row>
    <row r="1393" spans="2:19" x14ac:dyDescent="0.5">
      <c r="B1393" s="5" t="str">
        <f t="shared" si="1507"/>
        <v>SPS1</v>
      </c>
      <c r="C1393" s="5" t="str">
        <f t="shared" si="1508"/>
        <v>CH</v>
      </c>
      <c r="D1393" t="s">
        <v>1387</v>
      </c>
      <c r="E1393" t="s">
        <v>1229</v>
      </c>
      <c r="F1393" s="1">
        <f t="shared" ref="F1393:K1393" si="1546">IFERROR(F1369/F1340,"-")</f>
        <v>3.8646481387947441E-2</v>
      </c>
      <c r="G1393" s="1">
        <f t="shared" si="1546"/>
        <v>3.8923981383312198E-2</v>
      </c>
      <c r="H1393" s="1">
        <f t="shared" si="1546"/>
        <v>3.9321330062425178E-2</v>
      </c>
      <c r="I1393" s="1" t="str">
        <f t="shared" si="1546"/>
        <v>-</v>
      </c>
      <c r="J1393" s="1" t="str">
        <f t="shared" si="1546"/>
        <v>-</v>
      </c>
      <c r="K1393" s="1" t="str">
        <f t="shared" si="1546"/>
        <v>-</v>
      </c>
      <c r="L1393" s="1" t="str">
        <f t="shared" ref="L1393:O1393" si="1547">IFERROR(L1369/L1340,"-")</f>
        <v>-</v>
      </c>
      <c r="M1393" s="1" t="str">
        <f t="shared" si="1547"/>
        <v>-</v>
      </c>
      <c r="N1393" s="1" t="str">
        <f t="shared" si="1547"/>
        <v>-</v>
      </c>
      <c r="O1393" s="1" t="str">
        <f t="shared" si="1547"/>
        <v>-</v>
      </c>
      <c r="P1393" s="1" t="str">
        <f t="shared" si="1531"/>
        <v>-</v>
      </c>
      <c r="Q1393" s="1" t="str">
        <f t="shared" si="1531"/>
        <v>-</v>
      </c>
      <c r="S1393" s="3"/>
    </row>
    <row r="1394" spans="2:19" x14ac:dyDescent="0.5">
      <c r="B1394" s="5" t="str">
        <f t="shared" si="1507"/>
        <v>SPS1</v>
      </c>
      <c r="C1394" s="5" t="str">
        <f t="shared" si="1508"/>
        <v>CH</v>
      </c>
      <c r="D1394" t="s">
        <v>2006</v>
      </c>
      <c r="E1394" t="s">
        <v>1229</v>
      </c>
      <c r="F1394" s="1">
        <f>IFERROR(F1370/F1346,"-")</f>
        <v>13.968680714886787</v>
      </c>
      <c r="G1394" s="1">
        <f t="shared" ref="G1394:K1394" si="1548">IFERROR(G1370/G1346,"-")</f>
        <v>11.186996076539065</v>
      </c>
      <c r="H1394" s="1">
        <f t="shared" si="1548"/>
        <v>7.0144691190174777</v>
      </c>
      <c r="I1394" s="1" t="str">
        <f t="shared" si="1548"/>
        <v>-</v>
      </c>
      <c r="J1394" s="1" t="str">
        <f t="shared" si="1548"/>
        <v>-</v>
      </c>
      <c r="K1394" s="1" t="str">
        <f t="shared" si="1548"/>
        <v>-</v>
      </c>
      <c r="L1394" s="1" t="str">
        <f t="shared" ref="L1394:O1394" si="1549">IFERROR(L1370/L1346,"-")</f>
        <v>-</v>
      </c>
      <c r="M1394" s="1" t="str">
        <f t="shared" si="1549"/>
        <v>-</v>
      </c>
      <c r="N1394" s="1" t="str">
        <f t="shared" si="1549"/>
        <v>-</v>
      </c>
      <c r="O1394" s="1" t="str">
        <f t="shared" si="1549"/>
        <v>-</v>
      </c>
      <c r="P1394" s="1" t="str">
        <f t="shared" ref="P1394:Q1398" si="1550">IFERROR(P1370/P1346,"-")</f>
        <v>-</v>
      </c>
      <c r="Q1394" s="1" t="str">
        <f t="shared" si="1550"/>
        <v>-</v>
      </c>
      <c r="S1394" s="3"/>
    </row>
    <row r="1395" spans="2:19" x14ac:dyDescent="0.5">
      <c r="B1395" s="5" t="str">
        <f t="shared" si="1507"/>
        <v>SPS1</v>
      </c>
      <c r="C1395" s="5" t="str">
        <f t="shared" si="1508"/>
        <v>CH</v>
      </c>
      <c r="D1395" t="s">
        <v>1388</v>
      </c>
      <c r="E1395" t="s">
        <v>1229</v>
      </c>
      <c r="F1395" s="1" t="str">
        <f t="shared" ref="F1395:K1395" si="1551">IFERROR(F1371/F1347,"-")</f>
        <v>-</v>
      </c>
      <c r="G1395" s="1">
        <f t="shared" si="1551"/>
        <v>0.1202375197484723</v>
      </c>
      <c r="H1395" s="1">
        <f t="shared" si="1551"/>
        <v>0.1260698312991079</v>
      </c>
      <c r="I1395" s="1" t="str">
        <f t="shared" si="1551"/>
        <v>-</v>
      </c>
      <c r="J1395" s="1" t="str">
        <f t="shared" si="1551"/>
        <v>-</v>
      </c>
      <c r="K1395" s="1" t="str">
        <f t="shared" si="1551"/>
        <v>-</v>
      </c>
      <c r="L1395" s="1">
        <f t="shared" ref="L1395:O1395" si="1552">IFERROR(L1371/L1347,"-")</f>
        <v>0.16049525829203701</v>
      </c>
      <c r="M1395" s="1">
        <f t="shared" si="1552"/>
        <v>0.16808063205466933</v>
      </c>
      <c r="N1395" s="1">
        <f t="shared" si="1552"/>
        <v>0.16808063205466914</v>
      </c>
      <c r="O1395" s="1">
        <f t="shared" si="1552"/>
        <v>0.16808063205466869</v>
      </c>
      <c r="P1395" s="1" t="str">
        <f t="shared" si="1550"/>
        <v>-</v>
      </c>
      <c r="Q1395" s="1">
        <f t="shared" si="1550"/>
        <v>0.16808063205466914</v>
      </c>
      <c r="S1395" s="3"/>
    </row>
    <row r="1396" spans="2:19" x14ac:dyDescent="0.5">
      <c r="B1396" s="5" t="str">
        <f t="shared" si="1507"/>
        <v>SPS1</v>
      </c>
      <c r="C1396" s="5" t="str">
        <f t="shared" si="1508"/>
        <v>CH</v>
      </c>
      <c r="D1396" t="s">
        <v>1389</v>
      </c>
      <c r="E1396" t="s">
        <v>1229</v>
      </c>
      <c r="F1396" s="1" t="str">
        <f t="shared" ref="F1396:K1396" si="1553">IFERROR(F1372/F1348,"-")</f>
        <v>-</v>
      </c>
      <c r="G1396" s="1">
        <f t="shared" si="1553"/>
        <v>8.4998076233608902E-2</v>
      </c>
      <c r="H1396" s="1">
        <f t="shared" si="1553"/>
        <v>8.9333921476177816E-2</v>
      </c>
      <c r="I1396" s="1" t="str">
        <f t="shared" si="1553"/>
        <v>-</v>
      </c>
      <c r="J1396" s="1" t="str">
        <f t="shared" si="1553"/>
        <v>-</v>
      </c>
      <c r="K1396" s="1" t="str">
        <f t="shared" si="1553"/>
        <v>-</v>
      </c>
      <c r="L1396" s="1" t="str">
        <f t="shared" ref="L1396:O1396" si="1554">IFERROR(L1372/L1348,"-")</f>
        <v>-</v>
      </c>
      <c r="M1396" s="1" t="str">
        <f t="shared" si="1554"/>
        <v>-</v>
      </c>
      <c r="N1396" s="1" t="str">
        <f t="shared" si="1554"/>
        <v>-</v>
      </c>
      <c r="O1396" s="1" t="str">
        <f t="shared" si="1554"/>
        <v>-</v>
      </c>
      <c r="P1396" s="1" t="str">
        <f t="shared" si="1550"/>
        <v>-</v>
      </c>
      <c r="Q1396" s="1" t="str">
        <f t="shared" si="1550"/>
        <v>-</v>
      </c>
      <c r="S1396" s="3"/>
    </row>
    <row r="1397" spans="2:19" x14ac:dyDescent="0.5">
      <c r="B1397" s="5" t="str">
        <f t="shared" si="1507"/>
        <v>SPS1</v>
      </c>
      <c r="C1397" s="5" t="str">
        <f t="shared" si="1508"/>
        <v>CH</v>
      </c>
      <c r="D1397" t="s">
        <v>1390</v>
      </c>
      <c r="E1397" t="s">
        <v>1229</v>
      </c>
      <c r="F1397" s="1" t="str">
        <f t="shared" ref="F1397:K1397" si="1555">IFERROR(F1373/F1349,"-")</f>
        <v>-</v>
      </c>
      <c r="G1397" s="1">
        <f t="shared" si="1555"/>
        <v>5.6422133461237131E-2</v>
      </c>
      <c r="H1397" s="1">
        <f t="shared" si="1555"/>
        <v>5.8665359865322009E-2</v>
      </c>
      <c r="I1397" s="1" t="str">
        <f t="shared" si="1555"/>
        <v>-</v>
      </c>
      <c r="J1397" s="1" t="str">
        <f t="shared" si="1555"/>
        <v>-</v>
      </c>
      <c r="K1397" s="1" t="str">
        <f t="shared" si="1555"/>
        <v>-</v>
      </c>
      <c r="L1397" s="1" t="str">
        <f t="shared" ref="L1397:O1397" si="1556">IFERROR(L1373/L1349,"-")</f>
        <v>-</v>
      </c>
      <c r="M1397" s="1" t="str">
        <f t="shared" si="1556"/>
        <v>-</v>
      </c>
      <c r="N1397" s="1" t="str">
        <f t="shared" si="1556"/>
        <v>-</v>
      </c>
      <c r="O1397" s="1" t="str">
        <f t="shared" si="1556"/>
        <v>-</v>
      </c>
      <c r="P1397" s="1" t="str">
        <f t="shared" si="1550"/>
        <v>-</v>
      </c>
      <c r="Q1397" s="1" t="str">
        <f t="shared" si="1550"/>
        <v>-</v>
      </c>
      <c r="S1397" s="3"/>
    </row>
    <row r="1398" spans="2:19" x14ac:dyDescent="0.5">
      <c r="B1398" s="5" t="str">
        <f t="shared" si="1507"/>
        <v>SPS1</v>
      </c>
      <c r="C1398" s="5" t="str">
        <f t="shared" si="1508"/>
        <v>CH</v>
      </c>
      <c r="D1398" t="s">
        <v>1391</v>
      </c>
      <c r="E1398" t="s">
        <v>1229</v>
      </c>
      <c r="F1398" s="1" t="str">
        <f t="shared" ref="F1398:K1398" si="1557">IFERROR(F1374/F1350,"-")</f>
        <v>-</v>
      </c>
      <c r="G1398" s="1">
        <f t="shared" si="1557"/>
        <v>3.768915775983437E-2</v>
      </c>
      <c r="H1398" s="1">
        <f t="shared" si="1557"/>
        <v>3.8984331140551283E-2</v>
      </c>
      <c r="I1398" s="1" t="str">
        <f t="shared" si="1557"/>
        <v>-</v>
      </c>
      <c r="J1398" s="1" t="str">
        <f t="shared" si="1557"/>
        <v>-</v>
      </c>
      <c r="K1398" s="1" t="str">
        <f t="shared" si="1557"/>
        <v>-</v>
      </c>
      <c r="L1398" s="1" t="str">
        <f t="shared" ref="L1398:O1398" si="1558">IFERROR(L1374/L1350,"-")</f>
        <v>-</v>
      </c>
      <c r="M1398" s="1" t="str">
        <f t="shared" si="1558"/>
        <v>-</v>
      </c>
      <c r="N1398" s="1" t="str">
        <f t="shared" si="1558"/>
        <v>-</v>
      </c>
      <c r="O1398" s="1" t="str">
        <f t="shared" si="1558"/>
        <v>-</v>
      </c>
      <c r="P1398" s="1" t="str">
        <f t="shared" si="1550"/>
        <v>-</v>
      </c>
      <c r="Q1398" s="1" t="str">
        <f t="shared" si="1550"/>
        <v>-</v>
      </c>
      <c r="S1398" s="3"/>
    </row>
    <row r="1399" spans="2:19" x14ac:dyDescent="0.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0.81481532245391974</v>
      </c>
      <c r="G1399" s="3">
        <f t="shared" ref="G1399" si="1559">G1400+G1406+G1411+G1425</f>
        <v>0.84556158838238671</v>
      </c>
      <c r="H1399" s="3">
        <f t="shared" ref="H1399" si="1560">H1400+H1406+H1411+H1425</f>
        <v>1.0176617801073589</v>
      </c>
      <c r="I1399" s="3">
        <f t="shared" ref="I1399" si="1561">I1400+I1406+I1411+I1425</f>
        <v>0.59694058599343358</v>
      </c>
      <c r="J1399" s="3">
        <f t="shared" ref="J1399" si="1562">J1400+J1406+J1411+J1425</f>
        <v>0.58183661716999602</v>
      </c>
      <c r="K1399" s="3">
        <f t="shared" ref="K1399" si="1563">K1400+K1406+K1411+K1425</f>
        <v>0.54625496611908875</v>
      </c>
      <c r="L1399" s="3">
        <f t="shared" ref="L1399:O1399" si="1564">L1400+L1406+L1411+L1425</f>
        <v>0.52769279223378596</v>
      </c>
      <c r="M1399" s="3">
        <f t="shared" si="1564"/>
        <v>0.4967780479288314</v>
      </c>
      <c r="N1399" s="3">
        <f t="shared" si="1564"/>
        <v>0.50865519775586132</v>
      </c>
      <c r="O1399" s="3">
        <f t="shared" si="1564"/>
        <v>0.52661971659964235</v>
      </c>
      <c r="P1399" s="3">
        <f>P1400+P1406+P1411+P1425</f>
        <v>0.54846110608278975</v>
      </c>
      <c r="Q1399" s="3">
        <f>Q1400+Q1406+Q1411+Q1425</f>
        <v>0.56167934622306159</v>
      </c>
      <c r="S1399" s="3"/>
    </row>
    <row r="1400" spans="2:19" x14ac:dyDescent="0.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1.7020841943088711E-3</v>
      </c>
      <c r="G1400" s="1">
        <f t="shared" ref="G1400" si="1565">SUM(G1401:G1405)</f>
        <v>2.6234010841443009E-3</v>
      </c>
      <c r="H1400" s="1">
        <f t="shared" ref="H1400" si="1566">SUM(H1401:H1405)</f>
        <v>4.2621991135274508E-3</v>
      </c>
      <c r="I1400" s="1">
        <f t="shared" ref="I1400" si="1567">SUM(I1401:I1405)</f>
        <v>0.23125369218565656</v>
      </c>
      <c r="J1400" s="1">
        <f t="shared" ref="J1400" si="1568">SUM(J1401:J1405)</f>
        <v>0.22664230394018131</v>
      </c>
      <c r="K1400" s="1">
        <f t="shared" ref="K1400" si="1569">SUM(K1401:K1405)</f>
        <v>0.22043948414880518</v>
      </c>
      <c r="L1400" s="1">
        <f t="shared" ref="L1400:O1400" si="1570">SUM(L1401:L1405)</f>
        <v>0.21366102961493766</v>
      </c>
      <c r="M1400" s="1">
        <f t="shared" si="1570"/>
        <v>0.20239529911070539</v>
      </c>
      <c r="N1400" s="1">
        <f t="shared" si="1570"/>
        <v>0.19960338334116551</v>
      </c>
      <c r="O1400" s="1">
        <f t="shared" si="1570"/>
        <v>0.20011278027731988</v>
      </c>
      <c r="P1400" s="1">
        <f>SUM(P1401:P1405)</f>
        <v>0.20096566595096527</v>
      </c>
      <c r="Q1400" s="1">
        <f>SUM(Q1401:Q1405)</f>
        <v>0.20720369165166666</v>
      </c>
      <c r="S1400" s="3"/>
    </row>
    <row r="1401" spans="2:19" x14ac:dyDescent="0.5">
      <c r="B1401" s="5" t="str">
        <f t="shared" ref="B1401:B1434" si="1571">B1400</f>
        <v>SPS1</v>
      </c>
      <c r="C1401" s="5" t="str">
        <f t="shared" ref="C1401:C1434" si="1572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SUMPRODUCT(("T_B_c-BeVELCEXT"=[1]OUT_TransportEnergyCons!$A$3:$A$1000)*1,("Var_Fin"=[1]OUT_TransportEnergyCons!$B$3:$B$1000)*1,ISNUMBER(SEARCH("ELC",[1]OUT_TransportEnergyCons!$C$3:$C$1000))*1,[1]OUT_TransportEnergyCons!H$3:H$1000)</f>
        <v>0</v>
      </c>
      <c r="K1401" s="1" cm="1">
        <f t="array" ref="K1401">SUMPRODUCT(("T_B_c-BeVELCEXT"=[1]OUT_TransportEnergyCons!$A$3:$A$1000)*1,("Var_Fin"=[1]OUT_TransportEnergyCons!$B$3:$B$1000)*1,ISNUMBER(SEARCH("ELC",[1]OUT_TransportEnergyCons!$C$3:$C$1000))*1,[1]OUT_TransportEnergyCons!I$3:I$1000)</f>
        <v>0</v>
      </c>
      <c r="L1401" s="1" cm="1">
        <f t="array" ref="L1401">SUMPRODUCT(("T_B_c-BeVELCEXT"=[1]OUT_TransportEnergyCons!$A$3:$A$1000)*1,("Var_Fin"=[1]OUT_TransportEnergyCons!$B$3:$B$1000)*1,ISNUMBER(SEARCH("ELC",[1]OUT_TransportEnergyCons!$C$3:$C$1000))*1,[1]OUT_TransportEnergyCons!J$3:J$1000)</f>
        <v>0</v>
      </c>
      <c r="M1401" s="1" cm="1">
        <f t="array" ref="M1401">SUMPRODUCT(("T_B_c-BeVELCEXT"=[1]OUT_TransportEnergyCons!$A$3:$A$1000)*1,("Var_Fin"=[1]OUT_TransportEnergyCons!$B$3:$B$1000)*1,ISNUMBER(SEARCH("ELC",[1]OUT_TransportEnergyCons!$C$3:$C$1000))*1,[1]OUT_TransportEnergyCons!K$3:K$1000)</f>
        <v>0</v>
      </c>
      <c r="N1401" s="1" cm="1">
        <f t="array" ref="N1401">SUMPRODUCT(("T_B_c-BeVELCEXT"=[1]OUT_TransportEnergyCons!$A$3:$A$1000)*1,("Var_Fin"=[1]OUT_TransportEnergyCons!$B$3:$B$1000)*1,ISNUMBER(SEARCH("ELC",[1]OUT_TransportEnergyCons!$C$3:$C$1000))*1,[1]OUT_TransportEnergyCons!L$3:L$1000)</f>
        <v>0</v>
      </c>
      <c r="O1401" s="1" cm="1">
        <f t="array" ref="O1401">SUMPRODUCT(("T_B_c-BeVELCEXT"=[1]OUT_TransportEnergyCons!$A$3:$A$1000)*1,("Var_Fin"=[1]OUT_TransportEnergyCons!$B$3:$B$1000)*1,ISNUMBER(SEARCH("ELC",[1]OUT_TransportEnergyCons!$C$3:$C$1000))*1,[1]OUT_TransportEnergyCons!M$3:M$1000)</f>
        <v>0</v>
      </c>
      <c r="P1401" s="1" cm="1">
        <f t="array" ref="P1401">SUMPRODUCT(("T_B_c-BeVELCEXT"=[1]OUT_TransportEnergyCons!$A$3:$A$1000)*1,("Var_Fin"=[1]OUT_TransportEnergyCons!$B$3:$B$1000)*1,ISNUMBER(SEARCH("ELC",[1]OUT_TransportEnergyCons!$C$3:$C$1000))*1,[1]OUT_TransportEnergyCons!N$3:N$1000)</f>
        <v>0</v>
      </c>
      <c r="Q1401" s="1" cm="1">
        <f t="array" ref="Q1401">SUMPRODUCT(("T_B_c-BeVELCEXT"=[1]OUT_TransportEnergyCons!$A$3:$A$1000)*1,("Var_Fin"=[1]OUT_TransportEnergyCons!$B$3:$B$1000)*1,ISNUMBER(SEARCH("ELC",[1]OUT_TransportEnergyCons!$C$3:$C$1000))*1,[1]OUT_TransportEnergyCons!O$3:O$1000)</f>
        <v>0</v>
      </c>
      <c r="S1401" s="3"/>
    </row>
    <row r="1402" spans="2:19" x14ac:dyDescent="0.5">
      <c r="B1402" s="5" t="str">
        <f t="shared" si="1571"/>
        <v>SPS1</v>
      </c>
      <c r="C1402" s="5" t="str">
        <f t="shared" si="1572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3.9609590802518711E-4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7.585303739006601E-4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1.331518617568746E-3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0.14371363073931329</v>
      </c>
      <c r="J1402" s="1" cm="1">
        <f t="array" ref="J1402">SUMPRODUCT(("T_B_c-BEVELC-S1"=[1]OUT_TransportEnergyCons!$A$3:$A$1000)*1,("Var_Fin"=[1]OUT_TransportEnergyCons!$B$3:$B$1000)*1,ISNUMBER(SEARCH("ELC",[1]OUT_TransportEnergyCons!$C$3:$C$1000))*1,[1]OUT_TransportEnergyCons!H$3:H$1000)</f>
        <v>0.13293995914335546</v>
      </c>
      <c r="K1402" s="1" cm="1">
        <f t="array" ref="K1402">SUMPRODUCT(("T_B_c-BEVELC-S1"=[1]OUT_TransportEnergyCons!$A$3:$A$1000)*1,("Var_Fin"=[1]OUT_TransportEnergyCons!$B$3:$B$1000)*1,ISNUMBER(SEARCH("ELC",[1]OUT_TransportEnergyCons!$C$3:$C$1000))*1,[1]OUT_TransportEnergyCons!I$3:I$1000)</f>
        <v>0.13090626415551965</v>
      </c>
      <c r="L1402" s="1" cm="1">
        <f t="array" ref="L1402">SUMPRODUCT(("T_B_c-BEVELC-S1"=[1]OUT_TransportEnergyCons!$A$3:$A$1000)*1,("Var_Fin"=[1]OUT_TransportEnergyCons!$B$3:$B$1000)*1,ISNUMBER(SEARCH("ELC",[1]OUT_TransportEnergyCons!$C$3:$C$1000))*1,[1]OUT_TransportEnergyCons!J$3:J$1000)</f>
        <v>0.12145366558276513</v>
      </c>
      <c r="M1402" s="1" cm="1">
        <f t="array" ref="M1402">SUMPRODUCT(("T_B_c-BEVELC-S1"=[1]OUT_TransportEnergyCons!$A$3:$A$1000)*1,("Var_Fin"=[1]OUT_TransportEnergyCons!$B$3:$B$1000)*1,ISNUMBER(SEARCH("ELC",[1]OUT_TransportEnergyCons!$C$3:$C$1000))*1,[1]OUT_TransportEnergyCons!K$3:K$1000)</f>
        <v>0.10698806179889453</v>
      </c>
      <c r="N1402" s="1" cm="1">
        <f t="array" ref="N1402">SUMPRODUCT(("T_B_c-BEVELC-S1"=[1]OUT_TransportEnergyCons!$A$3:$A$1000)*1,("Var_Fin"=[1]OUT_TransportEnergyCons!$B$3:$B$1000)*1,ISNUMBER(SEARCH("ELC",[1]OUT_TransportEnergyCons!$C$3:$C$1000))*1,[1]OUT_TransportEnergyCons!L$3:L$1000)</f>
        <v>0.10485899272713378</v>
      </c>
      <c r="O1402" s="1" cm="1">
        <f t="array" ref="O1402">SUMPRODUCT(("T_B_c-BEVELC-S1"=[1]OUT_TransportEnergyCons!$A$3:$A$1000)*1,("Var_Fin"=[1]OUT_TransportEnergyCons!$B$3:$B$1000)*1,ISNUMBER(SEARCH("ELC",[1]OUT_TransportEnergyCons!$C$3:$C$1000))*1,[1]OUT_TransportEnergyCons!M$3:M$1000)</f>
        <v>0.10170567734867096</v>
      </c>
      <c r="P1402" s="1" cm="1">
        <f t="array" ref="P1402">SUMPRODUCT(("T_B_c-BEVELC-S1"=[1]OUT_TransportEnergyCons!$A$3:$A$1000)*1,("Var_Fin"=[1]OUT_TransportEnergyCons!$B$3:$B$1000)*1,ISNUMBER(SEARCH("ELC",[1]OUT_TransportEnergyCons!$C$3:$C$1000))*1,[1]OUT_TransportEnergyCons!N$3:N$1000)</f>
        <v>0.10466316662649237</v>
      </c>
      <c r="Q1402" s="1" cm="1">
        <f t="array" ref="Q1402">SUMPRODUCT(("T_B_c-BEVELC-S1"=[1]OUT_TransportEnergyCons!$A$3:$A$1000)*1,("Var_Fin"=[1]OUT_TransportEnergyCons!$B$3:$B$1000)*1,ISNUMBER(SEARCH("ELC",[1]OUT_TransportEnergyCons!$C$3:$C$1000))*1,[1]OUT_TransportEnergyCons!O$3:O$1000)</f>
        <v>9.8833600135856278E-2</v>
      </c>
      <c r="S1402" s="3"/>
    </row>
    <row r="1403" spans="2:19" x14ac:dyDescent="0.5">
      <c r="B1403" s="5" t="str">
        <f t="shared" si="1571"/>
        <v>SPS1</v>
      </c>
      <c r="C1403" s="5" t="str">
        <f t="shared" si="1572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8.2698782767601264E-4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9.524908562590777E-4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1.5556706297444542E-3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8.5731866433173473E-2</v>
      </c>
      <c r="J1403" s="1" cm="1">
        <f t="array" ref="J1403">SUMPRODUCT(("T_B_c-BEVELC-S2"=[1]OUT_TransportEnergyCons!$A$3:$A$1000)*1,("Var_Fin"=[1]OUT_TransportEnergyCons!$B$3:$B$1000)*1,ISNUMBER(SEARCH("ELC",[1]OUT_TransportEnergyCons!$C$3:$C$1000))*1,[1]OUT_TransportEnergyCons!H$3:H$1000)</f>
        <v>9.0300762359263709E-2</v>
      </c>
      <c r="K1403" s="1" cm="1">
        <f t="array" ref="K1403">SUMPRODUCT(("T_B_c-BEVELC-S2"=[1]OUT_TransportEnergyCons!$A$3:$A$1000)*1,("Var_Fin"=[1]OUT_TransportEnergyCons!$B$3:$B$1000)*1,ISNUMBER(SEARCH("ELC",[1]OUT_TransportEnergyCons!$C$3:$C$1000))*1,[1]OUT_TransportEnergyCons!I$3:I$1000)</f>
        <v>8.418165263272355E-2</v>
      </c>
      <c r="L1403" s="1" cm="1">
        <f t="array" ref="L1403">SUMPRODUCT(("T_B_c-BEVELC-S2"=[1]OUT_TransportEnergyCons!$A$3:$A$1000)*1,("Var_Fin"=[1]OUT_TransportEnergyCons!$B$3:$B$1000)*1,ISNUMBER(SEARCH("ELC",[1]OUT_TransportEnergyCons!$C$3:$C$1000))*1,[1]OUT_TransportEnergyCons!J$3:J$1000)</f>
        <v>8.5303090695589862E-2</v>
      </c>
      <c r="M1403" s="1" cm="1">
        <f t="array" ref="M1403">SUMPRODUCT(("T_B_c-BEVELC-S2"=[1]OUT_TransportEnergyCons!$A$3:$A$1000)*1,("Var_Fin"=[1]OUT_TransportEnergyCons!$B$3:$B$1000)*1,ISNUMBER(SEARCH("ELC",[1]OUT_TransportEnergyCons!$C$3:$C$1000))*1,[1]OUT_TransportEnergyCons!K$3:K$1000)</f>
        <v>8.5991262483966727E-2</v>
      </c>
      <c r="N1403" s="1" cm="1">
        <f t="array" ref="N1403">SUMPRODUCT(("T_B_c-BEVELC-S2"=[1]OUT_TransportEnergyCons!$A$3:$A$1000)*1,("Var_Fin"=[1]OUT_TransportEnergyCons!$B$3:$B$1000)*1,ISNUMBER(SEARCH("ELC",[1]OUT_TransportEnergyCons!$C$3:$C$1000))*1,[1]OUT_TransportEnergyCons!L$3:L$1000)</f>
        <v>8.4139535859658984E-2</v>
      </c>
      <c r="O1403" s="1" cm="1">
        <f t="array" ref="O1403">SUMPRODUCT(("T_B_c-BEVELC-S2"=[1]OUT_TransportEnergyCons!$A$3:$A$1000)*1,("Var_Fin"=[1]OUT_TransportEnergyCons!$B$3:$B$1000)*1,ISNUMBER(SEARCH("ELC",[1]OUT_TransportEnergyCons!$C$3:$C$1000))*1,[1]OUT_TransportEnergyCons!M$3:M$1000)</f>
        <v>8.3361488731422226E-2</v>
      </c>
      <c r="P1403" s="1" cm="1">
        <f t="array" ref="P1403">SUMPRODUCT(("T_B_c-BEVELC-S2"=[1]OUT_TransportEnergyCons!$A$3:$A$1000)*1,("Var_Fin"=[1]OUT_TransportEnergyCons!$B$3:$B$1000)*1,ISNUMBER(SEARCH("ELC",[1]OUT_TransportEnergyCons!$C$3:$C$1000))*1,[1]OUT_TransportEnergyCons!N$3:N$1000)</f>
        <v>7.5772967812786543E-2</v>
      </c>
      <c r="Q1403" s="1" cm="1">
        <f t="array" ref="Q1403">SUMPRODUCT(("T_B_c-BEVELC-S2"=[1]OUT_TransportEnergyCons!$A$3:$A$1000)*1,("Var_Fin"=[1]OUT_TransportEnergyCons!$B$3:$B$1000)*1,ISNUMBER(SEARCH("ELC",[1]OUT_TransportEnergyCons!$C$3:$C$1000))*1,[1]OUT_TransportEnergyCons!O$3:O$1000)</f>
        <v>7.4690130693293902E-2</v>
      </c>
      <c r="S1403" s="3"/>
    </row>
    <row r="1404" spans="2:19" x14ac:dyDescent="0.5">
      <c r="B1404" s="5" t="str">
        <f t="shared" si="1571"/>
        <v>SPS1</v>
      </c>
      <c r="C1404" s="5" t="str">
        <f t="shared" si="1572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4.790004586076713E-4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7.6922138372039048E-4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1.069420255236774E-3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1.5224215336949128E-3</v>
      </c>
      <c r="J1404" s="1" cm="1">
        <f t="array" ref="J1404">SUMPRODUCT(("T_B_c-BEVELC-S3"=[1]OUT_TransportEnergyCons!$A$3:$A$1000)*1,("Var_Fin"=[1]OUT_TransportEnergyCons!$B$3:$B$1000)*1,ISNUMBER(SEARCH("ELC",[1]OUT_TransportEnergyCons!$C$3:$C$1000))*1,[1]OUT_TransportEnergyCons!H$3:H$1000)</f>
        <v>3.0973740197521222E-3</v>
      </c>
      <c r="K1404" s="1" cm="1">
        <f t="array" ref="K1404">SUMPRODUCT(("T_B_c-BEVELC-S3"=[1]OUT_TransportEnergyCons!$A$3:$A$1000)*1,("Var_Fin"=[1]OUT_TransportEnergyCons!$B$3:$B$1000)*1,ISNUMBER(SEARCH("ELC",[1]OUT_TransportEnergyCons!$C$3:$C$1000))*1,[1]OUT_TransportEnergyCons!I$3:I$1000)</f>
        <v>4.8989885951052333E-3</v>
      </c>
      <c r="L1404" s="1" cm="1">
        <f t="array" ref="L1404">SUMPRODUCT(("T_B_c-BEVELC-S3"=[1]OUT_TransportEnergyCons!$A$3:$A$1000)*1,("Var_Fin"=[1]OUT_TransportEnergyCons!$B$3:$B$1000)*1,ISNUMBER(SEARCH("ELC",[1]OUT_TransportEnergyCons!$C$3:$C$1000))*1,[1]OUT_TransportEnergyCons!J$3:J$1000)</f>
        <v>6.5038687070681483E-3</v>
      </c>
      <c r="M1404" s="1" cm="1">
        <f t="array" ref="M1404">SUMPRODUCT(("T_B_c-BEVELC-S3"=[1]OUT_TransportEnergyCons!$A$3:$A$1000)*1,("Var_Fin"=[1]OUT_TransportEnergyCons!$B$3:$B$1000)*1,ISNUMBER(SEARCH("ELC",[1]OUT_TransportEnergyCons!$C$3:$C$1000))*1,[1]OUT_TransportEnergyCons!K$3:K$1000)</f>
        <v>8.8862834802946374E-3</v>
      </c>
      <c r="N1404" s="1" cm="1">
        <f t="array" ref="N1404">SUMPRODUCT(("T_B_c-BEVELC-S3"=[1]OUT_TransportEnergyCons!$A$3:$A$1000)*1,("Var_Fin"=[1]OUT_TransportEnergyCons!$B$3:$B$1000)*1,ISNUMBER(SEARCH("ELC",[1]OUT_TransportEnergyCons!$C$3:$C$1000))*1,[1]OUT_TransportEnergyCons!L$3:L$1000)</f>
        <v>1.0088964455793584E-2</v>
      </c>
      <c r="O1404" s="1" cm="1">
        <f t="array" ref="O1404">SUMPRODUCT(("T_B_c-BEVELC-S3"=[1]OUT_TransportEnergyCons!$A$3:$A$1000)*1,("Var_Fin"=[1]OUT_TransportEnergyCons!$B$3:$B$1000)*1,ISNUMBER(SEARCH("ELC",[1]OUT_TransportEnergyCons!$C$3:$C$1000))*1,[1]OUT_TransportEnergyCons!M$3:M$1000)</f>
        <v>1.4540096044465812E-2</v>
      </c>
      <c r="P1404" s="1" cm="1">
        <f t="array" ref="P1404">SUMPRODUCT(("T_B_c-BEVELC-S3"=[1]OUT_TransportEnergyCons!$A$3:$A$1000)*1,("Var_Fin"=[1]OUT_TransportEnergyCons!$B$3:$B$1000)*1,ISNUMBER(SEARCH("ELC",[1]OUT_TransportEnergyCons!$C$3:$C$1000))*1,[1]OUT_TransportEnergyCons!N$3:N$1000)</f>
        <v>1.9822809864013066E-2</v>
      </c>
      <c r="Q1404" s="1" cm="1">
        <f t="array" ref="Q1404">SUMPRODUCT(("T_B_c-BEVELC-S3"=[1]OUT_TransportEnergyCons!$A$3:$A$1000)*1,("Var_Fin"=[1]OUT_TransportEnergyCons!$B$3:$B$1000)*1,ISNUMBER(SEARCH("ELC",[1]OUT_TransportEnergyCons!$C$3:$C$1000))*1,[1]OUT_TransportEnergyCons!O$3:O$1000)</f>
        <v>3.2761824792137739E-2</v>
      </c>
      <c r="S1404" s="3"/>
    </row>
    <row r="1405" spans="2:19" x14ac:dyDescent="0.5">
      <c r="B1405" s="5" t="str">
        <f t="shared" si="1571"/>
        <v>SPS1</v>
      </c>
      <c r="C1405" s="5" t="str">
        <f t="shared" si="1572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1.4315847026417247E-4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3.0558961097747666E-4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2.8577347947488776E-4</v>
      </c>
      <c r="J1405" s="1" cm="1">
        <f t="array" ref="J1405">SUMPRODUCT(("T_B_c-BEVELC-S4"=[1]OUT_TransportEnergyCons!$A$3:$A$1000)*1,("Var_Fin"=[1]OUT_TransportEnergyCons!$B$3:$B$1000)*1,ISNUMBER(SEARCH("ELC",[1]OUT_TransportEnergyCons!$C$3:$C$1000))*1,[1]OUT_TransportEnergyCons!H$3:H$1000)</f>
        <v>3.0420841780999709E-4</v>
      </c>
      <c r="K1405" s="1" cm="1">
        <f t="array" ref="K1405">SUMPRODUCT(("T_B_c-BEVELC-S4"=[1]OUT_TransportEnergyCons!$A$3:$A$1000)*1,("Var_Fin"=[1]OUT_TransportEnergyCons!$B$3:$B$1000)*1,ISNUMBER(SEARCH("ELC",[1]OUT_TransportEnergyCons!$C$3:$C$1000))*1,[1]OUT_TransportEnergyCons!I$3:I$1000)</f>
        <v>4.5257876545676061E-4</v>
      </c>
      <c r="L1405" s="1" cm="1">
        <f t="array" ref="L1405">SUMPRODUCT(("T_B_c-BEVELC-S4"=[1]OUT_TransportEnergyCons!$A$3:$A$1000)*1,("Var_Fin"=[1]OUT_TransportEnergyCons!$B$3:$B$1000)*1,ISNUMBER(SEARCH("ELC",[1]OUT_TransportEnergyCons!$C$3:$C$1000))*1,[1]OUT_TransportEnergyCons!J$3:J$1000)</f>
        <v>4.0040462951452101E-4</v>
      </c>
      <c r="M1405" s="1" cm="1">
        <f t="array" ref="M1405">SUMPRODUCT(("T_B_c-BEVELC-S4"=[1]OUT_TransportEnergyCons!$A$3:$A$1000)*1,("Var_Fin"=[1]OUT_TransportEnergyCons!$B$3:$B$1000)*1,ISNUMBER(SEARCH("ELC",[1]OUT_TransportEnergyCons!$C$3:$C$1000))*1,[1]OUT_TransportEnergyCons!K$3:K$1000)</f>
        <v>5.2969134754951824E-4</v>
      </c>
      <c r="N1405" s="1" cm="1">
        <f t="array" ref="N1405">SUMPRODUCT(("T_B_c-BEVELC-S4"=[1]OUT_TransportEnergyCons!$A$3:$A$1000)*1,("Var_Fin"=[1]OUT_TransportEnergyCons!$B$3:$B$1000)*1,ISNUMBER(SEARCH("ELC",[1]OUT_TransportEnergyCons!$C$3:$C$1000))*1,[1]OUT_TransportEnergyCons!L$3:L$1000)</f>
        <v>5.1589029857915724E-4</v>
      </c>
      <c r="O1405" s="1" cm="1">
        <f t="array" ref="O1405">SUMPRODUCT(("T_B_c-BEVELC-S4"=[1]OUT_TransportEnergyCons!$A$3:$A$1000)*1,("Var_Fin"=[1]OUT_TransportEnergyCons!$B$3:$B$1000)*1,ISNUMBER(SEARCH("ELC",[1]OUT_TransportEnergyCons!$C$3:$C$1000))*1,[1]OUT_TransportEnergyCons!M$3:M$1000)</f>
        <v>5.055181527608793E-4</v>
      </c>
      <c r="P1405" s="1" cm="1">
        <f t="array" ref="P1405">SUMPRODUCT(("T_B_c-BEVELC-S4"=[1]OUT_TransportEnergyCons!$A$3:$A$1000)*1,("Var_Fin"=[1]OUT_TransportEnergyCons!$B$3:$B$1000)*1,ISNUMBER(SEARCH("ELC",[1]OUT_TransportEnergyCons!$C$3:$C$1000))*1,[1]OUT_TransportEnergyCons!N$3:N$1000)</f>
        <v>7.0672164767327016E-4</v>
      </c>
      <c r="Q1405" s="1" cm="1">
        <f t="array" ref="Q1405">SUMPRODUCT(("T_B_c-BEVELC-S4"=[1]OUT_TransportEnergyCons!$A$3:$A$1000)*1,("Var_Fin"=[1]OUT_TransportEnergyCons!$B$3:$B$1000)*1,ISNUMBER(SEARCH("ELC",[1]OUT_TransportEnergyCons!$C$3:$C$1000))*1,[1]OUT_TransportEnergyCons!O$3:O$1000)</f>
        <v>9.1813603037874472E-4</v>
      </c>
      <c r="S1405" s="3"/>
    </row>
    <row r="1406" spans="2:19" x14ac:dyDescent="0.5">
      <c r="B1406" s="5" t="str">
        <f t="shared" si="1571"/>
        <v>SPS1</v>
      </c>
      <c r="C1406" s="5" t="str">
        <f t="shared" si="1572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573">SUM(G1407:G1410)</f>
        <v>0</v>
      </c>
      <c r="H1406" s="1">
        <f t="shared" ref="H1406" si="1574">SUM(H1407:H1410)</f>
        <v>0</v>
      </c>
      <c r="I1406" s="1">
        <f t="shared" ref="I1406" si="1575">SUM(I1407:I1410)</f>
        <v>7.7663740875511046E-7</v>
      </c>
      <c r="J1406" s="1">
        <f t="shared" ref="J1406" si="1576">SUM(J1407:J1410)</f>
        <v>0</v>
      </c>
      <c r="K1406" s="1">
        <f t="shared" ref="K1406" si="1577">SUM(K1407:K1410)</f>
        <v>0</v>
      </c>
      <c r="L1406" s="1">
        <f t="shared" ref="L1406:O1406" si="1578">SUM(L1407:L1410)</f>
        <v>0</v>
      </c>
      <c r="M1406" s="1">
        <f t="shared" si="1578"/>
        <v>0</v>
      </c>
      <c r="N1406" s="1">
        <f t="shared" si="1578"/>
        <v>0</v>
      </c>
      <c r="O1406" s="1">
        <f t="shared" si="1578"/>
        <v>0</v>
      </c>
      <c r="P1406" s="1">
        <f>SUM(P1407:P1410)</f>
        <v>0</v>
      </c>
      <c r="Q1406" s="1">
        <f>SUM(Q1407:Q1410)</f>
        <v>0</v>
      </c>
      <c r="S1406" s="3"/>
    </row>
    <row r="1407" spans="2:19" x14ac:dyDescent="0.5">
      <c r="B1407" s="5" t="str">
        <f t="shared" si="1571"/>
        <v>SPS1</v>
      </c>
      <c r="C1407" s="5" t="str">
        <f t="shared" si="1572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SUMPRODUCT(("T_B_c-FCLH2O-S1"=[1]OUT_TransportEnergyCons!$A$3:$A$1000)*1,("Var_Fin"=[1]OUT_TransportEnergyCons!$B$3:$B$1000)*1,ISNUMBER(SEARCH("H2",[1]OUT_TransportEnergyCons!$C$3:$C$1000))*1,[1]OUT_TransportEnergyCons!H$3:H$1000)</f>
        <v>0</v>
      </c>
      <c r="K1407" s="1" cm="1">
        <f t="array" ref="K1407">SUMPRODUCT(("T_B_c-FCLH2O-S1"=[1]OUT_TransportEnergyCons!$A$3:$A$1000)*1,("Var_Fin"=[1]OUT_TransportEnergyCons!$B$3:$B$1000)*1,ISNUMBER(SEARCH("H2",[1]OUT_TransportEnergyCons!$C$3:$C$1000))*1,[1]OUT_TransportEnergyCons!I$3:I$1000)</f>
        <v>0</v>
      </c>
      <c r="L1407" s="1" cm="1">
        <f t="array" ref="L1407">SUMPRODUCT(("T_B_c-FCLH2O-S1"=[1]OUT_TransportEnergyCons!$A$3:$A$1000)*1,("Var_Fin"=[1]OUT_TransportEnergyCons!$B$3:$B$1000)*1,ISNUMBER(SEARCH("H2",[1]OUT_TransportEnergyCons!$C$3:$C$1000))*1,[1]OUT_TransportEnergyCons!J$3:J$1000)</f>
        <v>0</v>
      </c>
      <c r="M1407" s="1" cm="1">
        <f t="array" ref="M1407">SUMPRODUCT(("T_B_c-FCLH2O-S1"=[1]OUT_TransportEnergyCons!$A$3:$A$1000)*1,("Var_Fin"=[1]OUT_TransportEnergyCons!$B$3:$B$1000)*1,ISNUMBER(SEARCH("H2",[1]OUT_TransportEnergyCons!$C$3:$C$1000))*1,[1]OUT_TransportEnergyCons!K$3:K$1000)</f>
        <v>0</v>
      </c>
      <c r="N1407" s="1" cm="1">
        <f t="array" ref="N1407">SUMPRODUCT(("T_B_c-FCLH2O-S1"=[1]OUT_TransportEnergyCons!$A$3:$A$1000)*1,("Var_Fin"=[1]OUT_TransportEnergyCons!$B$3:$B$1000)*1,ISNUMBER(SEARCH("H2",[1]OUT_TransportEnergyCons!$C$3:$C$1000))*1,[1]OUT_TransportEnergyCons!L$3:L$1000)</f>
        <v>0</v>
      </c>
      <c r="O1407" s="1" cm="1">
        <f t="array" ref="O1407">SUMPRODUCT(("T_B_c-FCLH2O-S1"=[1]OUT_TransportEnergyCons!$A$3:$A$1000)*1,("Var_Fin"=[1]OUT_TransportEnergyCons!$B$3:$B$1000)*1,ISNUMBER(SEARCH("H2",[1]OUT_TransportEnergyCons!$C$3:$C$1000))*1,[1]OUT_TransportEnergyCons!M$3:M$1000)</f>
        <v>0</v>
      </c>
      <c r="P1407" s="1" cm="1">
        <f t="array" ref="P1407">SUMPRODUCT(("T_B_c-FCLH2O-S1"=[1]OUT_TransportEnergyCons!$A$3:$A$1000)*1,("Var_Fin"=[1]OUT_TransportEnergyCons!$B$3:$B$1000)*1,ISNUMBER(SEARCH("H2",[1]OUT_TransportEnergyCons!$C$3:$C$1000))*1,[1]OUT_TransportEnergyCons!N$3:N$1000)</f>
        <v>0</v>
      </c>
      <c r="Q1407" s="1" cm="1">
        <f t="array" ref="Q1407">SUMPRODUCT(("T_B_c-FCLH2O-S1"=[1]OUT_TransportEnergyCons!$A$3:$A$1000)*1,("Var_Fin"=[1]OUT_TransportEnergyCons!$B$3:$B$1000)*1,ISNUMBER(SEARCH("H2",[1]OUT_TransportEnergyCons!$C$3:$C$1000))*1,[1]OUT_TransportEnergyCons!O$3:O$1000)</f>
        <v>0</v>
      </c>
      <c r="S1407" s="3"/>
    </row>
    <row r="1408" spans="2:19" x14ac:dyDescent="0.5">
      <c r="B1408" s="5" t="str">
        <f t="shared" si="1571"/>
        <v>SPS1</v>
      </c>
      <c r="C1408" s="5" t="str">
        <f t="shared" si="1572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SUMPRODUCT(("T_B_c-FCLH2O-S2"=[1]OUT_TransportEnergyCons!$A$3:$A$1000)*1,("Var_Fin"=[1]OUT_TransportEnergyCons!$B$3:$B$1000)*1,ISNUMBER(SEARCH("H2",[1]OUT_TransportEnergyCons!$C$3:$C$1000))*1,[1]OUT_TransportEnergyCons!H$3:H$1000)</f>
        <v>0</v>
      </c>
      <c r="K1408" s="1" cm="1">
        <f t="array" ref="K1408">SUMPRODUCT(("T_B_c-FCLH2O-S2"=[1]OUT_TransportEnergyCons!$A$3:$A$1000)*1,("Var_Fin"=[1]OUT_TransportEnergyCons!$B$3:$B$1000)*1,ISNUMBER(SEARCH("H2",[1]OUT_TransportEnergyCons!$C$3:$C$1000))*1,[1]OUT_TransportEnergyCons!I$3:I$1000)</f>
        <v>0</v>
      </c>
      <c r="L1408" s="1" cm="1">
        <f t="array" ref="L1408">SUMPRODUCT(("T_B_c-FCLH2O-S2"=[1]OUT_TransportEnergyCons!$A$3:$A$1000)*1,("Var_Fin"=[1]OUT_TransportEnergyCons!$B$3:$B$1000)*1,ISNUMBER(SEARCH("H2",[1]OUT_TransportEnergyCons!$C$3:$C$1000))*1,[1]OUT_TransportEnergyCons!J$3:J$1000)</f>
        <v>0</v>
      </c>
      <c r="M1408" s="1" cm="1">
        <f t="array" ref="M1408">SUMPRODUCT(("T_B_c-FCLH2O-S2"=[1]OUT_TransportEnergyCons!$A$3:$A$1000)*1,("Var_Fin"=[1]OUT_TransportEnergyCons!$B$3:$B$1000)*1,ISNUMBER(SEARCH("H2",[1]OUT_TransportEnergyCons!$C$3:$C$1000))*1,[1]OUT_TransportEnergyCons!K$3:K$1000)</f>
        <v>0</v>
      </c>
      <c r="N1408" s="1" cm="1">
        <f t="array" ref="N1408">SUMPRODUCT(("T_B_c-FCLH2O-S2"=[1]OUT_TransportEnergyCons!$A$3:$A$1000)*1,("Var_Fin"=[1]OUT_TransportEnergyCons!$B$3:$B$1000)*1,ISNUMBER(SEARCH("H2",[1]OUT_TransportEnergyCons!$C$3:$C$1000))*1,[1]OUT_TransportEnergyCons!L$3:L$1000)</f>
        <v>0</v>
      </c>
      <c r="O1408" s="1" cm="1">
        <f t="array" ref="O1408">SUMPRODUCT(("T_B_c-FCLH2O-S2"=[1]OUT_TransportEnergyCons!$A$3:$A$1000)*1,("Var_Fin"=[1]OUT_TransportEnergyCons!$B$3:$B$1000)*1,ISNUMBER(SEARCH("H2",[1]OUT_TransportEnergyCons!$C$3:$C$1000))*1,[1]OUT_TransportEnergyCons!M$3:M$1000)</f>
        <v>0</v>
      </c>
      <c r="P1408" s="1" cm="1">
        <f t="array" ref="P1408">SUMPRODUCT(("T_B_c-FCLH2O-S2"=[1]OUT_TransportEnergyCons!$A$3:$A$1000)*1,("Var_Fin"=[1]OUT_TransportEnergyCons!$B$3:$B$1000)*1,ISNUMBER(SEARCH("H2",[1]OUT_TransportEnergyCons!$C$3:$C$1000))*1,[1]OUT_TransportEnergyCons!N$3:N$1000)</f>
        <v>0</v>
      </c>
      <c r="Q1408" s="1" cm="1">
        <f t="array" ref="Q1408">SUMPRODUCT(("T_B_c-FCLH2O-S2"=[1]OUT_TransportEnergyCons!$A$3:$A$1000)*1,("Var_Fin"=[1]OUT_TransportEnergyCons!$B$3:$B$1000)*1,ISNUMBER(SEARCH("H2",[1]OUT_TransportEnergyCons!$C$3:$C$1000))*1,[1]OUT_TransportEnergyCons!O$3:O$1000)</f>
        <v>0</v>
      </c>
      <c r="S1408" s="3"/>
    </row>
    <row r="1409" spans="2:19" x14ac:dyDescent="0.5">
      <c r="B1409" s="5" t="str">
        <f t="shared" si="1571"/>
        <v>SPS1</v>
      </c>
      <c r="C1409" s="5" t="str">
        <f t="shared" si="1572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7.7663740875511046E-7</v>
      </c>
      <c r="J1409" s="1" cm="1">
        <f t="array" ref="J1409">SUMPRODUCT(("T_B_c-FCLH2O-S3"=[1]OUT_TransportEnergyCons!$A$3:$A$1000)*1,("Var_Fin"=[1]OUT_TransportEnergyCons!$B$3:$B$1000)*1,ISNUMBER(SEARCH("H2",[1]OUT_TransportEnergyCons!$C$3:$C$1000))*1,[1]OUT_TransportEnergyCons!H$3:H$1000)</f>
        <v>0</v>
      </c>
      <c r="K1409" s="1" cm="1">
        <f t="array" ref="K1409">SUMPRODUCT(("T_B_c-FCLH2O-S3"=[1]OUT_TransportEnergyCons!$A$3:$A$1000)*1,("Var_Fin"=[1]OUT_TransportEnergyCons!$B$3:$B$1000)*1,ISNUMBER(SEARCH("H2",[1]OUT_TransportEnergyCons!$C$3:$C$1000))*1,[1]OUT_TransportEnergyCons!I$3:I$1000)</f>
        <v>0</v>
      </c>
      <c r="L1409" s="1" cm="1">
        <f t="array" ref="L1409">SUMPRODUCT(("T_B_c-FCLH2O-S3"=[1]OUT_TransportEnergyCons!$A$3:$A$1000)*1,("Var_Fin"=[1]OUT_TransportEnergyCons!$B$3:$B$1000)*1,ISNUMBER(SEARCH("H2",[1]OUT_TransportEnergyCons!$C$3:$C$1000))*1,[1]OUT_TransportEnergyCons!J$3:J$1000)</f>
        <v>0</v>
      </c>
      <c r="M1409" s="1" cm="1">
        <f t="array" ref="M1409">SUMPRODUCT(("T_B_c-FCLH2O-S3"=[1]OUT_TransportEnergyCons!$A$3:$A$1000)*1,("Var_Fin"=[1]OUT_TransportEnergyCons!$B$3:$B$1000)*1,ISNUMBER(SEARCH("H2",[1]OUT_TransportEnergyCons!$C$3:$C$1000))*1,[1]OUT_TransportEnergyCons!K$3:K$1000)</f>
        <v>0</v>
      </c>
      <c r="N1409" s="1" cm="1">
        <f t="array" ref="N1409">SUMPRODUCT(("T_B_c-FCLH2O-S3"=[1]OUT_TransportEnergyCons!$A$3:$A$1000)*1,("Var_Fin"=[1]OUT_TransportEnergyCons!$B$3:$B$1000)*1,ISNUMBER(SEARCH("H2",[1]OUT_TransportEnergyCons!$C$3:$C$1000))*1,[1]OUT_TransportEnergyCons!L$3:L$1000)</f>
        <v>0</v>
      </c>
      <c r="O1409" s="1" cm="1">
        <f t="array" ref="O1409">SUMPRODUCT(("T_B_c-FCLH2O-S3"=[1]OUT_TransportEnergyCons!$A$3:$A$1000)*1,("Var_Fin"=[1]OUT_TransportEnergyCons!$B$3:$B$1000)*1,ISNUMBER(SEARCH("H2",[1]OUT_TransportEnergyCons!$C$3:$C$1000))*1,[1]OUT_TransportEnergyCons!M$3:M$1000)</f>
        <v>0</v>
      </c>
      <c r="P1409" s="1" cm="1">
        <f t="array" ref="P1409">SUMPRODUCT(("T_B_c-FCLH2O-S3"=[1]OUT_TransportEnergyCons!$A$3:$A$1000)*1,("Var_Fin"=[1]OUT_TransportEnergyCons!$B$3:$B$1000)*1,ISNUMBER(SEARCH("H2",[1]OUT_TransportEnergyCons!$C$3:$C$1000))*1,[1]OUT_TransportEnergyCons!N$3:N$1000)</f>
        <v>0</v>
      </c>
      <c r="Q1409" s="1" cm="1">
        <f t="array" ref="Q1409">SUMPRODUCT(("T_B_c-FCLH2O-S3"=[1]OUT_TransportEnergyCons!$A$3:$A$1000)*1,("Var_Fin"=[1]OUT_TransportEnergyCons!$B$3:$B$1000)*1,ISNUMBER(SEARCH("H2",[1]OUT_TransportEnergyCons!$C$3:$C$1000))*1,[1]OUT_TransportEnergyCons!O$3:O$1000)</f>
        <v>0</v>
      </c>
      <c r="S1409" s="3"/>
    </row>
    <row r="1410" spans="2:19" x14ac:dyDescent="0.5">
      <c r="B1410" s="5" t="str">
        <f t="shared" si="1571"/>
        <v>SPS1</v>
      </c>
      <c r="C1410" s="5" t="str">
        <f t="shared" si="1572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SUMPRODUCT(("T_B_c-FCLH2O-S4"=[1]OUT_TransportEnergyCons!$A$3:$A$1000)*1,("Var_Fin"=[1]OUT_TransportEnergyCons!$B$3:$B$1000)*1,ISNUMBER(SEARCH("H2",[1]OUT_TransportEnergyCons!$C$3:$C$1000))*1,[1]OUT_TransportEnergyCons!H$3:H$1000)</f>
        <v>0</v>
      </c>
      <c r="K1410" s="1" cm="1">
        <f t="array" ref="K1410">SUMPRODUCT(("T_B_c-FCLH2O-S4"=[1]OUT_TransportEnergyCons!$A$3:$A$1000)*1,("Var_Fin"=[1]OUT_TransportEnergyCons!$B$3:$B$1000)*1,ISNUMBER(SEARCH("H2",[1]OUT_TransportEnergyCons!$C$3:$C$1000))*1,[1]OUT_TransportEnergyCons!I$3:I$1000)</f>
        <v>0</v>
      </c>
      <c r="L1410" s="1" cm="1">
        <f t="array" ref="L1410">SUMPRODUCT(("T_B_c-FCLH2O-S4"=[1]OUT_TransportEnergyCons!$A$3:$A$1000)*1,("Var_Fin"=[1]OUT_TransportEnergyCons!$B$3:$B$1000)*1,ISNUMBER(SEARCH("H2",[1]OUT_TransportEnergyCons!$C$3:$C$1000))*1,[1]OUT_TransportEnergyCons!J$3:J$1000)</f>
        <v>0</v>
      </c>
      <c r="M1410" s="1" cm="1">
        <f t="array" ref="M1410">SUMPRODUCT(("T_B_c-FCLH2O-S4"=[1]OUT_TransportEnergyCons!$A$3:$A$1000)*1,("Var_Fin"=[1]OUT_TransportEnergyCons!$B$3:$B$1000)*1,ISNUMBER(SEARCH("H2",[1]OUT_TransportEnergyCons!$C$3:$C$1000))*1,[1]OUT_TransportEnergyCons!K$3:K$1000)</f>
        <v>0</v>
      </c>
      <c r="N1410" s="1" cm="1">
        <f t="array" ref="N1410">SUMPRODUCT(("T_B_c-FCLH2O-S4"=[1]OUT_TransportEnergyCons!$A$3:$A$1000)*1,("Var_Fin"=[1]OUT_TransportEnergyCons!$B$3:$B$1000)*1,ISNUMBER(SEARCH("H2",[1]OUT_TransportEnergyCons!$C$3:$C$1000))*1,[1]OUT_TransportEnergyCons!L$3:L$1000)</f>
        <v>0</v>
      </c>
      <c r="O1410" s="1" cm="1">
        <f t="array" ref="O1410">SUMPRODUCT(("T_B_c-FCLH2O-S4"=[1]OUT_TransportEnergyCons!$A$3:$A$1000)*1,("Var_Fin"=[1]OUT_TransportEnergyCons!$B$3:$B$1000)*1,ISNUMBER(SEARCH("H2",[1]OUT_TransportEnergyCons!$C$3:$C$1000))*1,[1]OUT_TransportEnergyCons!M$3:M$1000)</f>
        <v>0</v>
      </c>
      <c r="P1410" s="1" cm="1">
        <f t="array" ref="P1410">SUMPRODUCT(("T_B_c-FCLH2O-S4"=[1]OUT_TransportEnergyCons!$A$3:$A$1000)*1,("Var_Fin"=[1]OUT_TransportEnergyCons!$B$3:$B$1000)*1,ISNUMBER(SEARCH("H2",[1]OUT_TransportEnergyCons!$C$3:$C$1000))*1,[1]OUT_TransportEnergyCons!N$3:N$1000)</f>
        <v>0</v>
      </c>
      <c r="Q1410" s="1" cm="1">
        <f t="array" ref="Q1410">SUMPRODUCT(("T_B_c-FCLH2O-S4"=[1]OUT_TransportEnergyCons!$A$3:$A$1000)*1,("Var_Fin"=[1]OUT_TransportEnergyCons!$B$3:$B$1000)*1,ISNUMBER(SEARCH("H2",[1]OUT_TransportEnergyCons!$C$3:$C$1000))*1,[1]OUT_TransportEnergyCons!O$3:O$1000)</f>
        <v>0</v>
      </c>
      <c r="S1410" s="3"/>
    </row>
    <row r="1411" spans="2:19" x14ac:dyDescent="0.5">
      <c r="B1411" s="5" t="str">
        <f t="shared" si="1571"/>
        <v>SPS1</v>
      </c>
      <c r="C1411" s="5" t="str">
        <f t="shared" si="1572"/>
        <v>CH</v>
      </c>
      <c r="D1411" t="s">
        <v>1406</v>
      </c>
      <c r="E1411" t="s">
        <v>8</v>
      </c>
      <c r="F1411" s="1">
        <f>SUM(F1416:F1424)</f>
        <v>0.81297578463626952</v>
      </c>
      <c r="G1411" s="1">
        <f t="shared" ref="G1411:K1411" si="1579">SUM(G1416:G1424)</f>
        <v>0.84209986755006261</v>
      </c>
      <c r="H1411" s="1">
        <f t="shared" si="1579"/>
        <v>1.0094020084821487</v>
      </c>
      <c r="I1411" s="1">
        <f t="shared" si="1579"/>
        <v>0.36568611717036825</v>
      </c>
      <c r="J1411" s="1">
        <f t="shared" si="1579"/>
        <v>0.35519431322981471</v>
      </c>
      <c r="K1411" s="1">
        <f t="shared" si="1579"/>
        <v>0.32581548197028354</v>
      </c>
      <c r="L1411" s="1">
        <f t="shared" ref="L1411:O1411" si="1580">SUM(L1416:L1424)</f>
        <v>0.31403176261884835</v>
      </c>
      <c r="M1411" s="1">
        <f t="shared" si="1580"/>
        <v>0.29438274881812598</v>
      </c>
      <c r="N1411" s="1">
        <f t="shared" si="1580"/>
        <v>0.30905181441469576</v>
      </c>
      <c r="O1411" s="1">
        <f t="shared" si="1580"/>
        <v>0.32650693632232247</v>
      </c>
      <c r="P1411" s="1">
        <f>SUM(P1416:P1424)</f>
        <v>0.34749544013182443</v>
      </c>
      <c r="Q1411" s="1">
        <f>SUM(Q1416:Q1424)</f>
        <v>0.35447565457139496</v>
      </c>
      <c r="S1411" s="3"/>
    </row>
    <row r="1412" spans="2:19" x14ac:dyDescent="0.5">
      <c r="B1412" s="5" t="str">
        <f t="shared" si="1571"/>
        <v>SPS1</v>
      </c>
      <c r="C1412" s="5" t="str">
        <f t="shared" si="1572"/>
        <v>CH</v>
      </c>
      <c r="D1412" t="s">
        <v>1407</v>
      </c>
      <c r="E1412" t="s">
        <v>8</v>
      </c>
      <c r="F1412" s="1">
        <f>IF(F1411-F1413&lt;0,0,F1411-F1413)</f>
        <v>0.79276820720049501</v>
      </c>
      <c r="G1412" s="1">
        <f t="shared" ref="G1412:K1412" si="1581">IF(G1411-G1413&lt;0,0,G1411-G1413)</f>
        <v>0.82006367374738198</v>
      </c>
      <c r="H1412" s="1">
        <f t="shared" si="1581"/>
        <v>0.96415213555745738</v>
      </c>
      <c r="I1412" s="1">
        <f t="shared" si="1581"/>
        <v>0.35368106190926035</v>
      </c>
      <c r="J1412" s="1">
        <f t="shared" si="1581"/>
        <v>0.34267401193638541</v>
      </c>
      <c r="K1412" s="1">
        <f t="shared" si="1581"/>
        <v>0.31309397170968334</v>
      </c>
      <c r="L1412" s="1">
        <f t="shared" ref="L1412:O1412" si="1582">IF(L1411-L1413&lt;0,0,L1411-L1413)</f>
        <v>0.30163808698853817</v>
      </c>
      <c r="M1412" s="1">
        <f t="shared" si="1582"/>
        <v>0.2825869374845843</v>
      </c>
      <c r="N1412" s="1">
        <f t="shared" si="1582"/>
        <v>0.29653803315344496</v>
      </c>
      <c r="O1412" s="1">
        <f t="shared" si="1582"/>
        <v>0.31099480337323865</v>
      </c>
      <c r="P1412" s="1">
        <f>IF(P1411-P1413&lt;0,0,P1411-P1413)</f>
        <v>0.32747591195481157</v>
      </c>
      <c r="Q1412" s="1">
        <f>IF(Q1411-Q1413&lt;0,0,Q1411-Q1413)</f>
        <v>0.3328217325778659</v>
      </c>
      <c r="S1412" s="3"/>
    </row>
    <row r="1413" spans="2:19" x14ac:dyDescent="0.5">
      <c r="B1413" s="5" t="str">
        <f t="shared" si="1571"/>
        <v>SPS1</v>
      </c>
      <c r="C1413" s="5" t="str">
        <f t="shared" si="1572"/>
        <v>CH</v>
      </c>
      <c r="D1413" t="s">
        <v>1408</v>
      </c>
      <c r="E1413" t="s">
        <v>8</v>
      </c>
      <c r="F1413" s="1">
        <f>SUM(F1414:F1415)</f>
        <v>2.0207577435774518E-2</v>
      </c>
      <c r="G1413" s="1">
        <f t="shared" ref="G1413" si="1583">SUM(G1414:G1415)</f>
        <v>2.2036193802680588E-2</v>
      </c>
      <c r="H1413" s="1">
        <f t="shared" ref="H1413" si="1584">SUM(H1414:H1415)</f>
        <v>4.5249872924691334E-2</v>
      </c>
      <c r="I1413" s="1">
        <f t="shared" ref="I1413" si="1585">SUM(I1414:I1415)</f>
        <v>1.2005055261107893E-2</v>
      </c>
      <c r="J1413" s="1">
        <f t="shared" ref="J1413" si="1586">SUM(J1414:J1415)</f>
        <v>1.2520301293429292E-2</v>
      </c>
      <c r="K1413" s="1">
        <f t="shared" ref="K1413" si="1587">SUM(K1414:K1415)</f>
        <v>1.2721510260600219E-2</v>
      </c>
      <c r="L1413" s="1">
        <f t="shared" ref="L1413:O1413" si="1588">SUM(L1414:L1415)</f>
        <v>1.2393675630310174E-2</v>
      </c>
      <c r="M1413" s="1">
        <f t="shared" si="1588"/>
        <v>1.1795811333541706E-2</v>
      </c>
      <c r="N1413" s="1">
        <f t="shared" si="1588"/>
        <v>1.2513781261250793E-2</v>
      </c>
      <c r="O1413" s="1">
        <f t="shared" si="1588"/>
        <v>1.5512132949083822E-2</v>
      </c>
      <c r="P1413" s="1">
        <f>SUM(P1414:P1415)</f>
        <v>2.0019528177012882E-2</v>
      </c>
      <c r="Q1413" s="1">
        <f>SUM(Q1414:Q1415)</f>
        <v>2.1653921993529036E-2</v>
      </c>
      <c r="S1413" s="3"/>
    </row>
    <row r="1414" spans="2:19" x14ac:dyDescent="0.5">
      <c r="B1414" s="5" t="str">
        <f t="shared" si="1571"/>
        <v>SPS1</v>
      </c>
      <c r="C1414" s="5" t="str">
        <f t="shared" si="1572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2.0207577435774518E-2</v>
      </c>
      <c r="G1414" s="1">
        <f>[1]Transport!C$26/SUM([1]Transport!C$22,[1]Transport!C$26)*G1411*(G$34+G$582)/(G$34+G$582+G$38)</f>
        <v>2.2036193802680588E-2</v>
      </c>
      <c r="H1414" s="1">
        <f>[1]Transport!D$26/SUM([1]Transport!D$22,[1]Transport!D$26)*H1411*(H$34+H$582)/(H$34+H$582+H$38)</f>
        <v>4.5249872924691334E-2</v>
      </c>
      <c r="I1414" s="1">
        <f>[1]Transport!E$26/SUM([1]Transport!E$22,[1]Transport!E$26)*I1411*(I$34+I$582)/(I$34+I$582+I$38)</f>
        <v>1.2005055261107893E-2</v>
      </c>
      <c r="J1414" s="1">
        <f>[1]Transport!F$26/SUM([1]Transport!F$22,[1]Transport!F$26)*J1411*(J$34+J$582)/(J$34+J$582+J$38)</f>
        <v>1.2520301293429292E-2</v>
      </c>
      <c r="K1414" s="1">
        <f>[1]Transport!G$26/SUM([1]Transport!G$22,[1]Transport!G$26)*K1411*(K$34+K$582)/(K$34+K$582+K$38)</f>
        <v>1.2721510260600219E-2</v>
      </c>
      <c r="L1414" s="1">
        <f>[1]Transport!H$26/SUM([1]Transport!H$22,[1]Transport!H$26)*L1411*(L$34+L$582)/(L$34+L$582+L$38)</f>
        <v>1.2393675630310174E-2</v>
      </c>
      <c r="M1414" s="1">
        <f>[1]Transport!I$26/SUM([1]Transport!I$22,[1]Transport!I$26)*M1411*(M$34+M$582)/(M$34+M$582+M$38)</f>
        <v>1.1795811333541706E-2</v>
      </c>
      <c r="N1414" s="1">
        <f>[1]Transport!J$26/SUM([1]Transport!J$22,[1]Transport!J$26)*N1411*(N$34+N$582)/(N$34+N$582+N$38)</f>
        <v>1.2513781261250793E-2</v>
      </c>
      <c r="O1414" s="1">
        <f>[1]Transport!K$26/SUM([1]Transport!K$22,[1]Transport!K$26)*O1411*(O$34+O$582)/(O$34+O$582+O$38)</f>
        <v>1.5512132949083822E-2</v>
      </c>
      <c r="P1414" s="1">
        <f>[1]Transport!L$26/SUM([1]Transport!L$22,[1]Transport!L$26)*P1411*(P$34+P$582)/(P$34+P$582+P$38)</f>
        <v>2.0019528177012882E-2</v>
      </c>
      <c r="Q1414" s="1">
        <f>[1]Transport!M$26/SUM([1]Transport!M$22,[1]Transport!M$26)*Q1411*(Q$34+Q$582)/(Q$34+Q$582+Q$38)</f>
        <v>2.1653921993529036E-2</v>
      </c>
      <c r="S1414" s="3"/>
    </row>
    <row r="1415" spans="2:19" x14ac:dyDescent="0.5">
      <c r="B1415" s="5" t="str">
        <f t="shared" si="1571"/>
        <v>SPS1</v>
      </c>
      <c r="C1415" s="5" t="str">
        <f t="shared" si="1572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(J$38+J$718)/([1]Transport!F$22+[1]Transport!F$26)*J1411</f>
        <v>0</v>
      </c>
      <c r="K1415" s="1">
        <f>(K$38+K$718)/([1]Transport!G$22+[1]Transport!G$26)*K1411</f>
        <v>0</v>
      </c>
      <c r="L1415" s="1">
        <f>(L$38+L$718)/([1]Transport!H$22+[1]Transport!H$26)*L1411</f>
        <v>0</v>
      </c>
      <c r="M1415" s="1">
        <f>(M$38+M$718)/([1]Transport!I$22+[1]Transport!I$26)*M1411</f>
        <v>0</v>
      </c>
      <c r="N1415" s="1">
        <f>(N$38+N$718)/([1]Transport!J$22+[1]Transport!J$26)*N1411</f>
        <v>0</v>
      </c>
      <c r="O1415" s="1">
        <f>(O$38+O$718)/([1]Transport!K$22+[1]Transport!K$26)*O1411</f>
        <v>0</v>
      </c>
      <c r="P1415" s="1">
        <f>(P$38+P$718)/([1]Transport!L$22+[1]Transport!L$26)*P1411</f>
        <v>0</v>
      </c>
      <c r="Q1415" s="1">
        <f>(Q$38+Q$718)/([1]Transport!M$22+[1]Transport!M$26)*Q1411</f>
        <v>0</v>
      </c>
      <c r="S1415" s="3"/>
    </row>
    <row r="1416" spans="2:19" x14ac:dyDescent="0.5">
      <c r="B1416" s="5" t="str">
        <f t="shared" si="1571"/>
        <v>SPS1</v>
      </c>
      <c r="C1416" s="5" t="str">
        <f t="shared" si="1572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3.4581722283171458E-3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4.4300506629062278E-3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2.5008011938662572E-3</v>
      </c>
      <c r="J1416" s="1" cm="1">
        <f t="array" ref="J1416">SUMPRODUCT(("T_B_c-HYBDSL-S1"=[1]OUT_TransportEnergyCons!$A$3:$A$1000)*1,("Var_Fin"=[1]OUT_TransportEnergyCons!$B$3:$B$1000)*1,ISNUMBER(SEARCH("DSL",[1]OUT_TransportEnergyCons!$C$3:$C$1000))*1,[1]OUT_TransportEnergyCons!H$3:H$1000)</f>
        <v>1.2324860063819885E-2</v>
      </c>
      <c r="K1416" s="1" cm="1">
        <f t="array" ref="K1416">SUMPRODUCT(("T_B_c-HYBDSL-S1"=[1]OUT_TransportEnergyCons!$A$3:$A$1000)*1,("Var_Fin"=[1]OUT_TransportEnergyCons!$B$3:$B$1000)*1,ISNUMBER(SEARCH("DSL",[1]OUT_TransportEnergyCons!$C$3:$C$1000))*1,[1]OUT_TransportEnergyCons!I$3:I$1000)</f>
        <v>1.5041410629071666E-2</v>
      </c>
      <c r="L1416" s="1" cm="1">
        <f t="array" ref="L1416">SUMPRODUCT(("T_B_c-HYBDSL-S1"=[1]OUT_TransportEnergyCons!$A$3:$A$1000)*1,("Var_Fin"=[1]OUT_TransportEnergyCons!$B$3:$B$1000)*1,ISNUMBER(SEARCH("DSL",[1]OUT_TransportEnergyCons!$C$3:$C$1000))*1,[1]OUT_TransportEnergyCons!J$3:J$1000)</f>
        <v>2.4715869524257108E-2</v>
      </c>
      <c r="M1416" s="1" cm="1">
        <f t="array" ref="M1416">SUMPRODUCT(("T_B_c-HYBDSL-S1"=[1]OUT_TransportEnergyCons!$A$3:$A$1000)*1,("Var_Fin"=[1]OUT_TransportEnergyCons!$B$3:$B$1000)*1,ISNUMBER(SEARCH("DSL",[1]OUT_TransportEnergyCons!$C$3:$C$1000))*1,[1]OUT_TransportEnergyCons!K$3:K$1000)</f>
        <v>3.7845855337179178E-2</v>
      </c>
      <c r="N1416" s="1" cm="1">
        <f t="array" ref="N1416">SUMPRODUCT(("T_B_c-HYBDSL-S1"=[1]OUT_TransportEnergyCons!$A$3:$A$1000)*1,("Var_Fin"=[1]OUT_TransportEnergyCons!$B$3:$B$1000)*1,ISNUMBER(SEARCH("DSL",[1]OUT_TransportEnergyCons!$C$3:$C$1000))*1,[1]OUT_TransportEnergyCons!L$3:L$1000)</f>
        <v>4.8313410807605213E-2</v>
      </c>
      <c r="O1416" s="1" cm="1">
        <f t="array" ref="O1416">SUMPRODUCT(("T_B_c-HYBDSL-S1"=[1]OUT_TransportEnergyCons!$A$3:$A$1000)*1,("Var_Fin"=[1]OUT_TransportEnergyCons!$B$3:$B$1000)*1,ISNUMBER(SEARCH("DSL",[1]OUT_TransportEnergyCons!$C$3:$C$1000))*1,[1]OUT_TransportEnergyCons!M$3:M$1000)</f>
        <v>6.2147745707319277E-2</v>
      </c>
      <c r="P1416" s="1" cm="1">
        <f t="array" ref="P1416">SUMPRODUCT(("T_B_c-HYBDSL-S1"=[1]OUT_TransportEnergyCons!$A$3:$A$1000)*1,("Var_Fin"=[1]OUT_TransportEnergyCons!$B$3:$B$1000)*1,ISNUMBER(SEARCH("DSL",[1]OUT_TransportEnergyCons!$C$3:$C$1000))*1,[1]OUT_TransportEnergyCons!N$3:N$1000)</f>
        <v>6.3316135063300763E-2</v>
      </c>
      <c r="Q1416" s="1" cm="1">
        <f t="array" ref="Q1416">SUMPRODUCT(("T_B_c-HYBDSL-S1"=[1]OUT_TransportEnergyCons!$A$3:$A$1000)*1,("Var_Fin"=[1]OUT_TransportEnergyCons!$B$3:$B$1000)*1,ISNUMBER(SEARCH("DSL",[1]OUT_TransportEnergyCons!$C$3:$C$1000))*1,[1]OUT_TransportEnergyCons!O$3:O$1000)</f>
        <v>8.5352350612443395E-2</v>
      </c>
      <c r="S1416" s="3"/>
    </row>
    <row r="1417" spans="2:19" x14ac:dyDescent="0.5">
      <c r="B1417" s="5" t="str">
        <f t="shared" si="1571"/>
        <v>SPS1</v>
      </c>
      <c r="C1417" s="5" t="str">
        <f t="shared" si="1572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1.0739619023653101E-3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4.2369846152132441E-2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0.22757644744902036</v>
      </c>
      <c r="J1417" s="1" cm="1">
        <f t="array" ref="J1417">SUMPRODUCT(("T_B_c-HYBDSL-S2"=[1]OUT_TransportEnergyCons!$A$3:$A$1000)*1,("Var_Fin"=[1]OUT_TransportEnergyCons!$B$3:$B$1000)*1,ISNUMBER(SEARCH("DSL",[1]OUT_TransportEnergyCons!$C$3:$C$1000))*1,[1]OUT_TransportEnergyCons!H$3:H$1000)</f>
        <v>0.21378435432823584</v>
      </c>
      <c r="K1417" s="1" cm="1">
        <f t="array" ref="K1417">SUMPRODUCT(("T_B_c-HYBDSL-S2"=[1]OUT_TransportEnergyCons!$A$3:$A$1000)*1,("Var_Fin"=[1]OUT_TransportEnergyCons!$B$3:$B$1000)*1,ISNUMBER(SEARCH("DSL",[1]OUT_TransportEnergyCons!$C$3:$C$1000))*1,[1]OUT_TransportEnergyCons!I$3:I$1000)</f>
        <v>0.19572649510798704</v>
      </c>
      <c r="L1417" s="1" cm="1">
        <f t="array" ref="L1417">SUMPRODUCT(("T_B_c-HYBDSL-S2"=[1]OUT_TransportEnergyCons!$A$3:$A$1000)*1,("Var_Fin"=[1]OUT_TransportEnergyCons!$B$3:$B$1000)*1,ISNUMBER(SEARCH("DSL",[1]OUT_TransportEnergyCons!$C$3:$C$1000))*1,[1]OUT_TransportEnergyCons!J$3:J$1000)</f>
        <v>0.18150948496645128</v>
      </c>
      <c r="M1417" s="1" cm="1">
        <f t="array" ref="M1417">SUMPRODUCT(("T_B_c-HYBDSL-S2"=[1]OUT_TransportEnergyCons!$A$3:$A$1000)*1,("Var_Fin"=[1]OUT_TransportEnergyCons!$B$3:$B$1000)*1,ISNUMBER(SEARCH("DSL",[1]OUT_TransportEnergyCons!$C$3:$C$1000))*1,[1]OUT_TransportEnergyCons!K$3:K$1000)</f>
        <v>0.16182919113385597</v>
      </c>
      <c r="N1417" s="1" cm="1">
        <f t="array" ref="N1417">SUMPRODUCT(("T_B_c-HYBDSL-S2"=[1]OUT_TransportEnergyCons!$A$3:$A$1000)*1,("Var_Fin"=[1]OUT_TransportEnergyCons!$B$3:$B$1000)*1,ISNUMBER(SEARCH("DSL",[1]OUT_TransportEnergyCons!$C$3:$C$1000))*1,[1]OUT_TransportEnergyCons!L$3:L$1000)</f>
        <v>0.16687142029044191</v>
      </c>
      <c r="O1417" s="1" cm="1">
        <f t="array" ref="O1417">SUMPRODUCT(("T_B_c-HYBDSL-S2"=[1]OUT_TransportEnergyCons!$A$3:$A$1000)*1,("Var_Fin"=[1]OUT_TransportEnergyCons!$B$3:$B$1000)*1,ISNUMBER(SEARCH("DSL",[1]OUT_TransportEnergyCons!$C$3:$C$1000))*1,[1]OUT_TransportEnergyCons!M$3:M$1000)</f>
        <v>0.17810467577656888</v>
      </c>
      <c r="P1417" s="1" cm="1">
        <f t="array" ref="P1417">SUMPRODUCT(("T_B_c-HYBDSL-S2"=[1]OUT_TransportEnergyCons!$A$3:$A$1000)*1,("Var_Fin"=[1]OUT_TransportEnergyCons!$B$3:$B$1000)*1,ISNUMBER(SEARCH("DSL",[1]OUT_TransportEnergyCons!$C$3:$C$1000))*1,[1]OUT_TransportEnergyCons!N$3:N$1000)</f>
        <v>0.20712348568370342</v>
      </c>
      <c r="Q1417" s="1" cm="1">
        <f t="array" ref="Q1417">SUMPRODUCT(("T_B_c-HYBDSL-S2"=[1]OUT_TransportEnergyCons!$A$3:$A$1000)*1,("Var_Fin"=[1]OUT_TransportEnergyCons!$B$3:$B$1000)*1,ISNUMBER(SEARCH("DSL",[1]OUT_TransportEnergyCons!$C$3:$C$1000))*1,[1]OUT_TransportEnergyCons!O$3:O$1000)</f>
        <v>0.21990791131552601</v>
      </c>
      <c r="S1417" s="3"/>
    </row>
    <row r="1418" spans="2:19" x14ac:dyDescent="0.5">
      <c r="B1418" s="5" t="str">
        <f t="shared" si="1571"/>
        <v>SPS1</v>
      </c>
      <c r="C1418" s="5" t="str">
        <f t="shared" si="1572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6.8602219921123876E-4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7.6202062491591569E-3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0.13528244566778624</v>
      </c>
      <c r="J1418" s="1" cm="1">
        <f t="array" ref="J1418">SUMPRODUCT(("T_B_c-HYBDSL-S3"=[1]OUT_TransportEnergyCons!$A$3:$A$1000)*1,("Var_Fin"=[1]OUT_TransportEnergyCons!$B$3:$B$1000)*1,ISNUMBER(SEARCH("DSL",[1]OUT_TransportEnergyCons!$C$3:$C$1000))*1,[1]OUT_TransportEnergyCons!H$3:H$1000)</f>
        <v>0.12884593048928672</v>
      </c>
      <c r="K1418" s="1" cm="1">
        <f t="array" ref="K1418">SUMPRODUCT(("T_B_c-HYBDSL-S3"=[1]OUT_TransportEnergyCons!$A$3:$A$1000)*1,("Var_Fin"=[1]OUT_TransportEnergyCons!$B$3:$B$1000)*1,ISNUMBER(SEARCH("DSL",[1]OUT_TransportEnergyCons!$C$3:$C$1000))*1,[1]OUT_TransportEnergyCons!I$3:I$1000)</f>
        <v>0.11465881451276605</v>
      </c>
      <c r="L1418" s="1" cm="1">
        <f t="array" ref="L1418">SUMPRODUCT(("T_B_c-HYBDSL-S3"=[1]OUT_TransportEnergyCons!$A$3:$A$1000)*1,("Var_Fin"=[1]OUT_TransportEnergyCons!$B$3:$B$1000)*1,ISNUMBER(SEARCH("DSL",[1]OUT_TransportEnergyCons!$C$3:$C$1000))*1,[1]OUT_TransportEnergyCons!J$3:J$1000)</f>
        <v>0.1074523811410395</v>
      </c>
      <c r="M1418" s="1" cm="1">
        <f t="array" ref="M1418">SUMPRODUCT(("T_B_c-HYBDSL-S3"=[1]OUT_TransportEnergyCons!$A$3:$A$1000)*1,("Var_Fin"=[1]OUT_TransportEnergyCons!$B$3:$B$1000)*1,ISNUMBER(SEARCH("DSL",[1]OUT_TransportEnergyCons!$C$3:$C$1000))*1,[1]OUT_TransportEnergyCons!K$3:K$1000)</f>
        <v>9.4267837855813288E-2</v>
      </c>
      <c r="N1418" s="1" cm="1">
        <f t="array" ref="N1418">SUMPRODUCT(("T_B_c-HYBDSL-S3"=[1]OUT_TransportEnergyCons!$A$3:$A$1000)*1,("Var_Fin"=[1]OUT_TransportEnergyCons!$B$3:$B$1000)*1,ISNUMBER(SEARCH("DSL",[1]OUT_TransportEnergyCons!$C$3:$C$1000))*1,[1]OUT_TransportEnergyCons!L$3:L$1000)</f>
        <v>9.3377068671296873E-2</v>
      </c>
      <c r="O1418" s="1" cm="1">
        <f t="array" ref="O1418">SUMPRODUCT(("T_B_c-HYBDSL-S3"=[1]OUT_TransportEnergyCons!$A$3:$A$1000)*1,("Var_Fin"=[1]OUT_TransportEnergyCons!$B$3:$B$1000)*1,ISNUMBER(SEARCH("DSL",[1]OUT_TransportEnergyCons!$C$3:$C$1000))*1,[1]OUT_TransportEnergyCons!M$3:M$1000)</f>
        <v>8.5829156404706369E-2</v>
      </c>
      <c r="P1418" s="1" cm="1">
        <f t="array" ref="P1418">SUMPRODUCT(("T_B_c-HYBDSL-S3"=[1]OUT_TransportEnergyCons!$A$3:$A$1000)*1,("Var_Fin"=[1]OUT_TransportEnergyCons!$B$3:$B$1000)*1,ISNUMBER(SEARCH("DSL",[1]OUT_TransportEnergyCons!$C$3:$C$1000))*1,[1]OUT_TransportEnergyCons!N$3:N$1000)</f>
        <v>7.6429183975311343E-2</v>
      </c>
      <c r="Q1418" s="1" cm="1">
        <f t="array" ref="Q1418">SUMPRODUCT(("T_B_c-HYBDSL-S3"=[1]OUT_TransportEnergyCons!$A$3:$A$1000)*1,("Var_Fin"=[1]OUT_TransportEnergyCons!$B$3:$B$1000)*1,ISNUMBER(SEARCH("DSL",[1]OUT_TransportEnergyCons!$C$3:$C$1000))*1,[1]OUT_TransportEnergyCons!O$3:O$1000)</f>
        <v>4.8431695378812888E-2</v>
      </c>
      <c r="S1418" s="3"/>
    </row>
    <row r="1419" spans="2:19" x14ac:dyDescent="0.5">
      <c r="B1419" s="5" t="str">
        <f t="shared" si="1571"/>
        <v>SPS1</v>
      </c>
      <c r="C1419" s="5" t="str">
        <f t="shared" si="1572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1.9155969909539334E-4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3.5553414526252094E-4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3.2642285969542806E-4</v>
      </c>
      <c r="J1419" s="1" cm="1">
        <f t="array" ref="J1419">SUMPRODUCT(("T_B_c-HYBDSL-S4"=[1]OUT_TransportEnergyCons!$A$3:$A$1000)*1,("Var_Fin"=[1]OUT_TransportEnergyCons!$B$3:$B$1000)*1,ISNUMBER(SEARCH("DSL",[1]OUT_TransportEnergyCons!$C$3:$C$1000))*1,[1]OUT_TransportEnergyCons!H$3:H$1000)</f>
        <v>2.39168348472262E-4</v>
      </c>
      <c r="K1419" s="1" cm="1">
        <f t="array" ref="K1419">SUMPRODUCT(("T_B_c-HYBDSL-S4"=[1]OUT_TransportEnergyCons!$A$3:$A$1000)*1,("Var_Fin"=[1]OUT_TransportEnergyCons!$B$3:$B$1000)*1,ISNUMBER(SEARCH("DSL",[1]OUT_TransportEnergyCons!$C$3:$C$1000))*1,[1]OUT_TransportEnergyCons!I$3:I$1000)</f>
        <v>3.8876172045876432E-4</v>
      </c>
      <c r="L1419" s="1" cm="1">
        <f t="array" ref="L1419">SUMPRODUCT(("T_B_c-HYBDSL-S4"=[1]OUT_TransportEnergyCons!$A$3:$A$1000)*1,("Var_Fin"=[1]OUT_TransportEnergyCons!$B$3:$B$1000)*1,ISNUMBER(SEARCH("DSL",[1]OUT_TransportEnergyCons!$C$3:$C$1000))*1,[1]OUT_TransportEnergyCons!J$3:J$1000)</f>
        <v>3.5402698710047874E-4</v>
      </c>
      <c r="M1419" s="1" cm="1">
        <f t="array" ref="M1419">SUMPRODUCT(("T_B_c-HYBDSL-S4"=[1]OUT_TransportEnergyCons!$A$3:$A$1000)*1,("Var_Fin"=[1]OUT_TransportEnergyCons!$B$3:$B$1000)*1,ISNUMBER(SEARCH("DSL",[1]OUT_TransportEnergyCons!$C$3:$C$1000))*1,[1]OUT_TransportEnergyCons!K$3:K$1000)</f>
        <v>4.3986449127755113E-4</v>
      </c>
      <c r="N1419" s="1" cm="1">
        <f t="array" ref="N1419">SUMPRODUCT(("T_B_c-HYBDSL-S4"=[1]OUT_TransportEnergyCons!$A$3:$A$1000)*1,("Var_Fin"=[1]OUT_TransportEnergyCons!$B$3:$B$1000)*1,ISNUMBER(SEARCH("DSL",[1]OUT_TransportEnergyCons!$C$3:$C$1000))*1,[1]OUT_TransportEnergyCons!L$3:L$1000)</f>
        <v>4.8991464535173726E-4</v>
      </c>
      <c r="O1419" s="1" cm="1">
        <f t="array" ref="O1419">SUMPRODUCT(("T_B_c-HYBDSL-S4"=[1]OUT_TransportEnergyCons!$A$3:$A$1000)*1,("Var_Fin"=[1]OUT_TransportEnergyCons!$B$3:$B$1000)*1,ISNUMBER(SEARCH("DSL",[1]OUT_TransportEnergyCons!$C$3:$C$1000))*1,[1]OUT_TransportEnergyCons!M$3:M$1000)</f>
        <v>4.2535843372800471E-4</v>
      </c>
      <c r="P1419" s="1" cm="1">
        <f t="array" ref="P1419">SUMPRODUCT(("T_B_c-HYBDSL-S4"=[1]OUT_TransportEnergyCons!$A$3:$A$1000)*1,("Var_Fin"=[1]OUT_TransportEnergyCons!$B$3:$B$1000)*1,ISNUMBER(SEARCH("DSL",[1]OUT_TransportEnergyCons!$C$3:$C$1000))*1,[1]OUT_TransportEnergyCons!N$3:N$1000)</f>
        <v>6.2663540950890547E-4</v>
      </c>
      <c r="Q1419" s="1" cm="1">
        <f t="array" ref="Q1419">SUMPRODUCT(("T_B_c-HYBDSL-S4"=[1]OUT_TransportEnergyCons!$A$3:$A$1000)*1,("Var_Fin"=[1]OUT_TransportEnergyCons!$B$3:$B$1000)*1,ISNUMBER(SEARCH("DSL",[1]OUT_TransportEnergyCons!$C$3:$C$1000))*1,[1]OUT_TransportEnergyCons!O$3:O$1000)</f>
        <v>7.8369726461269794E-4</v>
      </c>
      <c r="S1419" s="3"/>
    </row>
    <row r="1420" spans="2:19" x14ac:dyDescent="0.5">
      <c r="B1420" s="5" t="str">
        <f t="shared" si="1571"/>
        <v>SPS1</v>
      </c>
      <c r="C1420" s="5" t="str">
        <f t="shared" si="1572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6.0272645109642345E-3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6.013461883789005E-3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5.9676374057221638E-3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SUMPRODUCT(("T_B_c-ICEDSLEXT"=[1]OUT_TransportEnergyCons!$A$3:$A$1000)*1,("Var_Fin"=[1]OUT_TransportEnergyCons!$B$3:$B$1000)*1,ISNUMBER(SEARCH("DSL",[1]OUT_TransportEnergyCons!$C$3:$C$1000))*1,[1]OUT_TransportEnergyCons!H$3:H$1000)</f>
        <v>0</v>
      </c>
      <c r="K1420" s="1" cm="1">
        <f t="array" ref="K1420">SUMPRODUCT(("T_B_c-ICEDSLEXT"=[1]OUT_TransportEnergyCons!$A$3:$A$1000)*1,("Var_Fin"=[1]OUT_TransportEnergyCons!$B$3:$B$1000)*1,ISNUMBER(SEARCH("DSL",[1]OUT_TransportEnergyCons!$C$3:$C$1000))*1,[1]OUT_TransportEnergyCons!I$3:I$1000)</f>
        <v>0</v>
      </c>
      <c r="L1420" s="1" cm="1">
        <f t="array" ref="L1420">SUMPRODUCT(("T_B_c-ICEDSLEXT"=[1]OUT_TransportEnergyCons!$A$3:$A$1000)*1,("Var_Fin"=[1]OUT_TransportEnergyCons!$B$3:$B$1000)*1,ISNUMBER(SEARCH("DSL",[1]OUT_TransportEnergyCons!$C$3:$C$1000))*1,[1]OUT_TransportEnergyCons!J$3:J$1000)</f>
        <v>0</v>
      </c>
      <c r="M1420" s="1" cm="1">
        <f t="array" ref="M1420">SUMPRODUCT(("T_B_c-ICEDSLEXT"=[1]OUT_TransportEnergyCons!$A$3:$A$1000)*1,("Var_Fin"=[1]OUT_TransportEnergyCons!$B$3:$B$1000)*1,ISNUMBER(SEARCH("DSL",[1]OUT_TransportEnergyCons!$C$3:$C$1000))*1,[1]OUT_TransportEnergyCons!K$3:K$1000)</f>
        <v>0</v>
      </c>
      <c r="N1420" s="1" cm="1">
        <f t="array" ref="N1420">SUMPRODUCT(("T_B_c-ICEDSLEXT"=[1]OUT_TransportEnergyCons!$A$3:$A$1000)*1,("Var_Fin"=[1]OUT_TransportEnergyCons!$B$3:$B$1000)*1,ISNUMBER(SEARCH("DSL",[1]OUT_TransportEnergyCons!$C$3:$C$1000))*1,[1]OUT_TransportEnergyCons!L$3:L$1000)</f>
        <v>0</v>
      </c>
      <c r="O1420" s="1" cm="1">
        <f t="array" ref="O1420">SUMPRODUCT(("T_B_c-ICEDSLEXT"=[1]OUT_TransportEnergyCons!$A$3:$A$1000)*1,("Var_Fin"=[1]OUT_TransportEnergyCons!$B$3:$B$1000)*1,ISNUMBER(SEARCH("DSL",[1]OUT_TransportEnergyCons!$C$3:$C$1000))*1,[1]OUT_TransportEnergyCons!M$3:M$1000)</f>
        <v>0</v>
      </c>
      <c r="P1420" s="1" cm="1">
        <f t="array" ref="P1420">SUMPRODUCT(("T_B_c-ICEDSLEXT"=[1]OUT_TransportEnergyCons!$A$3:$A$1000)*1,("Var_Fin"=[1]OUT_TransportEnergyCons!$B$3:$B$1000)*1,ISNUMBER(SEARCH("DSL",[1]OUT_TransportEnergyCons!$C$3:$C$1000))*1,[1]OUT_TransportEnergyCons!N$3:N$1000)</f>
        <v>0</v>
      </c>
      <c r="Q1420" s="1" cm="1">
        <f t="array" ref="Q1420">SUMPRODUCT(("T_B_c-ICEDSLEXT"=[1]OUT_TransportEnergyCons!$A$3:$A$1000)*1,("Var_Fin"=[1]OUT_TransportEnergyCons!$B$3:$B$1000)*1,ISNUMBER(SEARCH("DSL",[1]OUT_TransportEnergyCons!$C$3:$C$1000))*1,[1]OUT_TransportEnergyCons!O$3:O$1000)</f>
        <v>0</v>
      </c>
      <c r="S1420" s="3"/>
    </row>
    <row r="1421" spans="2:19" x14ac:dyDescent="0.5">
      <c r="B1421" s="5" t="str">
        <f t="shared" si="1571"/>
        <v>SPS1</v>
      </c>
      <c r="C1421" s="5" t="str">
        <f t="shared" si="1572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0.11300679577282467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0.30614518152620523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0.37051587964283716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0</v>
      </c>
      <c r="J1421" s="1" cm="1">
        <f t="array" ref="J1421">SUMPRODUCT(("T_B_c-ICEDSL-S1"=[1]OUT_TransportEnergyCons!$A$3:$A$1000)*1,("Var_Fin"=[1]OUT_TransportEnergyCons!$B$3:$B$1000)*1,ISNUMBER(SEARCH("DSL",[1]OUT_TransportEnergyCons!$C$3:$C$1000))*1,[1]OUT_TransportEnergyCons!H$3:H$1000)</f>
        <v>0</v>
      </c>
      <c r="K1421" s="1" cm="1">
        <f t="array" ref="K1421">SUMPRODUCT(("T_B_c-ICEDSL-S1"=[1]OUT_TransportEnergyCons!$A$3:$A$1000)*1,("Var_Fin"=[1]OUT_TransportEnergyCons!$B$3:$B$1000)*1,ISNUMBER(SEARCH("DSL",[1]OUT_TransportEnergyCons!$C$3:$C$1000))*1,[1]OUT_TransportEnergyCons!I$3:I$1000)</f>
        <v>0</v>
      </c>
      <c r="L1421" s="1" cm="1">
        <f t="array" ref="L1421">SUMPRODUCT(("T_B_c-ICEDSL-S1"=[1]OUT_TransportEnergyCons!$A$3:$A$1000)*1,("Var_Fin"=[1]OUT_TransportEnergyCons!$B$3:$B$1000)*1,ISNUMBER(SEARCH("DSL",[1]OUT_TransportEnergyCons!$C$3:$C$1000))*1,[1]OUT_TransportEnergyCons!J$3:J$1000)</f>
        <v>0</v>
      </c>
      <c r="M1421" s="1" cm="1">
        <f t="array" ref="M1421">SUMPRODUCT(("T_B_c-ICEDSL-S1"=[1]OUT_TransportEnergyCons!$A$3:$A$1000)*1,("Var_Fin"=[1]OUT_TransportEnergyCons!$B$3:$B$1000)*1,ISNUMBER(SEARCH("DSL",[1]OUT_TransportEnergyCons!$C$3:$C$1000))*1,[1]OUT_TransportEnergyCons!K$3:K$1000)</f>
        <v>0</v>
      </c>
      <c r="N1421" s="1" cm="1">
        <f t="array" ref="N1421">SUMPRODUCT(("T_B_c-ICEDSL-S1"=[1]OUT_TransportEnergyCons!$A$3:$A$1000)*1,("Var_Fin"=[1]OUT_TransportEnergyCons!$B$3:$B$1000)*1,ISNUMBER(SEARCH("DSL",[1]OUT_TransportEnergyCons!$C$3:$C$1000))*1,[1]OUT_TransportEnergyCons!L$3:L$1000)</f>
        <v>0</v>
      </c>
      <c r="O1421" s="1" cm="1">
        <f t="array" ref="O1421">SUMPRODUCT(("T_B_c-ICEDSL-S1"=[1]OUT_TransportEnergyCons!$A$3:$A$1000)*1,("Var_Fin"=[1]OUT_TransportEnergyCons!$B$3:$B$1000)*1,ISNUMBER(SEARCH("DSL",[1]OUT_TransportEnergyCons!$C$3:$C$1000))*1,[1]OUT_TransportEnergyCons!M$3:M$1000)</f>
        <v>0</v>
      </c>
      <c r="P1421" s="1" cm="1">
        <f t="array" ref="P1421">SUMPRODUCT(("T_B_c-ICEDSL-S1"=[1]OUT_TransportEnergyCons!$A$3:$A$1000)*1,("Var_Fin"=[1]OUT_TransportEnergyCons!$B$3:$B$1000)*1,ISNUMBER(SEARCH("DSL",[1]OUT_TransportEnergyCons!$C$3:$C$1000))*1,[1]OUT_TransportEnergyCons!N$3:N$1000)</f>
        <v>0</v>
      </c>
      <c r="Q1421" s="1" cm="1">
        <f t="array" ref="Q1421">SUMPRODUCT(("T_B_c-ICEDSL-S1"=[1]OUT_TransportEnergyCons!$A$3:$A$1000)*1,("Var_Fin"=[1]OUT_TransportEnergyCons!$B$3:$B$1000)*1,ISNUMBER(SEARCH("DSL",[1]OUT_TransportEnergyCons!$C$3:$C$1000))*1,[1]OUT_TransportEnergyCons!O$3:O$1000)</f>
        <v>0</v>
      </c>
      <c r="S1421" s="3"/>
    </row>
    <row r="1422" spans="2:19" x14ac:dyDescent="0.5">
      <c r="B1422" s="5" t="str">
        <f t="shared" si="1571"/>
        <v>SPS1</v>
      </c>
      <c r="C1422" s="5" t="str">
        <f t="shared" si="1572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0.51866060341501663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0.39691880127449547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0.43113053806967327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SUMPRODUCT(("T_B_c-ICEDSL-S2"=[1]OUT_TransportEnergyCons!$A$3:$A$1000)*1,("Var_Fin"=[1]OUT_TransportEnergyCons!$B$3:$B$1000)*1,ISNUMBER(SEARCH("DSL",[1]OUT_TransportEnergyCons!$C$3:$C$1000))*1,[1]OUT_TransportEnergyCons!H$3:H$1000)</f>
        <v>0</v>
      </c>
      <c r="K1422" s="1" cm="1">
        <f t="array" ref="K1422">SUMPRODUCT(("T_B_c-ICEDSL-S2"=[1]OUT_TransportEnergyCons!$A$3:$A$1000)*1,("Var_Fin"=[1]OUT_TransportEnergyCons!$B$3:$B$1000)*1,ISNUMBER(SEARCH("DSL",[1]OUT_TransportEnergyCons!$C$3:$C$1000))*1,[1]OUT_TransportEnergyCons!I$3:I$1000)</f>
        <v>0</v>
      </c>
      <c r="L1422" s="1" cm="1">
        <f t="array" ref="L1422">SUMPRODUCT(("T_B_c-ICEDSL-S2"=[1]OUT_TransportEnergyCons!$A$3:$A$1000)*1,("Var_Fin"=[1]OUT_TransportEnergyCons!$B$3:$B$1000)*1,ISNUMBER(SEARCH("DSL",[1]OUT_TransportEnergyCons!$C$3:$C$1000))*1,[1]OUT_TransportEnergyCons!J$3:J$1000)</f>
        <v>0</v>
      </c>
      <c r="M1422" s="1" cm="1">
        <f t="array" ref="M1422">SUMPRODUCT(("T_B_c-ICEDSL-S2"=[1]OUT_TransportEnergyCons!$A$3:$A$1000)*1,("Var_Fin"=[1]OUT_TransportEnergyCons!$B$3:$B$1000)*1,ISNUMBER(SEARCH("DSL",[1]OUT_TransportEnergyCons!$C$3:$C$1000))*1,[1]OUT_TransportEnergyCons!K$3:K$1000)</f>
        <v>0</v>
      </c>
      <c r="N1422" s="1" cm="1">
        <f t="array" ref="N1422">SUMPRODUCT(("T_B_c-ICEDSL-S2"=[1]OUT_TransportEnergyCons!$A$3:$A$1000)*1,("Var_Fin"=[1]OUT_TransportEnergyCons!$B$3:$B$1000)*1,ISNUMBER(SEARCH("DSL",[1]OUT_TransportEnergyCons!$C$3:$C$1000))*1,[1]OUT_TransportEnergyCons!L$3:L$1000)</f>
        <v>0</v>
      </c>
      <c r="O1422" s="1" cm="1">
        <f t="array" ref="O1422">SUMPRODUCT(("T_B_c-ICEDSL-S2"=[1]OUT_TransportEnergyCons!$A$3:$A$1000)*1,("Var_Fin"=[1]OUT_TransportEnergyCons!$B$3:$B$1000)*1,ISNUMBER(SEARCH("DSL",[1]OUT_TransportEnergyCons!$C$3:$C$1000))*1,[1]OUT_TransportEnergyCons!M$3:M$1000)</f>
        <v>0</v>
      </c>
      <c r="P1422" s="1" cm="1">
        <f t="array" ref="P1422">SUMPRODUCT(("T_B_c-ICEDSL-S2"=[1]OUT_TransportEnergyCons!$A$3:$A$1000)*1,("Var_Fin"=[1]OUT_TransportEnergyCons!$B$3:$B$1000)*1,ISNUMBER(SEARCH("DSL",[1]OUT_TransportEnergyCons!$C$3:$C$1000))*1,[1]OUT_TransportEnergyCons!N$3:N$1000)</f>
        <v>0</v>
      </c>
      <c r="Q1422" s="1" cm="1">
        <f t="array" ref="Q1422">SUMPRODUCT(("T_B_c-ICEDSL-S2"=[1]OUT_TransportEnergyCons!$A$3:$A$1000)*1,("Var_Fin"=[1]OUT_TransportEnergyCons!$B$3:$B$1000)*1,ISNUMBER(SEARCH("DSL",[1]OUT_TransportEnergyCons!$C$3:$C$1000))*1,[1]OUT_TransportEnergyCons!O$3:O$1000)</f>
        <v>0</v>
      </c>
      <c r="S1422" s="3"/>
    </row>
    <row r="1423" spans="2:19" x14ac:dyDescent="0.5">
      <c r="B1423" s="5" t="str">
        <f t="shared" si="1571"/>
        <v>SPS1</v>
      </c>
      <c r="C1423" s="5" t="str">
        <f t="shared" si="1572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0.15782686075767141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0.12611653604553463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0.1453326156161949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SUMPRODUCT(("T_B_c-ICEDSL-S3"=[1]OUT_TransportEnergyCons!$A$3:$A$1000)*1,("Var_Fin"=[1]OUT_TransportEnergyCons!$B$3:$B$1000)*1,ISNUMBER(SEARCH("DSL",[1]OUT_TransportEnergyCons!$C$3:$C$1000))*1,[1]OUT_TransportEnergyCons!H$3:H$1000)</f>
        <v>0</v>
      </c>
      <c r="K1423" s="1" cm="1">
        <f t="array" ref="K1423">SUMPRODUCT(("T_B_c-ICEDSL-S3"=[1]OUT_TransportEnergyCons!$A$3:$A$1000)*1,("Var_Fin"=[1]OUT_TransportEnergyCons!$B$3:$B$1000)*1,ISNUMBER(SEARCH("DSL",[1]OUT_TransportEnergyCons!$C$3:$C$1000))*1,[1]OUT_TransportEnergyCons!I$3:I$1000)</f>
        <v>0</v>
      </c>
      <c r="L1423" s="1" cm="1">
        <f t="array" ref="L1423">SUMPRODUCT(("T_B_c-ICEDSL-S3"=[1]OUT_TransportEnergyCons!$A$3:$A$1000)*1,("Var_Fin"=[1]OUT_TransportEnergyCons!$B$3:$B$1000)*1,ISNUMBER(SEARCH("DSL",[1]OUT_TransportEnergyCons!$C$3:$C$1000))*1,[1]OUT_TransportEnergyCons!J$3:J$1000)</f>
        <v>0</v>
      </c>
      <c r="M1423" s="1" cm="1">
        <f t="array" ref="M1423">SUMPRODUCT(("T_B_c-ICEDSL-S3"=[1]OUT_TransportEnergyCons!$A$3:$A$1000)*1,("Var_Fin"=[1]OUT_TransportEnergyCons!$B$3:$B$1000)*1,ISNUMBER(SEARCH("DSL",[1]OUT_TransportEnergyCons!$C$3:$C$1000))*1,[1]OUT_TransportEnergyCons!K$3:K$1000)</f>
        <v>0</v>
      </c>
      <c r="N1423" s="1" cm="1">
        <f t="array" ref="N1423">SUMPRODUCT(("T_B_c-ICEDSL-S3"=[1]OUT_TransportEnergyCons!$A$3:$A$1000)*1,("Var_Fin"=[1]OUT_TransportEnergyCons!$B$3:$B$1000)*1,ISNUMBER(SEARCH("DSL",[1]OUT_TransportEnergyCons!$C$3:$C$1000))*1,[1]OUT_TransportEnergyCons!L$3:L$1000)</f>
        <v>0</v>
      </c>
      <c r="O1423" s="1" cm="1">
        <f t="array" ref="O1423">SUMPRODUCT(("T_B_c-ICEDSL-S3"=[1]OUT_TransportEnergyCons!$A$3:$A$1000)*1,("Var_Fin"=[1]OUT_TransportEnergyCons!$B$3:$B$1000)*1,ISNUMBER(SEARCH("DSL",[1]OUT_TransportEnergyCons!$C$3:$C$1000))*1,[1]OUT_TransportEnergyCons!M$3:M$1000)</f>
        <v>0</v>
      </c>
      <c r="P1423" s="1" cm="1">
        <f t="array" ref="P1423">SUMPRODUCT(("T_B_c-ICEDSL-S3"=[1]OUT_TransportEnergyCons!$A$3:$A$1000)*1,("Var_Fin"=[1]OUT_TransportEnergyCons!$B$3:$B$1000)*1,ISNUMBER(SEARCH("DSL",[1]OUT_TransportEnergyCons!$C$3:$C$1000))*1,[1]OUT_TransportEnergyCons!N$3:N$1000)</f>
        <v>0</v>
      </c>
      <c r="Q1423" s="1" cm="1">
        <f t="array" ref="Q1423">SUMPRODUCT(("T_B_c-ICEDSL-S3"=[1]OUT_TransportEnergyCons!$A$3:$A$1000)*1,("Var_Fin"=[1]OUT_TransportEnergyCons!$B$3:$B$1000)*1,ISNUMBER(SEARCH("DSL",[1]OUT_TransportEnergyCons!$C$3:$C$1000))*1,[1]OUT_TransportEnergyCons!O$3:O$1000)</f>
        <v>0</v>
      </c>
      <c r="S1423" s="3"/>
    </row>
    <row r="1424" spans="2:19" x14ac:dyDescent="0.5">
      <c r="B1424" s="5" t="str">
        <f t="shared" si="1571"/>
        <v>SPS1</v>
      </c>
      <c r="C1424" s="5" t="str">
        <f t="shared" si="1572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1.7454260179792618E-2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1.4961707910490804E-3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1.6797005382607627E-3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SUMPRODUCT(("T_B_c-ICEDSL-S4"=[1]OUT_TransportEnergyCons!$A$3:$A$1000)*1,("Var_Fin"=[1]OUT_TransportEnergyCons!$B$3:$B$1000)*1,ISNUMBER(SEARCH("DSL",[1]OUT_TransportEnergyCons!$C$3:$C$1000))*1,[1]OUT_TransportEnergyCons!H$3:H$1000)</f>
        <v>0</v>
      </c>
      <c r="K1424" s="1" cm="1">
        <f t="array" ref="K1424">SUMPRODUCT(("T_B_c-ICEDSL-S4"=[1]OUT_TransportEnergyCons!$A$3:$A$1000)*1,("Var_Fin"=[1]OUT_TransportEnergyCons!$B$3:$B$1000)*1,ISNUMBER(SEARCH("DSL",[1]OUT_TransportEnergyCons!$C$3:$C$1000))*1,[1]OUT_TransportEnergyCons!I$3:I$1000)</f>
        <v>0</v>
      </c>
      <c r="L1424" s="1" cm="1">
        <f t="array" ref="L1424">SUMPRODUCT(("T_B_c-ICEDSL-S4"=[1]OUT_TransportEnergyCons!$A$3:$A$1000)*1,("Var_Fin"=[1]OUT_TransportEnergyCons!$B$3:$B$1000)*1,ISNUMBER(SEARCH("DSL",[1]OUT_TransportEnergyCons!$C$3:$C$1000))*1,[1]OUT_TransportEnergyCons!J$3:J$1000)</f>
        <v>0</v>
      </c>
      <c r="M1424" s="1" cm="1">
        <f t="array" ref="M1424">SUMPRODUCT(("T_B_c-ICEDSL-S4"=[1]OUT_TransportEnergyCons!$A$3:$A$1000)*1,("Var_Fin"=[1]OUT_TransportEnergyCons!$B$3:$B$1000)*1,ISNUMBER(SEARCH("DSL",[1]OUT_TransportEnergyCons!$C$3:$C$1000))*1,[1]OUT_TransportEnergyCons!K$3:K$1000)</f>
        <v>0</v>
      </c>
      <c r="N1424" s="1" cm="1">
        <f t="array" ref="N1424">SUMPRODUCT(("T_B_c-ICEDSL-S4"=[1]OUT_TransportEnergyCons!$A$3:$A$1000)*1,("Var_Fin"=[1]OUT_TransportEnergyCons!$B$3:$B$1000)*1,ISNUMBER(SEARCH("DSL",[1]OUT_TransportEnergyCons!$C$3:$C$1000))*1,[1]OUT_TransportEnergyCons!L$3:L$1000)</f>
        <v>0</v>
      </c>
      <c r="O1424" s="1" cm="1">
        <f t="array" ref="O1424">SUMPRODUCT(("T_B_c-ICEDSL-S4"=[1]OUT_TransportEnergyCons!$A$3:$A$1000)*1,("Var_Fin"=[1]OUT_TransportEnergyCons!$B$3:$B$1000)*1,ISNUMBER(SEARCH("DSL",[1]OUT_TransportEnergyCons!$C$3:$C$1000))*1,[1]OUT_TransportEnergyCons!M$3:M$1000)</f>
        <v>0</v>
      </c>
      <c r="P1424" s="1" cm="1">
        <f t="array" ref="P1424">SUMPRODUCT(("T_B_c-ICEDSL-S4"=[1]OUT_TransportEnergyCons!$A$3:$A$1000)*1,("Var_Fin"=[1]OUT_TransportEnergyCons!$B$3:$B$1000)*1,ISNUMBER(SEARCH("DSL",[1]OUT_TransportEnergyCons!$C$3:$C$1000))*1,[1]OUT_TransportEnergyCons!N$3:N$1000)</f>
        <v>0</v>
      </c>
      <c r="Q1424" s="1" cm="1">
        <f t="array" ref="Q1424">SUMPRODUCT(("T_B_c-ICEDSL-S4"=[1]OUT_TransportEnergyCons!$A$3:$A$1000)*1,("Var_Fin"=[1]OUT_TransportEnergyCons!$B$3:$B$1000)*1,ISNUMBER(SEARCH("DSL",[1]OUT_TransportEnergyCons!$C$3:$C$1000))*1,[1]OUT_TransportEnergyCons!O$3:O$1000)</f>
        <v>0</v>
      </c>
      <c r="S1424" s="3"/>
    </row>
    <row r="1425" spans="2:19" x14ac:dyDescent="0.5">
      <c r="B1425" s="5" t="str">
        <f t="shared" si="1571"/>
        <v>SPS1</v>
      </c>
      <c r="C1425" s="5" t="str">
        <f t="shared" si="1572"/>
        <v>CH</v>
      </c>
      <c r="D1425" t="s">
        <v>1419</v>
      </c>
      <c r="E1425" t="s">
        <v>8</v>
      </c>
      <c r="F1425" s="1">
        <f>SUM(F1430:F1434)</f>
        <v>1.374536233413697E-4</v>
      </c>
      <c r="G1425" s="1">
        <f t="shared" ref="G1425" si="1589">SUM(G1430:G1434)</f>
        <v>8.3831974817985024E-4</v>
      </c>
      <c r="H1425" s="1">
        <f t="shared" ref="H1425" si="1590">SUM(H1430:H1434)</f>
        <v>3.9975725116826516E-3</v>
      </c>
      <c r="I1425" s="1">
        <f t="shared" ref="I1425" si="1591">SUM(I1430:I1434)</f>
        <v>0</v>
      </c>
      <c r="J1425" s="1">
        <f t="shared" ref="J1425" si="1592">SUM(J1430:J1434)</f>
        <v>0</v>
      </c>
      <c r="K1425" s="1">
        <f t="shared" ref="K1425" si="1593">SUM(K1430:K1434)</f>
        <v>0</v>
      </c>
      <c r="L1425" s="1">
        <f t="shared" ref="L1425:O1425" si="1594">SUM(L1430:L1434)</f>
        <v>0</v>
      </c>
      <c r="M1425" s="1">
        <f t="shared" si="1594"/>
        <v>0</v>
      </c>
      <c r="N1425" s="1">
        <f t="shared" si="1594"/>
        <v>0</v>
      </c>
      <c r="O1425" s="1">
        <f t="shared" si="1594"/>
        <v>0</v>
      </c>
      <c r="P1425" s="1">
        <f>SUM(P1430:P1434)</f>
        <v>0</v>
      </c>
      <c r="Q1425" s="1">
        <f>SUM(Q1430:Q1434)</f>
        <v>0</v>
      </c>
      <c r="S1425" s="3"/>
    </row>
    <row r="1426" spans="2:19" x14ac:dyDescent="0.5">
      <c r="B1426" s="5" t="str">
        <f t="shared" si="1571"/>
        <v>SPS1</v>
      </c>
      <c r="C1426" s="5" t="str">
        <f t="shared" si="1572"/>
        <v>CH</v>
      </c>
      <c r="D1426" t="s">
        <v>1420</v>
      </c>
      <c r="E1426" t="s">
        <v>8</v>
      </c>
      <c r="F1426" s="1">
        <f>IF(F1425-F1427&lt;0,0,F1425-F1427)</f>
        <v>1.2689431361303599E-4</v>
      </c>
      <c r="G1426" s="1">
        <f t="shared" ref="G1426:K1426" si="1595">IF(G1425-G1427&lt;0,0,G1425-G1427)</f>
        <v>7.3526166612522634E-4</v>
      </c>
      <c r="H1426" s="1">
        <f t="shared" si="1595"/>
        <v>3.8126805622022749E-3</v>
      </c>
      <c r="I1426" s="1">
        <f t="shared" si="1595"/>
        <v>0</v>
      </c>
      <c r="J1426" s="1">
        <f t="shared" si="1595"/>
        <v>0</v>
      </c>
      <c r="K1426" s="1">
        <f t="shared" si="1595"/>
        <v>0</v>
      </c>
      <c r="L1426" s="1">
        <f t="shared" ref="L1426:O1426" si="1596">IF(L1425-L1427&lt;0,0,L1425-L1427)</f>
        <v>0</v>
      </c>
      <c r="M1426" s="1">
        <f t="shared" si="1596"/>
        <v>0</v>
      </c>
      <c r="N1426" s="1">
        <f t="shared" si="1596"/>
        <v>0</v>
      </c>
      <c r="O1426" s="1">
        <f t="shared" si="1596"/>
        <v>0</v>
      </c>
      <c r="P1426" s="1">
        <f>IF(P1425-P1427&lt;0,0,P1425-P1427)</f>
        <v>0</v>
      </c>
      <c r="Q1426" s="1">
        <f>IF(Q1425-Q1427&lt;0,0,Q1425-Q1427)</f>
        <v>0</v>
      </c>
      <c r="S1426" s="3"/>
    </row>
    <row r="1427" spans="2:19" x14ac:dyDescent="0.5">
      <c r="B1427" s="5" t="str">
        <f t="shared" si="1571"/>
        <v>SPS1</v>
      </c>
      <c r="C1427" s="5" t="str">
        <f t="shared" si="1572"/>
        <v>CH</v>
      </c>
      <c r="D1427" t="s">
        <v>1421</v>
      </c>
      <c r="E1427" t="s">
        <v>8</v>
      </c>
      <c r="F1427" s="1">
        <f>SUM(F1428:F1429)</f>
        <v>1.0559309728333713E-5</v>
      </c>
      <c r="G1427" s="1">
        <f t="shared" ref="G1427" si="1597">SUM(G1428:G1429)</f>
        <v>1.0305808205462385E-4</v>
      </c>
      <c r="H1427" s="1">
        <f t="shared" ref="H1427" si="1598">SUM(H1428:H1429)</f>
        <v>1.8489194948037685E-4</v>
      </c>
      <c r="I1427" s="1">
        <f t="shared" ref="I1427" si="1599">SUM(I1428:I1429)</f>
        <v>0</v>
      </c>
      <c r="J1427" s="1">
        <f t="shared" ref="J1427" si="1600">SUM(J1428:J1429)</f>
        <v>0</v>
      </c>
      <c r="K1427" s="1">
        <f t="shared" ref="K1427" si="1601">SUM(K1428:K1429)</f>
        <v>0</v>
      </c>
      <c r="L1427" s="1">
        <f t="shared" ref="L1427:O1427" si="1602">SUM(L1428:L1429)</f>
        <v>0</v>
      </c>
      <c r="M1427" s="1">
        <f t="shared" si="1602"/>
        <v>0</v>
      </c>
      <c r="N1427" s="1">
        <f t="shared" si="1602"/>
        <v>0</v>
      </c>
      <c r="O1427" s="1">
        <f t="shared" si="1602"/>
        <v>0</v>
      </c>
      <c r="P1427" s="1">
        <f>SUM(P1428:P1429)</f>
        <v>0</v>
      </c>
      <c r="Q1427" s="1">
        <f>SUM(Q1428:Q1429)</f>
        <v>0</v>
      </c>
      <c r="S1427" s="3"/>
    </row>
    <row r="1428" spans="2:19" x14ac:dyDescent="0.5">
      <c r="B1428" s="5" t="str">
        <f t="shared" si="1571"/>
        <v>SPS1</v>
      </c>
      <c r="C1428" s="5" t="str">
        <f t="shared" si="1572"/>
        <v>CH</v>
      </c>
      <c r="D1428" t="s">
        <v>1422</v>
      </c>
      <c r="E1428" t="s">
        <v>8</v>
      </c>
      <c r="F1428" s="1">
        <f>IF(SUM([1]Transport!B$24,[1]Transport!B$27)=0,0,[1]Transport!B$27/SUM([1]Transport!B$24,[1]Transport!B$27)*F1425*(F$47+F$614)/(F$47+F$614+F$49))</f>
        <v>1.0559309728333713E-5</v>
      </c>
      <c r="G1428" s="1">
        <f>IF(SUM([1]Transport!C$24,[1]Transport!C$27)=0,0,[1]Transport!C$27/SUM([1]Transport!C$24,[1]Transport!C$27)*G1425*(G$47+G$614)/(G$47+G$614+G$49))</f>
        <v>1.0305808205462385E-4</v>
      </c>
      <c r="H1428" s="1">
        <f>IF(SUM([1]Transport!D$24,[1]Transport!D$27)=0,0,[1]Transport!D$27/SUM([1]Transport!D$24,[1]Transport!D$27)*H1425*(H$47+H$614)/(H$47+H$614+H$49))</f>
        <v>1.8489194948037685E-4</v>
      </c>
      <c r="I1428" s="1">
        <f>IF(SUM([1]Transport!E$24,[1]Transport!E$27)=0,0,[1]Transport!E$27/SUM([1]Transport!E$24,[1]Transport!E$27)*I1425*(I$47+I$614)/(I$47+I$614+I$49))</f>
        <v>0</v>
      </c>
      <c r="J1428" s="1">
        <f>IF(SUM([1]Transport!F$24,[1]Transport!F$27)=0,0,[1]Transport!F$27/SUM([1]Transport!F$24,[1]Transport!F$27)*J1425*(J$47+J$614)/(J$47+J$614+J$49))</f>
        <v>0</v>
      </c>
      <c r="K1428" s="1">
        <f>IF(SUM([1]Transport!G$24,[1]Transport!G$27)=0,0,[1]Transport!G$27/SUM([1]Transport!G$24,[1]Transport!G$27)*K1425*(K$47+K$614)/(K$47+K$614+K$49))</f>
        <v>0</v>
      </c>
      <c r="L1428" s="1">
        <f>IF(SUM([1]Transport!H$24,[1]Transport!H$27)=0,0,[1]Transport!H$27/SUM([1]Transport!H$24,[1]Transport!H$27)*L1425*(L$47+L$614)/(L$47+L$614+L$49))</f>
        <v>0</v>
      </c>
      <c r="M1428" s="1">
        <f>IF(SUM([1]Transport!I$24,[1]Transport!I$27)=0,0,[1]Transport!I$27/SUM([1]Transport!I$24,[1]Transport!I$27)*M1425*(M$47+M$614)/(M$47+M$614+M$49))</f>
        <v>0</v>
      </c>
      <c r="N1428" s="1">
        <f>IF(SUM([1]Transport!J$24,[1]Transport!J$27)=0,0,[1]Transport!J$27/SUM([1]Transport!J$24,[1]Transport!J$27)*N1425*(N$47+N$614)/(N$47+N$614+N$49))</f>
        <v>0</v>
      </c>
      <c r="O1428" s="1">
        <f>IF(SUM([1]Transport!K$24,[1]Transport!K$27)=0,0,[1]Transport!K$27/SUM([1]Transport!K$24,[1]Transport!K$27)*O1425*(O$47+O$614)/(O$47+O$614+O$49))</f>
        <v>0</v>
      </c>
      <c r="P1428" s="1">
        <f>IF(SUM([1]Transport!L$24,[1]Transport!L$27)=0,0,[1]Transport!L$27/SUM([1]Transport!L$24,[1]Transport!L$27)*P1425*(P$47+P$614)/(P$47+P$614+P$49))</f>
        <v>0</v>
      </c>
      <c r="Q1428" s="1">
        <f>IF(SUM([1]Transport!M$24,[1]Transport!M$27)=0,0,[1]Transport!M$27/SUM([1]Transport!M$24,[1]Transport!M$27)*Q1425*(Q$47+Q$614)/(Q$47+Q$614+Q$49))</f>
        <v>0</v>
      </c>
      <c r="S1428" s="3"/>
    </row>
    <row r="1429" spans="2:19" x14ac:dyDescent="0.5">
      <c r="B1429" s="5" t="str">
        <f t="shared" si="1571"/>
        <v>SPS1</v>
      </c>
      <c r="C1429" s="5" t="str">
        <f t="shared" si="1572"/>
        <v>CH</v>
      </c>
      <c r="D1429" t="s">
        <v>1423</v>
      </c>
      <c r="E1429" t="s">
        <v>8</v>
      </c>
      <c r="F1429" s="1">
        <f>IF(([1]Transport!B$24+[1]Transport!B$27)=0,0,(F$49+F$716)/([1]Transport!B$24+[1]Transport!B$27)*F1425)</f>
        <v>0</v>
      </c>
      <c r="G1429" s="1">
        <f>IF(([1]Transport!C$24+[1]Transport!C$27)=0,0,(G$49+G$716)/([1]Transport!C$24+[1]Transport!C$27)*G1425)</f>
        <v>0</v>
      </c>
      <c r="H1429" s="1">
        <f>IF(([1]Transport!D$24+[1]Transport!D$27)=0,0,(H$49+H$716)/([1]Transport!D$24+[1]Transport!D$27)*H1425)</f>
        <v>0</v>
      </c>
      <c r="I1429" s="1">
        <f>IF(([1]Transport!E$24+[1]Transport!E$27)=0,0,(I$49+I$716)/([1]Transport!E$24+[1]Transport!E$27)*I1425)</f>
        <v>0</v>
      </c>
      <c r="J1429" s="1">
        <f>IF(([1]Transport!F$24+[1]Transport!F$27)=0,0,(J$49+J$716)/([1]Transport!F$24+[1]Transport!F$27)*J1425)</f>
        <v>0</v>
      </c>
      <c r="K1429" s="1">
        <f>IF(([1]Transport!G$24+[1]Transport!G$27)=0,0,(K$49+K$716)/([1]Transport!G$24+[1]Transport!G$27)*K1425)</f>
        <v>0</v>
      </c>
      <c r="L1429" s="1">
        <f>IF(([1]Transport!H$24+[1]Transport!H$27)=0,0,(L$49+L$716)/([1]Transport!H$24+[1]Transport!H$27)*L1425)</f>
        <v>0</v>
      </c>
      <c r="M1429" s="1">
        <f>IF(([1]Transport!I$24+[1]Transport!I$27)=0,0,(M$49+M$716)/([1]Transport!I$24+[1]Transport!I$27)*M1425)</f>
        <v>0</v>
      </c>
      <c r="N1429" s="1">
        <f>IF(([1]Transport!J$24+[1]Transport!J$27)=0,0,(N$49+N$716)/([1]Transport!J$24+[1]Transport!J$27)*N1425)</f>
        <v>0</v>
      </c>
      <c r="O1429" s="1">
        <f>IF(([1]Transport!K$24+[1]Transport!K$27)=0,0,(O$49+O$716)/([1]Transport!K$24+[1]Transport!K$27)*O1425)</f>
        <v>0</v>
      </c>
      <c r="P1429" s="1">
        <f>IF(([1]Transport!L$24+[1]Transport!L$27)=0,0,(P$49+P$716)/([1]Transport!L$24+[1]Transport!L$27)*P1425)</f>
        <v>0</v>
      </c>
      <c r="Q1429" s="1">
        <f>IF(([1]Transport!M$24+[1]Transport!M$27)=0,0,(Q$49+Q$716)/([1]Transport!M$24+[1]Transport!M$27)*Q1425)</f>
        <v>0</v>
      </c>
      <c r="S1429" s="3"/>
    </row>
    <row r="1430" spans="2:19" x14ac:dyDescent="0.5">
      <c r="B1430" s="5" t="str">
        <f t="shared" si="1571"/>
        <v>SPS1</v>
      </c>
      <c r="C1430" s="5" t="str">
        <f t="shared" si="1572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1.374536233413697E-4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1.376573923996136E-4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1.3676326029600456E-4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SUMPRODUCT(("T_B_c-ICEngaEXT"=[1]OUT_TransportEnergyCons!$A$3:$A$1000)*1,("Var_Fin"=[1]OUT_TransportEnergyCons!$B$3:$B$1000)*1,ISNUMBER(SEARCH("nga",[1]OUT_TransportEnergyCons!$C$3:$C$1000))*1,[1]OUT_TransportEnergyCons!H$3:H$1000)</f>
        <v>0</v>
      </c>
      <c r="K1430" s="1" cm="1">
        <f t="array" ref="K1430">SUMPRODUCT(("T_B_c-ICEngaEXT"=[1]OUT_TransportEnergyCons!$A$3:$A$1000)*1,("Var_Fin"=[1]OUT_TransportEnergyCons!$B$3:$B$1000)*1,ISNUMBER(SEARCH("nga",[1]OUT_TransportEnergyCons!$C$3:$C$1000))*1,[1]OUT_TransportEnergyCons!I$3:I$1000)</f>
        <v>0</v>
      </c>
      <c r="L1430" s="1" cm="1">
        <f t="array" ref="L1430">SUMPRODUCT(("T_B_c-ICEngaEXT"=[1]OUT_TransportEnergyCons!$A$3:$A$1000)*1,("Var_Fin"=[1]OUT_TransportEnergyCons!$B$3:$B$1000)*1,ISNUMBER(SEARCH("nga",[1]OUT_TransportEnergyCons!$C$3:$C$1000))*1,[1]OUT_TransportEnergyCons!J$3:J$1000)</f>
        <v>0</v>
      </c>
      <c r="M1430" s="1" cm="1">
        <f t="array" ref="M1430">SUMPRODUCT(("T_B_c-ICEngaEXT"=[1]OUT_TransportEnergyCons!$A$3:$A$1000)*1,("Var_Fin"=[1]OUT_TransportEnergyCons!$B$3:$B$1000)*1,ISNUMBER(SEARCH("nga",[1]OUT_TransportEnergyCons!$C$3:$C$1000))*1,[1]OUT_TransportEnergyCons!K$3:K$1000)</f>
        <v>0</v>
      </c>
      <c r="N1430" s="1" cm="1">
        <f t="array" ref="N1430">SUMPRODUCT(("T_B_c-ICEngaEXT"=[1]OUT_TransportEnergyCons!$A$3:$A$1000)*1,("Var_Fin"=[1]OUT_TransportEnergyCons!$B$3:$B$1000)*1,ISNUMBER(SEARCH("nga",[1]OUT_TransportEnergyCons!$C$3:$C$1000))*1,[1]OUT_TransportEnergyCons!L$3:L$1000)</f>
        <v>0</v>
      </c>
      <c r="O1430" s="1" cm="1">
        <f t="array" ref="O1430">SUMPRODUCT(("T_B_c-ICEngaEXT"=[1]OUT_TransportEnergyCons!$A$3:$A$1000)*1,("Var_Fin"=[1]OUT_TransportEnergyCons!$B$3:$B$1000)*1,ISNUMBER(SEARCH("nga",[1]OUT_TransportEnergyCons!$C$3:$C$1000))*1,[1]OUT_TransportEnergyCons!M$3:M$1000)</f>
        <v>0</v>
      </c>
      <c r="P1430" s="1" cm="1">
        <f t="array" ref="P1430">SUMPRODUCT(("T_B_c-ICEngaEXT"=[1]OUT_TransportEnergyCons!$A$3:$A$1000)*1,("Var_Fin"=[1]OUT_TransportEnergyCons!$B$3:$B$1000)*1,ISNUMBER(SEARCH("nga",[1]OUT_TransportEnergyCons!$C$3:$C$1000))*1,[1]OUT_TransportEnergyCons!N$3:N$1000)</f>
        <v>0</v>
      </c>
      <c r="Q1430" s="1" cm="1">
        <f t="array" ref="Q1430">SUMPRODUCT(("T_B_c-ICEngaEXT"=[1]OUT_TransportEnergyCons!$A$3:$A$1000)*1,("Var_Fin"=[1]OUT_TransportEnergyCons!$B$3:$B$1000)*1,ISNUMBER(SEARCH("nga",[1]OUT_TransportEnergyCons!$C$3:$C$1000))*1,[1]OUT_TransportEnergyCons!O$3:O$1000)</f>
        <v>0</v>
      </c>
      <c r="S1430" s="3"/>
    </row>
    <row r="1431" spans="2:19" x14ac:dyDescent="0.5">
      <c r="B1431" s="5" t="str">
        <f t="shared" si="1571"/>
        <v>SPS1</v>
      </c>
      <c r="C1431" s="5" t="str">
        <f t="shared" si="1572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2.5067211372050449E-4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1.8748503618836567E-3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0</v>
      </c>
      <c r="J1431" s="1" cm="1">
        <f t="array" ref="J1431">SUMPRODUCT(("T_B_c-ICEnga-S1"=[1]OUT_TransportEnergyCons!$A$3:$A$1000)*1,("Var_Fin"=[1]OUT_TransportEnergyCons!$B$3:$B$1000)*1,ISNUMBER(SEARCH("nga",[1]OUT_TransportEnergyCons!$C$3:$C$1000))*1,[1]OUT_TransportEnergyCons!H$3:H$1000)</f>
        <v>0</v>
      </c>
      <c r="K1431" s="1" cm="1">
        <f t="array" ref="K1431">SUMPRODUCT(("T_B_c-ICEnga-S1"=[1]OUT_TransportEnergyCons!$A$3:$A$1000)*1,("Var_Fin"=[1]OUT_TransportEnergyCons!$B$3:$B$1000)*1,ISNUMBER(SEARCH("nga",[1]OUT_TransportEnergyCons!$C$3:$C$1000))*1,[1]OUT_TransportEnergyCons!I$3:I$1000)</f>
        <v>0</v>
      </c>
      <c r="L1431" s="1" cm="1">
        <f t="array" ref="L1431">SUMPRODUCT(("T_B_c-ICEnga-S1"=[1]OUT_TransportEnergyCons!$A$3:$A$1000)*1,("Var_Fin"=[1]OUT_TransportEnergyCons!$B$3:$B$1000)*1,ISNUMBER(SEARCH("nga",[1]OUT_TransportEnergyCons!$C$3:$C$1000))*1,[1]OUT_TransportEnergyCons!J$3:J$1000)</f>
        <v>0</v>
      </c>
      <c r="M1431" s="1" cm="1">
        <f t="array" ref="M1431">SUMPRODUCT(("T_B_c-ICEnga-S1"=[1]OUT_TransportEnergyCons!$A$3:$A$1000)*1,("Var_Fin"=[1]OUT_TransportEnergyCons!$B$3:$B$1000)*1,ISNUMBER(SEARCH("nga",[1]OUT_TransportEnergyCons!$C$3:$C$1000))*1,[1]OUT_TransportEnergyCons!K$3:K$1000)</f>
        <v>0</v>
      </c>
      <c r="N1431" s="1" cm="1">
        <f t="array" ref="N1431">SUMPRODUCT(("T_B_c-ICEnga-S1"=[1]OUT_TransportEnergyCons!$A$3:$A$1000)*1,("Var_Fin"=[1]OUT_TransportEnergyCons!$B$3:$B$1000)*1,ISNUMBER(SEARCH("nga",[1]OUT_TransportEnergyCons!$C$3:$C$1000))*1,[1]OUT_TransportEnergyCons!L$3:L$1000)</f>
        <v>0</v>
      </c>
      <c r="O1431" s="1" cm="1">
        <f t="array" ref="O1431">SUMPRODUCT(("T_B_c-ICEnga-S1"=[1]OUT_TransportEnergyCons!$A$3:$A$1000)*1,("Var_Fin"=[1]OUT_TransportEnergyCons!$B$3:$B$1000)*1,ISNUMBER(SEARCH("nga",[1]OUT_TransportEnergyCons!$C$3:$C$1000))*1,[1]OUT_TransportEnergyCons!M$3:M$1000)</f>
        <v>0</v>
      </c>
      <c r="P1431" s="1" cm="1">
        <f t="array" ref="P1431">SUMPRODUCT(("T_B_c-ICEnga-S1"=[1]OUT_TransportEnergyCons!$A$3:$A$1000)*1,("Var_Fin"=[1]OUT_TransportEnergyCons!$B$3:$B$1000)*1,ISNUMBER(SEARCH("nga",[1]OUT_TransportEnergyCons!$C$3:$C$1000))*1,[1]OUT_TransportEnergyCons!N$3:N$1000)</f>
        <v>0</v>
      </c>
      <c r="Q1431" s="1" cm="1">
        <f t="array" ref="Q1431">SUMPRODUCT(("T_B_c-ICEnga-S1"=[1]OUT_TransportEnergyCons!$A$3:$A$1000)*1,("Var_Fin"=[1]OUT_TransportEnergyCons!$B$3:$B$1000)*1,ISNUMBER(SEARCH("nga",[1]OUT_TransportEnergyCons!$C$3:$C$1000))*1,[1]OUT_TransportEnergyCons!O$3:O$1000)</f>
        <v>0</v>
      </c>
      <c r="S1431" s="3"/>
    </row>
    <row r="1432" spans="2:19" x14ac:dyDescent="0.5">
      <c r="B1432" s="5" t="str">
        <f t="shared" si="1571"/>
        <v>SPS1</v>
      </c>
      <c r="C1432" s="5" t="str">
        <f t="shared" si="1572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1.9121179024126294E-4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1.0395724481069885E-3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SUMPRODUCT(("T_B_c-ICEnga-S2"=[1]OUT_TransportEnergyCons!$A$3:$A$1000)*1,("Var_Fin"=[1]OUT_TransportEnergyCons!$B$3:$B$1000)*1,ISNUMBER(SEARCH("nga",[1]OUT_TransportEnergyCons!$C$3:$C$1000))*1,[1]OUT_TransportEnergyCons!H$3:H$1000)</f>
        <v>0</v>
      </c>
      <c r="K1432" s="1" cm="1">
        <f t="array" ref="K1432">SUMPRODUCT(("T_B_c-ICEnga-S2"=[1]OUT_TransportEnergyCons!$A$3:$A$1000)*1,("Var_Fin"=[1]OUT_TransportEnergyCons!$B$3:$B$1000)*1,ISNUMBER(SEARCH("nga",[1]OUT_TransportEnergyCons!$C$3:$C$1000))*1,[1]OUT_TransportEnergyCons!I$3:I$1000)</f>
        <v>0</v>
      </c>
      <c r="L1432" s="1" cm="1">
        <f t="array" ref="L1432">SUMPRODUCT(("T_B_c-ICEnga-S2"=[1]OUT_TransportEnergyCons!$A$3:$A$1000)*1,("Var_Fin"=[1]OUT_TransportEnergyCons!$B$3:$B$1000)*1,ISNUMBER(SEARCH("nga",[1]OUT_TransportEnergyCons!$C$3:$C$1000))*1,[1]OUT_TransportEnergyCons!J$3:J$1000)</f>
        <v>0</v>
      </c>
      <c r="M1432" s="1" cm="1">
        <f t="array" ref="M1432">SUMPRODUCT(("T_B_c-ICEnga-S2"=[1]OUT_TransportEnergyCons!$A$3:$A$1000)*1,("Var_Fin"=[1]OUT_TransportEnergyCons!$B$3:$B$1000)*1,ISNUMBER(SEARCH("nga",[1]OUT_TransportEnergyCons!$C$3:$C$1000))*1,[1]OUT_TransportEnergyCons!K$3:K$1000)</f>
        <v>0</v>
      </c>
      <c r="N1432" s="1" cm="1">
        <f t="array" ref="N1432">SUMPRODUCT(("T_B_c-ICEnga-S2"=[1]OUT_TransportEnergyCons!$A$3:$A$1000)*1,("Var_Fin"=[1]OUT_TransportEnergyCons!$B$3:$B$1000)*1,ISNUMBER(SEARCH("nga",[1]OUT_TransportEnergyCons!$C$3:$C$1000))*1,[1]OUT_TransportEnergyCons!L$3:L$1000)</f>
        <v>0</v>
      </c>
      <c r="O1432" s="1" cm="1">
        <f t="array" ref="O1432">SUMPRODUCT(("T_B_c-ICEnga-S2"=[1]OUT_TransportEnergyCons!$A$3:$A$1000)*1,("Var_Fin"=[1]OUT_TransportEnergyCons!$B$3:$B$1000)*1,ISNUMBER(SEARCH("nga",[1]OUT_TransportEnergyCons!$C$3:$C$1000))*1,[1]OUT_TransportEnergyCons!M$3:M$1000)</f>
        <v>0</v>
      </c>
      <c r="P1432" s="1" cm="1">
        <f t="array" ref="P1432">SUMPRODUCT(("T_B_c-ICEnga-S2"=[1]OUT_TransportEnergyCons!$A$3:$A$1000)*1,("Var_Fin"=[1]OUT_TransportEnergyCons!$B$3:$B$1000)*1,ISNUMBER(SEARCH("nga",[1]OUT_TransportEnergyCons!$C$3:$C$1000))*1,[1]OUT_TransportEnergyCons!N$3:N$1000)</f>
        <v>0</v>
      </c>
      <c r="Q1432" s="1" cm="1">
        <f t="array" ref="Q1432">SUMPRODUCT(("T_B_c-ICEnga-S2"=[1]OUT_TransportEnergyCons!$A$3:$A$1000)*1,("Var_Fin"=[1]OUT_TransportEnergyCons!$B$3:$B$1000)*1,ISNUMBER(SEARCH("nga",[1]OUT_TransportEnergyCons!$C$3:$C$1000))*1,[1]OUT_TransportEnergyCons!O$3:O$1000)</f>
        <v>0</v>
      </c>
      <c r="S1432" s="3"/>
    </row>
    <row r="1433" spans="2:19" x14ac:dyDescent="0.5">
      <c r="B1433" s="5" t="str">
        <f t="shared" si="1571"/>
        <v>SPS1</v>
      </c>
      <c r="C1433" s="5" t="str">
        <f t="shared" si="1572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1.723319033911147E-4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6.9347561204987143E-4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SUMPRODUCT(("T_B_c-ICEnga-S3"=[1]OUT_TransportEnergyCons!$A$3:$A$1000)*1,("Var_Fin"=[1]OUT_TransportEnergyCons!$B$3:$B$1000)*1,ISNUMBER(SEARCH("nga",[1]OUT_TransportEnergyCons!$C$3:$C$1000))*1,[1]OUT_TransportEnergyCons!H$3:H$1000)</f>
        <v>0</v>
      </c>
      <c r="K1433" s="1" cm="1">
        <f t="array" ref="K1433">SUMPRODUCT(("T_B_c-ICEnga-S3"=[1]OUT_TransportEnergyCons!$A$3:$A$1000)*1,("Var_Fin"=[1]OUT_TransportEnergyCons!$B$3:$B$1000)*1,ISNUMBER(SEARCH("nga",[1]OUT_TransportEnergyCons!$C$3:$C$1000))*1,[1]OUT_TransportEnergyCons!I$3:I$1000)</f>
        <v>0</v>
      </c>
      <c r="L1433" s="1" cm="1">
        <f t="array" ref="L1433">SUMPRODUCT(("T_B_c-ICEnga-S3"=[1]OUT_TransportEnergyCons!$A$3:$A$1000)*1,("Var_Fin"=[1]OUT_TransportEnergyCons!$B$3:$B$1000)*1,ISNUMBER(SEARCH("nga",[1]OUT_TransportEnergyCons!$C$3:$C$1000))*1,[1]OUT_TransportEnergyCons!J$3:J$1000)</f>
        <v>0</v>
      </c>
      <c r="M1433" s="1" cm="1">
        <f t="array" ref="M1433">SUMPRODUCT(("T_B_c-ICEnga-S3"=[1]OUT_TransportEnergyCons!$A$3:$A$1000)*1,("Var_Fin"=[1]OUT_TransportEnergyCons!$B$3:$B$1000)*1,ISNUMBER(SEARCH("nga",[1]OUT_TransportEnergyCons!$C$3:$C$1000))*1,[1]OUT_TransportEnergyCons!K$3:K$1000)</f>
        <v>0</v>
      </c>
      <c r="N1433" s="1" cm="1">
        <f t="array" ref="N1433">SUMPRODUCT(("T_B_c-ICEnga-S3"=[1]OUT_TransportEnergyCons!$A$3:$A$1000)*1,("Var_Fin"=[1]OUT_TransportEnergyCons!$B$3:$B$1000)*1,ISNUMBER(SEARCH("nga",[1]OUT_TransportEnergyCons!$C$3:$C$1000))*1,[1]OUT_TransportEnergyCons!L$3:L$1000)</f>
        <v>0</v>
      </c>
      <c r="O1433" s="1" cm="1">
        <f t="array" ref="O1433">SUMPRODUCT(("T_B_c-ICEnga-S3"=[1]OUT_TransportEnergyCons!$A$3:$A$1000)*1,("Var_Fin"=[1]OUT_TransportEnergyCons!$B$3:$B$1000)*1,ISNUMBER(SEARCH("nga",[1]OUT_TransportEnergyCons!$C$3:$C$1000))*1,[1]OUT_TransportEnergyCons!M$3:M$1000)</f>
        <v>0</v>
      </c>
      <c r="P1433" s="1" cm="1">
        <f t="array" ref="P1433">SUMPRODUCT(("T_B_c-ICEnga-S3"=[1]OUT_TransportEnergyCons!$A$3:$A$1000)*1,("Var_Fin"=[1]OUT_TransportEnergyCons!$B$3:$B$1000)*1,ISNUMBER(SEARCH("nga",[1]OUT_TransportEnergyCons!$C$3:$C$1000))*1,[1]OUT_TransportEnergyCons!N$3:N$1000)</f>
        <v>0</v>
      </c>
      <c r="Q1433" s="1" cm="1">
        <f t="array" ref="Q1433">SUMPRODUCT(("T_B_c-ICEnga-S3"=[1]OUT_TransportEnergyCons!$A$3:$A$1000)*1,("Var_Fin"=[1]OUT_TransportEnergyCons!$B$3:$B$1000)*1,ISNUMBER(SEARCH("nga",[1]OUT_TransportEnergyCons!$C$3:$C$1000))*1,[1]OUT_TransportEnergyCons!O$3:O$1000)</f>
        <v>0</v>
      </c>
      <c r="S1433" s="3"/>
    </row>
    <row r="1434" spans="2:19" x14ac:dyDescent="0.5">
      <c r="B1434" s="5" t="str">
        <f t="shared" si="1571"/>
        <v>SPS1</v>
      </c>
      <c r="C1434" s="5" t="str">
        <f t="shared" si="1572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8.6446548427354574E-5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2.5291082934613052E-4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SUMPRODUCT(("T_B_c-ICEnga-S4"=[1]OUT_TransportEnergyCons!$A$3:$A$1000)*1,("Var_Fin"=[1]OUT_TransportEnergyCons!$B$3:$B$1000)*1,ISNUMBER(SEARCH("nga",[1]OUT_TransportEnergyCons!$C$3:$C$1000))*1,[1]OUT_TransportEnergyCons!H$3:H$1000)</f>
        <v>0</v>
      </c>
      <c r="K1434" s="1" cm="1">
        <f t="array" ref="K1434">SUMPRODUCT(("T_B_c-ICEnga-S4"=[1]OUT_TransportEnergyCons!$A$3:$A$1000)*1,("Var_Fin"=[1]OUT_TransportEnergyCons!$B$3:$B$1000)*1,ISNUMBER(SEARCH("nga",[1]OUT_TransportEnergyCons!$C$3:$C$1000))*1,[1]OUT_TransportEnergyCons!I$3:I$1000)</f>
        <v>0</v>
      </c>
      <c r="L1434" s="1" cm="1">
        <f t="array" ref="L1434">SUMPRODUCT(("T_B_c-ICEnga-S4"=[1]OUT_TransportEnergyCons!$A$3:$A$1000)*1,("Var_Fin"=[1]OUT_TransportEnergyCons!$B$3:$B$1000)*1,ISNUMBER(SEARCH("nga",[1]OUT_TransportEnergyCons!$C$3:$C$1000))*1,[1]OUT_TransportEnergyCons!J$3:J$1000)</f>
        <v>0</v>
      </c>
      <c r="M1434" s="1" cm="1">
        <f t="array" ref="M1434">SUMPRODUCT(("T_B_c-ICEnga-S4"=[1]OUT_TransportEnergyCons!$A$3:$A$1000)*1,("Var_Fin"=[1]OUT_TransportEnergyCons!$B$3:$B$1000)*1,ISNUMBER(SEARCH("nga",[1]OUT_TransportEnergyCons!$C$3:$C$1000))*1,[1]OUT_TransportEnergyCons!K$3:K$1000)</f>
        <v>0</v>
      </c>
      <c r="N1434" s="1" cm="1">
        <f t="array" ref="N1434">SUMPRODUCT(("T_B_c-ICEnga-S4"=[1]OUT_TransportEnergyCons!$A$3:$A$1000)*1,("Var_Fin"=[1]OUT_TransportEnergyCons!$B$3:$B$1000)*1,ISNUMBER(SEARCH("nga",[1]OUT_TransportEnergyCons!$C$3:$C$1000))*1,[1]OUT_TransportEnergyCons!L$3:L$1000)</f>
        <v>0</v>
      </c>
      <c r="O1434" s="1" cm="1">
        <f t="array" ref="O1434">SUMPRODUCT(("T_B_c-ICEnga-S4"=[1]OUT_TransportEnergyCons!$A$3:$A$1000)*1,("Var_Fin"=[1]OUT_TransportEnergyCons!$B$3:$B$1000)*1,ISNUMBER(SEARCH("nga",[1]OUT_TransportEnergyCons!$C$3:$C$1000))*1,[1]OUT_TransportEnergyCons!M$3:M$1000)</f>
        <v>0</v>
      </c>
      <c r="P1434" s="1" cm="1">
        <f t="array" ref="P1434">SUMPRODUCT(("T_B_c-ICEnga-S4"=[1]OUT_TransportEnergyCons!$A$3:$A$1000)*1,("Var_Fin"=[1]OUT_TransportEnergyCons!$B$3:$B$1000)*1,ISNUMBER(SEARCH("nga",[1]OUT_TransportEnergyCons!$C$3:$C$1000))*1,[1]OUT_TransportEnergyCons!N$3:N$1000)</f>
        <v>0</v>
      </c>
      <c r="Q1434" s="1" cm="1">
        <f t="array" ref="Q1434">SUMPRODUCT(("T_B_c-ICEnga-S4"=[1]OUT_TransportEnergyCons!$A$3:$A$1000)*1,("Var_Fin"=[1]OUT_TransportEnergyCons!$B$3:$B$1000)*1,ISNUMBER(SEARCH("nga",[1]OUT_TransportEnergyCons!$C$3:$C$1000))*1,[1]OUT_TransportEnergyCons!O$3:O$1000)</f>
        <v>0</v>
      </c>
      <c r="S1434" s="3"/>
    </row>
    <row r="1435" spans="2:19" x14ac:dyDescent="0.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0.13099503211528166</v>
      </c>
      <c r="G1435" s="3">
        <f t="shared" ref="G1435" si="1603">SUM(G1436:G1458)</f>
        <v>0.13164574110333949</v>
      </c>
      <c r="H1435" s="3">
        <f t="shared" ref="H1435" si="1604">SUM(H1436:H1458)</f>
        <v>0.13269024162822515</v>
      </c>
      <c r="I1435" s="3">
        <f t="shared" ref="I1435" si="1605">SUM(I1436:I1458)</f>
        <v>0.13441723265583139</v>
      </c>
      <c r="J1435" s="3">
        <f t="shared" ref="J1435" si="1606">SUM(J1436:J1458)</f>
        <v>0.13463771962831028</v>
      </c>
      <c r="K1435" s="3">
        <f t="shared" ref="K1435" si="1607">SUM(K1436:K1458)</f>
        <v>0.13473016537334767</v>
      </c>
      <c r="L1435" s="3">
        <f t="shared" ref="L1435:O1435" si="1608">SUM(L1436:L1458)</f>
        <v>0.13506044801152214</v>
      </c>
      <c r="M1435" s="3">
        <f t="shared" si="1608"/>
        <v>0.13539365783746496</v>
      </c>
      <c r="N1435" s="3">
        <f t="shared" si="1608"/>
        <v>0.13968805511614152</v>
      </c>
      <c r="O1435" s="3">
        <f t="shared" si="1608"/>
        <v>0.14382293336569316</v>
      </c>
      <c r="P1435" s="3">
        <f>SUM(P1436:P1458)</f>
        <v>0.1478038896327569</v>
      </c>
      <c r="Q1435" s="3">
        <f>SUM(Q1436:Q1458)</f>
        <v>0.15163360369248061</v>
      </c>
      <c r="S1435" s="3"/>
    </row>
    <row r="1436" spans="2:19" x14ac:dyDescent="0.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SUMPRODUCT(("T_B_c-BeVELCEXT"=[1]OUT_TransportEnergyCons!$A$3:$A$1000)*1,("var_fout"=[1]OUT_TransportEnergyCons!$B$3:$B$1000)*1,ISNUMBER(SEARCH("TPBSc",[1]OUT_TransportEnergyCons!$C$3:$C$1000))*1,[1]OUT_TransportEnergyCons!H$3:H$1000)</f>
        <v>0</v>
      </c>
      <c r="K1436" s="1" cm="1">
        <f t="array" ref="K1436">SUMPRODUCT(("T_B_c-BeVELCEXT"=[1]OUT_TransportEnergyCons!$A$3:$A$1000)*1,("var_fout"=[1]OUT_TransportEnergyCons!$B$3:$B$1000)*1,ISNUMBER(SEARCH("TPBSc",[1]OUT_TransportEnergyCons!$C$3:$C$1000))*1,[1]OUT_TransportEnergyCons!I$3:I$1000)</f>
        <v>0</v>
      </c>
      <c r="L1436" s="1" cm="1">
        <f t="array" ref="L1436">SUMPRODUCT(("T_B_c-BeVELCEXT"=[1]OUT_TransportEnergyCons!$A$3:$A$1000)*1,("var_fout"=[1]OUT_TransportEnergyCons!$B$3:$B$1000)*1,ISNUMBER(SEARCH("TPBSc",[1]OUT_TransportEnergyCons!$C$3:$C$1000))*1,[1]OUT_TransportEnergyCons!J$3:J$1000)</f>
        <v>0</v>
      </c>
      <c r="M1436" s="1" cm="1">
        <f t="array" ref="M1436">SUMPRODUCT(("T_B_c-BeVELCEXT"=[1]OUT_TransportEnergyCons!$A$3:$A$1000)*1,("var_fout"=[1]OUT_TransportEnergyCons!$B$3:$B$1000)*1,ISNUMBER(SEARCH("TPBSc",[1]OUT_TransportEnergyCons!$C$3:$C$1000))*1,[1]OUT_TransportEnergyCons!K$3:K$1000)</f>
        <v>0</v>
      </c>
      <c r="N1436" s="1" cm="1">
        <f t="array" ref="N1436">SUMPRODUCT(("T_B_c-BeVELCEXT"=[1]OUT_TransportEnergyCons!$A$3:$A$1000)*1,("var_fout"=[1]OUT_TransportEnergyCons!$B$3:$B$1000)*1,ISNUMBER(SEARCH("TPBSc",[1]OUT_TransportEnergyCons!$C$3:$C$1000))*1,[1]OUT_TransportEnergyCons!L$3:L$1000)</f>
        <v>0</v>
      </c>
      <c r="O1436" s="1" cm="1">
        <f t="array" ref="O1436">SUMPRODUCT(("T_B_c-BeVELCEXT"=[1]OUT_TransportEnergyCons!$A$3:$A$1000)*1,("var_fout"=[1]OUT_TransportEnergyCons!$B$3:$B$1000)*1,ISNUMBER(SEARCH("TPBSc",[1]OUT_TransportEnergyCons!$C$3:$C$1000))*1,[1]OUT_TransportEnergyCons!M$3:M$1000)</f>
        <v>0</v>
      </c>
      <c r="P1436" s="1" cm="1">
        <f t="array" ref="P1436">SUMPRODUCT(("T_B_c-BeVELCEXT"=[1]OUT_TransportEnergyCons!$A$3:$A$1000)*1,("var_fout"=[1]OUT_TransportEnergyCons!$B$3:$B$1000)*1,ISNUMBER(SEARCH("TPBSc",[1]OUT_TransportEnergyCons!$C$3:$C$1000))*1,[1]OUT_TransportEnergyCons!N$3:N$1000)</f>
        <v>0</v>
      </c>
      <c r="Q1436" s="1" cm="1">
        <f t="array" ref="Q1436">SUMPRODUCT(("T_B_c-BeVELCEXT"=[1]OUT_TransportEnergyCons!$A$3:$A$1000)*1,("var_fout"=[1]OUT_TransportEnergyCons!$B$3:$B$1000)*1,ISNUMBER(SEARCH("TPBSc",[1]OUT_TransportEnergyCons!$C$3:$C$1000))*1,[1]OUT_TransportEnergyCons!O$3:O$1000)</f>
        <v>0</v>
      </c>
      <c r="S1436" s="3"/>
    </row>
    <row r="1437" spans="2:19" x14ac:dyDescent="0.5">
      <c r="B1437" s="5" t="str">
        <f t="shared" ref="B1437:B1458" si="1609">B1436</f>
        <v>SPS1</v>
      </c>
      <c r="C1437" s="5" t="str">
        <f t="shared" ref="C1437:C1458" si="1610">C1436</f>
        <v>CH</v>
      </c>
      <c r="D1437" t="s">
        <v>1429</v>
      </c>
      <c r="E1437" t="str">
        <f t="shared" ref="E1437:E1458" si="1611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1.4999883365800833E-4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2.9205527767789836E-4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5.2961014539250123E-4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6.4236118158214853E-2</v>
      </c>
      <c r="J1437" s="1" cm="1">
        <f t="array" ref="J1437">SUMPRODUCT(("T_B_c-BEVELC-S1"=[1]OUT_TransportEnergyCons!$A$3:$A$1000)*1,("var_fout"=[1]OUT_TransportEnergyCons!$B$3:$B$1000)*1,ISNUMBER(SEARCH("TPBSc",[1]OUT_TransportEnergyCons!$C$3:$C$1000))*1,[1]OUT_TransportEnergyCons!H$3:H$1000)</f>
        <v>6.2401849237874563E-2</v>
      </c>
      <c r="K1437" s="1" cm="1">
        <f t="array" ref="K1437">SUMPRODUCT(("T_B_c-BEVELC-S1"=[1]OUT_TransportEnergyCons!$A$3:$A$1000)*1,("var_fout"=[1]OUT_TransportEnergyCons!$B$3:$B$1000)*1,ISNUMBER(SEARCH("TPBSc",[1]OUT_TransportEnergyCons!$C$3:$C$1000))*1,[1]OUT_TransportEnergyCons!I$3:I$1000)</f>
        <v>6.1817944101082829E-2</v>
      </c>
      <c r="L1437" s="1" cm="1">
        <f t="array" ref="L1437">SUMPRODUCT(("T_B_c-BEVELC-S1"=[1]OUT_TransportEnergyCons!$A$3:$A$1000)*1,("var_fout"=[1]OUT_TransportEnergyCons!$B$3:$B$1000)*1,ISNUMBER(SEARCH("TPBSc",[1]OUT_TransportEnergyCons!$C$3:$C$1000))*1,[1]OUT_TransportEnergyCons!J$3:J$1000)</f>
        <v>5.9787640558050109E-2</v>
      </c>
      <c r="M1437" s="1" cm="1">
        <f t="array" ref="M1437">SUMPRODUCT(("T_B_c-BEVELC-S1"=[1]OUT_TransportEnergyCons!$A$3:$A$1000)*1,("var_fout"=[1]OUT_TransportEnergyCons!$B$3:$B$1000)*1,ISNUMBER(SEARCH("TPBSc",[1]OUT_TransportEnergyCons!$C$3:$C$1000))*1,[1]OUT_TransportEnergyCons!K$3:K$1000)</f>
        <v>5.6730849499901918E-2</v>
      </c>
      <c r="N1437" s="1" cm="1">
        <f t="array" ref="N1437">SUMPRODUCT(("T_B_c-BEVELC-S1"=[1]OUT_TransportEnergyCons!$A$3:$A$1000)*1,("var_fout"=[1]OUT_TransportEnergyCons!$B$3:$B$1000)*1,ISNUMBER(SEARCH("TPBSc",[1]OUT_TransportEnergyCons!$C$3:$C$1000))*1,[1]OUT_TransportEnergyCons!L$3:L$1000)</f>
        <v>5.63376538525431E-2</v>
      </c>
      <c r="O1437" s="1" cm="1">
        <f t="array" ref="O1437">SUMPRODUCT(("T_B_c-BEVELC-S1"=[1]OUT_TransportEnergyCons!$A$3:$A$1000)*1,("var_fout"=[1]OUT_TransportEnergyCons!$B$3:$B$1000)*1,ISNUMBER(SEARCH("TPBSc",[1]OUT_TransportEnergyCons!$C$3:$C$1000))*1,[1]OUT_TransportEnergyCons!M$3:M$1000)</f>
        <v>5.5160802611244071E-2</v>
      </c>
      <c r="P1437" s="1" cm="1">
        <f t="array" ref="P1437">SUMPRODUCT(("T_B_c-BEVELC-S1"=[1]OUT_TransportEnergyCons!$A$3:$A$1000)*1,("var_fout"=[1]OUT_TransportEnergyCons!$B$3:$B$1000)*1,ISNUMBER(SEARCH("TPBSc",[1]OUT_TransportEnergyCons!$C$3:$C$1000))*1,[1]OUT_TransportEnergyCons!N$3:N$1000)</f>
        <v>5.6764818105084193E-2</v>
      </c>
      <c r="Q1437" s="1" cm="1">
        <f t="array" ref="Q1437">SUMPRODUCT(("T_B_c-BEVELC-S1"=[1]OUT_TransportEnergyCons!$A$3:$A$1000)*1,("var_fout"=[1]OUT_TransportEnergyCons!$B$3:$B$1000)*1,ISNUMBER(SEARCH("TPBSc",[1]OUT_TransportEnergyCons!$C$3:$C$1000))*1,[1]OUT_TransportEnergyCons!O$3:O$1000)</f>
        <v>5.3603110962652967E-2</v>
      </c>
      <c r="S1437" s="3"/>
    </row>
    <row r="1438" spans="2:19" x14ac:dyDescent="0.5">
      <c r="B1438" s="5" t="str">
        <f t="shared" si="1609"/>
        <v>SPS1</v>
      </c>
      <c r="C1438" s="5" t="str">
        <f t="shared" si="1610"/>
        <v>CH</v>
      </c>
      <c r="D1438" t="s">
        <v>1430</v>
      </c>
      <c r="E1438" t="str">
        <f t="shared" si="1611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2.2757109341728216E-4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2.6537581521723751E-4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4.4527509069876102E-4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2.7759229171600799E-2</v>
      </c>
      <c r="J1438" s="1" cm="1">
        <f t="array" ref="J1438">SUMPRODUCT(("T_B_c-BEVELC-S2"=[1]OUT_TransportEnergyCons!$A$3:$A$1000)*1,("var_fout"=[1]OUT_TransportEnergyCons!$B$3:$B$1000)*1,ISNUMBER(SEARCH("TPBSc",[1]OUT_TransportEnergyCons!$C$3:$C$1000))*1,[1]OUT_TransportEnergyCons!H$3:H$1000)</f>
        <v>2.9406193870698302E-2</v>
      </c>
      <c r="K1438" s="1" cm="1">
        <f t="array" ref="K1438">SUMPRODUCT(("T_B_c-BEVELC-S2"=[1]OUT_TransportEnergyCons!$A$3:$A$1000)*1,("var_fout"=[1]OUT_TransportEnergyCons!$B$3:$B$1000)*1,ISNUMBER(SEARCH("TPBSc",[1]OUT_TransportEnergyCons!$C$3:$C$1000))*1,[1]OUT_TransportEnergyCons!I$3:I$1000)</f>
        <v>2.9455183018776296E-2</v>
      </c>
      <c r="L1438" s="1" cm="1">
        <f t="array" ref="L1438">SUMPRODUCT(("T_B_c-BEVELC-S2"=[1]OUT_TransportEnergyCons!$A$3:$A$1000)*1,("var_fout"=[1]OUT_TransportEnergyCons!$B$3:$B$1000)*1,ISNUMBER(SEARCH("TPBSc",[1]OUT_TransportEnergyCons!$C$3:$C$1000))*1,[1]OUT_TransportEnergyCons!J$3:J$1000)</f>
        <v>3.0882487935206111E-2</v>
      </c>
      <c r="M1438" s="1" cm="1">
        <f t="array" ref="M1438">SUMPRODUCT(("T_B_c-BEVELC-S2"=[1]OUT_TransportEnergyCons!$A$3:$A$1000)*1,("var_fout"=[1]OUT_TransportEnergyCons!$B$3:$B$1000)*1,ISNUMBER(SEARCH("TPBSc",[1]OUT_TransportEnergyCons!$C$3:$C$1000))*1,[1]OUT_TransportEnergyCons!K$3:K$1000)</f>
        <v>3.2680689133084237E-2</v>
      </c>
      <c r="N1438" s="1" cm="1">
        <f t="array" ref="N1438">SUMPRODUCT(("T_B_c-BEVELC-S2"=[1]OUT_TransportEnergyCons!$A$3:$A$1000)*1,("var_fout"=[1]OUT_TransportEnergyCons!$B$3:$B$1000)*1,ISNUMBER(SEARCH("TPBSc",[1]OUT_TransportEnergyCons!$C$3:$C$1000))*1,[1]OUT_TransportEnergyCons!L$3:L$1000)</f>
        <v>3.284964304632966E-2</v>
      </c>
      <c r="O1438" s="1" cm="1">
        <f t="array" ref="O1438">SUMPRODUCT(("T_B_c-BEVELC-S2"=[1]OUT_TransportEnergyCons!$A$3:$A$1000)*1,("var_fout"=[1]OUT_TransportEnergyCons!$B$3:$B$1000)*1,ISNUMBER(SEARCH("TPBSc",[1]OUT_TransportEnergyCons!$C$3:$C$1000))*1,[1]OUT_TransportEnergyCons!M$3:M$1000)</f>
        <v>3.2712387390305693E-2</v>
      </c>
      <c r="P1438" s="1" cm="1">
        <f t="array" ref="P1438">SUMPRODUCT(("T_B_c-BEVELC-S2"=[1]OUT_TransportEnergyCons!$A$3:$A$1000)*1,("var_fout"=[1]OUT_TransportEnergyCons!$B$3:$B$1000)*1,ISNUMBER(SEARCH("TPBSc",[1]OUT_TransportEnergyCons!$C$3:$C$1000))*1,[1]OUT_TransportEnergyCons!N$3:N$1000)</f>
        <v>2.9734529871354262E-2</v>
      </c>
      <c r="Q1438" s="1" cm="1">
        <f t="array" ref="Q1438">SUMPRODUCT(("T_B_c-BEVELC-S2"=[1]OUT_TransportEnergyCons!$A$3:$A$1000)*1,("var_fout"=[1]OUT_TransportEnergyCons!$B$3:$B$1000)*1,ISNUMBER(SEARCH("TPBSc",[1]OUT_TransportEnergyCons!$C$3:$C$1000))*1,[1]OUT_TransportEnergyCons!O$3:O$1000)</f>
        <v>2.9309607189759987E-2</v>
      </c>
      <c r="S1438" s="3"/>
    </row>
    <row r="1439" spans="2:19" x14ac:dyDescent="0.5">
      <c r="B1439" s="5" t="str">
        <f t="shared" si="1609"/>
        <v>SPS1</v>
      </c>
      <c r="C1439" s="5" t="str">
        <f t="shared" si="1610"/>
        <v>CH</v>
      </c>
      <c r="D1439" t="s">
        <v>1431</v>
      </c>
      <c r="E1439" t="str">
        <f t="shared" si="1611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8.7642908929009436E-5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1.4246698095245059E-4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2.0170556242437936E-4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3.1334823247712042E-4</v>
      </c>
      <c r="J1439" s="1" cm="1">
        <f t="array" ref="J1439">SUMPRODUCT(("T_B_c-BEVELC-S3"=[1]OUT_TransportEnergyCons!$A$3:$A$1000)*1,("var_fout"=[1]OUT_TransportEnergyCons!$B$3:$B$1000)*1,ISNUMBER(SEARCH("TPBSc",[1]OUT_TransportEnergyCons!$C$3:$C$1000))*1,[1]OUT_TransportEnergyCons!H$3:H$1000)</f>
        <v>6.9719772118628483E-4</v>
      </c>
      <c r="K1439" s="1" cm="1">
        <f t="array" ref="K1439">SUMPRODUCT(("T_B_c-BEVELC-S3"=[1]OUT_TransportEnergyCons!$A$3:$A$1000)*1,("var_fout"=[1]OUT_TransportEnergyCons!$B$3:$B$1000)*1,ISNUMBER(SEARCH("TPBSc",[1]OUT_TransportEnergyCons!$C$3:$C$1000))*1,[1]OUT_TransportEnergyCons!I$3:I$1000)</f>
        <v>1.1431858909682598E-3</v>
      </c>
      <c r="L1439" s="1" cm="1">
        <f t="array" ref="L1439">SUMPRODUCT(("T_B_c-BEVELC-S3"=[1]OUT_TransportEnergyCons!$A$3:$A$1000)*1,("var_fout"=[1]OUT_TransportEnergyCons!$B$3:$B$1000)*1,ISNUMBER(SEARCH("TPBSc",[1]OUT_TransportEnergyCons!$C$3:$C$1000))*1,[1]OUT_TransportEnergyCons!J$3:J$1000)</f>
        <v>1.5966196453798666E-3</v>
      </c>
      <c r="M1439" s="1" cm="1">
        <f t="array" ref="M1439">SUMPRODUCT(("T_B_c-BEVELC-S3"=[1]OUT_TransportEnergyCons!$A$3:$A$1000)*1,("var_fout"=[1]OUT_TransportEnergyCons!$B$3:$B$1000)*1,ISNUMBER(SEARCH("TPBSc",[1]OUT_TransportEnergyCons!$C$3:$C$1000))*1,[1]OUT_TransportEnergyCons!K$3:K$1000)</f>
        <v>2.2832432181747525E-3</v>
      </c>
      <c r="N1439" s="1" cm="1">
        <f t="array" ref="N1439">SUMPRODUCT(("T_B_c-BEVELC-S3"=[1]OUT_TransportEnergyCons!$A$3:$A$1000)*1,("var_fout"=[1]OUT_TransportEnergyCons!$B$3:$B$1000)*1,ISNUMBER(SEARCH("TPBSc",[1]OUT_TransportEnergyCons!$C$3:$C$1000))*1,[1]OUT_TransportEnergyCons!L$3:L$1000)</f>
        <v>2.6378283349276698E-3</v>
      </c>
      <c r="O1439" s="1" cm="1">
        <f t="array" ref="O1439">SUMPRODUCT(("T_B_c-BEVELC-S3"=[1]OUT_TransportEnergyCons!$A$3:$A$1000)*1,("var_fout"=[1]OUT_TransportEnergyCons!$B$3:$B$1000)*1,ISNUMBER(SEARCH("TPBSc",[1]OUT_TransportEnergyCons!$C$3:$C$1000))*1,[1]OUT_TransportEnergyCons!M$3:M$1000)</f>
        <v>3.8115817564251418E-3</v>
      </c>
      <c r="P1439" s="1" cm="1">
        <f t="array" ref="P1439">SUMPRODUCT(("T_B_c-BEVELC-S3"=[1]OUT_TransportEnergyCons!$A$3:$A$1000)*1,("var_fout"=[1]OUT_TransportEnergyCons!$B$3:$B$1000)*1,ISNUMBER(SEARCH("TPBSc",[1]OUT_TransportEnergyCons!$C$3:$C$1000))*1,[1]OUT_TransportEnergyCons!N$3:N$1000)</f>
        <v>5.1964072457082837E-3</v>
      </c>
      <c r="Q1439" s="1" cm="1">
        <f t="array" ref="Q1439">SUMPRODUCT(("T_B_c-BEVELC-S3"=[1]OUT_TransportEnergyCons!$A$3:$A$1000)*1,("var_fout"=[1]OUT_TransportEnergyCons!$B$3:$B$1000)*1,ISNUMBER(SEARCH("TPBSc",[1]OUT_TransportEnergyCons!$C$3:$C$1000))*1,[1]OUT_TransportEnergyCons!O$3:O$1000)</f>
        <v>8.5882770858613684E-3</v>
      </c>
      <c r="S1439" s="3"/>
    </row>
    <row r="1440" spans="2:19" x14ac:dyDescent="0.5">
      <c r="B1440" s="5" t="str">
        <f t="shared" si="1609"/>
        <v>SPS1</v>
      </c>
      <c r="C1440" s="5" t="str">
        <f t="shared" si="1610"/>
        <v>CH</v>
      </c>
      <c r="D1440" t="s">
        <v>1432</v>
      </c>
      <c r="E1440" t="str">
        <f t="shared" si="1611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1.8100139688696245E-5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3.9612790537253822E-5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3.9635974060315251E-5</v>
      </c>
      <c r="J1440" s="1" cm="1">
        <f t="array" ref="J1440">SUMPRODUCT(("T_B_c-BEVELC-S4"=[1]OUT_TransportEnergyCons!$A$3:$A$1000)*1,("var_fout"=[1]OUT_TransportEnergyCons!$B$3:$B$1000)*1,ISNUMBER(SEARCH("TPBSc",[1]OUT_TransportEnergyCons!$C$3:$C$1000))*1,[1]OUT_TransportEnergyCons!H$3:H$1000)</f>
        <v>4.5910812717323913E-5</v>
      </c>
      <c r="K1440" s="1" cm="1">
        <f t="array" ref="K1440">SUMPRODUCT(("T_B_c-BEVELC-S4"=[1]OUT_TransportEnergyCons!$A$3:$A$1000)*1,("var_fout"=[1]OUT_TransportEnergyCons!$B$3:$B$1000)*1,ISNUMBER(SEARCH("TPBSc",[1]OUT_TransportEnergyCons!$C$3:$C$1000))*1,[1]OUT_TransportEnergyCons!I$3:I$1000)</f>
        <v>7.0913507256211417E-5</v>
      </c>
      <c r="L1440" s="1" cm="1">
        <f t="array" ref="L1440">SUMPRODUCT(("T_B_c-BEVELC-S4"=[1]OUT_TransportEnergyCons!$A$3:$A$1000)*1,("var_fout"=[1]OUT_TransportEnergyCons!$B$3:$B$1000)*1,ISNUMBER(SEARCH("TPBSc",[1]OUT_TransportEnergyCons!$C$3:$C$1000))*1,[1]OUT_TransportEnergyCons!J$3:J$1000)</f>
        <v>6.6145054017482406E-5</v>
      </c>
      <c r="M1440" s="1" cm="1">
        <f t="array" ref="M1440">SUMPRODUCT(("T_B_c-BEVELC-S4"=[1]OUT_TransportEnergyCons!$A$3:$A$1000)*1,("var_fout"=[1]OUT_TransportEnergyCons!$B$3:$B$1000)*1,ISNUMBER(SEARCH("TPBSc",[1]OUT_TransportEnergyCons!$C$3:$C$1000))*1,[1]OUT_TransportEnergyCons!K$3:K$1000)</f>
        <v>9.1506660370946295E-5</v>
      </c>
      <c r="N1440" s="1" cm="1">
        <f t="array" ref="N1440">SUMPRODUCT(("T_B_c-BEVELC-S4"=[1]OUT_TransportEnergyCons!$A$3:$A$1000)*1,("var_fout"=[1]OUT_TransportEnergyCons!$B$3:$B$1000)*1,ISNUMBER(SEARCH("TPBSc",[1]OUT_TransportEnergyCons!$C$3:$C$1000))*1,[1]OUT_TransportEnergyCons!L$3:L$1000)</f>
        <v>9.0526441290780604E-5</v>
      </c>
      <c r="O1440" s="1" cm="1">
        <f t="array" ref="O1440">SUMPRODUCT(("T_B_c-BEVELC-S4"=[1]OUT_TransportEnergyCons!$A$3:$A$1000)*1,("var_fout"=[1]OUT_TransportEnergyCons!$B$3:$B$1000)*1,ISNUMBER(SEARCH("TPBSc",[1]OUT_TransportEnergyCons!$C$3:$C$1000))*1,[1]OUT_TransportEnergyCons!M$3:M$1000)</f>
        <v>8.8706377118099431E-5</v>
      </c>
      <c r="P1440" s="1" cm="1">
        <f t="array" ref="P1440">SUMPRODUCT(("T_B_c-BEVELC-S4"=[1]OUT_TransportEnergyCons!$A$3:$A$1000)*1,("var_fout"=[1]OUT_TransportEnergyCons!$B$3:$B$1000)*1,ISNUMBER(SEARCH("TPBSc",[1]OUT_TransportEnergyCons!$C$3:$C$1000))*1,[1]OUT_TransportEnergyCons!N$3:N$1000)</f>
        <v>1.2401279094261092E-4</v>
      </c>
      <c r="Q1440" s="1" cm="1">
        <f t="array" ref="Q1440">SUMPRODUCT(("T_B_c-BEVELC-S4"=[1]OUT_TransportEnergyCons!$A$3:$A$1000)*1,("var_fout"=[1]OUT_TransportEnergyCons!$B$3:$B$1000)*1,ISNUMBER(SEARCH("TPBSc",[1]OUT_TransportEnergyCons!$C$3:$C$1000))*1,[1]OUT_TransportEnergyCons!O$3:O$1000)</f>
        <v>1.6111097200305008E-4</v>
      </c>
      <c r="S1440" s="3"/>
    </row>
    <row r="1441" spans="2:19" x14ac:dyDescent="0.5">
      <c r="B1441" s="5" t="str">
        <f t="shared" si="1609"/>
        <v>SPS1</v>
      </c>
      <c r="C1441" s="5" t="str">
        <f t="shared" si="1610"/>
        <v>CH</v>
      </c>
      <c r="D1441" t="s">
        <v>1433</v>
      </c>
      <c r="E1441" t="str">
        <f t="shared" si="1611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SUMPRODUCT(("T_B_c-FCLH2O-S1"=[1]OUT_TransportEnergyCons!$A$3:$A$1000)*1,("var_fout"=[1]OUT_TransportEnergyCons!$B$3:$B$1000)*1,ISNUMBER(SEARCH("TPBSc",[1]OUT_TransportEnergyCons!$C$3:$C$1000))*1,[1]OUT_TransportEnergyCons!H$3:H$1000)</f>
        <v>0</v>
      </c>
      <c r="K1441" s="1" cm="1">
        <f t="array" ref="K1441">SUMPRODUCT(("T_B_c-FCLH2O-S1"=[1]OUT_TransportEnergyCons!$A$3:$A$1000)*1,("var_fout"=[1]OUT_TransportEnergyCons!$B$3:$B$1000)*1,ISNUMBER(SEARCH("TPBSc",[1]OUT_TransportEnergyCons!$C$3:$C$1000))*1,[1]OUT_TransportEnergyCons!I$3:I$1000)</f>
        <v>0</v>
      </c>
      <c r="L1441" s="1" cm="1">
        <f t="array" ref="L1441">SUMPRODUCT(("T_B_c-FCLH2O-S1"=[1]OUT_TransportEnergyCons!$A$3:$A$1000)*1,("var_fout"=[1]OUT_TransportEnergyCons!$B$3:$B$1000)*1,ISNUMBER(SEARCH("TPBSc",[1]OUT_TransportEnergyCons!$C$3:$C$1000))*1,[1]OUT_TransportEnergyCons!J$3:J$1000)</f>
        <v>0</v>
      </c>
      <c r="M1441" s="1" cm="1">
        <f t="array" ref="M1441">SUMPRODUCT(("T_B_c-FCLH2O-S1"=[1]OUT_TransportEnergyCons!$A$3:$A$1000)*1,("var_fout"=[1]OUT_TransportEnergyCons!$B$3:$B$1000)*1,ISNUMBER(SEARCH("TPBSc",[1]OUT_TransportEnergyCons!$C$3:$C$1000))*1,[1]OUT_TransportEnergyCons!K$3:K$1000)</f>
        <v>0</v>
      </c>
      <c r="N1441" s="1" cm="1">
        <f t="array" ref="N1441">SUMPRODUCT(("T_B_c-FCLH2O-S1"=[1]OUT_TransportEnergyCons!$A$3:$A$1000)*1,("var_fout"=[1]OUT_TransportEnergyCons!$B$3:$B$1000)*1,ISNUMBER(SEARCH("TPBSc",[1]OUT_TransportEnergyCons!$C$3:$C$1000))*1,[1]OUT_TransportEnergyCons!L$3:L$1000)</f>
        <v>0</v>
      </c>
      <c r="O1441" s="1" cm="1">
        <f t="array" ref="O1441">SUMPRODUCT(("T_B_c-FCLH2O-S1"=[1]OUT_TransportEnergyCons!$A$3:$A$1000)*1,("var_fout"=[1]OUT_TransportEnergyCons!$B$3:$B$1000)*1,ISNUMBER(SEARCH("TPBSc",[1]OUT_TransportEnergyCons!$C$3:$C$1000))*1,[1]OUT_TransportEnergyCons!M$3:M$1000)</f>
        <v>0</v>
      </c>
      <c r="P1441" s="1" cm="1">
        <f t="array" ref="P1441">SUMPRODUCT(("T_B_c-FCLH2O-S1"=[1]OUT_TransportEnergyCons!$A$3:$A$1000)*1,("var_fout"=[1]OUT_TransportEnergyCons!$B$3:$B$1000)*1,ISNUMBER(SEARCH("TPBSc",[1]OUT_TransportEnergyCons!$C$3:$C$1000))*1,[1]OUT_TransportEnergyCons!N$3:N$1000)</f>
        <v>0</v>
      </c>
      <c r="Q1441" s="1" cm="1">
        <f t="array" ref="Q1441">SUMPRODUCT(("T_B_c-FCLH2O-S1"=[1]OUT_TransportEnergyCons!$A$3:$A$1000)*1,("var_fout"=[1]OUT_TransportEnergyCons!$B$3:$B$1000)*1,ISNUMBER(SEARCH("TPBSc",[1]OUT_TransportEnergyCons!$C$3:$C$1000))*1,[1]OUT_TransportEnergyCons!O$3:O$1000)</f>
        <v>0</v>
      </c>
      <c r="S1441" s="3"/>
    </row>
    <row r="1442" spans="2:19" x14ac:dyDescent="0.5">
      <c r="B1442" s="5" t="str">
        <f t="shared" si="1609"/>
        <v>SPS1</v>
      </c>
      <c r="C1442" s="5" t="str">
        <f t="shared" si="1610"/>
        <v>CH</v>
      </c>
      <c r="D1442" t="s">
        <v>1434</v>
      </c>
      <c r="E1442" t="str">
        <f t="shared" si="1611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SUMPRODUCT(("T_B_c-FCLH2O-S2"=[1]OUT_TransportEnergyCons!$A$3:$A$1000)*1,("var_fout"=[1]OUT_TransportEnergyCons!$B$3:$B$1000)*1,ISNUMBER(SEARCH("TPBSc",[1]OUT_TransportEnergyCons!$C$3:$C$1000))*1,[1]OUT_TransportEnergyCons!H$3:H$1000)</f>
        <v>0</v>
      </c>
      <c r="K1442" s="1" cm="1">
        <f t="array" ref="K1442">SUMPRODUCT(("T_B_c-FCLH2O-S2"=[1]OUT_TransportEnergyCons!$A$3:$A$1000)*1,("var_fout"=[1]OUT_TransportEnergyCons!$B$3:$B$1000)*1,ISNUMBER(SEARCH("TPBSc",[1]OUT_TransportEnergyCons!$C$3:$C$1000))*1,[1]OUT_TransportEnergyCons!I$3:I$1000)</f>
        <v>0</v>
      </c>
      <c r="L1442" s="1" cm="1">
        <f t="array" ref="L1442">SUMPRODUCT(("T_B_c-FCLH2O-S2"=[1]OUT_TransportEnergyCons!$A$3:$A$1000)*1,("var_fout"=[1]OUT_TransportEnergyCons!$B$3:$B$1000)*1,ISNUMBER(SEARCH("TPBSc",[1]OUT_TransportEnergyCons!$C$3:$C$1000))*1,[1]OUT_TransportEnergyCons!J$3:J$1000)</f>
        <v>0</v>
      </c>
      <c r="M1442" s="1" cm="1">
        <f t="array" ref="M1442">SUMPRODUCT(("T_B_c-FCLH2O-S2"=[1]OUT_TransportEnergyCons!$A$3:$A$1000)*1,("var_fout"=[1]OUT_TransportEnergyCons!$B$3:$B$1000)*1,ISNUMBER(SEARCH("TPBSc",[1]OUT_TransportEnergyCons!$C$3:$C$1000))*1,[1]OUT_TransportEnergyCons!K$3:K$1000)</f>
        <v>0</v>
      </c>
      <c r="N1442" s="1" cm="1">
        <f t="array" ref="N1442">SUMPRODUCT(("T_B_c-FCLH2O-S2"=[1]OUT_TransportEnergyCons!$A$3:$A$1000)*1,("var_fout"=[1]OUT_TransportEnergyCons!$B$3:$B$1000)*1,ISNUMBER(SEARCH("TPBSc",[1]OUT_TransportEnergyCons!$C$3:$C$1000))*1,[1]OUT_TransportEnergyCons!L$3:L$1000)</f>
        <v>0</v>
      </c>
      <c r="O1442" s="1" cm="1">
        <f t="array" ref="O1442">SUMPRODUCT(("T_B_c-FCLH2O-S2"=[1]OUT_TransportEnergyCons!$A$3:$A$1000)*1,("var_fout"=[1]OUT_TransportEnergyCons!$B$3:$B$1000)*1,ISNUMBER(SEARCH("TPBSc",[1]OUT_TransportEnergyCons!$C$3:$C$1000))*1,[1]OUT_TransportEnergyCons!M$3:M$1000)</f>
        <v>0</v>
      </c>
      <c r="P1442" s="1" cm="1">
        <f t="array" ref="P1442">SUMPRODUCT(("T_B_c-FCLH2O-S2"=[1]OUT_TransportEnergyCons!$A$3:$A$1000)*1,("var_fout"=[1]OUT_TransportEnergyCons!$B$3:$B$1000)*1,ISNUMBER(SEARCH("TPBSc",[1]OUT_TransportEnergyCons!$C$3:$C$1000))*1,[1]OUT_TransportEnergyCons!N$3:N$1000)</f>
        <v>0</v>
      </c>
      <c r="Q1442" s="1" cm="1">
        <f t="array" ref="Q1442">SUMPRODUCT(("T_B_c-FCLH2O-S2"=[1]OUT_TransportEnergyCons!$A$3:$A$1000)*1,("var_fout"=[1]OUT_TransportEnergyCons!$B$3:$B$1000)*1,ISNUMBER(SEARCH("TPBSc",[1]OUT_TransportEnergyCons!$C$3:$C$1000))*1,[1]OUT_TransportEnergyCons!O$3:O$1000)</f>
        <v>0</v>
      </c>
      <c r="S1442" s="3"/>
    </row>
    <row r="1443" spans="2:19" x14ac:dyDescent="0.5">
      <c r="B1443" s="5" t="str">
        <f t="shared" si="1609"/>
        <v>SPS1</v>
      </c>
      <c r="C1443" s="5" t="str">
        <f t="shared" si="1610"/>
        <v>CH</v>
      </c>
      <c r="D1443" t="s">
        <v>1435</v>
      </c>
      <c r="E1443" t="str">
        <f t="shared" si="1611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8.7844207984947208E-8</v>
      </c>
      <c r="J1443" s="1" cm="1">
        <f t="array" ref="J1443">SUMPRODUCT(("T_B_c-FCLH2O-S3"=[1]OUT_TransportEnergyCons!$A$3:$A$1000)*1,("var_fout"=[1]OUT_TransportEnergyCons!$B$3:$B$1000)*1,ISNUMBER(SEARCH("TPBSc",[1]OUT_TransportEnergyCons!$C$3:$C$1000))*1,[1]OUT_TransportEnergyCons!H$3:H$1000)</f>
        <v>0</v>
      </c>
      <c r="K1443" s="1" cm="1">
        <f t="array" ref="K1443">SUMPRODUCT(("T_B_c-FCLH2O-S3"=[1]OUT_TransportEnergyCons!$A$3:$A$1000)*1,("var_fout"=[1]OUT_TransportEnergyCons!$B$3:$B$1000)*1,ISNUMBER(SEARCH("TPBSc",[1]OUT_TransportEnergyCons!$C$3:$C$1000))*1,[1]OUT_TransportEnergyCons!I$3:I$1000)</f>
        <v>0</v>
      </c>
      <c r="L1443" s="1" cm="1">
        <f t="array" ref="L1443">SUMPRODUCT(("T_B_c-FCLH2O-S3"=[1]OUT_TransportEnergyCons!$A$3:$A$1000)*1,("var_fout"=[1]OUT_TransportEnergyCons!$B$3:$B$1000)*1,ISNUMBER(SEARCH("TPBSc",[1]OUT_TransportEnergyCons!$C$3:$C$1000))*1,[1]OUT_TransportEnergyCons!J$3:J$1000)</f>
        <v>0</v>
      </c>
      <c r="M1443" s="1" cm="1">
        <f t="array" ref="M1443">SUMPRODUCT(("T_B_c-FCLH2O-S3"=[1]OUT_TransportEnergyCons!$A$3:$A$1000)*1,("var_fout"=[1]OUT_TransportEnergyCons!$B$3:$B$1000)*1,ISNUMBER(SEARCH("TPBSc",[1]OUT_TransportEnergyCons!$C$3:$C$1000))*1,[1]OUT_TransportEnergyCons!K$3:K$1000)</f>
        <v>0</v>
      </c>
      <c r="N1443" s="1" cm="1">
        <f t="array" ref="N1443">SUMPRODUCT(("T_B_c-FCLH2O-S3"=[1]OUT_TransportEnergyCons!$A$3:$A$1000)*1,("var_fout"=[1]OUT_TransportEnergyCons!$B$3:$B$1000)*1,ISNUMBER(SEARCH("TPBSc",[1]OUT_TransportEnergyCons!$C$3:$C$1000))*1,[1]OUT_TransportEnergyCons!L$3:L$1000)</f>
        <v>0</v>
      </c>
      <c r="O1443" s="1" cm="1">
        <f t="array" ref="O1443">SUMPRODUCT(("T_B_c-FCLH2O-S3"=[1]OUT_TransportEnergyCons!$A$3:$A$1000)*1,("var_fout"=[1]OUT_TransportEnergyCons!$B$3:$B$1000)*1,ISNUMBER(SEARCH("TPBSc",[1]OUT_TransportEnergyCons!$C$3:$C$1000))*1,[1]OUT_TransportEnergyCons!M$3:M$1000)</f>
        <v>0</v>
      </c>
      <c r="P1443" s="1" cm="1">
        <f t="array" ref="P1443">SUMPRODUCT(("T_B_c-FCLH2O-S3"=[1]OUT_TransportEnergyCons!$A$3:$A$1000)*1,("var_fout"=[1]OUT_TransportEnergyCons!$B$3:$B$1000)*1,ISNUMBER(SEARCH("TPBSc",[1]OUT_TransportEnergyCons!$C$3:$C$1000))*1,[1]OUT_TransportEnergyCons!N$3:N$1000)</f>
        <v>0</v>
      </c>
      <c r="Q1443" s="1" cm="1">
        <f t="array" ref="Q1443">SUMPRODUCT(("T_B_c-FCLH2O-S3"=[1]OUT_TransportEnergyCons!$A$3:$A$1000)*1,("var_fout"=[1]OUT_TransportEnergyCons!$B$3:$B$1000)*1,ISNUMBER(SEARCH("TPBSc",[1]OUT_TransportEnergyCons!$C$3:$C$1000))*1,[1]OUT_TransportEnergyCons!O$3:O$1000)</f>
        <v>0</v>
      </c>
      <c r="S1443" s="3"/>
    </row>
    <row r="1444" spans="2:19" x14ac:dyDescent="0.5">
      <c r="B1444" s="5" t="str">
        <f t="shared" si="1609"/>
        <v>SPS1</v>
      </c>
      <c r="C1444" s="5" t="str">
        <f t="shared" si="1610"/>
        <v>CH</v>
      </c>
      <c r="D1444" t="s">
        <v>1436</v>
      </c>
      <c r="E1444" t="str">
        <f t="shared" si="1611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SUMPRODUCT(("T_B_c-FCLH2O-S4"=[1]OUT_TransportEnergyCons!$A$3:$A$1000)*1,("var_fout"=[1]OUT_TransportEnergyCons!$B$3:$B$1000)*1,ISNUMBER(SEARCH("TPBSc",[1]OUT_TransportEnergyCons!$C$3:$C$1000))*1,[1]OUT_TransportEnergyCons!H$3:H$1000)</f>
        <v>0</v>
      </c>
      <c r="K1444" s="1" cm="1">
        <f t="array" ref="K1444">SUMPRODUCT(("T_B_c-FCLH2O-S4"=[1]OUT_TransportEnergyCons!$A$3:$A$1000)*1,("var_fout"=[1]OUT_TransportEnergyCons!$B$3:$B$1000)*1,ISNUMBER(SEARCH("TPBSc",[1]OUT_TransportEnergyCons!$C$3:$C$1000))*1,[1]OUT_TransportEnergyCons!I$3:I$1000)</f>
        <v>0</v>
      </c>
      <c r="L1444" s="1" cm="1">
        <f t="array" ref="L1444">SUMPRODUCT(("T_B_c-FCLH2O-S4"=[1]OUT_TransportEnergyCons!$A$3:$A$1000)*1,("var_fout"=[1]OUT_TransportEnergyCons!$B$3:$B$1000)*1,ISNUMBER(SEARCH("TPBSc",[1]OUT_TransportEnergyCons!$C$3:$C$1000))*1,[1]OUT_TransportEnergyCons!J$3:J$1000)</f>
        <v>0</v>
      </c>
      <c r="M1444" s="1" cm="1">
        <f t="array" ref="M1444">SUMPRODUCT(("T_B_c-FCLH2O-S4"=[1]OUT_TransportEnergyCons!$A$3:$A$1000)*1,("var_fout"=[1]OUT_TransportEnergyCons!$B$3:$B$1000)*1,ISNUMBER(SEARCH("TPBSc",[1]OUT_TransportEnergyCons!$C$3:$C$1000))*1,[1]OUT_TransportEnergyCons!K$3:K$1000)</f>
        <v>0</v>
      </c>
      <c r="N1444" s="1" cm="1">
        <f t="array" ref="N1444">SUMPRODUCT(("T_B_c-FCLH2O-S4"=[1]OUT_TransportEnergyCons!$A$3:$A$1000)*1,("var_fout"=[1]OUT_TransportEnergyCons!$B$3:$B$1000)*1,ISNUMBER(SEARCH("TPBSc",[1]OUT_TransportEnergyCons!$C$3:$C$1000))*1,[1]OUT_TransportEnergyCons!L$3:L$1000)</f>
        <v>0</v>
      </c>
      <c r="O1444" s="1" cm="1">
        <f t="array" ref="O1444">SUMPRODUCT(("T_B_c-FCLH2O-S4"=[1]OUT_TransportEnergyCons!$A$3:$A$1000)*1,("var_fout"=[1]OUT_TransportEnergyCons!$B$3:$B$1000)*1,ISNUMBER(SEARCH("TPBSc",[1]OUT_TransportEnergyCons!$C$3:$C$1000))*1,[1]OUT_TransportEnergyCons!M$3:M$1000)</f>
        <v>0</v>
      </c>
      <c r="P1444" s="1" cm="1">
        <f t="array" ref="P1444">SUMPRODUCT(("T_B_c-FCLH2O-S4"=[1]OUT_TransportEnergyCons!$A$3:$A$1000)*1,("var_fout"=[1]OUT_TransportEnergyCons!$B$3:$B$1000)*1,ISNUMBER(SEARCH("TPBSc",[1]OUT_TransportEnergyCons!$C$3:$C$1000))*1,[1]OUT_TransportEnergyCons!N$3:N$1000)</f>
        <v>0</v>
      </c>
      <c r="Q1444" s="1" cm="1">
        <f t="array" ref="Q1444">SUMPRODUCT(("T_B_c-FCLH2O-S4"=[1]OUT_TransportEnergyCons!$A$3:$A$1000)*1,("var_fout"=[1]OUT_TransportEnergyCons!$B$3:$B$1000)*1,ISNUMBER(SEARCH("TPBSc",[1]OUT_TransportEnergyCons!$C$3:$C$1000))*1,[1]OUT_TransportEnergyCons!O$3:O$1000)</f>
        <v>0</v>
      </c>
      <c r="S1444" s="3"/>
    </row>
    <row r="1445" spans="2:19" x14ac:dyDescent="0.5">
      <c r="B1445" s="5" t="str">
        <f t="shared" si="1609"/>
        <v>SPS1</v>
      </c>
      <c r="C1445" s="5" t="str">
        <f t="shared" si="1610"/>
        <v>CH</v>
      </c>
      <c r="D1445" t="s">
        <v>1437</v>
      </c>
      <c r="E1445" t="str">
        <f t="shared" si="1611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5.6200036298501444E-4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7.285893139559645E-4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4.3618405727075178E-4</v>
      </c>
      <c r="J1445" s="1" cm="1">
        <f t="array" ref="J1445">SUMPRODUCT(("T_B_c-HYBDSL-S1"=[1]OUT_TransportEnergyCons!$A$3:$A$1000)*1,("var_fout"=[1]OUT_TransportEnergyCons!$B$3:$B$1000)*1,ISNUMBER(SEARCH("TPBSc",[1]OUT_TransportEnergyCons!$C$3:$C$1000))*1,[1]OUT_TransportEnergyCons!H$3:H$1000)</f>
        <v>2.3735737865855397E-3</v>
      </c>
      <c r="K1445" s="1" cm="1">
        <f t="array" ref="K1445">SUMPRODUCT(("T_B_c-HYBDSL-S1"=[1]OUT_TransportEnergyCons!$A$3:$A$1000)*1,("var_fout"=[1]OUT_TransportEnergyCons!$B$3:$B$1000)*1,ISNUMBER(SEARCH("TPBSc",[1]OUT_TransportEnergyCons!$C$3:$C$1000))*1,[1]OUT_TransportEnergyCons!I$3:I$1000)</f>
        <v>2.9672087694759706E-3</v>
      </c>
      <c r="L1445" s="1" cm="1">
        <f t="array" ref="L1445">SUMPRODUCT(("T_B_c-HYBDSL-S1"=[1]OUT_TransportEnergyCons!$A$3:$A$1000)*1,("var_fout"=[1]OUT_TransportEnergyCons!$B$3:$B$1000)*1,ISNUMBER(SEARCH("TPBSc",[1]OUT_TransportEnergyCons!$C$3:$C$1000))*1,[1]OUT_TransportEnergyCons!J$3:J$1000)</f>
        <v>5.1624869217691159E-3</v>
      </c>
      <c r="M1445" s="1" cm="1">
        <f t="array" ref="M1445">SUMPRODUCT(("T_B_c-HYBDSL-S1"=[1]OUT_TransportEnergyCons!$A$3:$A$1000)*1,("var_fout"=[1]OUT_TransportEnergyCons!$B$3:$B$1000)*1,ISNUMBER(SEARCH("TPBSc",[1]OUT_TransportEnergyCons!$C$3:$C$1000))*1,[1]OUT_TransportEnergyCons!K$3:K$1000)</f>
        <v>8.3467077679042698E-3</v>
      </c>
      <c r="N1445" s="1" cm="1">
        <f t="array" ref="N1445">SUMPRODUCT(("T_B_c-HYBDSL-S1"=[1]OUT_TransportEnergyCons!$A$3:$A$1000)*1,("var_fout"=[1]OUT_TransportEnergyCons!$B$3:$B$1000)*1,ISNUMBER(SEARCH("TPBSc",[1]OUT_TransportEnergyCons!$C$3:$C$1000))*1,[1]OUT_TransportEnergyCons!L$3:L$1000)</f>
        <v>1.0804799736706524E-2</v>
      </c>
      <c r="O1445" s="1" cm="1">
        <f t="array" ref="O1445">SUMPRODUCT(("T_B_c-HYBDSL-S1"=[1]OUT_TransportEnergyCons!$A$3:$A$1000)*1,("var_fout"=[1]OUT_TransportEnergyCons!$B$3:$B$1000)*1,ISNUMBER(SEARCH("TPBSc",[1]OUT_TransportEnergyCons!$C$3:$C$1000))*1,[1]OUT_TransportEnergyCons!M$3:M$1000)</f>
        <v>1.3979070589662636E-2</v>
      </c>
      <c r="P1445" s="1" cm="1">
        <f t="array" ref="P1445">SUMPRODUCT(("T_B_c-HYBDSL-S1"=[1]OUT_TransportEnergyCons!$A$3:$A$1000)*1,("var_fout"=[1]OUT_TransportEnergyCons!$B$3:$B$1000)*1,ISNUMBER(SEARCH("TPBSc",[1]OUT_TransportEnergyCons!$C$3:$C$1000))*1,[1]OUT_TransportEnergyCons!N$3:N$1000)</f>
        <v>1.4241879756714237E-2</v>
      </c>
      <c r="Q1445" s="1" cm="1">
        <f t="array" ref="Q1445">SUMPRODUCT(("T_B_c-HYBDSL-S1"=[1]OUT_TransportEnergyCons!$A$3:$A$1000)*1,("var_fout"=[1]OUT_TransportEnergyCons!$B$3:$B$1000)*1,ISNUMBER(SEARCH("TPBSc",[1]OUT_TransportEnergyCons!$C$3:$C$1000))*1,[1]OUT_TransportEnergyCons!O$3:O$1000)</f>
        <v>1.9198548887421087E-2</v>
      </c>
      <c r="S1445" s="3"/>
    </row>
    <row r="1446" spans="2:19" x14ac:dyDescent="0.5">
      <c r="B1446" s="5" t="str">
        <f t="shared" si="1609"/>
        <v>SPS1</v>
      </c>
      <c r="C1446" s="5" t="str">
        <f t="shared" si="1610"/>
        <v>CH</v>
      </c>
      <c r="D1446" t="s">
        <v>1438</v>
      </c>
      <c r="E1446" t="str">
        <f t="shared" si="1611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1.2511004735653731E-4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5.1778530383541771E-3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2.9649526499036242E-2</v>
      </c>
      <c r="J1446" s="1" cm="1">
        <f t="array" ref="J1446">SUMPRODUCT(("T_B_c-HYBDSL-S2"=[1]OUT_TransportEnergyCons!$A$3:$A$1000)*1,("var_fout"=[1]OUT_TransportEnergyCons!$B$3:$B$1000)*1,ISNUMBER(SEARCH("TPBSc",[1]OUT_TransportEnergyCons!$C$3:$C$1000))*1,[1]OUT_TransportEnergyCons!H$3:H$1000)</f>
        <v>2.8096974032490535E-2</v>
      </c>
      <c r="K1446" s="1" cm="1">
        <f t="array" ref="K1446">SUMPRODUCT(("T_B_c-HYBDSL-S2"=[1]OUT_TransportEnergyCons!$A$3:$A$1000)*1,("var_fout"=[1]OUT_TransportEnergyCons!$B$3:$B$1000)*1,ISNUMBER(SEARCH("TPBSc",[1]OUT_TransportEnergyCons!$C$3:$C$1000))*1,[1]OUT_TransportEnergyCons!I$3:I$1000)</f>
        <v>2.8087423148196223E-2</v>
      </c>
      <c r="L1446" s="1" cm="1">
        <f t="array" ref="L1446">SUMPRODUCT(("T_B_c-HYBDSL-S2"=[1]OUT_TransportEnergyCons!$A$3:$A$1000)*1,("var_fout"=[1]OUT_TransportEnergyCons!$B$3:$B$1000)*1,ISNUMBER(SEARCH("TPBSc",[1]OUT_TransportEnergyCons!$C$3:$C$1000))*1,[1]OUT_TransportEnergyCons!J$3:J$1000)</f>
        <v>2.6800612581233778E-2</v>
      </c>
      <c r="M1446" s="1" cm="1">
        <f t="array" ref="M1446">SUMPRODUCT(("T_B_c-HYBDSL-S2"=[1]OUT_TransportEnergyCons!$A$3:$A$1000)*1,("var_fout"=[1]OUT_TransportEnergyCons!$B$3:$B$1000)*1,ISNUMBER(SEARCH("TPBSc",[1]OUT_TransportEnergyCons!$C$3:$C$1000))*1,[1]OUT_TransportEnergyCons!K$3:K$1000)</f>
        <v>2.514520241720334E-2</v>
      </c>
      <c r="N1446" s="1" cm="1">
        <f t="array" ref="N1446">SUMPRODUCT(("T_B_c-HYBDSL-S2"=[1]OUT_TransportEnergyCons!$A$3:$A$1000)*1,("var_fout"=[1]OUT_TransportEnergyCons!$B$3:$B$1000)*1,ISNUMBER(SEARCH("TPBSc",[1]OUT_TransportEnergyCons!$C$3:$C$1000))*1,[1]OUT_TransportEnergyCons!L$3:L$1000)</f>
        <v>2.6810388920384221E-2</v>
      </c>
      <c r="O1446" s="1" cm="1">
        <f t="array" ref="O1446">SUMPRODUCT(("T_B_c-HYBDSL-S2"=[1]OUT_TransportEnergyCons!$A$3:$A$1000)*1,("var_fout"=[1]OUT_TransportEnergyCons!$B$3:$B$1000)*1,ISNUMBER(SEARCH("TPBSc",[1]OUT_TransportEnergyCons!$C$3:$C$1000))*1,[1]OUT_TransportEnergyCons!M$3:M$1000)</f>
        <v>2.871383818497638E-2</v>
      </c>
      <c r="P1446" s="1" cm="1">
        <f t="array" ref="P1446">SUMPRODUCT(("T_B_c-HYBDSL-S2"=[1]OUT_TransportEnergyCons!$A$3:$A$1000)*1,("var_fout"=[1]OUT_TransportEnergyCons!$B$3:$B$1000)*1,ISNUMBER(SEARCH("TPBSc",[1]OUT_TransportEnergyCons!$C$3:$C$1000))*1,[1]OUT_TransportEnergyCons!N$3:N$1000)</f>
        <v>3.3392218515874268E-2</v>
      </c>
      <c r="Q1446" s="1" cm="1">
        <f t="array" ref="Q1446">SUMPRODUCT(("T_B_c-HYBDSL-S2"=[1]OUT_TransportEnergyCons!$A$3:$A$1000)*1,("var_fout"=[1]OUT_TransportEnergyCons!$B$3:$B$1000)*1,ISNUMBER(SEARCH("TPBSc",[1]OUT_TransportEnergyCons!$C$3:$C$1000))*1,[1]OUT_TransportEnergyCons!O$3:O$1000)</f>
        <v>3.5453309429290474E-2</v>
      </c>
      <c r="S1446" s="3"/>
    </row>
    <row r="1447" spans="2:19" x14ac:dyDescent="0.5">
      <c r="B1447" s="5" t="str">
        <f t="shared" si="1609"/>
        <v>SPS1</v>
      </c>
      <c r="C1447" s="5" t="str">
        <f t="shared" si="1610"/>
        <v>CH</v>
      </c>
      <c r="D1447" t="s">
        <v>1439</v>
      </c>
      <c r="E1447" t="str">
        <f t="shared" si="1611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5.3671514894577057E-5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6.2367039243086948E-4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1.196441680899747E-2</v>
      </c>
      <c r="J1447" s="1" cm="1">
        <f t="array" ref="J1447">SUMPRODUCT(("T_B_c-HYBDSL-S3"=[1]OUT_TransportEnergyCons!$A$3:$A$1000)*1,("var_fout"=[1]OUT_TransportEnergyCons!$B$3:$B$1000)*1,ISNUMBER(SEARCH("TPBSc",[1]OUT_TransportEnergyCons!$C$3:$C$1000))*1,[1]OUT_TransportEnergyCons!H$3:H$1000)</f>
        <v>1.1600988933799471E-2</v>
      </c>
      <c r="K1447" s="1" cm="1">
        <f t="array" ref="K1447">SUMPRODUCT(("T_B_c-HYBDSL-S3"=[1]OUT_TransportEnergyCons!$A$3:$A$1000)*1,("var_fout"=[1]OUT_TransportEnergyCons!$B$3:$B$1000)*1,ISNUMBER(SEARCH("TPBSc",[1]OUT_TransportEnergyCons!$C$3:$C$1000))*1,[1]OUT_TransportEnergyCons!I$3:I$1000)</f>
        <v>1.1162935132055367E-2</v>
      </c>
      <c r="L1447" s="1" cm="1">
        <f t="array" ref="L1447">SUMPRODUCT(("T_B_c-HYBDSL-S3"=[1]OUT_TransportEnergyCons!$A$3:$A$1000)*1,("var_fout"=[1]OUT_TransportEnergyCons!$B$3:$B$1000)*1,ISNUMBER(SEARCH("TPBSc",[1]OUT_TransportEnergyCons!$C$3:$C$1000))*1,[1]OUT_TransportEnergyCons!J$3:J$1000)</f>
        <v>1.0740033625305016E-2</v>
      </c>
      <c r="M1447" s="1" cm="1">
        <f t="array" ref="M1447">SUMPRODUCT(("T_B_c-HYBDSL-S3"=[1]OUT_TransportEnergyCons!$A$3:$A$1000)*1,("var_fout"=[1]OUT_TransportEnergyCons!$B$3:$B$1000)*1,ISNUMBER(SEARCH("TPBSc",[1]OUT_TransportEnergyCons!$C$3:$C$1000))*1,[1]OUT_TransportEnergyCons!K$3:K$1000)</f>
        <v>1.0083707917824022E-2</v>
      </c>
      <c r="N1447" s="1" cm="1">
        <f t="array" ref="N1447">SUMPRODUCT(("T_B_c-HYBDSL-S3"=[1]OUT_TransportEnergyCons!$A$3:$A$1000)*1,("var_fout"=[1]OUT_TransportEnergyCons!$B$3:$B$1000)*1,ISNUMBER(SEARCH("TPBSc",[1]OUT_TransportEnergyCons!$C$3:$C$1000))*1,[1]OUT_TransportEnergyCons!L$3:L$1000)</f>
        <v>1.0121237704582219E-2</v>
      </c>
      <c r="O1447" s="1" cm="1">
        <f t="array" ref="O1447">SUMPRODUCT(("T_B_c-HYBDSL-S3"=[1]OUT_TransportEnergyCons!$A$3:$A$1000)*1,("var_fout"=[1]OUT_TransportEnergyCons!$B$3:$B$1000)*1,ISNUMBER(SEARCH("TPBSc",[1]OUT_TransportEnergyCons!$C$3:$C$1000))*1,[1]OUT_TransportEnergyCons!M$3:M$1000)</f>
        <v>9.3253100879952984E-3</v>
      </c>
      <c r="P1447" s="1" cm="1">
        <f t="array" ref="P1447">SUMPRODUCT(("T_B_c-HYBDSL-S3"=[1]OUT_TransportEnergyCons!$A$3:$A$1000)*1,("var_fout"=[1]OUT_TransportEnergyCons!$B$3:$B$1000)*1,ISNUMBER(SEARCH("TPBSc",[1]OUT_TransportEnergyCons!$C$3:$C$1000))*1,[1]OUT_TransportEnergyCons!N$3:N$1000)</f>
        <v>8.3040061232984175E-3</v>
      </c>
      <c r="Q1447" s="1" cm="1">
        <f t="array" ref="Q1447">SUMPRODUCT(("T_B_c-HYBDSL-S3"=[1]OUT_TransportEnergyCons!$A$3:$A$1000)*1,("var_fout"=[1]OUT_TransportEnergyCons!$B$3:$B$1000)*1,ISNUMBER(SEARCH("TPBSc",[1]OUT_TransportEnergyCons!$C$3:$C$1000))*1,[1]OUT_TransportEnergyCons!O$3:O$1000)</f>
        <v>5.2620880410982826E-3</v>
      </c>
      <c r="S1447" s="3"/>
    </row>
    <row r="1448" spans="2:19" x14ac:dyDescent="0.5">
      <c r="B1448" s="5" t="str">
        <f t="shared" si="1609"/>
        <v>SPS1</v>
      </c>
      <c r="C1448" s="5" t="str">
        <f t="shared" si="1610"/>
        <v>CH</v>
      </c>
      <c r="D1448" t="s">
        <v>1440</v>
      </c>
      <c r="E1448" t="str">
        <f t="shared" si="1611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1.0105049940778888E-5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1.9180691806161513E-5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1.8685909965851725E-5</v>
      </c>
      <c r="J1448" s="1" cm="1">
        <f t="array" ref="J1448">SUMPRODUCT(("T_B_c-HYBDSL-S4"=[1]OUT_TransportEnergyCons!$A$3:$A$1000)*1,("var_fout"=[1]OUT_TransportEnergyCons!$B$3:$B$1000)*1,ISNUMBER(SEARCH("TPBSc",[1]OUT_TransportEnergyCons!$C$3:$C$1000))*1,[1]OUT_TransportEnergyCons!H$3:H$1000)</f>
        <v>1.5031232958276341E-5</v>
      </c>
      <c r="K1448" s="1" cm="1">
        <f t="array" ref="K1448">SUMPRODUCT(("T_B_c-HYBDSL-S4"=[1]OUT_TransportEnergyCons!$A$3:$A$1000)*1,("var_fout"=[1]OUT_TransportEnergyCons!$B$3:$B$1000)*1,ISNUMBER(SEARCH("TPBSc",[1]OUT_TransportEnergyCons!$C$3:$C$1000))*1,[1]OUT_TransportEnergyCons!I$3:I$1000)</f>
        <v>2.5371805536502663E-5</v>
      </c>
      <c r="L1448" s="1" cm="1">
        <f t="array" ref="L1448">SUMPRODUCT(("T_B_c-HYBDSL-S4"=[1]OUT_TransportEnergyCons!$A$3:$A$1000)*1,("var_fout"=[1]OUT_TransportEnergyCons!$B$3:$B$1000)*1,ISNUMBER(SEARCH("TPBSc",[1]OUT_TransportEnergyCons!$C$3:$C$1000))*1,[1]OUT_TransportEnergyCons!J$3:J$1000)</f>
        <v>2.442169056065583E-5</v>
      </c>
      <c r="M1448" s="1" cm="1">
        <f t="array" ref="M1448">SUMPRODUCT(("T_B_c-HYBDSL-S4"=[1]OUT_TransportEnergyCons!$A$3:$A$1000)*1,("var_fout"=[1]OUT_TransportEnergyCons!$B$3:$B$1000)*1,ISNUMBER(SEARCH("TPBSc",[1]OUT_TransportEnergyCons!$C$3:$C$1000))*1,[1]OUT_TransportEnergyCons!K$3:K$1000)</f>
        <v>3.1751223001516031E-5</v>
      </c>
      <c r="N1448" s="1" cm="1">
        <f t="array" ref="N1448">SUMPRODUCT(("T_B_c-HYBDSL-S4"=[1]OUT_TransportEnergyCons!$A$3:$A$1000)*1,("var_fout"=[1]OUT_TransportEnergyCons!$B$3:$B$1000)*1,ISNUMBER(SEARCH("TPBSc",[1]OUT_TransportEnergyCons!$C$3:$C$1000))*1,[1]OUT_TransportEnergyCons!L$3:L$1000)</f>
        <v>3.5977079377345759E-5</v>
      </c>
      <c r="O1448" s="1" cm="1">
        <f t="array" ref="O1448">SUMPRODUCT(("T_B_c-HYBDSL-S4"=[1]OUT_TransportEnergyCons!$A$3:$A$1000)*1,("var_fout"=[1]OUT_TransportEnergyCons!$B$3:$B$1000)*1,ISNUMBER(SEARCH("TPBSc",[1]OUT_TransportEnergyCons!$C$3:$C$1000))*1,[1]OUT_TransportEnergyCons!M$3:M$1000)</f>
        <v>3.1236367965829854E-5</v>
      </c>
      <c r="P1448" s="1" cm="1">
        <f t="array" ref="P1448">SUMPRODUCT(("T_B_c-HYBDSL-S4"=[1]OUT_TransportEnergyCons!$A$3:$A$1000)*1,("var_fout"=[1]OUT_TransportEnergyCons!$B$3:$B$1000)*1,ISNUMBER(SEARCH("TPBSc",[1]OUT_TransportEnergyCons!$C$3:$C$1000))*1,[1]OUT_TransportEnergyCons!N$3:N$1000)</f>
        <v>4.6017223780627096E-5</v>
      </c>
      <c r="Q1448" s="1" cm="1">
        <f t="array" ref="Q1448">SUMPRODUCT(("T_B_c-HYBDSL-S4"=[1]OUT_TransportEnergyCons!$A$3:$A$1000)*1,("var_fout"=[1]OUT_TransportEnergyCons!$B$3:$B$1000)*1,ISNUMBER(SEARCH("TPBSc",[1]OUT_TransportEnergyCons!$C$3:$C$1000))*1,[1]OUT_TransportEnergyCons!O$3:O$1000)</f>
        <v>5.7551124393386777E-5</v>
      </c>
      <c r="S1448" s="3"/>
    </row>
    <row r="1449" spans="2:19" x14ac:dyDescent="0.5">
      <c r="B1449" s="5" t="str">
        <f t="shared" si="1609"/>
        <v>SPS1</v>
      </c>
      <c r="C1449" s="5" t="str">
        <f t="shared" si="1610"/>
        <v>CH</v>
      </c>
      <c r="D1449" t="s">
        <v>2116</v>
      </c>
      <c r="E1449" t="str">
        <f t="shared" si="1611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5.9972786254331813E-2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4.7985782060048311E-2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2.9981065615961904E-2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SUMPRODUCT(("T_B_c-ICEDSLEXT"=[1]OUT_TransportEnergyCons!$A$3:$A$1000)*1,("var_fout"=[1]OUT_TransportEnergyCons!$B$3:$B$1000)*1,ISNUMBER(SEARCH("TPBSc",[1]OUT_TransportEnergyCons!$C$3:$C$1000))*1,[1]OUT_TransportEnergyCons!H$3:H$1000)</f>
        <v>0</v>
      </c>
      <c r="K1449" s="1" cm="1">
        <f t="array" ref="K1449">SUMPRODUCT(("T_B_c-ICEDSLEXT"=[1]OUT_TransportEnergyCons!$A$3:$A$1000)*1,("var_fout"=[1]OUT_TransportEnergyCons!$B$3:$B$1000)*1,ISNUMBER(SEARCH("TPBSc",[1]OUT_TransportEnergyCons!$C$3:$C$1000))*1,[1]OUT_TransportEnergyCons!I$3:I$1000)</f>
        <v>0</v>
      </c>
      <c r="L1449" s="1" cm="1">
        <f t="array" ref="L1449">SUMPRODUCT(("T_B_c-ICEDSLEXT"=[1]OUT_TransportEnergyCons!$A$3:$A$1000)*1,("var_fout"=[1]OUT_TransportEnergyCons!$B$3:$B$1000)*1,ISNUMBER(SEARCH("TPBSc",[1]OUT_TransportEnergyCons!$C$3:$C$1000))*1,[1]OUT_TransportEnergyCons!J$3:J$1000)</f>
        <v>0</v>
      </c>
      <c r="M1449" s="1" cm="1">
        <f t="array" ref="M1449">SUMPRODUCT(("T_B_c-ICEDSLEXT"=[1]OUT_TransportEnergyCons!$A$3:$A$1000)*1,("var_fout"=[1]OUT_TransportEnergyCons!$B$3:$B$1000)*1,ISNUMBER(SEARCH("TPBSc",[1]OUT_TransportEnergyCons!$C$3:$C$1000))*1,[1]OUT_TransportEnergyCons!K$3:K$1000)</f>
        <v>0</v>
      </c>
      <c r="N1449" s="1" cm="1">
        <f t="array" ref="N1449">SUMPRODUCT(("T_B_c-ICEDSLEXT"=[1]OUT_TransportEnergyCons!$A$3:$A$1000)*1,("var_fout"=[1]OUT_TransportEnergyCons!$B$3:$B$1000)*1,ISNUMBER(SEARCH("TPBSc",[1]OUT_TransportEnergyCons!$C$3:$C$1000))*1,[1]OUT_TransportEnergyCons!L$3:L$1000)</f>
        <v>0</v>
      </c>
      <c r="O1449" s="1" cm="1">
        <f t="array" ref="O1449">SUMPRODUCT(("T_B_c-ICEDSLEXT"=[1]OUT_TransportEnergyCons!$A$3:$A$1000)*1,("var_fout"=[1]OUT_TransportEnergyCons!$B$3:$B$1000)*1,ISNUMBER(SEARCH("TPBSc",[1]OUT_TransportEnergyCons!$C$3:$C$1000))*1,[1]OUT_TransportEnergyCons!M$3:M$1000)</f>
        <v>0</v>
      </c>
      <c r="P1449" s="1" cm="1">
        <f t="array" ref="P1449">SUMPRODUCT(("T_B_c-ICEDSLEXT"=[1]OUT_TransportEnergyCons!$A$3:$A$1000)*1,("var_fout"=[1]OUT_TransportEnergyCons!$B$3:$B$1000)*1,ISNUMBER(SEARCH("TPBSc",[1]OUT_TransportEnergyCons!$C$3:$C$1000))*1,[1]OUT_TransportEnergyCons!N$3:N$1000)</f>
        <v>0</v>
      </c>
      <c r="Q1449" s="1" cm="1">
        <f t="array" ref="Q1449">SUMPRODUCT(("T_B_c-ICEDSLEXT"=[1]OUT_TransportEnergyCons!$A$3:$A$1000)*1,("var_fout"=[1]OUT_TransportEnergyCons!$B$3:$B$1000)*1,ISNUMBER(SEARCH("TPBSc",[1]OUT_TransportEnergyCons!$C$3:$C$1000))*1,[1]OUT_TransportEnergyCons!O$3:O$1000)</f>
        <v>0</v>
      </c>
      <c r="S1449" s="3"/>
    </row>
    <row r="1450" spans="2:19" x14ac:dyDescent="0.5">
      <c r="B1450" s="5" t="str">
        <f t="shared" si="1609"/>
        <v>SPS1</v>
      </c>
      <c r="C1450" s="5" t="str">
        <f t="shared" si="1610"/>
        <v>CH</v>
      </c>
      <c r="D1450" t="s">
        <v>1441</v>
      </c>
      <c r="E1450" t="str">
        <f t="shared" si="1611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1.4003708052426003E-2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3.8782957817865067E-2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4.7499677958215442E-2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0</v>
      </c>
      <c r="J1450" s="1" cm="1">
        <f t="array" ref="J1450">SUMPRODUCT(("T_B_c-ICEDSL-S1"=[1]OUT_TransportEnergyCons!$A$3:$A$1000)*1,("var_fout"=[1]OUT_TransportEnergyCons!$B$3:$B$1000)*1,ISNUMBER(SEARCH("TPBSc",[1]OUT_TransportEnergyCons!$C$3:$C$1000))*1,[1]OUT_TransportEnergyCons!H$3:H$1000)</f>
        <v>0</v>
      </c>
      <c r="K1450" s="1" cm="1">
        <f t="array" ref="K1450">SUMPRODUCT(("T_B_c-ICEDSL-S1"=[1]OUT_TransportEnergyCons!$A$3:$A$1000)*1,("var_fout"=[1]OUT_TransportEnergyCons!$B$3:$B$1000)*1,ISNUMBER(SEARCH("TPBSc",[1]OUT_TransportEnergyCons!$C$3:$C$1000))*1,[1]OUT_TransportEnergyCons!I$3:I$1000)</f>
        <v>0</v>
      </c>
      <c r="L1450" s="1" cm="1">
        <f t="array" ref="L1450">SUMPRODUCT(("T_B_c-ICEDSL-S1"=[1]OUT_TransportEnergyCons!$A$3:$A$1000)*1,("var_fout"=[1]OUT_TransportEnergyCons!$B$3:$B$1000)*1,ISNUMBER(SEARCH("TPBSc",[1]OUT_TransportEnergyCons!$C$3:$C$1000))*1,[1]OUT_TransportEnergyCons!J$3:J$1000)</f>
        <v>0</v>
      </c>
      <c r="M1450" s="1" cm="1">
        <f t="array" ref="M1450">SUMPRODUCT(("T_B_c-ICEDSL-S1"=[1]OUT_TransportEnergyCons!$A$3:$A$1000)*1,("var_fout"=[1]OUT_TransportEnergyCons!$B$3:$B$1000)*1,ISNUMBER(SEARCH("TPBSc",[1]OUT_TransportEnergyCons!$C$3:$C$1000))*1,[1]OUT_TransportEnergyCons!K$3:K$1000)</f>
        <v>0</v>
      </c>
      <c r="N1450" s="1" cm="1">
        <f t="array" ref="N1450">SUMPRODUCT(("T_B_c-ICEDSL-S1"=[1]OUT_TransportEnergyCons!$A$3:$A$1000)*1,("var_fout"=[1]OUT_TransportEnergyCons!$B$3:$B$1000)*1,ISNUMBER(SEARCH("TPBSc",[1]OUT_TransportEnergyCons!$C$3:$C$1000))*1,[1]OUT_TransportEnergyCons!L$3:L$1000)</f>
        <v>0</v>
      </c>
      <c r="O1450" s="1" cm="1">
        <f t="array" ref="O1450">SUMPRODUCT(("T_B_c-ICEDSL-S1"=[1]OUT_TransportEnergyCons!$A$3:$A$1000)*1,("var_fout"=[1]OUT_TransportEnergyCons!$B$3:$B$1000)*1,ISNUMBER(SEARCH("TPBSc",[1]OUT_TransportEnergyCons!$C$3:$C$1000))*1,[1]OUT_TransportEnergyCons!M$3:M$1000)</f>
        <v>0</v>
      </c>
      <c r="P1450" s="1" cm="1">
        <f t="array" ref="P1450">SUMPRODUCT(("T_B_c-ICEDSL-S1"=[1]OUT_TransportEnergyCons!$A$3:$A$1000)*1,("var_fout"=[1]OUT_TransportEnergyCons!$B$3:$B$1000)*1,ISNUMBER(SEARCH("TPBSc",[1]OUT_TransportEnergyCons!$C$3:$C$1000))*1,[1]OUT_TransportEnergyCons!N$3:N$1000)</f>
        <v>0</v>
      </c>
      <c r="Q1450" s="1" cm="1">
        <f t="array" ref="Q1450">SUMPRODUCT(("T_B_c-ICEDSL-S1"=[1]OUT_TransportEnergyCons!$A$3:$A$1000)*1,("var_fout"=[1]OUT_TransportEnergyCons!$B$3:$B$1000)*1,ISNUMBER(SEARCH("TPBSc",[1]OUT_TransportEnergyCons!$C$3:$C$1000))*1,[1]OUT_TransportEnergyCons!O$3:O$1000)</f>
        <v>0</v>
      </c>
      <c r="S1450" s="3"/>
    </row>
    <row r="1451" spans="2:19" x14ac:dyDescent="0.5">
      <c r="B1451" s="5" t="str">
        <f t="shared" si="1609"/>
        <v>SPS1</v>
      </c>
      <c r="C1451" s="5" t="str">
        <f t="shared" si="1610"/>
        <v>CH</v>
      </c>
      <c r="D1451" t="s">
        <v>1442</v>
      </c>
      <c r="E1451" t="str">
        <f t="shared" si="1611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4.536508928696182E-2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3.4854881221750518E-2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3.7858519308944974E-2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SUMPRODUCT(("T_B_c-ICEDSL-S2"=[1]OUT_TransportEnergyCons!$A$3:$A$1000)*1,("var_fout"=[1]OUT_TransportEnergyCons!$B$3:$B$1000)*1,ISNUMBER(SEARCH("TPBSc",[1]OUT_TransportEnergyCons!$C$3:$C$1000))*1,[1]OUT_TransportEnergyCons!H$3:H$1000)</f>
        <v>0</v>
      </c>
      <c r="K1451" s="1" cm="1">
        <f t="array" ref="K1451">SUMPRODUCT(("T_B_c-ICEDSL-S2"=[1]OUT_TransportEnergyCons!$A$3:$A$1000)*1,("var_fout"=[1]OUT_TransportEnergyCons!$B$3:$B$1000)*1,ISNUMBER(SEARCH("TPBSc",[1]OUT_TransportEnergyCons!$C$3:$C$1000))*1,[1]OUT_TransportEnergyCons!I$3:I$1000)</f>
        <v>0</v>
      </c>
      <c r="L1451" s="1" cm="1">
        <f t="array" ref="L1451">SUMPRODUCT(("T_B_c-ICEDSL-S2"=[1]OUT_TransportEnergyCons!$A$3:$A$1000)*1,("var_fout"=[1]OUT_TransportEnergyCons!$B$3:$B$1000)*1,ISNUMBER(SEARCH("TPBSc",[1]OUT_TransportEnergyCons!$C$3:$C$1000))*1,[1]OUT_TransportEnergyCons!J$3:J$1000)</f>
        <v>0</v>
      </c>
      <c r="M1451" s="1" cm="1">
        <f t="array" ref="M1451">SUMPRODUCT(("T_B_c-ICEDSL-S2"=[1]OUT_TransportEnergyCons!$A$3:$A$1000)*1,("var_fout"=[1]OUT_TransportEnergyCons!$B$3:$B$1000)*1,ISNUMBER(SEARCH("TPBSc",[1]OUT_TransportEnergyCons!$C$3:$C$1000))*1,[1]OUT_TransportEnergyCons!K$3:K$1000)</f>
        <v>0</v>
      </c>
      <c r="N1451" s="1" cm="1">
        <f t="array" ref="N1451">SUMPRODUCT(("T_B_c-ICEDSL-S2"=[1]OUT_TransportEnergyCons!$A$3:$A$1000)*1,("var_fout"=[1]OUT_TransportEnergyCons!$B$3:$B$1000)*1,ISNUMBER(SEARCH("TPBSc",[1]OUT_TransportEnergyCons!$C$3:$C$1000))*1,[1]OUT_TransportEnergyCons!L$3:L$1000)</f>
        <v>0</v>
      </c>
      <c r="O1451" s="1" cm="1">
        <f t="array" ref="O1451">SUMPRODUCT(("T_B_c-ICEDSL-S2"=[1]OUT_TransportEnergyCons!$A$3:$A$1000)*1,("var_fout"=[1]OUT_TransportEnergyCons!$B$3:$B$1000)*1,ISNUMBER(SEARCH("TPBSc",[1]OUT_TransportEnergyCons!$C$3:$C$1000))*1,[1]OUT_TransportEnergyCons!M$3:M$1000)</f>
        <v>0</v>
      </c>
      <c r="P1451" s="1" cm="1">
        <f t="array" ref="P1451">SUMPRODUCT(("T_B_c-ICEDSL-S2"=[1]OUT_TransportEnergyCons!$A$3:$A$1000)*1,("var_fout"=[1]OUT_TransportEnergyCons!$B$3:$B$1000)*1,ISNUMBER(SEARCH("TPBSc",[1]OUT_TransportEnergyCons!$C$3:$C$1000))*1,[1]OUT_TransportEnergyCons!N$3:N$1000)</f>
        <v>0</v>
      </c>
      <c r="Q1451" s="1" cm="1">
        <f t="array" ref="Q1451">SUMPRODUCT(("T_B_c-ICEDSL-S2"=[1]OUT_TransportEnergyCons!$A$3:$A$1000)*1,("var_fout"=[1]OUT_TransportEnergyCons!$B$3:$B$1000)*1,ISNUMBER(SEARCH("TPBSc",[1]OUT_TransportEnergyCons!$C$3:$C$1000))*1,[1]OUT_TransportEnergyCons!O$3:O$1000)</f>
        <v>0</v>
      </c>
      <c r="S1451" s="3"/>
    </row>
    <row r="1452" spans="2:19" x14ac:dyDescent="0.5">
      <c r="B1452" s="5" t="str">
        <f t="shared" si="1609"/>
        <v>SPS1</v>
      </c>
      <c r="C1452" s="5" t="str">
        <f t="shared" si="1610"/>
        <v>CH</v>
      </c>
      <c r="D1452" t="s">
        <v>1443</v>
      </c>
      <c r="E1452" t="str">
        <f t="shared" si="1611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9.1459920845057777E-3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7.3374874151242555E-3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8.4550938592448891E-3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SUMPRODUCT(("T_B_c-ICEDSL-S3"=[1]OUT_TransportEnergyCons!$A$3:$A$1000)*1,("var_fout"=[1]OUT_TransportEnergyCons!$B$3:$B$1000)*1,ISNUMBER(SEARCH("TPBSc",[1]OUT_TransportEnergyCons!$C$3:$C$1000))*1,[1]OUT_TransportEnergyCons!H$3:H$1000)</f>
        <v>0</v>
      </c>
      <c r="K1452" s="1" cm="1">
        <f t="array" ref="K1452">SUMPRODUCT(("T_B_c-ICEDSL-S3"=[1]OUT_TransportEnergyCons!$A$3:$A$1000)*1,("var_fout"=[1]OUT_TransportEnergyCons!$B$3:$B$1000)*1,ISNUMBER(SEARCH("TPBSc",[1]OUT_TransportEnergyCons!$C$3:$C$1000))*1,[1]OUT_TransportEnergyCons!I$3:I$1000)</f>
        <v>0</v>
      </c>
      <c r="L1452" s="1" cm="1">
        <f t="array" ref="L1452">SUMPRODUCT(("T_B_c-ICEDSL-S3"=[1]OUT_TransportEnergyCons!$A$3:$A$1000)*1,("var_fout"=[1]OUT_TransportEnergyCons!$B$3:$B$1000)*1,ISNUMBER(SEARCH("TPBSc",[1]OUT_TransportEnergyCons!$C$3:$C$1000))*1,[1]OUT_TransportEnergyCons!J$3:J$1000)</f>
        <v>0</v>
      </c>
      <c r="M1452" s="1" cm="1">
        <f t="array" ref="M1452">SUMPRODUCT(("T_B_c-ICEDSL-S3"=[1]OUT_TransportEnergyCons!$A$3:$A$1000)*1,("var_fout"=[1]OUT_TransportEnergyCons!$B$3:$B$1000)*1,ISNUMBER(SEARCH("TPBSc",[1]OUT_TransportEnergyCons!$C$3:$C$1000))*1,[1]OUT_TransportEnergyCons!K$3:K$1000)</f>
        <v>0</v>
      </c>
      <c r="N1452" s="1" cm="1">
        <f t="array" ref="N1452">SUMPRODUCT(("T_B_c-ICEDSL-S3"=[1]OUT_TransportEnergyCons!$A$3:$A$1000)*1,("var_fout"=[1]OUT_TransportEnergyCons!$B$3:$B$1000)*1,ISNUMBER(SEARCH("TPBSc",[1]OUT_TransportEnergyCons!$C$3:$C$1000))*1,[1]OUT_TransportEnergyCons!L$3:L$1000)</f>
        <v>0</v>
      </c>
      <c r="O1452" s="1" cm="1">
        <f t="array" ref="O1452">SUMPRODUCT(("T_B_c-ICEDSL-S3"=[1]OUT_TransportEnergyCons!$A$3:$A$1000)*1,("var_fout"=[1]OUT_TransportEnergyCons!$B$3:$B$1000)*1,ISNUMBER(SEARCH("TPBSc",[1]OUT_TransportEnergyCons!$C$3:$C$1000))*1,[1]OUT_TransportEnergyCons!M$3:M$1000)</f>
        <v>0</v>
      </c>
      <c r="P1452" s="1" cm="1">
        <f t="array" ref="P1452">SUMPRODUCT(("T_B_c-ICEDSL-S3"=[1]OUT_TransportEnergyCons!$A$3:$A$1000)*1,("var_fout"=[1]OUT_TransportEnergyCons!$B$3:$B$1000)*1,ISNUMBER(SEARCH("TPBSc",[1]OUT_TransportEnergyCons!$C$3:$C$1000))*1,[1]OUT_TransportEnergyCons!N$3:N$1000)</f>
        <v>0</v>
      </c>
      <c r="Q1452" s="1" cm="1">
        <f t="array" ref="Q1452">SUMPRODUCT(("T_B_c-ICEDSL-S3"=[1]OUT_TransportEnergyCons!$A$3:$A$1000)*1,("var_fout"=[1]OUT_TransportEnergyCons!$B$3:$B$1000)*1,ISNUMBER(SEARCH("TPBSc",[1]OUT_TransportEnergyCons!$C$3:$C$1000))*1,[1]OUT_TransportEnergyCons!O$3:O$1000)</f>
        <v>0</v>
      </c>
      <c r="S1452" s="3"/>
    </row>
    <row r="1453" spans="2:19" x14ac:dyDescent="0.5">
      <c r="B1453" s="5" t="str">
        <f t="shared" si="1609"/>
        <v>SPS1</v>
      </c>
      <c r="C1453" s="5" t="str">
        <f t="shared" si="1610"/>
        <v>CH</v>
      </c>
      <c r="D1453" t="s">
        <v>1444</v>
      </c>
      <c r="E1453" t="str">
        <f t="shared" si="1611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6.7454574117874807E-4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5.8307983056826842E-5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6.6036084039080805E-5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SUMPRODUCT(("T_B_c-ICEDSL-S4"=[1]OUT_TransportEnergyCons!$A$3:$A$1000)*1,("var_fout"=[1]OUT_TransportEnergyCons!$B$3:$B$1000)*1,ISNUMBER(SEARCH("TPBSc",[1]OUT_TransportEnergyCons!$C$3:$C$1000))*1,[1]OUT_TransportEnergyCons!H$3:H$1000)</f>
        <v>0</v>
      </c>
      <c r="K1453" s="1" cm="1">
        <f t="array" ref="K1453">SUMPRODUCT(("T_B_c-ICEDSL-S4"=[1]OUT_TransportEnergyCons!$A$3:$A$1000)*1,("var_fout"=[1]OUT_TransportEnergyCons!$B$3:$B$1000)*1,ISNUMBER(SEARCH("TPBSc",[1]OUT_TransportEnergyCons!$C$3:$C$1000))*1,[1]OUT_TransportEnergyCons!I$3:I$1000)</f>
        <v>0</v>
      </c>
      <c r="L1453" s="1" cm="1">
        <f t="array" ref="L1453">SUMPRODUCT(("T_B_c-ICEDSL-S4"=[1]OUT_TransportEnergyCons!$A$3:$A$1000)*1,("var_fout"=[1]OUT_TransportEnergyCons!$B$3:$B$1000)*1,ISNUMBER(SEARCH("TPBSc",[1]OUT_TransportEnergyCons!$C$3:$C$1000))*1,[1]OUT_TransportEnergyCons!J$3:J$1000)</f>
        <v>0</v>
      </c>
      <c r="M1453" s="1" cm="1">
        <f t="array" ref="M1453">SUMPRODUCT(("T_B_c-ICEDSL-S4"=[1]OUT_TransportEnergyCons!$A$3:$A$1000)*1,("var_fout"=[1]OUT_TransportEnergyCons!$B$3:$B$1000)*1,ISNUMBER(SEARCH("TPBSc",[1]OUT_TransportEnergyCons!$C$3:$C$1000))*1,[1]OUT_TransportEnergyCons!K$3:K$1000)</f>
        <v>0</v>
      </c>
      <c r="N1453" s="1" cm="1">
        <f t="array" ref="N1453">SUMPRODUCT(("T_B_c-ICEDSL-S4"=[1]OUT_TransportEnergyCons!$A$3:$A$1000)*1,("var_fout"=[1]OUT_TransportEnergyCons!$B$3:$B$1000)*1,ISNUMBER(SEARCH("TPBSc",[1]OUT_TransportEnergyCons!$C$3:$C$1000))*1,[1]OUT_TransportEnergyCons!L$3:L$1000)</f>
        <v>0</v>
      </c>
      <c r="O1453" s="1" cm="1">
        <f t="array" ref="O1453">SUMPRODUCT(("T_B_c-ICEDSL-S4"=[1]OUT_TransportEnergyCons!$A$3:$A$1000)*1,("var_fout"=[1]OUT_TransportEnergyCons!$B$3:$B$1000)*1,ISNUMBER(SEARCH("TPBSc",[1]OUT_TransportEnergyCons!$C$3:$C$1000))*1,[1]OUT_TransportEnergyCons!M$3:M$1000)</f>
        <v>0</v>
      </c>
      <c r="P1453" s="1" cm="1">
        <f t="array" ref="P1453">SUMPRODUCT(("T_B_c-ICEDSL-S4"=[1]OUT_TransportEnergyCons!$A$3:$A$1000)*1,("var_fout"=[1]OUT_TransportEnergyCons!$B$3:$B$1000)*1,ISNUMBER(SEARCH("TPBSc",[1]OUT_TransportEnergyCons!$C$3:$C$1000))*1,[1]OUT_TransportEnergyCons!N$3:N$1000)</f>
        <v>0</v>
      </c>
      <c r="Q1453" s="1" cm="1">
        <f t="array" ref="Q1453">SUMPRODUCT(("T_B_c-ICEDSL-S4"=[1]OUT_TransportEnergyCons!$A$3:$A$1000)*1,("var_fout"=[1]OUT_TransportEnergyCons!$B$3:$B$1000)*1,ISNUMBER(SEARCH("TPBSc",[1]OUT_TransportEnergyCons!$C$3:$C$1000))*1,[1]OUT_TransportEnergyCons!O$3:O$1000)</f>
        <v>0</v>
      </c>
      <c r="S1453" s="3"/>
    </row>
    <row r="1454" spans="2:19" x14ac:dyDescent="0.5">
      <c r="B1454" s="5" t="str">
        <f t="shared" si="1609"/>
        <v>SPS1</v>
      </c>
      <c r="C1454" s="5" t="str">
        <f t="shared" si="1610"/>
        <v>CH</v>
      </c>
      <c r="D1454" t="s">
        <v>2119</v>
      </c>
      <c r="E1454" t="str">
        <f t="shared" si="1611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1.3676978598731867E-3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1.0980651579795186E-3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6.860892550008468E-4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SUMPRODUCT(("T_B_c-ICEngaEXT"=[1]OUT_TransportEnergyCons!$A$3:$A$1000)*1,("var_fout"=[1]OUT_TransportEnergyCons!$B$3:$B$1000)*1,ISNUMBER(SEARCH("TPBSc",[1]OUT_TransportEnergyCons!$C$3:$C$1000))*1,[1]OUT_TransportEnergyCons!H$3:H$1000)</f>
        <v>0</v>
      </c>
      <c r="K1454" s="1" cm="1">
        <f t="array" ref="K1454">SUMPRODUCT(("T_B_c-ICEngaEXT"=[1]OUT_TransportEnergyCons!$A$3:$A$1000)*1,("var_fout"=[1]OUT_TransportEnergyCons!$B$3:$B$1000)*1,ISNUMBER(SEARCH("TPBSc",[1]OUT_TransportEnergyCons!$C$3:$C$1000))*1,[1]OUT_TransportEnergyCons!I$3:I$1000)</f>
        <v>0</v>
      </c>
      <c r="L1454" s="1" cm="1">
        <f t="array" ref="L1454">SUMPRODUCT(("T_B_c-ICEngaEXT"=[1]OUT_TransportEnergyCons!$A$3:$A$1000)*1,("var_fout"=[1]OUT_TransportEnergyCons!$B$3:$B$1000)*1,ISNUMBER(SEARCH("TPBSc",[1]OUT_TransportEnergyCons!$C$3:$C$1000))*1,[1]OUT_TransportEnergyCons!J$3:J$1000)</f>
        <v>0</v>
      </c>
      <c r="M1454" s="1" cm="1">
        <f t="array" ref="M1454">SUMPRODUCT(("T_B_c-ICEngaEXT"=[1]OUT_TransportEnergyCons!$A$3:$A$1000)*1,("var_fout"=[1]OUT_TransportEnergyCons!$B$3:$B$1000)*1,ISNUMBER(SEARCH("TPBSc",[1]OUT_TransportEnergyCons!$C$3:$C$1000))*1,[1]OUT_TransportEnergyCons!K$3:K$1000)</f>
        <v>0</v>
      </c>
      <c r="N1454" s="1" cm="1">
        <f t="array" ref="N1454">SUMPRODUCT(("T_B_c-ICEngaEXT"=[1]OUT_TransportEnergyCons!$A$3:$A$1000)*1,("var_fout"=[1]OUT_TransportEnergyCons!$B$3:$B$1000)*1,ISNUMBER(SEARCH("TPBSc",[1]OUT_TransportEnergyCons!$C$3:$C$1000))*1,[1]OUT_TransportEnergyCons!L$3:L$1000)</f>
        <v>0</v>
      </c>
      <c r="O1454" s="1" cm="1">
        <f t="array" ref="O1454">SUMPRODUCT(("T_B_c-ICEngaEXT"=[1]OUT_TransportEnergyCons!$A$3:$A$1000)*1,("var_fout"=[1]OUT_TransportEnergyCons!$B$3:$B$1000)*1,ISNUMBER(SEARCH("TPBSc",[1]OUT_TransportEnergyCons!$C$3:$C$1000))*1,[1]OUT_TransportEnergyCons!M$3:M$1000)</f>
        <v>0</v>
      </c>
      <c r="P1454" s="1" cm="1">
        <f t="array" ref="P1454">SUMPRODUCT(("T_B_c-ICEngaEXT"=[1]OUT_TransportEnergyCons!$A$3:$A$1000)*1,("var_fout"=[1]OUT_TransportEnergyCons!$B$3:$B$1000)*1,ISNUMBER(SEARCH("TPBSc",[1]OUT_TransportEnergyCons!$C$3:$C$1000))*1,[1]OUT_TransportEnergyCons!N$3:N$1000)</f>
        <v>0</v>
      </c>
      <c r="Q1454" s="1" cm="1">
        <f t="array" ref="Q1454">SUMPRODUCT(("T_B_c-ICEngaEXT"=[1]OUT_TransportEnergyCons!$A$3:$A$1000)*1,("var_fout"=[1]OUT_TransportEnergyCons!$B$3:$B$1000)*1,ISNUMBER(SEARCH("TPBSc",[1]OUT_TransportEnergyCons!$C$3:$C$1000))*1,[1]OUT_TransportEnergyCons!O$3:O$1000)</f>
        <v>0</v>
      </c>
      <c r="S1454" s="3"/>
    </row>
    <row r="1455" spans="2:19" x14ac:dyDescent="0.5">
      <c r="B1455" s="5" t="str">
        <f t="shared" si="1609"/>
        <v>SPS1</v>
      </c>
      <c r="C1455" s="5" t="str">
        <f t="shared" si="1610"/>
        <v>CH</v>
      </c>
      <c r="D1455" t="s">
        <v>1445</v>
      </c>
      <c r="E1455" t="str">
        <f t="shared" si="1611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3.0140193223860407E-5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2.3584578526129622E-4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0</v>
      </c>
      <c r="J1455" s="1" cm="1">
        <f t="array" ref="J1455">SUMPRODUCT(("T_B_c-ICEnga-S1"=[1]OUT_TransportEnergyCons!$A$3:$A$1000)*1,("var_fout"=[1]OUT_TransportEnergyCons!$B$3:$B$1000)*1,ISNUMBER(SEARCH("TPBSc",[1]OUT_TransportEnergyCons!$C$3:$C$1000))*1,[1]OUT_TransportEnergyCons!H$3:H$1000)</f>
        <v>0</v>
      </c>
      <c r="K1455" s="1" cm="1">
        <f t="array" ref="K1455">SUMPRODUCT(("T_B_c-ICEnga-S1"=[1]OUT_TransportEnergyCons!$A$3:$A$1000)*1,("var_fout"=[1]OUT_TransportEnergyCons!$B$3:$B$1000)*1,ISNUMBER(SEARCH("TPBSc",[1]OUT_TransportEnergyCons!$C$3:$C$1000))*1,[1]OUT_TransportEnergyCons!I$3:I$1000)</f>
        <v>0</v>
      </c>
      <c r="L1455" s="1" cm="1">
        <f t="array" ref="L1455">SUMPRODUCT(("T_B_c-ICEnga-S1"=[1]OUT_TransportEnergyCons!$A$3:$A$1000)*1,("var_fout"=[1]OUT_TransportEnergyCons!$B$3:$B$1000)*1,ISNUMBER(SEARCH("TPBSc",[1]OUT_TransportEnergyCons!$C$3:$C$1000))*1,[1]OUT_TransportEnergyCons!J$3:J$1000)</f>
        <v>0</v>
      </c>
      <c r="M1455" s="1" cm="1">
        <f t="array" ref="M1455">SUMPRODUCT(("T_B_c-ICEnga-S1"=[1]OUT_TransportEnergyCons!$A$3:$A$1000)*1,("var_fout"=[1]OUT_TransportEnergyCons!$B$3:$B$1000)*1,ISNUMBER(SEARCH("TPBSc",[1]OUT_TransportEnergyCons!$C$3:$C$1000))*1,[1]OUT_TransportEnergyCons!K$3:K$1000)</f>
        <v>0</v>
      </c>
      <c r="N1455" s="1" cm="1">
        <f t="array" ref="N1455">SUMPRODUCT(("T_B_c-ICEnga-S1"=[1]OUT_TransportEnergyCons!$A$3:$A$1000)*1,("var_fout"=[1]OUT_TransportEnergyCons!$B$3:$B$1000)*1,ISNUMBER(SEARCH("TPBSc",[1]OUT_TransportEnergyCons!$C$3:$C$1000))*1,[1]OUT_TransportEnergyCons!L$3:L$1000)</f>
        <v>0</v>
      </c>
      <c r="O1455" s="1" cm="1">
        <f t="array" ref="O1455">SUMPRODUCT(("T_B_c-ICEnga-S1"=[1]OUT_TransportEnergyCons!$A$3:$A$1000)*1,("var_fout"=[1]OUT_TransportEnergyCons!$B$3:$B$1000)*1,ISNUMBER(SEARCH("TPBSc",[1]OUT_TransportEnergyCons!$C$3:$C$1000))*1,[1]OUT_TransportEnergyCons!M$3:M$1000)</f>
        <v>0</v>
      </c>
      <c r="P1455" s="1" cm="1">
        <f t="array" ref="P1455">SUMPRODUCT(("T_B_c-ICEnga-S1"=[1]OUT_TransportEnergyCons!$A$3:$A$1000)*1,("var_fout"=[1]OUT_TransportEnergyCons!$B$3:$B$1000)*1,ISNUMBER(SEARCH("TPBSc",[1]OUT_TransportEnergyCons!$C$3:$C$1000))*1,[1]OUT_TransportEnergyCons!N$3:N$1000)</f>
        <v>0</v>
      </c>
      <c r="Q1455" s="1" cm="1">
        <f t="array" ref="Q1455">SUMPRODUCT(("T_B_c-ICEnga-S1"=[1]OUT_TransportEnergyCons!$A$3:$A$1000)*1,("var_fout"=[1]OUT_TransportEnergyCons!$B$3:$B$1000)*1,ISNUMBER(SEARCH("TPBSc",[1]OUT_TransportEnergyCons!$C$3:$C$1000))*1,[1]OUT_TransportEnergyCons!O$3:O$1000)</f>
        <v>0</v>
      </c>
      <c r="S1455" s="3"/>
    </row>
    <row r="1456" spans="2:19" x14ac:dyDescent="0.5">
      <c r="B1456" s="5" t="str">
        <f t="shared" si="1609"/>
        <v>SPS1</v>
      </c>
      <c r="C1456" s="5" t="str">
        <f t="shared" si="1610"/>
        <v>CH</v>
      </c>
      <c r="D1456" t="s">
        <v>1446</v>
      </c>
      <c r="E1456" t="str">
        <f t="shared" si="1611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1.625263432369169E-5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9.1994015923257274E-5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SUMPRODUCT(("T_B_c-ICEnga-S2"=[1]OUT_TransportEnergyCons!$A$3:$A$1000)*1,("var_fout"=[1]OUT_TransportEnergyCons!$B$3:$B$1000)*1,ISNUMBER(SEARCH("TPBSc",[1]OUT_TransportEnergyCons!$C$3:$C$1000))*1,[1]OUT_TransportEnergyCons!H$3:H$1000)</f>
        <v>0</v>
      </c>
      <c r="K1456" s="1" cm="1">
        <f t="array" ref="K1456">SUMPRODUCT(("T_B_c-ICEnga-S2"=[1]OUT_TransportEnergyCons!$A$3:$A$1000)*1,("var_fout"=[1]OUT_TransportEnergyCons!$B$3:$B$1000)*1,ISNUMBER(SEARCH("TPBSc",[1]OUT_TransportEnergyCons!$C$3:$C$1000))*1,[1]OUT_TransportEnergyCons!I$3:I$1000)</f>
        <v>0</v>
      </c>
      <c r="L1456" s="1" cm="1">
        <f t="array" ref="L1456">SUMPRODUCT(("T_B_c-ICEnga-S2"=[1]OUT_TransportEnergyCons!$A$3:$A$1000)*1,("var_fout"=[1]OUT_TransportEnergyCons!$B$3:$B$1000)*1,ISNUMBER(SEARCH("TPBSc",[1]OUT_TransportEnergyCons!$C$3:$C$1000))*1,[1]OUT_TransportEnergyCons!J$3:J$1000)</f>
        <v>0</v>
      </c>
      <c r="M1456" s="1" cm="1">
        <f t="array" ref="M1456">SUMPRODUCT(("T_B_c-ICEnga-S2"=[1]OUT_TransportEnergyCons!$A$3:$A$1000)*1,("var_fout"=[1]OUT_TransportEnergyCons!$B$3:$B$1000)*1,ISNUMBER(SEARCH("TPBSc",[1]OUT_TransportEnergyCons!$C$3:$C$1000))*1,[1]OUT_TransportEnergyCons!K$3:K$1000)</f>
        <v>0</v>
      </c>
      <c r="N1456" s="1" cm="1">
        <f t="array" ref="N1456">SUMPRODUCT(("T_B_c-ICEnga-S2"=[1]OUT_TransportEnergyCons!$A$3:$A$1000)*1,("var_fout"=[1]OUT_TransportEnergyCons!$B$3:$B$1000)*1,ISNUMBER(SEARCH("TPBSc",[1]OUT_TransportEnergyCons!$C$3:$C$1000))*1,[1]OUT_TransportEnergyCons!L$3:L$1000)</f>
        <v>0</v>
      </c>
      <c r="O1456" s="1" cm="1">
        <f t="array" ref="O1456">SUMPRODUCT(("T_B_c-ICEnga-S2"=[1]OUT_TransportEnergyCons!$A$3:$A$1000)*1,("var_fout"=[1]OUT_TransportEnergyCons!$B$3:$B$1000)*1,ISNUMBER(SEARCH("TPBSc",[1]OUT_TransportEnergyCons!$C$3:$C$1000))*1,[1]OUT_TransportEnergyCons!M$3:M$1000)</f>
        <v>0</v>
      </c>
      <c r="P1456" s="1" cm="1">
        <f t="array" ref="P1456">SUMPRODUCT(("T_B_c-ICEnga-S2"=[1]OUT_TransportEnergyCons!$A$3:$A$1000)*1,("var_fout"=[1]OUT_TransportEnergyCons!$B$3:$B$1000)*1,ISNUMBER(SEARCH("TPBSc",[1]OUT_TransportEnergyCons!$C$3:$C$1000))*1,[1]OUT_TransportEnergyCons!N$3:N$1000)</f>
        <v>0</v>
      </c>
      <c r="Q1456" s="1" cm="1">
        <f t="array" ref="Q1456">SUMPRODUCT(("T_B_c-ICEnga-S2"=[1]OUT_TransportEnergyCons!$A$3:$A$1000)*1,("var_fout"=[1]OUT_TransportEnergyCons!$B$3:$B$1000)*1,ISNUMBER(SEARCH("TPBSc",[1]OUT_TransportEnergyCons!$C$3:$C$1000))*1,[1]OUT_TransportEnergyCons!O$3:O$1000)</f>
        <v>0</v>
      </c>
      <c r="S1456" s="3"/>
    </row>
    <row r="1457" spans="2:19" x14ac:dyDescent="0.5">
      <c r="B1457" s="5" t="str">
        <f t="shared" si="1609"/>
        <v>SPS1</v>
      </c>
      <c r="C1457" s="5" t="str">
        <f t="shared" si="1610"/>
        <v>CH</v>
      </c>
      <c r="D1457" t="s">
        <v>1447</v>
      </c>
      <c r="E1457" t="str">
        <f t="shared" si="1611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9.7233336527624976E-6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4.0589506253613453E-5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SUMPRODUCT(("T_B_c-ICEnga-S3"=[1]OUT_TransportEnergyCons!$A$3:$A$1000)*1,("var_fout"=[1]OUT_TransportEnergyCons!$B$3:$B$1000)*1,ISNUMBER(SEARCH("TPBSc",[1]OUT_TransportEnergyCons!$C$3:$C$1000))*1,[1]OUT_TransportEnergyCons!H$3:H$1000)</f>
        <v>0</v>
      </c>
      <c r="K1457" s="1" cm="1">
        <f t="array" ref="K1457">SUMPRODUCT(("T_B_c-ICEnga-S3"=[1]OUT_TransportEnergyCons!$A$3:$A$1000)*1,("var_fout"=[1]OUT_TransportEnergyCons!$B$3:$B$1000)*1,ISNUMBER(SEARCH("TPBSc",[1]OUT_TransportEnergyCons!$C$3:$C$1000))*1,[1]OUT_TransportEnergyCons!I$3:I$1000)</f>
        <v>0</v>
      </c>
      <c r="L1457" s="1" cm="1">
        <f t="array" ref="L1457">SUMPRODUCT(("T_B_c-ICEnga-S3"=[1]OUT_TransportEnergyCons!$A$3:$A$1000)*1,("var_fout"=[1]OUT_TransportEnergyCons!$B$3:$B$1000)*1,ISNUMBER(SEARCH("TPBSc",[1]OUT_TransportEnergyCons!$C$3:$C$1000))*1,[1]OUT_TransportEnergyCons!J$3:J$1000)</f>
        <v>0</v>
      </c>
      <c r="M1457" s="1" cm="1">
        <f t="array" ref="M1457">SUMPRODUCT(("T_B_c-ICEnga-S3"=[1]OUT_TransportEnergyCons!$A$3:$A$1000)*1,("var_fout"=[1]OUT_TransportEnergyCons!$B$3:$B$1000)*1,ISNUMBER(SEARCH("TPBSc",[1]OUT_TransportEnergyCons!$C$3:$C$1000))*1,[1]OUT_TransportEnergyCons!K$3:K$1000)</f>
        <v>0</v>
      </c>
      <c r="N1457" s="1" cm="1">
        <f t="array" ref="N1457">SUMPRODUCT(("T_B_c-ICEnga-S3"=[1]OUT_TransportEnergyCons!$A$3:$A$1000)*1,("var_fout"=[1]OUT_TransportEnergyCons!$B$3:$B$1000)*1,ISNUMBER(SEARCH("TPBSc",[1]OUT_TransportEnergyCons!$C$3:$C$1000))*1,[1]OUT_TransportEnergyCons!L$3:L$1000)</f>
        <v>0</v>
      </c>
      <c r="O1457" s="1" cm="1">
        <f t="array" ref="O1457">SUMPRODUCT(("T_B_c-ICEnga-S3"=[1]OUT_TransportEnergyCons!$A$3:$A$1000)*1,("var_fout"=[1]OUT_TransportEnergyCons!$B$3:$B$1000)*1,ISNUMBER(SEARCH("TPBSc",[1]OUT_TransportEnergyCons!$C$3:$C$1000))*1,[1]OUT_TransportEnergyCons!M$3:M$1000)</f>
        <v>0</v>
      </c>
      <c r="P1457" s="1" cm="1">
        <f t="array" ref="P1457">SUMPRODUCT(("T_B_c-ICEnga-S3"=[1]OUT_TransportEnergyCons!$A$3:$A$1000)*1,("var_fout"=[1]OUT_TransportEnergyCons!$B$3:$B$1000)*1,ISNUMBER(SEARCH("TPBSc",[1]OUT_TransportEnergyCons!$C$3:$C$1000))*1,[1]OUT_TransportEnergyCons!N$3:N$1000)</f>
        <v>0</v>
      </c>
      <c r="Q1457" s="1" cm="1">
        <f t="array" ref="Q1457">SUMPRODUCT(("T_B_c-ICEnga-S3"=[1]OUT_TransportEnergyCons!$A$3:$A$1000)*1,("var_fout"=[1]OUT_TransportEnergyCons!$B$3:$B$1000)*1,ISNUMBER(SEARCH("TPBSc",[1]OUT_TransportEnergyCons!$C$3:$C$1000))*1,[1]OUT_TransportEnergyCons!O$3:O$1000)</f>
        <v>0</v>
      </c>
      <c r="S1457" s="3"/>
    </row>
    <row r="1458" spans="2:19" x14ac:dyDescent="0.5">
      <c r="B1458" s="5" t="str">
        <f t="shared" si="1609"/>
        <v>SPS1</v>
      </c>
      <c r="C1458" s="5" t="str">
        <f t="shared" si="1610"/>
        <v>CH</v>
      </c>
      <c r="D1458" t="s">
        <v>1448</v>
      </c>
      <c r="E1458" t="str">
        <f t="shared" si="1611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3.2580976014717252E-6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9.8332137798193039E-6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SUMPRODUCT(("T_B_c-ICEnga-S4"=[1]OUT_TransportEnergyCons!$A$3:$A$1000)*1,("var_fout"=[1]OUT_TransportEnergyCons!$B$3:$B$1000)*1,ISNUMBER(SEARCH("TPBSc",[1]OUT_TransportEnergyCons!$C$3:$C$1000))*1,[1]OUT_TransportEnergyCons!H$3:H$1000)</f>
        <v>0</v>
      </c>
      <c r="K1458" s="1" cm="1">
        <f t="array" ref="K1458">SUMPRODUCT(("T_B_c-ICEnga-S4"=[1]OUT_TransportEnergyCons!$A$3:$A$1000)*1,("var_fout"=[1]OUT_TransportEnergyCons!$B$3:$B$1000)*1,ISNUMBER(SEARCH("TPBSc",[1]OUT_TransportEnergyCons!$C$3:$C$1000))*1,[1]OUT_TransportEnergyCons!I$3:I$1000)</f>
        <v>0</v>
      </c>
      <c r="L1458" s="1" cm="1">
        <f t="array" ref="L1458">SUMPRODUCT(("T_B_c-ICEnga-S4"=[1]OUT_TransportEnergyCons!$A$3:$A$1000)*1,("var_fout"=[1]OUT_TransportEnergyCons!$B$3:$B$1000)*1,ISNUMBER(SEARCH("TPBSc",[1]OUT_TransportEnergyCons!$C$3:$C$1000))*1,[1]OUT_TransportEnergyCons!J$3:J$1000)</f>
        <v>0</v>
      </c>
      <c r="M1458" s="1" cm="1">
        <f t="array" ref="M1458">SUMPRODUCT(("T_B_c-ICEnga-S4"=[1]OUT_TransportEnergyCons!$A$3:$A$1000)*1,("var_fout"=[1]OUT_TransportEnergyCons!$B$3:$B$1000)*1,ISNUMBER(SEARCH("TPBSc",[1]OUT_TransportEnergyCons!$C$3:$C$1000))*1,[1]OUT_TransportEnergyCons!K$3:K$1000)</f>
        <v>0</v>
      </c>
      <c r="N1458" s="1" cm="1">
        <f t="array" ref="N1458">SUMPRODUCT(("T_B_c-ICEnga-S4"=[1]OUT_TransportEnergyCons!$A$3:$A$1000)*1,("var_fout"=[1]OUT_TransportEnergyCons!$B$3:$B$1000)*1,ISNUMBER(SEARCH("TPBSc",[1]OUT_TransportEnergyCons!$C$3:$C$1000))*1,[1]OUT_TransportEnergyCons!L$3:L$1000)</f>
        <v>0</v>
      </c>
      <c r="O1458" s="1" cm="1">
        <f t="array" ref="O1458">SUMPRODUCT(("T_B_c-ICEnga-S4"=[1]OUT_TransportEnergyCons!$A$3:$A$1000)*1,("var_fout"=[1]OUT_TransportEnergyCons!$B$3:$B$1000)*1,ISNUMBER(SEARCH("TPBSc",[1]OUT_TransportEnergyCons!$C$3:$C$1000))*1,[1]OUT_TransportEnergyCons!M$3:M$1000)</f>
        <v>0</v>
      </c>
      <c r="P1458" s="1" cm="1">
        <f t="array" ref="P1458">SUMPRODUCT(("T_B_c-ICEnga-S4"=[1]OUT_TransportEnergyCons!$A$3:$A$1000)*1,("var_fout"=[1]OUT_TransportEnergyCons!$B$3:$B$1000)*1,ISNUMBER(SEARCH("TPBSc",[1]OUT_TransportEnergyCons!$C$3:$C$1000))*1,[1]OUT_TransportEnergyCons!N$3:N$1000)</f>
        <v>0</v>
      </c>
      <c r="Q1458" s="1" cm="1">
        <f t="array" ref="Q1458">SUMPRODUCT(("T_B_c-ICEnga-S4"=[1]OUT_TransportEnergyCons!$A$3:$A$1000)*1,("var_fout"=[1]OUT_TransportEnergyCons!$B$3:$B$1000)*1,ISNUMBER(SEARCH("TPBSc",[1]OUT_TransportEnergyCons!$C$3:$C$1000))*1,[1]OUT_TransportEnergyCons!O$3:O$1000)</f>
        <v>0</v>
      </c>
      <c r="S1458" s="3"/>
    </row>
    <row r="1459" spans="2:19" x14ac:dyDescent="0.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19" t="s">
        <v>292</v>
      </c>
      <c r="G1459" s="19" t="s">
        <v>292</v>
      </c>
      <c r="H1459" s="19" t="s">
        <v>292</v>
      </c>
      <c r="I1459" s="19" t="s">
        <v>292</v>
      </c>
      <c r="J1459" s="19" t="s">
        <v>292</v>
      </c>
      <c r="K1459" s="19" t="s">
        <v>292</v>
      </c>
      <c r="L1459" s="19" t="s">
        <v>292</v>
      </c>
      <c r="M1459" s="19" t="s">
        <v>292</v>
      </c>
      <c r="N1459" s="19" t="s">
        <v>292</v>
      </c>
      <c r="O1459" s="19" t="s">
        <v>292</v>
      </c>
      <c r="P1459" s="19" t="s">
        <v>292</v>
      </c>
      <c r="Q1459" s="19" t="s">
        <v>292</v>
      </c>
      <c r="S1459" s="3"/>
    </row>
    <row r="1460" spans="2:19" x14ac:dyDescent="0.5">
      <c r="B1460" s="5" t="str">
        <f t="shared" ref="B1460:B1482" si="1612">B1459</f>
        <v>SPS1</v>
      </c>
      <c r="C1460" s="5" t="str">
        <f t="shared" ref="C1460:C1482" si="1613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614">IFERROR(G1436/G1401,"-")</f>
        <v>-</v>
      </c>
      <c r="H1460" s="1" t="str">
        <f t="shared" si="1614"/>
        <v>-</v>
      </c>
      <c r="I1460" s="1" t="str">
        <f t="shared" si="1614"/>
        <v>-</v>
      </c>
      <c r="J1460" s="1" t="str">
        <f t="shared" si="1614"/>
        <v>-</v>
      </c>
      <c r="K1460" s="1" t="str">
        <f t="shared" si="1614"/>
        <v>-</v>
      </c>
      <c r="L1460" s="1" t="str">
        <f t="shared" ref="L1460:O1460" si="1615">IFERROR(L1436/L1401,"-")</f>
        <v>-</v>
      </c>
      <c r="M1460" s="1" t="str">
        <f t="shared" si="1615"/>
        <v>-</v>
      </c>
      <c r="N1460" s="1" t="str">
        <f t="shared" si="1615"/>
        <v>-</v>
      </c>
      <c r="O1460" s="1" t="str">
        <f t="shared" si="1615"/>
        <v>-</v>
      </c>
      <c r="P1460" s="1" t="str">
        <f t="shared" ref="P1460:Q1464" si="1616">IFERROR(P1436/P1401,"-")</f>
        <v>-</v>
      </c>
      <c r="Q1460" s="1" t="str">
        <f t="shared" si="1616"/>
        <v>-</v>
      </c>
      <c r="S1460" s="3"/>
    </row>
    <row r="1461" spans="2:19" x14ac:dyDescent="0.5">
      <c r="B1461" s="5" t="str">
        <f t="shared" si="1612"/>
        <v>SPS1</v>
      </c>
      <c r="C1461" s="5" t="str">
        <f t="shared" si="1613"/>
        <v>CH</v>
      </c>
      <c r="D1461" t="s">
        <v>1450</v>
      </c>
      <c r="E1461" t="s">
        <v>1229</v>
      </c>
      <c r="F1461" s="1">
        <f t="shared" ref="F1461:K1461" si="1617">IFERROR(F1437/F1402,"-")</f>
        <v>0.37869321701871794</v>
      </c>
      <c r="G1461" s="1">
        <f t="shared" si="1617"/>
        <v>0.38502779549358823</v>
      </c>
      <c r="H1461" s="1">
        <f t="shared" si="1617"/>
        <v>0.39774896002545573</v>
      </c>
      <c r="I1461" s="1">
        <f t="shared" si="1617"/>
        <v>0.44697303817154815</v>
      </c>
      <c r="J1461" s="1">
        <f t="shared" si="1617"/>
        <v>0.46939873940072219</v>
      </c>
      <c r="K1461" s="1">
        <f t="shared" si="1617"/>
        <v>0.47223060332423583</v>
      </c>
      <c r="L1461" s="1">
        <f t="shared" ref="L1461:O1461" si="1618">IFERROR(L1437/L1402,"-")</f>
        <v>0.49226707379455387</v>
      </c>
      <c r="M1461" s="1">
        <f t="shared" si="1618"/>
        <v>0.53025401662606897</v>
      </c>
      <c r="N1461" s="1">
        <f t="shared" si="1618"/>
        <v>0.53727059918595721</v>
      </c>
      <c r="O1461" s="1">
        <f t="shared" si="1618"/>
        <v>0.54235716283703495</v>
      </c>
      <c r="P1461" s="1">
        <f t="shared" si="1616"/>
        <v>0.54235716283703439</v>
      </c>
      <c r="Q1461" s="1">
        <f t="shared" si="1616"/>
        <v>0.54235716283703461</v>
      </c>
      <c r="S1461" s="3"/>
    </row>
    <row r="1462" spans="2:19" x14ac:dyDescent="0.5">
      <c r="B1462" s="5" t="str">
        <f t="shared" si="1612"/>
        <v>SPS1</v>
      </c>
      <c r="C1462" s="5" t="str">
        <f t="shared" si="1613"/>
        <v>CH</v>
      </c>
      <c r="D1462" t="s">
        <v>1451</v>
      </c>
      <c r="E1462" t="s">
        <v>1229</v>
      </c>
      <c r="F1462" s="1">
        <f t="shared" ref="F1462:K1462" si="1619">IFERROR(F1438/F1403,"-")</f>
        <v>0.27518070496490699</v>
      </c>
      <c r="G1462" s="1">
        <f t="shared" si="1619"/>
        <v>0.27861245435940984</v>
      </c>
      <c r="H1462" s="1">
        <f t="shared" si="1619"/>
        <v>0.28622709858056855</v>
      </c>
      <c r="I1462" s="1">
        <f t="shared" si="1619"/>
        <v>0.32379126136532493</v>
      </c>
      <c r="J1462" s="1">
        <f t="shared" si="1619"/>
        <v>0.32564723821162295</v>
      </c>
      <c r="K1462" s="1">
        <f t="shared" si="1619"/>
        <v>0.34990027039842547</v>
      </c>
      <c r="L1462" s="1">
        <f t="shared" ref="L1462:O1462" si="1620">IFERROR(L1438/L1403,"-")</f>
        <v>0.36203246193520072</v>
      </c>
      <c r="M1462" s="1">
        <f t="shared" si="1620"/>
        <v>0.38004662554149182</v>
      </c>
      <c r="N1462" s="1">
        <f t="shared" si="1620"/>
        <v>0.39041863864237863</v>
      </c>
      <c r="O1462" s="1">
        <f t="shared" si="1620"/>
        <v>0.39241606511731009</v>
      </c>
      <c r="P1462" s="1">
        <f t="shared" si="1616"/>
        <v>0.39241606511730975</v>
      </c>
      <c r="Q1462" s="1">
        <f t="shared" si="1616"/>
        <v>0.39241606511730964</v>
      </c>
      <c r="S1462" s="3"/>
    </row>
    <row r="1463" spans="2:19" x14ac:dyDescent="0.5">
      <c r="B1463" s="5" t="str">
        <f t="shared" si="1612"/>
        <v>SPS1</v>
      </c>
      <c r="C1463" s="5" t="str">
        <f t="shared" si="1613"/>
        <v>CH</v>
      </c>
      <c r="D1463" t="s">
        <v>1452</v>
      </c>
      <c r="E1463" t="s">
        <v>1229</v>
      </c>
      <c r="F1463" s="1">
        <f t="shared" ref="F1463:K1463" si="1621">IFERROR(F1439/F1404,"-")</f>
        <v>0.18297040713439897</v>
      </c>
      <c r="G1463" s="1">
        <f t="shared" si="1621"/>
        <v>0.18520933500756251</v>
      </c>
      <c r="H1463" s="1">
        <f t="shared" si="1621"/>
        <v>0.18861206474878386</v>
      </c>
      <c r="I1463" s="1">
        <f t="shared" si="1621"/>
        <v>0.20582225457401743</v>
      </c>
      <c r="J1463" s="1">
        <f t="shared" si="1621"/>
        <v>0.22509316496497261</v>
      </c>
      <c r="K1463" s="1">
        <f t="shared" si="1621"/>
        <v>0.23335140892356038</v>
      </c>
      <c r="L1463" s="1">
        <f t="shared" ref="L1463:O1463" si="1622">IFERROR(L1439/L1404,"-")</f>
        <v>0.24548768083905556</v>
      </c>
      <c r="M1463" s="1">
        <f t="shared" si="1622"/>
        <v>0.25694017338495356</v>
      </c>
      <c r="N1463" s="1">
        <f t="shared" si="1622"/>
        <v>0.2614567973240205</v>
      </c>
      <c r="O1463" s="1">
        <f t="shared" si="1622"/>
        <v>0.26214281836713793</v>
      </c>
      <c r="P1463" s="1">
        <f t="shared" si="1616"/>
        <v>0.26214281836713776</v>
      </c>
      <c r="Q1463" s="1">
        <f t="shared" si="1616"/>
        <v>0.26214281836713821</v>
      </c>
      <c r="S1463" s="3"/>
    </row>
    <row r="1464" spans="2:19" x14ac:dyDescent="0.5">
      <c r="B1464" s="5" t="str">
        <f t="shared" si="1612"/>
        <v>SPS1</v>
      </c>
      <c r="C1464" s="5" t="str">
        <f t="shared" si="1613"/>
        <v>CH</v>
      </c>
      <c r="D1464" t="s">
        <v>1453</v>
      </c>
      <c r="E1464" t="s">
        <v>1229</v>
      </c>
      <c r="F1464" s="1" t="str">
        <f t="shared" ref="F1464:K1464" si="1623">IFERROR(F1440/F1405,"-")</f>
        <v>-</v>
      </c>
      <c r="G1464" s="1">
        <f t="shared" si="1623"/>
        <v>0.12643429100140416</v>
      </c>
      <c r="H1464" s="1">
        <f t="shared" si="1623"/>
        <v>0.12962741243246473</v>
      </c>
      <c r="I1464" s="1">
        <f t="shared" si="1623"/>
        <v>0.13869717418546618</v>
      </c>
      <c r="J1464" s="1">
        <f t="shared" si="1623"/>
        <v>0.15091894250605173</v>
      </c>
      <c r="K1464" s="1">
        <f t="shared" si="1623"/>
        <v>0.15668765896394335</v>
      </c>
      <c r="L1464" s="1">
        <f t="shared" ref="L1464:O1464" si="1624">IFERROR(L1440/L1405,"-")</f>
        <v>0.16519552757839329</v>
      </c>
      <c r="M1464" s="1">
        <f t="shared" si="1624"/>
        <v>0.17275468212625805</v>
      </c>
      <c r="N1464" s="1">
        <f t="shared" si="1624"/>
        <v>0.17547614587850288</v>
      </c>
      <c r="O1464" s="1">
        <f t="shared" si="1624"/>
        <v>0.17547614587850302</v>
      </c>
      <c r="P1464" s="1">
        <f t="shared" si="1616"/>
        <v>0.17547614587850324</v>
      </c>
      <c r="Q1464" s="1">
        <f t="shared" si="1616"/>
        <v>0.1754761458785028</v>
      </c>
      <c r="S1464" s="3"/>
    </row>
    <row r="1465" spans="2:19" x14ac:dyDescent="0.5">
      <c r="B1465" s="5" t="str">
        <f t="shared" si="1612"/>
        <v>SPS1</v>
      </c>
      <c r="C1465" s="5" t="str">
        <f t="shared" si="1613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625">IFERROR(G1441/G1407,"-")</f>
        <v>-</v>
      </c>
      <c r="H1465" s="1" t="str">
        <f t="shared" si="1625"/>
        <v>-</v>
      </c>
      <c r="I1465" s="1" t="str">
        <f t="shared" si="1625"/>
        <v>-</v>
      </c>
      <c r="J1465" s="1" t="str">
        <f t="shared" si="1625"/>
        <v>-</v>
      </c>
      <c r="K1465" s="1" t="str">
        <f t="shared" si="1625"/>
        <v>-</v>
      </c>
      <c r="L1465" s="1" t="str">
        <f t="shared" ref="L1465:O1465" si="1626">IFERROR(L1441/L1407,"-")</f>
        <v>-</v>
      </c>
      <c r="M1465" s="1" t="str">
        <f t="shared" si="1626"/>
        <v>-</v>
      </c>
      <c r="N1465" s="1" t="str">
        <f t="shared" si="1626"/>
        <v>-</v>
      </c>
      <c r="O1465" s="1" t="str">
        <f t="shared" si="1626"/>
        <v>-</v>
      </c>
      <c r="P1465" s="1" t="str">
        <f t="shared" ref="P1465:Q1468" si="1627">IFERROR(P1441/P1407,"-")</f>
        <v>-</v>
      </c>
      <c r="Q1465" s="1" t="str">
        <f t="shared" si="1627"/>
        <v>-</v>
      </c>
      <c r="S1465" s="3"/>
    </row>
    <row r="1466" spans="2:19" x14ac:dyDescent="0.5">
      <c r="B1466" s="5" t="str">
        <f t="shared" si="1612"/>
        <v>SPS1</v>
      </c>
      <c r="C1466" s="5" t="str">
        <f t="shared" si="1613"/>
        <v>CH</v>
      </c>
      <c r="D1466" t="s">
        <v>1455</v>
      </c>
      <c r="E1466" t="s">
        <v>1229</v>
      </c>
      <c r="F1466" s="1" t="str">
        <f t="shared" ref="F1466:K1466" si="1628">IFERROR(F1442/F1408,"-")</f>
        <v>-</v>
      </c>
      <c r="G1466" s="1" t="str">
        <f t="shared" si="1628"/>
        <v>-</v>
      </c>
      <c r="H1466" s="1" t="str">
        <f t="shared" si="1628"/>
        <v>-</v>
      </c>
      <c r="I1466" s="1" t="str">
        <f t="shared" si="1628"/>
        <v>-</v>
      </c>
      <c r="J1466" s="1" t="str">
        <f t="shared" si="1628"/>
        <v>-</v>
      </c>
      <c r="K1466" s="1" t="str">
        <f t="shared" si="1628"/>
        <v>-</v>
      </c>
      <c r="L1466" s="1" t="str">
        <f t="shared" ref="L1466:O1466" si="1629">IFERROR(L1442/L1408,"-")</f>
        <v>-</v>
      </c>
      <c r="M1466" s="1" t="str">
        <f t="shared" si="1629"/>
        <v>-</v>
      </c>
      <c r="N1466" s="1" t="str">
        <f t="shared" si="1629"/>
        <v>-</v>
      </c>
      <c r="O1466" s="1" t="str">
        <f t="shared" si="1629"/>
        <v>-</v>
      </c>
      <c r="P1466" s="1" t="str">
        <f t="shared" si="1627"/>
        <v>-</v>
      </c>
      <c r="Q1466" s="1" t="str">
        <f t="shared" si="1627"/>
        <v>-</v>
      </c>
      <c r="S1466" s="3"/>
    </row>
    <row r="1467" spans="2:19" x14ac:dyDescent="0.5">
      <c r="B1467" s="5" t="str">
        <f t="shared" si="1612"/>
        <v>SPS1</v>
      </c>
      <c r="C1467" s="5" t="str">
        <f t="shared" si="1613"/>
        <v>CH</v>
      </c>
      <c r="D1467" t="s">
        <v>1456</v>
      </c>
      <c r="E1467" t="s">
        <v>1229</v>
      </c>
      <c r="F1467" s="1" t="str">
        <f t="shared" ref="F1467:K1467" si="1630">IFERROR(F1443/F1409,"-")</f>
        <v>-</v>
      </c>
      <c r="G1467" s="1" t="str">
        <f t="shared" si="1630"/>
        <v>-</v>
      </c>
      <c r="H1467" s="1" t="str">
        <f t="shared" si="1630"/>
        <v>-</v>
      </c>
      <c r="I1467" s="1">
        <f t="shared" si="1630"/>
        <v>0.11310839137372311</v>
      </c>
      <c r="J1467" s="1" t="str">
        <f t="shared" si="1630"/>
        <v>-</v>
      </c>
      <c r="K1467" s="1" t="str">
        <f t="shared" si="1630"/>
        <v>-</v>
      </c>
      <c r="L1467" s="1" t="str">
        <f t="shared" ref="L1467:O1467" si="1631">IFERROR(L1443/L1409,"-")</f>
        <v>-</v>
      </c>
      <c r="M1467" s="1" t="str">
        <f t="shared" si="1631"/>
        <v>-</v>
      </c>
      <c r="N1467" s="1" t="str">
        <f t="shared" si="1631"/>
        <v>-</v>
      </c>
      <c r="O1467" s="1" t="str">
        <f t="shared" si="1631"/>
        <v>-</v>
      </c>
      <c r="P1467" s="1" t="str">
        <f t="shared" si="1627"/>
        <v>-</v>
      </c>
      <c r="Q1467" s="1" t="str">
        <f t="shared" si="1627"/>
        <v>-</v>
      </c>
      <c r="S1467" s="3"/>
    </row>
    <row r="1468" spans="2:19" x14ac:dyDescent="0.5">
      <c r="B1468" s="5" t="str">
        <f t="shared" si="1612"/>
        <v>SPS1</v>
      </c>
      <c r="C1468" s="5" t="str">
        <f t="shared" si="1613"/>
        <v>CH</v>
      </c>
      <c r="D1468" t="s">
        <v>1457</v>
      </c>
      <c r="E1468" t="s">
        <v>1229</v>
      </c>
      <c r="F1468" s="1" t="str">
        <f t="shared" ref="F1468:K1468" si="1632">IFERROR(F1444/F1410,"-")</f>
        <v>-</v>
      </c>
      <c r="G1468" s="1" t="str">
        <f t="shared" si="1632"/>
        <v>-</v>
      </c>
      <c r="H1468" s="1" t="str">
        <f t="shared" si="1632"/>
        <v>-</v>
      </c>
      <c r="I1468" s="1" t="str">
        <f t="shared" si="1632"/>
        <v>-</v>
      </c>
      <c r="J1468" s="1" t="str">
        <f t="shared" si="1632"/>
        <v>-</v>
      </c>
      <c r="K1468" s="1" t="str">
        <f t="shared" si="1632"/>
        <v>-</v>
      </c>
      <c r="L1468" s="1" t="str">
        <f t="shared" ref="L1468:O1468" si="1633">IFERROR(L1444/L1410,"-")</f>
        <v>-</v>
      </c>
      <c r="M1468" s="1" t="str">
        <f t="shared" si="1633"/>
        <v>-</v>
      </c>
      <c r="N1468" s="1" t="str">
        <f t="shared" si="1633"/>
        <v>-</v>
      </c>
      <c r="O1468" s="1" t="str">
        <f t="shared" si="1633"/>
        <v>-</v>
      </c>
      <c r="P1468" s="1" t="str">
        <f t="shared" si="1627"/>
        <v>-</v>
      </c>
      <c r="Q1468" s="1" t="str">
        <f t="shared" si="1627"/>
        <v>-</v>
      </c>
      <c r="S1468" s="3"/>
    </row>
    <row r="1469" spans="2:19" x14ac:dyDescent="0.5">
      <c r="B1469" s="5" t="str">
        <f t="shared" si="1612"/>
        <v>SPS1</v>
      </c>
      <c r="C1469" s="5" t="str">
        <f t="shared" si="1613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634">IFERROR(G1445/G1416,"-")</f>
        <v>0.16251369968883861</v>
      </c>
      <c r="H1469" s="1">
        <f t="shared" si="1634"/>
        <v>0.16446523288245898</v>
      </c>
      <c r="I1469" s="1">
        <f t="shared" si="1634"/>
        <v>0.17441772594342375</v>
      </c>
      <c r="J1469" s="1">
        <f t="shared" si="1634"/>
        <v>0.19258423822216525</v>
      </c>
      <c r="K1469" s="1">
        <f t="shared" si="1634"/>
        <v>0.19726931487004437</v>
      </c>
      <c r="L1469" s="1">
        <f t="shared" ref="L1469:O1469" si="1635">IFERROR(L1445/L1416,"-")</f>
        <v>0.20887336845270413</v>
      </c>
      <c r="M1469" s="1">
        <f t="shared" si="1635"/>
        <v>0.22054483096077879</v>
      </c>
      <c r="N1469" s="1">
        <f t="shared" si="1635"/>
        <v>0.22363976287523249</v>
      </c>
      <c r="O1469" s="1">
        <f t="shared" si="1635"/>
        <v>0.22493286651934488</v>
      </c>
      <c r="P1469" s="1">
        <f t="shared" ref="P1469:Q1477" si="1636">IFERROR(P1445/P1416,"-")</f>
        <v>0.2249328665193448</v>
      </c>
      <c r="Q1469" s="1">
        <f t="shared" si="1636"/>
        <v>0.22493286651934527</v>
      </c>
      <c r="S1469" s="3"/>
    </row>
    <row r="1470" spans="2:19" x14ac:dyDescent="0.5">
      <c r="B1470" s="5" t="str">
        <f t="shared" si="1612"/>
        <v>SPS1</v>
      </c>
      <c r="C1470" s="5" t="str">
        <f t="shared" si="1613"/>
        <v>CH</v>
      </c>
      <c r="D1470" t="s">
        <v>1459</v>
      </c>
      <c r="E1470" t="s">
        <v>1229</v>
      </c>
      <c r="F1470" s="1" t="str">
        <f t="shared" ref="F1470:K1470" si="1637">IFERROR(F1446/F1417,"-")</f>
        <v>-</v>
      </c>
      <c r="G1470" s="1">
        <f t="shared" si="1637"/>
        <v>0.11649393435744139</v>
      </c>
      <c r="H1470" s="1">
        <f t="shared" si="1637"/>
        <v>0.12220608542600478</v>
      </c>
      <c r="I1470" s="1">
        <f t="shared" si="1637"/>
        <v>0.1302838093809249</v>
      </c>
      <c r="J1470" s="1">
        <f t="shared" si="1637"/>
        <v>0.13142670856704311</v>
      </c>
      <c r="K1470" s="1">
        <f t="shared" si="1637"/>
        <v>0.14350342876522523</v>
      </c>
      <c r="L1470" s="1">
        <f t="shared" ref="L1470:O1470" si="1638">IFERROR(L1446/L1417,"-")</f>
        <v>0.14765406108770229</v>
      </c>
      <c r="M1470" s="1">
        <f t="shared" si="1638"/>
        <v>0.15538112896087239</v>
      </c>
      <c r="N1470" s="1">
        <f t="shared" si="1638"/>
        <v>0.16066495313409801</v>
      </c>
      <c r="O1470" s="1">
        <f t="shared" si="1638"/>
        <v>0.16121889029459113</v>
      </c>
      <c r="P1470" s="1">
        <f t="shared" si="1636"/>
        <v>0.16121889029459099</v>
      </c>
      <c r="Q1470" s="1">
        <f t="shared" si="1636"/>
        <v>0.16121889029459119</v>
      </c>
      <c r="S1470" s="3"/>
    </row>
    <row r="1471" spans="2:19" x14ac:dyDescent="0.5">
      <c r="B1471" s="5" t="str">
        <f t="shared" si="1612"/>
        <v>SPS1</v>
      </c>
      <c r="C1471" s="5" t="str">
        <f t="shared" si="1613"/>
        <v>CH</v>
      </c>
      <c r="D1471" t="s">
        <v>1460</v>
      </c>
      <c r="E1471" t="s">
        <v>1229</v>
      </c>
      <c r="F1471" s="1" t="str">
        <f t="shared" ref="F1471:K1471" si="1639">IFERROR(F1447/F1418,"-")</f>
        <v>-</v>
      </c>
      <c r="G1471" s="1">
        <f t="shared" si="1639"/>
        <v>7.8235828164578997E-2</v>
      </c>
      <c r="H1471" s="1">
        <f t="shared" si="1639"/>
        <v>8.1844292928382051E-2</v>
      </c>
      <c r="I1471" s="1">
        <f t="shared" si="1639"/>
        <v>8.8440275823949449E-2</v>
      </c>
      <c r="J1471" s="1">
        <f t="shared" si="1639"/>
        <v>9.0037682135130151E-2</v>
      </c>
      <c r="K1471" s="1">
        <f t="shared" si="1639"/>
        <v>9.7357845356167469E-2</v>
      </c>
      <c r="L1471" s="1">
        <f t="shared" ref="L1471:O1471" si="1640">IFERROR(L1447/L1418,"-")</f>
        <v>9.9951564695508213E-2</v>
      </c>
      <c r="M1471" s="1">
        <f t="shared" si="1640"/>
        <v>0.10696869841490889</v>
      </c>
      <c r="N1471" s="1">
        <f t="shared" si="1640"/>
        <v>0.10839104127599779</v>
      </c>
      <c r="O1471" s="1">
        <f t="shared" si="1640"/>
        <v>0.10864967662065886</v>
      </c>
      <c r="P1471" s="1">
        <f t="shared" si="1636"/>
        <v>0.10864967662065883</v>
      </c>
      <c r="Q1471" s="1">
        <f t="shared" si="1636"/>
        <v>0.10864967662065894</v>
      </c>
      <c r="S1471" s="3"/>
    </row>
    <row r="1472" spans="2:19" x14ac:dyDescent="0.5">
      <c r="B1472" s="5" t="str">
        <f t="shared" si="1612"/>
        <v>SPS1</v>
      </c>
      <c r="C1472" s="5" t="str">
        <f t="shared" si="1613"/>
        <v>CH</v>
      </c>
      <c r="D1472" t="s">
        <v>1461</v>
      </c>
      <c r="E1472" t="s">
        <v>1229</v>
      </c>
      <c r="F1472" s="1" t="str">
        <f t="shared" ref="F1472:K1472" si="1641">IFERROR(F1448/F1419,"-")</f>
        <v>-</v>
      </c>
      <c r="G1472" s="1">
        <f t="shared" si="1641"/>
        <v>5.2751439830497709E-2</v>
      </c>
      <c r="H1472" s="1">
        <f t="shared" si="1641"/>
        <v>5.3948944318692051E-2</v>
      </c>
      <c r="I1472" s="1">
        <f t="shared" si="1641"/>
        <v>5.7244489504462988E-2</v>
      </c>
      <c r="J1472" s="1">
        <f t="shared" si="1641"/>
        <v>6.2847918858375262E-2</v>
      </c>
      <c r="K1472" s="1">
        <f t="shared" si="1641"/>
        <v>6.5263127003765367E-2</v>
      </c>
      <c r="L1472" s="1">
        <f t="shared" ref="L1472:O1472" si="1642">IFERROR(L1448/L1419,"-")</f>
        <v>6.898256757393624E-2</v>
      </c>
      <c r="M1472" s="1">
        <f t="shared" si="1642"/>
        <v>7.2184101311058665E-2</v>
      </c>
      <c r="N1472" s="1">
        <f t="shared" si="1642"/>
        <v>7.3435402919044795E-2</v>
      </c>
      <c r="O1472" s="1">
        <f t="shared" si="1642"/>
        <v>7.3435402919044837E-2</v>
      </c>
      <c r="P1472" s="1">
        <f t="shared" si="1636"/>
        <v>7.3435402919044782E-2</v>
      </c>
      <c r="Q1472" s="1">
        <f t="shared" si="1636"/>
        <v>7.3435402919044837E-2</v>
      </c>
      <c r="S1472" s="3"/>
    </row>
    <row r="1473" spans="2:19" x14ac:dyDescent="0.5">
      <c r="B1473" s="5" t="str">
        <f t="shared" si="1612"/>
        <v>SPS1</v>
      </c>
      <c r="C1473" s="5" t="str">
        <f t="shared" si="1613"/>
        <v>CH</v>
      </c>
      <c r="D1473" t="s">
        <v>2117</v>
      </c>
      <c r="E1473" t="s">
        <v>1229</v>
      </c>
      <c r="F1473" s="1">
        <f>IFERROR(F1449/F1420,"-")</f>
        <v>9.9502495941956663</v>
      </c>
      <c r="G1473" s="1">
        <f t="shared" ref="G1473:K1473" si="1643">IFERROR(G1449/G1420,"-")</f>
        <v>7.9797266512003047</v>
      </c>
      <c r="H1473" s="1">
        <f t="shared" si="1643"/>
        <v>5.023942236707291</v>
      </c>
      <c r="I1473" s="1" t="str">
        <f t="shared" si="1643"/>
        <v>-</v>
      </c>
      <c r="J1473" s="1" t="str">
        <f t="shared" si="1643"/>
        <v>-</v>
      </c>
      <c r="K1473" s="1" t="str">
        <f t="shared" si="1643"/>
        <v>-</v>
      </c>
      <c r="L1473" s="1" t="str">
        <f t="shared" ref="L1473:O1473" si="1644">IFERROR(L1449/L1420,"-")</f>
        <v>-</v>
      </c>
      <c r="M1473" s="1" t="str">
        <f t="shared" si="1644"/>
        <v>-</v>
      </c>
      <c r="N1473" s="1" t="str">
        <f t="shared" si="1644"/>
        <v>-</v>
      </c>
      <c r="O1473" s="1" t="str">
        <f t="shared" si="1644"/>
        <v>-</v>
      </c>
      <c r="P1473" s="1" t="str">
        <f t="shared" si="1636"/>
        <v>-</v>
      </c>
      <c r="Q1473" s="1" t="str">
        <f t="shared" si="1636"/>
        <v>-</v>
      </c>
      <c r="S1473" s="3"/>
    </row>
    <row r="1474" spans="2:19" x14ac:dyDescent="0.5">
      <c r="B1474" s="5" t="str">
        <f t="shared" si="1612"/>
        <v>SPS1</v>
      </c>
      <c r="C1474" s="5" t="str">
        <f t="shared" si="1613"/>
        <v>CH</v>
      </c>
      <c r="D1474" t="s">
        <v>1462</v>
      </c>
      <c r="E1474" t="s">
        <v>1229</v>
      </c>
      <c r="F1474" s="1">
        <f t="shared" ref="F1474:K1474" si="1645">IFERROR(F1450/F1421,"-")</f>
        <v>0.12391916748597474</v>
      </c>
      <c r="G1474" s="1">
        <f t="shared" si="1645"/>
        <v>0.12668158820766987</v>
      </c>
      <c r="H1474" s="1">
        <f t="shared" si="1645"/>
        <v>0.12819876439304917</v>
      </c>
      <c r="I1474" s="1" t="str">
        <f t="shared" si="1645"/>
        <v>-</v>
      </c>
      <c r="J1474" s="1" t="str">
        <f t="shared" si="1645"/>
        <v>-</v>
      </c>
      <c r="K1474" s="1" t="str">
        <f t="shared" si="1645"/>
        <v>-</v>
      </c>
      <c r="L1474" s="1" t="str">
        <f t="shared" ref="L1474:O1474" si="1646">IFERROR(L1450/L1421,"-")</f>
        <v>-</v>
      </c>
      <c r="M1474" s="1" t="str">
        <f t="shared" si="1646"/>
        <v>-</v>
      </c>
      <c r="N1474" s="1" t="str">
        <f t="shared" si="1646"/>
        <v>-</v>
      </c>
      <c r="O1474" s="1" t="str">
        <f t="shared" si="1646"/>
        <v>-</v>
      </c>
      <c r="P1474" s="1" t="str">
        <f t="shared" si="1636"/>
        <v>-</v>
      </c>
      <c r="Q1474" s="1" t="str">
        <f t="shared" si="1636"/>
        <v>-</v>
      </c>
      <c r="S1474" s="3"/>
    </row>
    <row r="1475" spans="2:19" x14ac:dyDescent="0.5">
      <c r="B1475" s="5" t="str">
        <f t="shared" si="1612"/>
        <v>SPS1</v>
      </c>
      <c r="C1475" s="5" t="str">
        <f t="shared" si="1613"/>
        <v>CH</v>
      </c>
      <c r="D1475" t="s">
        <v>1463</v>
      </c>
      <c r="E1475" t="s">
        <v>1229</v>
      </c>
      <c r="F1475" s="1">
        <f t="shared" ref="F1475:K1475" si="1647">IFERROR(F1451/F1422,"-")</f>
        <v>8.7465847585616679E-2</v>
      </c>
      <c r="G1475" s="1">
        <f t="shared" si="1647"/>
        <v>8.781363117552618E-2</v>
      </c>
      <c r="H1475" s="1">
        <f t="shared" si="1647"/>
        <v>8.781219599625488E-2</v>
      </c>
      <c r="I1475" s="1" t="str">
        <f t="shared" si="1647"/>
        <v>-</v>
      </c>
      <c r="J1475" s="1" t="str">
        <f t="shared" si="1647"/>
        <v>-</v>
      </c>
      <c r="K1475" s="1" t="str">
        <f t="shared" si="1647"/>
        <v>-</v>
      </c>
      <c r="L1475" s="1" t="str">
        <f t="shared" ref="L1475:O1475" si="1648">IFERROR(L1451/L1422,"-")</f>
        <v>-</v>
      </c>
      <c r="M1475" s="1" t="str">
        <f t="shared" si="1648"/>
        <v>-</v>
      </c>
      <c r="N1475" s="1" t="str">
        <f t="shared" si="1648"/>
        <v>-</v>
      </c>
      <c r="O1475" s="1" t="str">
        <f t="shared" si="1648"/>
        <v>-</v>
      </c>
      <c r="P1475" s="1" t="str">
        <f t="shared" si="1636"/>
        <v>-</v>
      </c>
      <c r="Q1475" s="1" t="str">
        <f t="shared" si="1636"/>
        <v>-</v>
      </c>
      <c r="S1475" s="3"/>
    </row>
    <row r="1476" spans="2:19" x14ac:dyDescent="0.5">
      <c r="B1476" s="5" t="str">
        <f t="shared" si="1612"/>
        <v>SPS1</v>
      </c>
      <c r="C1476" s="5" t="str">
        <f t="shared" si="1613"/>
        <v>CH</v>
      </c>
      <c r="D1476" t="s">
        <v>1464</v>
      </c>
      <c r="E1476" t="s">
        <v>1229</v>
      </c>
      <c r="F1476" s="1">
        <f t="shared" ref="F1476:K1476" si="1649">IFERROR(F1452/F1423,"-")</f>
        <v>5.7949527986548531E-2</v>
      </c>
      <c r="G1476" s="1">
        <f t="shared" si="1649"/>
        <v>5.8180216847020287E-2</v>
      </c>
      <c r="H1476" s="1">
        <f t="shared" si="1649"/>
        <v>5.8177538630239237E-2</v>
      </c>
      <c r="I1476" s="1" t="str">
        <f t="shared" si="1649"/>
        <v>-</v>
      </c>
      <c r="J1476" s="1" t="str">
        <f t="shared" si="1649"/>
        <v>-</v>
      </c>
      <c r="K1476" s="1" t="str">
        <f t="shared" si="1649"/>
        <v>-</v>
      </c>
      <c r="L1476" s="1" t="str">
        <f t="shared" ref="L1476:O1476" si="1650">IFERROR(L1452/L1423,"-")</f>
        <v>-</v>
      </c>
      <c r="M1476" s="1" t="str">
        <f t="shared" si="1650"/>
        <v>-</v>
      </c>
      <c r="N1476" s="1" t="str">
        <f t="shared" si="1650"/>
        <v>-</v>
      </c>
      <c r="O1476" s="1" t="str">
        <f t="shared" si="1650"/>
        <v>-</v>
      </c>
      <c r="P1476" s="1" t="str">
        <f t="shared" si="1636"/>
        <v>-</v>
      </c>
      <c r="Q1476" s="1" t="str">
        <f t="shared" si="1636"/>
        <v>-</v>
      </c>
      <c r="S1476" s="3"/>
    </row>
    <row r="1477" spans="2:19" x14ac:dyDescent="0.5">
      <c r="B1477" s="5" t="str">
        <f t="shared" si="1612"/>
        <v>SPS1</v>
      </c>
      <c r="C1477" s="5" t="str">
        <f t="shared" si="1613"/>
        <v>CH</v>
      </c>
      <c r="D1477" t="s">
        <v>1465</v>
      </c>
      <c r="E1477" t="s">
        <v>1229</v>
      </c>
      <c r="F1477" s="1">
        <f t="shared" ref="F1477:K1477" si="1651">IFERROR(F1453/F1424,"-")</f>
        <v>3.8646481387947469E-2</v>
      </c>
      <c r="G1477" s="1">
        <f t="shared" si="1651"/>
        <v>3.8971475319300029E-2</v>
      </c>
      <c r="H1477" s="1">
        <f t="shared" si="1651"/>
        <v>3.9314200677376412E-2</v>
      </c>
      <c r="I1477" s="1" t="str">
        <f t="shared" si="1651"/>
        <v>-</v>
      </c>
      <c r="J1477" s="1" t="str">
        <f t="shared" si="1651"/>
        <v>-</v>
      </c>
      <c r="K1477" s="1" t="str">
        <f t="shared" si="1651"/>
        <v>-</v>
      </c>
      <c r="L1477" s="1" t="str">
        <f t="shared" ref="L1477:O1477" si="1652">IFERROR(L1453/L1424,"-")</f>
        <v>-</v>
      </c>
      <c r="M1477" s="1" t="str">
        <f t="shared" si="1652"/>
        <v>-</v>
      </c>
      <c r="N1477" s="1" t="str">
        <f t="shared" si="1652"/>
        <v>-</v>
      </c>
      <c r="O1477" s="1" t="str">
        <f t="shared" si="1652"/>
        <v>-</v>
      </c>
      <c r="P1477" s="1" t="str">
        <f t="shared" si="1636"/>
        <v>-</v>
      </c>
      <c r="Q1477" s="1" t="str">
        <f t="shared" si="1636"/>
        <v>-</v>
      </c>
      <c r="S1477" s="3"/>
    </row>
    <row r="1478" spans="2:19" x14ac:dyDescent="0.5">
      <c r="B1478" s="5" t="str">
        <f t="shared" si="1612"/>
        <v>SPS1</v>
      </c>
      <c r="C1478" s="5" t="str">
        <f t="shared" si="1613"/>
        <v>CH</v>
      </c>
      <c r="D1478" t="s">
        <v>2120</v>
      </c>
      <c r="E1478" t="s">
        <v>1229</v>
      </c>
      <c r="F1478" s="1">
        <f>IFERROR(F1454/F1430,"-")</f>
        <v>9.9502495941956575</v>
      </c>
      <c r="G1478" s="1">
        <f t="shared" ref="G1478:K1478" si="1653">IFERROR(G1454/G1430,"-")</f>
        <v>7.9767976048237337</v>
      </c>
      <c r="H1478" s="1">
        <f t="shared" si="1653"/>
        <v>5.0166196207658729</v>
      </c>
      <c r="I1478" s="1" t="str">
        <f t="shared" si="1653"/>
        <v>-</v>
      </c>
      <c r="J1478" s="1" t="str">
        <f t="shared" si="1653"/>
        <v>-</v>
      </c>
      <c r="K1478" s="1" t="str">
        <f t="shared" si="1653"/>
        <v>-</v>
      </c>
      <c r="L1478" s="1" t="str">
        <f t="shared" ref="L1478:O1478" si="1654">IFERROR(L1454/L1430,"-")</f>
        <v>-</v>
      </c>
      <c r="M1478" s="1" t="str">
        <f t="shared" si="1654"/>
        <v>-</v>
      </c>
      <c r="N1478" s="1" t="str">
        <f t="shared" si="1654"/>
        <v>-</v>
      </c>
      <c r="O1478" s="1" t="str">
        <f t="shared" si="1654"/>
        <v>-</v>
      </c>
      <c r="P1478" s="1" t="str">
        <f t="shared" ref="P1478:Q1482" si="1655">IFERROR(P1454/P1430,"-")</f>
        <v>-</v>
      </c>
      <c r="Q1478" s="1" t="str">
        <f t="shared" si="1655"/>
        <v>-</v>
      </c>
      <c r="S1478" s="3"/>
    </row>
    <row r="1479" spans="2:19" x14ac:dyDescent="0.5">
      <c r="B1479" s="5" t="str">
        <f t="shared" si="1612"/>
        <v>SPS1</v>
      </c>
      <c r="C1479" s="5" t="str">
        <f t="shared" si="1613"/>
        <v>CH</v>
      </c>
      <c r="D1479" t="s">
        <v>1466</v>
      </c>
      <c r="E1479" t="s">
        <v>1229</v>
      </c>
      <c r="F1479" s="1" t="str">
        <f t="shared" ref="F1479:K1479" si="1656">IFERROR(F1455/F1431,"-")</f>
        <v>-</v>
      </c>
      <c r="G1479" s="1">
        <f t="shared" si="1656"/>
        <v>0.12023751974847212</v>
      </c>
      <c r="H1479" s="1">
        <f t="shared" si="1656"/>
        <v>0.12579445808376016</v>
      </c>
      <c r="I1479" s="1" t="str">
        <f t="shared" si="1656"/>
        <v>-</v>
      </c>
      <c r="J1479" s="1" t="str">
        <f t="shared" si="1656"/>
        <v>-</v>
      </c>
      <c r="K1479" s="1" t="str">
        <f t="shared" si="1656"/>
        <v>-</v>
      </c>
      <c r="L1479" s="1" t="str">
        <f t="shared" ref="L1479:O1479" si="1657">IFERROR(L1455/L1431,"-")</f>
        <v>-</v>
      </c>
      <c r="M1479" s="1" t="str">
        <f t="shared" si="1657"/>
        <v>-</v>
      </c>
      <c r="N1479" s="1" t="str">
        <f t="shared" si="1657"/>
        <v>-</v>
      </c>
      <c r="O1479" s="1" t="str">
        <f t="shared" si="1657"/>
        <v>-</v>
      </c>
      <c r="P1479" s="1" t="str">
        <f t="shared" si="1655"/>
        <v>-</v>
      </c>
      <c r="Q1479" s="1" t="str">
        <f t="shared" si="1655"/>
        <v>-</v>
      </c>
      <c r="S1479" s="3"/>
    </row>
    <row r="1480" spans="2:19" x14ac:dyDescent="0.5">
      <c r="B1480" s="5" t="str">
        <f t="shared" si="1612"/>
        <v>SPS1</v>
      </c>
      <c r="C1480" s="5" t="str">
        <f t="shared" si="1613"/>
        <v>CH</v>
      </c>
      <c r="D1480" t="s">
        <v>1467</v>
      </c>
      <c r="E1480" t="s">
        <v>1229</v>
      </c>
      <c r="F1480" s="1" t="str">
        <f t="shared" ref="F1480:K1480" si="1658">IFERROR(F1456/F1432,"-")</f>
        <v>-</v>
      </c>
      <c r="G1480" s="1">
        <f t="shared" si="1658"/>
        <v>8.4998076233608832E-2</v>
      </c>
      <c r="H1480" s="1">
        <f t="shared" si="1658"/>
        <v>8.8492164341959972E-2</v>
      </c>
      <c r="I1480" s="1" t="str">
        <f t="shared" si="1658"/>
        <v>-</v>
      </c>
      <c r="J1480" s="1" t="str">
        <f t="shared" si="1658"/>
        <v>-</v>
      </c>
      <c r="K1480" s="1" t="str">
        <f t="shared" si="1658"/>
        <v>-</v>
      </c>
      <c r="L1480" s="1" t="str">
        <f t="shared" ref="L1480:O1480" si="1659">IFERROR(L1456/L1432,"-")</f>
        <v>-</v>
      </c>
      <c r="M1480" s="1" t="str">
        <f t="shared" si="1659"/>
        <v>-</v>
      </c>
      <c r="N1480" s="1" t="str">
        <f t="shared" si="1659"/>
        <v>-</v>
      </c>
      <c r="O1480" s="1" t="str">
        <f t="shared" si="1659"/>
        <v>-</v>
      </c>
      <c r="P1480" s="1" t="str">
        <f t="shared" si="1655"/>
        <v>-</v>
      </c>
      <c r="Q1480" s="1" t="str">
        <f t="shared" si="1655"/>
        <v>-</v>
      </c>
      <c r="S1480" s="3"/>
    </row>
    <row r="1481" spans="2:19" x14ac:dyDescent="0.5">
      <c r="B1481" s="5" t="str">
        <f t="shared" si="1612"/>
        <v>SPS1</v>
      </c>
      <c r="C1481" s="5" t="str">
        <f t="shared" si="1613"/>
        <v>CH</v>
      </c>
      <c r="D1481" t="s">
        <v>1468</v>
      </c>
      <c r="E1481" t="s">
        <v>1229</v>
      </c>
      <c r="F1481" s="1" t="str">
        <f t="shared" ref="F1481:K1481" si="1660">IFERROR(F1457/F1433,"-")</f>
        <v>-</v>
      </c>
      <c r="G1481" s="1">
        <f t="shared" si="1660"/>
        <v>5.6422133461237131E-2</v>
      </c>
      <c r="H1481" s="1">
        <f t="shared" si="1660"/>
        <v>5.8530546061502237E-2</v>
      </c>
      <c r="I1481" s="1" t="str">
        <f t="shared" si="1660"/>
        <v>-</v>
      </c>
      <c r="J1481" s="1" t="str">
        <f t="shared" si="1660"/>
        <v>-</v>
      </c>
      <c r="K1481" s="1" t="str">
        <f t="shared" si="1660"/>
        <v>-</v>
      </c>
      <c r="L1481" s="1" t="str">
        <f t="shared" ref="L1481:O1481" si="1661">IFERROR(L1457/L1433,"-")</f>
        <v>-</v>
      </c>
      <c r="M1481" s="1" t="str">
        <f t="shared" si="1661"/>
        <v>-</v>
      </c>
      <c r="N1481" s="1" t="str">
        <f t="shared" si="1661"/>
        <v>-</v>
      </c>
      <c r="O1481" s="1" t="str">
        <f t="shared" si="1661"/>
        <v>-</v>
      </c>
      <c r="P1481" s="1" t="str">
        <f t="shared" si="1655"/>
        <v>-</v>
      </c>
      <c r="Q1481" s="1" t="str">
        <f t="shared" si="1655"/>
        <v>-</v>
      </c>
      <c r="S1481" s="3"/>
    </row>
    <row r="1482" spans="2:19" x14ac:dyDescent="0.5">
      <c r="B1482" s="5" t="str">
        <f t="shared" si="1612"/>
        <v>SPS1</v>
      </c>
      <c r="C1482" s="5" t="str">
        <f t="shared" si="1613"/>
        <v>CH</v>
      </c>
      <c r="D1482" t="s">
        <v>1469</v>
      </c>
      <c r="E1482" t="s">
        <v>1229</v>
      </c>
      <c r="F1482" s="1" t="str">
        <f t="shared" ref="F1482:K1482" si="1662">IFERROR(F1458/F1434,"-")</f>
        <v>-</v>
      </c>
      <c r="G1482" s="1">
        <f t="shared" si="1662"/>
        <v>3.7689157759834335E-2</v>
      </c>
      <c r="H1482" s="1">
        <f t="shared" si="1662"/>
        <v>3.8880161064047174E-2</v>
      </c>
      <c r="I1482" s="1" t="str">
        <f t="shared" si="1662"/>
        <v>-</v>
      </c>
      <c r="J1482" s="1" t="str">
        <f t="shared" si="1662"/>
        <v>-</v>
      </c>
      <c r="K1482" s="1" t="str">
        <f t="shared" si="1662"/>
        <v>-</v>
      </c>
      <c r="L1482" s="1" t="str">
        <f t="shared" ref="L1482:O1482" si="1663">IFERROR(L1458/L1434,"-")</f>
        <v>-</v>
      </c>
      <c r="M1482" s="1" t="str">
        <f t="shared" si="1663"/>
        <v>-</v>
      </c>
      <c r="N1482" s="1" t="str">
        <f t="shared" si="1663"/>
        <v>-</v>
      </c>
      <c r="O1482" s="1" t="str">
        <f t="shared" si="1663"/>
        <v>-</v>
      </c>
      <c r="P1482" s="1" t="str">
        <f t="shared" si="1655"/>
        <v>-</v>
      </c>
      <c r="Q1482" s="1" t="str">
        <f t="shared" si="1655"/>
        <v>-</v>
      </c>
      <c r="S1482" s="3"/>
    </row>
    <row r="1483" spans="2:19" x14ac:dyDescent="0.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O1483" si="1664">G1484</f>
        <v>0.30668648626079364</v>
      </c>
      <c r="H1483" s="3">
        <f t="shared" si="1664"/>
        <v>0.35078787907941233</v>
      </c>
      <c r="I1483" s="3">
        <f t="shared" si="1664"/>
        <v>0.44905706465165934</v>
      </c>
      <c r="J1483" s="3">
        <f t="shared" si="1664"/>
        <v>0.45786518239100965</v>
      </c>
      <c r="K1483" s="3">
        <f t="shared" si="1664"/>
        <v>0.4706886426319784</v>
      </c>
      <c r="L1483" s="3">
        <f t="shared" si="1664"/>
        <v>0.47857062553803131</v>
      </c>
      <c r="M1483" s="3">
        <f t="shared" si="1664"/>
        <v>0.48645260844408511</v>
      </c>
      <c r="N1483" s="3">
        <f t="shared" si="1664"/>
        <v>0.5304172714770905</v>
      </c>
      <c r="O1483" s="3">
        <f t="shared" si="1664"/>
        <v>0.5611192082193377</v>
      </c>
      <c r="P1483" s="3">
        <f>P1484</f>
        <v>0.59169365220825365</v>
      </c>
      <c r="Q1483" s="3">
        <f>Q1484</f>
        <v>0.62178111980442863</v>
      </c>
      <c r="S1483" s="3"/>
    </row>
    <row r="1484" spans="2:19" x14ac:dyDescent="0.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O1484" si="1665">G1485</f>
        <v>0.30668648626079364</v>
      </c>
      <c r="H1484" s="1">
        <f t="shared" si="1665"/>
        <v>0.35078787907941233</v>
      </c>
      <c r="I1484" s="1">
        <f t="shared" si="1665"/>
        <v>0.44905706465165934</v>
      </c>
      <c r="J1484" s="1">
        <f t="shared" si="1665"/>
        <v>0.45786518239100965</v>
      </c>
      <c r="K1484" s="1">
        <f t="shared" si="1665"/>
        <v>0.4706886426319784</v>
      </c>
      <c r="L1484" s="1">
        <f t="shared" si="1665"/>
        <v>0.47857062553803131</v>
      </c>
      <c r="M1484" s="1">
        <f t="shared" si="1665"/>
        <v>0.48645260844408511</v>
      </c>
      <c r="N1484" s="1">
        <f t="shared" si="1665"/>
        <v>0.5304172714770905</v>
      </c>
      <c r="O1484" s="1">
        <f t="shared" si="1665"/>
        <v>0.5611192082193377</v>
      </c>
      <c r="P1484" s="1">
        <f>P1485</f>
        <v>0.59169365220825365</v>
      </c>
      <c r="Q1484" s="1">
        <f>Q1485</f>
        <v>0.62178111980442863</v>
      </c>
      <c r="S1484" s="3"/>
    </row>
    <row r="1485" spans="2:19" x14ac:dyDescent="0.5">
      <c r="B1485" s="5" t="str">
        <f t="shared" ref="B1485" si="1666">B1484</f>
        <v>SPS1</v>
      </c>
      <c r="C1485" s="5" t="str">
        <f t="shared" ref="C1485" si="1667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0.35078787907941233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0.44905706465165934</v>
      </c>
      <c r="J1485" s="1" cm="1">
        <f t="array" ref="J1485">SUMPRODUCT(("T_TRLY_ELC"=[1]OUT_TransportEnergyCons!$A$3:$A$1000)*1,("Var_Fin"=[1]OUT_TransportEnergyCons!$B$3:$B$1000)*1,ISNUMBER(SEARCH("ELC",[1]OUT_TransportEnergyCons!$C$3:$C$1000))*1,[1]OUT_TransportEnergyCons!H$3:H$1000)</f>
        <v>0.45786518239100965</v>
      </c>
      <c r="K1485" s="1" cm="1">
        <f t="array" ref="K1485">SUMPRODUCT(("T_TRLY_ELC"=[1]OUT_TransportEnergyCons!$A$3:$A$1000)*1,("Var_Fin"=[1]OUT_TransportEnergyCons!$B$3:$B$1000)*1,ISNUMBER(SEARCH("ELC",[1]OUT_TransportEnergyCons!$C$3:$C$1000))*1,[1]OUT_TransportEnergyCons!I$3:I$1000)</f>
        <v>0.4706886426319784</v>
      </c>
      <c r="L1485" s="1" cm="1">
        <f t="array" ref="L1485">SUMPRODUCT(("T_TRLY_ELC"=[1]OUT_TransportEnergyCons!$A$3:$A$1000)*1,("Var_Fin"=[1]OUT_TransportEnergyCons!$B$3:$B$1000)*1,ISNUMBER(SEARCH("ELC",[1]OUT_TransportEnergyCons!$C$3:$C$1000))*1,[1]OUT_TransportEnergyCons!J$3:J$1000)</f>
        <v>0.47857062553803131</v>
      </c>
      <c r="M1485" s="1" cm="1">
        <f t="array" ref="M1485">SUMPRODUCT(("T_TRLY_ELC"=[1]OUT_TransportEnergyCons!$A$3:$A$1000)*1,("Var_Fin"=[1]OUT_TransportEnergyCons!$B$3:$B$1000)*1,ISNUMBER(SEARCH("ELC",[1]OUT_TransportEnergyCons!$C$3:$C$1000))*1,[1]OUT_TransportEnergyCons!K$3:K$1000)</f>
        <v>0.48645260844408511</v>
      </c>
      <c r="N1485" s="1" cm="1">
        <f t="array" ref="N1485">SUMPRODUCT(("T_TRLY_ELC"=[1]OUT_TransportEnergyCons!$A$3:$A$1000)*1,("Var_Fin"=[1]OUT_TransportEnergyCons!$B$3:$B$1000)*1,ISNUMBER(SEARCH("ELC",[1]OUT_TransportEnergyCons!$C$3:$C$1000))*1,[1]OUT_TransportEnergyCons!L$3:L$1000)</f>
        <v>0.5304172714770905</v>
      </c>
      <c r="O1485" s="1" cm="1">
        <f t="array" ref="O1485">SUMPRODUCT(("T_TRLY_ELC"=[1]OUT_TransportEnergyCons!$A$3:$A$1000)*1,("Var_Fin"=[1]OUT_TransportEnergyCons!$B$3:$B$1000)*1,ISNUMBER(SEARCH("ELC",[1]OUT_TransportEnergyCons!$C$3:$C$1000))*1,[1]OUT_TransportEnergyCons!M$3:M$1000)</f>
        <v>0.5611192082193377</v>
      </c>
      <c r="P1485" s="1" cm="1">
        <f t="array" ref="P1485">SUMPRODUCT(("T_TRLY_ELC"=[1]OUT_TransportEnergyCons!$A$3:$A$1000)*1,("Var_Fin"=[1]OUT_TransportEnergyCons!$B$3:$B$1000)*1,ISNUMBER(SEARCH("ELC",[1]OUT_TransportEnergyCons!$C$3:$C$1000))*1,[1]OUT_TransportEnergyCons!N$3:N$1000)</f>
        <v>0.59169365220825365</v>
      </c>
      <c r="Q1485" s="1" cm="1">
        <f t="array" ref="Q1485">SUMPRODUCT(("T_TRLY_ELC"=[1]OUT_TransportEnergyCons!$A$3:$A$1000)*1,("Var_Fin"=[1]OUT_TransportEnergyCons!$B$3:$B$1000)*1,ISNUMBER(SEARCH("ELC",[1]OUT_TransportEnergyCons!$C$3:$C$1000))*1,[1]OUT_TransportEnergyCons!O$3:O$1000)</f>
        <v>0.62178111980442863</v>
      </c>
      <c r="S1485" s="3"/>
    </row>
    <row r="1486" spans="2:19" x14ac:dyDescent="0.5">
      <c r="B1486" s="9" t="str">
        <f t="shared" ref="B1486:C1489" si="1668">B1485</f>
        <v>SPS1</v>
      </c>
      <c r="C1486" s="9" t="str">
        <f t="shared" si="1668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O1486" si="1669">G1487</f>
        <v>2.7782165745480814E-2</v>
      </c>
      <c r="H1486" s="3">
        <f t="shared" si="1669"/>
        <v>2.8773914363701983E-2</v>
      </c>
      <c r="I1486" s="3">
        <f t="shared" si="1669"/>
        <v>3.042682872740389E-2</v>
      </c>
      <c r="J1486" s="3">
        <f t="shared" si="1669"/>
        <v>3.1023641718362919E-2</v>
      </c>
      <c r="K1486" s="3">
        <f t="shared" si="1669"/>
        <v>3.1892522889951397E-2</v>
      </c>
      <c r="L1486" s="3">
        <f t="shared" si="1669"/>
        <v>3.2426583620297177E-2</v>
      </c>
      <c r="M1486" s="3">
        <f t="shared" si="1669"/>
        <v>3.2960644350642984E-2</v>
      </c>
      <c r="N1486" s="3">
        <f t="shared" si="1669"/>
        <v>3.5939564798539693E-2</v>
      </c>
      <c r="O1486" s="3">
        <f t="shared" si="1669"/>
        <v>3.8019840657423198E-2</v>
      </c>
      <c r="P1486" s="3">
        <f>P1487</f>
        <v>4.0091477970173192E-2</v>
      </c>
      <c r="Q1486" s="3">
        <f>Q1487</f>
        <v>4.2130119148439206E-2</v>
      </c>
      <c r="S1486" s="3"/>
    </row>
    <row r="1487" spans="2:19" x14ac:dyDescent="0.5">
      <c r="B1487" s="5" t="str">
        <f t="shared" si="1668"/>
        <v>SPS1</v>
      </c>
      <c r="C1487" s="5" t="str">
        <f t="shared" si="1668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2.8773914363701983E-2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3.042682872740389E-2</v>
      </c>
      <c r="J1487" s="1" cm="1">
        <f t="array" ref="J1487">SUMPRODUCT(("T_TRLY_ELC"=[1]OUT_TransportEnergyCons!$A$3:$A$1000)*1,("Var_Fout"=[1]OUT_TransportEnergyCons!$B$3:$B$1000)*1,ISNUMBER(SEARCH("tptrly",[1]OUT_TransportEnergyCons!$C$3:$C$1000))*1,[1]OUT_TransportEnergyCons!H$3:H$1000)</f>
        <v>3.1023641718362919E-2</v>
      </c>
      <c r="K1487" s="1" cm="1">
        <f t="array" ref="K1487">SUMPRODUCT(("T_TRLY_ELC"=[1]OUT_TransportEnergyCons!$A$3:$A$1000)*1,("Var_Fout"=[1]OUT_TransportEnergyCons!$B$3:$B$1000)*1,ISNUMBER(SEARCH("tptrly",[1]OUT_TransportEnergyCons!$C$3:$C$1000))*1,[1]OUT_TransportEnergyCons!I$3:I$1000)</f>
        <v>3.1892522889951397E-2</v>
      </c>
      <c r="L1487" s="1" cm="1">
        <f t="array" ref="L1487">SUMPRODUCT(("T_TRLY_ELC"=[1]OUT_TransportEnergyCons!$A$3:$A$1000)*1,("Var_Fout"=[1]OUT_TransportEnergyCons!$B$3:$B$1000)*1,ISNUMBER(SEARCH("tptrly",[1]OUT_TransportEnergyCons!$C$3:$C$1000))*1,[1]OUT_TransportEnergyCons!J$3:J$1000)</f>
        <v>3.2426583620297177E-2</v>
      </c>
      <c r="M1487" s="1" cm="1">
        <f t="array" ref="M1487">SUMPRODUCT(("T_TRLY_ELC"=[1]OUT_TransportEnergyCons!$A$3:$A$1000)*1,("Var_Fout"=[1]OUT_TransportEnergyCons!$B$3:$B$1000)*1,ISNUMBER(SEARCH("tptrly",[1]OUT_TransportEnergyCons!$C$3:$C$1000))*1,[1]OUT_TransportEnergyCons!K$3:K$1000)</f>
        <v>3.2960644350642984E-2</v>
      </c>
      <c r="N1487" s="1" cm="1">
        <f t="array" ref="N1487">SUMPRODUCT(("T_TRLY_ELC"=[1]OUT_TransportEnergyCons!$A$3:$A$1000)*1,("Var_Fout"=[1]OUT_TransportEnergyCons!$B$3:$B$1000)*1,ISNUMBER(SEARCH("tptrly",[1]OUT_TransportEnergyCons!$C$3:$C$1000))*1,[1]OUT_TransportEnergyCons!L$3:L$1000)</f>
        <v>3.5939564798539693E-2</v>
      </c>
      <c r="O1487" s="1" cm="1">
        <f t="array" ref="O1487">SUMPRODUCT(("T_TRLY_ELC"=[1]OUT_TransportEnergyCons!$A$3:$A$1000)*1,("Var_Fout"=[1]OUT_TransportEnergyCons!$B$3:$B$1000)*1,ISNUMBER(SEARCH("tptrly",[1]OUT_TransportEnergyCons!$C$3:$C$1000))*1,[1]OUT_TransportEnergyCons!M$3:M$1000)</f>
        <v>3.8019840657423198E-2</v>
      </c>
      <c r="P1487" s="1" cm="1">
        <f t="array" ref="P1487">SUMPRODUCT(("T_TRLY_ELC"=[1]OUT_TransportEnergyCons!$A$3:$A$1000)*1,("Var_Fout"=[1]OUT_TransportEnergyCons!$B$3:$B$1000)*1,ISNUMBER(SEARCH("tptrly",[1]OUT_TransportEnergyCons!$C$3:$C$1000))*1,[1]OUT_TransportEnergyCons!N$3:N$1000)</f>
        <v>4.0091477970173192E-2</v>
      </c>
      <c r="Q1487" s="1" cm="1">
        <f t="array" ref="Q1487">SUMPRODUCT(("T_TRLY_ELC"=[1]OUT_TransportEnergyCons!$A$3:$A$1000)*1,("Var_Fout"=[1]OUT_TransportEnergyCons!$B$3:$B$1000)*1,ISNUMBER(SEARCH("tptrly",[1]OUT_TransportEnergyCons!$C$3:$C$1000))*1,[1]OUT_TransportEnergyCons!O$3:O$1000)</f>
        <v>4.2130119148439206E-2</v>
      </c>
      <c r="S1487" s="3"/>
    </row>
    <row r="1488" spans="2:19" x14ac:dyDescent="0.5">
      <c r="B1488" s="9" t="str">
        <f t="shared" si="1668"/>
        <v>SPS1</v>
      </c>
      <c r="C1488" s="9" t="str">
        <f t="shared" si="1668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M1488" s="1" t="s">
        <v>292</v>
      </c>
      <c r="N1488" s="1" t="s">
        <v>292</v>
      </c>
      <c r="O1488" s="1" t="s">
        <v>292</v>
      </c>
      <c r="P1488" s="1" t="s">
        <v>292</v>
      </c>
      <c r="Q1488" s="1" t="s">
        <v>292</v>
      </c>
      <c r="S1488" s="3"/>
    </row>
    <row r="1489" spans="2:19" x14ac:dyDescent="0.5">
      <c r="B1489" s="5" t="str">
        <f t="shared" si="1668"/>
        <v>SPS1</v>
      </c>
      <c r="C1489" s="5" t="str">
        <f t="shared" si="1668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670">G1487/G1485</f>
        <v>9.0588164102724744E-2</v>
      </c>
      <c r="H1489" s="1">
        <f t="shared" si="1670"/>
        <v>8.2026535350122706E-2</v>
      </c>
      <c r="I1489" s="1">
        <f t="shared" si="1670"/>
        <v>6.7757154095786157E-2</v>
      </c>
      <c r="J1489" s="1">
        <f t="shared" si="1670"/>
        <v>6.7757154095786254E-2</v>
      </c>
      <c r="K1489" s="1">
        <f t="shared" si="1670"/>
        <v>6.7757154095786185E-2</v>
      </c>
      <c r="L1489" s="1">
        <f t="shared" ref="L1489:O1489" si="1671">L1487/L1485</f>
        <v>6.7757154095786185E-2</v>
      </c>
      <c r="M1489" s="1">
        <f t="shared" si="1671"/>
        <v>6.7757154095786115E-2</v>
      </c>
      <c r="N1489" s="1">
        <f t="shared" si="1671"/>
        <v>6.7757154095786212E-2</v>
      </c>
      <c r="O1489" s="1">
        <f t="shared" si="1671"/>
        <v>6.7757154095786185E-2</v>
      </c>
      <c r="P1489" s="1">
        <f>P1487/P1485</f>
        <v>6.775715409578624E-2</v>
      </c>
      <c r="Q1489" s="1">
        <f>Q1487/Q1485</f>
        <v>6.7757154095786254E-2</v>
      </c>
      <c r="S1489" s="3"/>
    </row>
    <row r="1490" spans="2:19" x14ac:dyDescent="0.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672">G1491</f>
        <v>0.61504030570008339</v>
      </c>
      <c r="H1490" s="3">
        <f t="shared" ref="H1490:H1491" si="1673">H1491</f>
        <v>0.65847123751882963</v>
      </c>
      <c r="I1490" s="3">
        <f t="shared" ref="I1490:I1491" si="1674">I1491</f>
        <v>0.73826743502205472</v>
      </c>
      <c r="J1490" s="3">
        <f t="shared" ref="J1490:J1491" si="1675">J1491</f>
        <v>0.7564574460789345</v>
      </c>
      <c r="K1490" s="3">
        <f t="shared" ref="K1490:O1491" si="1676">K1491</f>
        <v>0.77350814954032066</v>
      </c>
      <c r="L1490" s="3">
        <f t="shared" si="1676"/>
        <v>0.78633099956125296</v>
      </c>
      <c r="M1490" s="3">
        <f t="shared" si="1676"/>
        <v>0.7991538495821856</v>
      </c>
      <c r="N1490" s="3">
        <f t="shared" si="1676"/>
        <v>0.83907095970389334</v>
      </c>
      <c r="O1490" s="3">
        <f t="shared" si="1676"/>
        <v>0.86191110505360957</v>
      </c>
      <c r="P1490" s="3">
        <f>P1491</f>
        <v>0.88464264231103162</v>
      </c>
      <c r="Q1490" s="3">
        <f>Q1491</f>
        <v>0.90719138572521052</v>
      </c>
      <c r="S1490" s="3"/>
    </row>
    <row r="1491" spans="2:19" x14ac:dyDescent="0.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672"/>
        <v>0.61504030570008339</v>
      </c>
      <c r="H1491" s="1">
        <f t="shared" si="1673"/>
        <v>0.65847123751882963</v>
      </c>
      <c r="I1491" s="1">
        <f t="shared" si="1674"/>
        <v>0.73826743502205472</v>
      </c>
      <c r="J1491" s="1">
        <f t="shared" si="1675"/>
        <v>0.7564574460789345</v>
      </c>
      <c r="K1491" s="1">
        <f t="shared" si="1676"/>
        <v>0.77350814954032066</v>
      </c>
      <c r="L1491" s="1">
        <f t="shared" si="1676"/>
        <v>0.78633099956125296</v>
      </c>
      <c r="M1491" s="1">
        <f t="shared" si="1676"/>
        <v>0.7991538495821856</v>
      </c>
      <c r="N1491" s="1">
        <f t="shared" si="1676"/>
        <v>0.83907095970389334</v>
      </c>
      <c r="O1491" s="1">
        <f t="shared" si="1676"/>
        <v>0.86191110505360957</v>
      </c>
      <c r="P1491" s="1">
        <f>P1492</f>
        <v>0.88464264231103162</v>
      </c>
      <c r="Q1491" s="1">
        <f>Q1492</f>
        <v>0.90719138572521052</v>
      </c>
      <c r="S1491" s="3"/>
    </row>
    <row r="1492" spans="2:19" x14ac:dyDescent="0.5">
      <c r="B1492" s="5" t="str">
        <f t="shared" ref="B1492" si="1677">B1491</f>
        <v>SPS1</v>
      </c>
      <c r="C1492" s="5" t="str">
        <f t="shared" ref="C1492" si="1678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0.65847123751882963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0.73826743502205472</v>
      </c>
      <c r="J1492" s="1" cm="1">
        <f t="array" ref="J1492">SUMPRODUCT(("T_TRM_ELC"=[1]OUT_TransportEnergyCons!$A$3:$A$1000)*1,("Var_Fin"=[1]OUT_TransportEnergyCons!$B$3:$B$1000)*1,ISNUMBER(SEARCH("ELC",[1]OUT_TransportEnergyCons!$C$3:$C$1000))*1,[1]OUT_TransportEnergyCons!H$3:H$1000)</f>
        <v>0.7564574460789345</v>
      </c>
      <c r="K1492" s="1" cm="1">
        <f t="array" ref="K1492">SUMPRODUCT(("T_TRM_ELC"=[1]OUT_TransportEnergyCons!$A$3:$A$1000)*1,("Var_Fin"=[1]OUT_TransportEnergyCons!$B$3:$B$1000)*1,ISNUMBER(SEARCH("ELC",[1]OUT_TransportEnergyCons!$C$3:$C$1000))*1,[1]OUT_TransportEnergyCons!I$3:I$1000)</f>
        <v>0.77350814954032066</v>
      </c>
      <c r="L1492" s="1" cm="1">
        <f t="array" ref="L1492">SUMPRODUCT(("T_TRM_ELC"=[1]OUT_TransportEnergyCons!$A$3:$A$1000)*1,("Var_Fin"=[1]OUT_TransportEnergyCons!$B$3:$B$1000)*1,ISNUMBER(SEARCH("ELC",[1]OUT_TransportEnergyCons!$C$3:$C$1000))*1,[1]OUT_TransportEnergyCons!J$3:J$1000)</f>
        <v>0.78633099956125296</v>
      </c>
      <c r="M1492" s="1" cm="1">
        <f t="array" ref="M1492">SUMPRODUCT(("T_TRM_ELC"=[1]OUT_TransportEnergyCons!$A$3:$A$1000)*1,("Var_Fin"=[1]OUT_TransportEnergyCons!$B$3:$B$1000)*1,ISNUMBER(SEARCH("ELC",[1]OUT_TransportEnergyCons!$C$3:$C$1000))*1,[1]OUT_TransportEnergyCons!K$3:K$1000)</f>
        <v>0.7991538495821856</v>
      </c>
      <c r="N1492" s="1" cm="1">
        <f t="array" ref="N1492">SUMPRODUCT(("T_TRM_ELC"=[1]OUT_TransportEnergyCons!$A$3:$A$1000)*1,("Var_Fin"=[1]OUT_TransportEnergyCons!$B$3:$B$1000)*1,ISNUMBER(SEARCH("ELC",[1]OUT_TransportEnergyCons!$C$3:$C$1000))*1,[1]OUT_TransportEnergyCons!L$3:L$1000)</f>
        <v>0.83907095970389334</v>
      </c>
      <c r="O1492" s="1" cm="1">
        <f t="array" ref="O1492">SUMPRODUCT(("T_TRM_ELC"=[1]OUT_TransportEnergyCons!$A$3:$A$1000)*1,("Var_Fin"=[1]OUT_TransportEnergyCons!$B$3:$B$1000)*1,ISNUMBER(SEARCH("ELC",[1]OUT_TransportEnergyCons!$C$3:$C$1000))*1,[1]OUT_TransportEnergyCons!M$3:M$1000)</f>
        <v>0.86191110505360957</v>
      </c>
      <c r="P1492" s="1" cm="1">
        <f t="array" ref="P1492">SUMPRODUCT(("T_TRM_ELC"=[1]OUT_TransportEnergyCons!$A$3:$A$1000)*1,("Var_Fin"=[1]OUT_TransportEnergyCons!$B$3:$B$1000)*1,ISNUMBER(SEARCH("ELC",[1]OUT_TransportEnergyCons!$C$3:$C$1000))*1,[1]OUT_TransportEnergyCons!N$3:N$1000)</f>
        <v>0.88464264231103162</v>
      </c>
      <c r="Q1492" s="1" cm="1">
        <f t="array" ref="Q1492">SUMPRODUCT(("T_TRM_ELC"=[1]OUT_TransportEnergyCons!$A$3:$A$1000)*1,("Var_Fin"=[1]OUT_TransportEnergyCons!$B$3:$B$1000)*1,ISNUMBER(SEARCH("ELC",[1]OUT_TransportEnergyCons!$C$3:$C$1000))*1,[1]OUT_TransportEnergyCons!O$3:O$1000)</f>
        <v>0.90719138572521052</v>
      </c>
      <c r="S1492" s="3"/>
    </row>
    <row r="1493" spans="2:19" x14ac:dyDescent="0.5">
      <c r="B1493" s="9" t="str">
        <f t="shared" ref="B1493:C1497" si="1679">B1492</f>
        <v>SPS1</v>
      </c>
      <c r="C1493" s="9" t="str">
        <f t="shared" si="1679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680">G1494</f>
        <v>3.4238693943285006E-2</v>
      </c>
      <c r="H1493" s="3">
        <f t="shared" ref="H1493" si="1681">H1494</f>
        <v>3.537973485821249E-2</v>
      </c>
      <c r="I1493" s="3">
        <f t="shared" ref="I1493" si="1682">I1494</f>
        <v>3.7281469716424979E-2</v>
      </c>
      <c r="J1493" s="3">
        <f t="shared" ref="J1493" si="1683">J1494</f>
        <v>3.8200039755124107E-2</v>
      </c>
      <c r="K1493" s="3">
        <f t="shared" ref="K1493:O1493" si="1684">K1494</f>
        <v>3.9061076358642186E-2</v>
      </c>
      <c r="L1493" s="3">
        <f t="shared" si="1684"/>
        <v>3.9708612294883733E-2</v>
      </c>
      <c r="M1493" s="3">
        <f t="shared" si="1684"/>
        <v>4.0356148231125301E-2</v>
      </c>
      <c r="N1493" s="3">
        <f t="shared" si="1684"/>
        <v>4.2371906290567779E-2</v>
      </c>
      <c r="O1493" s="3">
        <f t="shared" si="1684"/>
        <v>4.3525301587149907E-2</v>
      </c>
      <c r="P1493" s="3">
        <f>P1494</f>
        <v>4.4673212327442917E-2</v>
      </c>
      <c r="Q1493" s="3">
        <f>Q1494</f>
        <v>4.5811892235102694E-2</v>
      </c>
      <c r="S1493" s="3"/>
    </row>
    <row r="1494" spans="2:19" x14ac:dyDescent="0.5">
      <c r="B1494" s="5" t="str">
        <f t="shared" si="1679"/>
        <v>SPS1</v>
      </c>
      <c r="C1494" s="5" t="str">
        <f t="shared" si="1679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3.537973485821249E-2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3.7281469716424979E-2</v>
      </c>
      <c r="J1494" s="1" cm="1">
        <f t="array" ref="J1494">SUMPRODUCT(("T_TRM_ELC"=[1]OUT_TransportEnergyCons!$A$3:$A$1000)*1,("Var_Fout"=[1]OUT_TransportEnergyCons!$B$3:$B$1000)*1,ISNUMBER(SEARCH("tptrm",[1]OUT_TransportEnergyCons!$C$3:$C$1000))*1,[1]OUT_TransportEnergyCons!H$3:H$1000)</f>
        <v>3.8200039755124107E-2</v>
      </c>
      <c r="K1494" s="1" cm="1">
        <f t="array" ref="K1494">SUMPRODUCT(("T_TRM_ELC"=[1]OUT_TransportEnergyCons!$A$3:$A$1000)*1,("Var_Fout"=[1]OUT_TransportEnergyCons!$B$3:$B$1000)*1,ISNUMBER(SEARCH("tptrm",[1]OUT_TransportEnergyCons!$C$3:$C$1000))*1,[1]OUT_TransportEnergyCons!I$3:I$1000)</f>
        <v>3.9061076358642186E-2</v>
      </c>
      <c r="L1494" s="1" cm="1">
        <f t="array" ref="L1494">SUMPRODUCT(("T_TRM_ELC"=[1]OUT_TransportEnergyCons!$A$3:$A$1000)*1,("Var_Fout"=[1]OUT_TransportEnergyCons!$B$3:$B$1000)*1,ISNUMBER(SEARCH("tptrm",[1]OUT_TransportEnergyCons!$C$3:$C$1000))*1,[1]OUT_TransportEnergyCons!J$3:J$1000)</f>
        <v>3.9708612294883733E-2</v>
      </c>
      <c r="M1494" s="1" cm="1">
        <f t="array" ref="M1494">SUMPRODUCT(("T_TRM_ELC"=[1]OUT_TransportEnergyCons!$A$3:$A$1000)*1,("Var_Fout"=[1]OUT_TransportEnergyCons!$B$3:$B$1000)*1,ISNUMBER(SEARCH("tptrm",[1]OUT_TransportEnergyCons!$C$3:$C$1000))*1,[1]OUT_TransportEnergyCons!K$3:K$1000)</f>
        <v>4.0356148231125301E-2</v>
      </c>
      <c r="N1494" s="1" cm="1">
        <f t="array" ref="N1494">SUMPRODUCT(("T_TRM_ELC"=[1]OUT_TransportEnergyCons!$A$3:$A$1000)*1,("Var_Fout"=[1]OUT_TransportEnergyCons!$B$3:$B$1000)*1,ISNUMBER(SEARCH("tptrm",[1]OUT_TransportEnergyCons!$C$3:$C$1000))*1,[1]OUT_TransportEnergyCons!L$3:L$1000)</f>
        <v>4.2371906290567779E-2</v>
      </c>
      <c r="O1494" s="1" cm="1">
        <f t="array" ref="O1494">SUMPRODUCT(("T_TRM_ELC"=[1]OUT_TransportEnergyCons!$A$3:$A$1000)*1,("Var_Fout"=[1]OUT_TransportEnergyCons!$B$3:$B$1000)*1,ISNUMBER(SEARCH("tptrm",[1]OUT_TransportEnergyCons!$C$3:$C$1000))*1,[1]OUT_TransportEnergyCons!M$3:M$1000)</f>
        <v>4.3525301587149907E-2</v>
      </c>
      <c r="P1494" s="1" cm="1">
        <f t="array" ref="P1494">SUMPRODUCT(("T_TRM_ELC"=[1]OUT_TransportEnergyCons!$A$3:$A$1000)*1,("Var_Fout"=[1]OUT_TransportEnergyCons!$B$3:$B$1000)*1,ISNUMBER(SEARCH("tptrm",[1]OUT_TransportEnergyCons!$C$3:$C$1000))*1,[1]OUT_TransportEnergyCons!N$3:N$1000)</f>
        <v>4.4673212327442917E-2</v>
      </c>
      <c r="Q1494" s="1" cm="1">
        <f t="array" ref="Q1494">SUMPRODUCT(("T_TRM_ELC"=[1]OUT_TransportEnergyCons!$A$3:$A$1000)*1,("Var_Fout"=[1]OUT_TransportEnergyCons!$B$3:$B$1000)*1,ISNUMBER(SEARCH("tptrm",[1]OUT_TransportEnergyCons!$C$3:$C$1000))*1,[1]OUT_TransportEnergyCons!O$3:O$1000)</f>
        <v>4.5811892235102694E-2</v>
      </c>
      <c r="S1494" s="3"/>
    </row>
    <row r="1495" spans="2:19" x14ac:dyDescent="0.5">
      <c r="B1495" s="9" t="str">
        <f t="shared" si="1679"/>
        <v>SPS1</v>
      </c>
      <c r="C1495" s="9" t="str">
        <f t="shared" si="1679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M1495" s="1" t="s">
        <v>292</v>
      </c>
      <c r="N1495" s="1" t="s">
        <v>292</v>
      </c>
      <c r="O1495" s="1" t="s">
        <v>292</v>
      </c>
      <c r="P1495" s="1" t="s">
        <v>292</v>
      </c>
      <c r="Q1495" s="1" t="s">
        <v>292</v>
      </c>
      <c r="S1495" s="3"/>
    </row>
    <row r="1496" spans="2:19" x14ac:dyDescent="0.5">
      <c r="B1496" s="5" t="str">
        <f t="shared" si="1679"/>
        <v>SPS1</v>
      </c>
      <c r="C1496" s="5" t="str">
        <f t="shared" si="1679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685">G1494/G1492</f>
        <v>5.5669024657354849E-2</v>
      </c>
      <c r="H1496" s="1">
        <f t="shared" si="1685"/>
        <v>5.3730114304652181E-2</v>
      </c>
      <c r="I1496" s="1">
        <f t="shared" si="1685"/>
        <v>5.0498597050147885E-2</v>
      </c>
      <c r="J1496" s="1">
        <f t="shared" si="1685"/>
        <v>5.0498597050147913E-2</v>
      </c>
      <c r="K1496" s="1">
        <f t="shared" si="1685"/>
        <v>5.0498597050147885E-2</v>
      </c>
      <c r="L1496" s="1">
        <f t="shared" ref="L1496:O1496" si="1686">L1494/L1492</f>
        <v>5.0498597050147892E-2</v>
      </c>
      <c r="M1496" s="1">
        <f t="shared" si="1686"/>
        <v>5.0498597050147906E-2</v>
      </c>
      <c r="N1496" s="1">
        <f t="shared" si="1686"/>
        <v>5.0498597050147878E-2</v>
      </c>
      <c r="O1496" s="1">
        <f t="shared" si="1686"/>
        <v>5.0498597050147878E-2</v>
      </c>
      <c r="P1496" s="1">
        <f>P1494/P1492</f>
        <v>5.0498597050147913E-2</v>
      </c>
      <c r="Q1496" s="1">
        <f>Q1494/Q1492</f>
        <v>5.0498597050147892E-2</v>
      </c>
      <c r="S1496" s="3"/>
    </row>
    <row r="1497" spans="2:19" x14ac:dyDescent="0.5">
      <c r="B1497" s="9" t="str">
        <f t="shared" si="1679"/>
        <v>SPS1</v>
      </c>
      <c r="C1497" s="9" t="str">
        <f t="shared" si="1679"/>
        <v>CH</v>
      </c>
      <c r="D1497" s="2" t="s">
        <v>1487</v>
      </c>
      <c r="E1497" s="2" t="s">
        <v>8</v>
      </c>
      <c r="F1497" s="3">
        <f>SUM(F1498,F1503,F1508)</f>
        <v>2.4136172813098513</v>
      </c>
      <c r="G1497" s="3">
        <f t="shared" ref="G1497:K1497" si="1687">SUM(G1498,G1503,G1508)</f>
        <v>1.698285675183862</v>
      </c>
      <c r="H1497" s="3">
        <f t="shared" si="1687"/>
        <v>1.677803349501402</v>
      </c>
      <c r="I1497" s="3">
        <f t="shared" si="1687"/>
        <v>1.5028818966144628</v>
      </c>
      <c r="J1497" s="3">
        <f t="shared" si="1687"/>
        <v>1.1747176279665164</v>
      </c>
      <c r="K1497" s="3">
        <f t="shared" si="1687"/>
        <v>1.0715607454876312</v>
      </c>
      <c r="L1497" s="3">
        <f t="shared" ref="L1497:O1497" si="1688">SUM(L1498,L1503,L1508)</f>
        <v>0.93812117672821005</v>
      </c>
      <c r="M1497" s="3">
        <f t="shared" si="1688"/>
        <v>0.87610618803113671</v>
      </c>
      <c r="N1497" s="3">
        <f t="shared" si="1688"/>
        <v>0.84014535863237927</v>
      </c>
      <c r="O1497" s="3">
        <f t="shared" si="1688"/>
        <v>0.81103780328766795</v>
      </c>
      <c r="P1497" s="3">
        <f>SUM(P1498,P1503,P1508)</f>
        <v>0.79777133654601462</v>
      </c>
      <c r="Q1497" s="3">
        <f>SUM(Q1498,Q1503,Q1508)</f>
        <v>0.77378266533259221</v>
      </c>
      <c r="S1497" s="3"/>
    </row>
    <row r="1498" spans="2:19" x14ac:dyDescent="0.5">
      <c r="B1498" s="5" t="str">
        <f>B1497</f>
        <v>SPS1</v>
      </c>
      <c r="C1498" t="str">
        <f t="shared" ref="C1498:C1502" si="1689">C1497</f>
        <v>CH</v>
      </c>
      <c r="D1498" t="s">
        <v>1488</v>
      </c>
      <c r="E1498" t="str">
        <f>E1497</f>
        <v>PJ/yr.</v>
      </c>
      <c r="F1498" s="1">
        <f>SUM(F1499:F1502)</f>
        <v>2.2150910128690615E-3</v>
      </c>
      <c r="G1498" s="1">
        <f t="shared" ref="G1498:K1498" si="1690">SUM(G1499:G1502)</f>
        <v>3.3696268885049108E-3</v>
      </c>
      <c r="H1498" s="1">
        <f t="shared" si="1690"/>
        <v>3.6402199015070614E-3</v>
      </c>
      <c r="I1498" s="1">
        <f t="shared" si="1690"/>
        <v>3.1420467755458948E-3</v>
      </c>
      <c r="J1498" s="1">
        <f t="shared" si="1690"/>
        <v>2.17546802168516E-3</v>
      </c>
      <c r="K1498" s="1">
        <f t="shared" si="1690"/>
        <v>2.6061417930222162E-3</v>
      </c>
      <c r="L1498" s="1">
        <f t="shared" ref="L1498:O1498" si="1691">SUM(L1499:L1502)</f>
        <v>3.2987563619885653E-3</v>
      </c>
      <c r="M1498" s="1">
        <f t="shared" si="1691"/>
        <v>5.0462896600388446E-3</v>
      </c>
      <c r="N1498" s="1">
        <f t="shared" si="1691"/>
        <v>7.4561785950805985E-3</v>
      </c>
      <c r="O1498" s="1">
        <f t="shared" si="1691"/>
        <v>9.3474233128829545E-3</v>
      </c>
      <c r="P1498" s="1">
        <f>SUM(P1499:P1502)</f>
        <v>9.0347824341148984E-3</v>
      </c>
      <c r="Q1498" s="1">
        <f>SUM(Q1499:Q1502)</f>
        <v>1.1780252037950698E-2</v>
      </c>
      <c r="S1498" s="3"/>
    </row>
    <row r="1499" spans="2:19" x14ac:dyDescent="0.5">
      <c r="B1499" t="str">
        <f t="shared" ref="B1499:B1502" si="1692">B1498</f>
        <v>SPS1</v>
      </c>
      <c r="C1499" t="str">
        <f t="shared" si="1689"/>
        <v>CH</v>
      </c>
      <c r="D1499" t="s">
        <v>1489</v>
      </c>
      <c r="E1499" t="str">
        <f t="shared" ref="E1499:E1502" si="1693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1.5933660307033751E-3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2.3199842982351043E-3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2.3617520014352529E-3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1.7336627232784486E-3</v>
      </c>
      <c r="J1499" s="1" cm="1">
        <f t="array" ref="J1499">SUMPRODUCT(("T_TW-BEVELC-S1"=[1]OUT_TransportEnergyCons!$A$3:$A$1000)*1,("Var_Fin"=[1]OUT_TransportEnergyCons!$B$3:$B$1000)*1,ISNUMBER(SEARCH("ELC",[1]OUT_TransportEnergyCons!$C$3:$C$1000))*1,[1]OUT_TransportEnergyCons!H$3:H$1000)</f>
        <v>6.7638857263941895E-4</v>
      </c>
      <c r="K1499" s="1" cm="1">
        <f t="array" ref="K1499">SUMPRODUCT(("T_TW-BEVELC-S1"=[1]OUT_TransportEnergyCons!$A$3:$A$1000)*1,("Var_Fin"=[1]OUT_TransportEnergyCons!$B$3:$B$1000)*1,ISNUMBER(SEARCH("ELC",[1]OUT_TransportEnergyCons!$C$3:$C$1000))*1,[1]OUT_TransportEnergyCons!I$3:I$1000)</f>
        <v>9.0019625517252582E-4</v>
      </c>
      <c r="L1499" s="1" cm="1">
        <f t="array" ref="L1499">SUMPRODUCT(("T_TW-BEVELC-S1"=[1]OUT_TransportEnergyCons!$A$3:$A$1000)*1,("Var_Fin"=[1]OUT_TransportEnergyCons!$B$3:$B$1000)*1,ISNUMBER(SEARCH("ELC",[1]OUT_TransportEnergyCons!$C$3:$C$1000))*1,[1]OUT_TransportEnergyCons!J$3:J$1000)</f>
        <v>1.4134352769628151E-3</v>
      </c>
      <c r="M1499" s="1" cm="1">
        <f t="array" ref="M1499">SUMPRODUCT(("T_TW-BEVELC-S1"=[1]OUT_TransportEnergyCons!$A$3:$A$1000)*1,("Var_Fin"=[1]OUT_TransportEnergyCons!$B$3:$B$1000)*1,ISNUMBER(SEARCH("ELC",[1]OUT_TransportEnergyCons!$C$3:$C$1000))*1,[1]OUT_TransportEnergyCons!K$3:K$1000)</f>
        <v>2.6902570155896447E-3</v>
      </c>
      <c r="N1499" s="1" cm="1">
        <f t="array" ref="N1499">SUMPRODUCT(("T_TW-BEVELC-S1"=[1]OUT_TransportEnergyCons!$A$3:$A$1000)*1,("Var_Fin"=[1]OUT_TransportEnergyCons!$B$3:$B$1000)*1,ISNUMBER(SEARCH("ELC",[1]OUT_TransportEnergyCons!$C$3:$C$1000))*1,[1]OUT_TransportEnergyCons!L$3:L$1000)</f>
        <v>4.6644918093851784E-3</v>
      </c>
      <c r="O1499" s="1" cm="1">
        <f t="array" ref="O1499">SUMPRODUCT(("T_TW-BEVELC-S1"=[1]OUT_TransportEnergyCons!$A$3:$A$1000)*1,("Var_Fin"=[1]OUT_TransportEnergyCons!$B$3:$B$1000)*1,ISNUMBER(SEARCH("ELC",[1]OUT_TransportEnergyCons!$C$3:$C$1000))*1,[1]OUT_TransportEnergyCons!M$3:M$1000)</f>
        <v>5.9929052740437128E-3</v>
      </c>
      <c r="P1499" s="1" cm="1">
        <f t="array" ref="P1499">SUMPRODUCT(("T_TW-BEVELC-S1"=[1]OUT_TransportEnergyCons!$A$3:$A$1000)*1,("Var_Fin"=[1]OUT_TransportEnergyCons!$B$3:$B$1000)*1,ISNUMBER(SEARCH("ELC",[1]OUT_TransportEnergyCons!$C$3:$C$1000))*1,[1]OUT_TransportEnergyCons!N$3:N$1000)</f>
        <v>5.5080869874823656E-3</v>
      </c>
      <c r="Q1499" s="1" cm="1">
        <f t="array" ref="Q1499">SUMPRODUCT(("T_TW-BEVELC-S1"=[1]OUT_TransportEnergyCons!$A$3:$A$1000)*1,("Var_Fin"=[1]OUT_TransportEnergyCons!$B$3:$B$1000)*1,ISNUMBER(SEARCH("ELC",[1]OUT_TransportEnergyCons!$C$3:$C$1000))*1,[1]OUT_TransportEnergyCons!O$3:O$1000)</f>
        <v>7.3481388158697734E-3</v>
      </c>
      <c r="S1499" s="3"/>
    </row>
    <row r="1500" spans="2:19" x14ac:dyDescent="0.5">
      <c r="B1500" t="str">
        <f t="shared" si="1692"/>
        <v>SPS1</v>
      </c>
      <c r="C1500" t="str">
        <f t="shared" si="1689"/>
        <v>CH</v>
      </c>
      <c r="D1500" t="s">
        <v>1490</v>
      </c>
      <c r="E1500" t="str">
        <f t="shared" si="1693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3.605829671925026E-4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5.4460461979270963E-4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6.0131818276872799E-4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6.0041660531797054E-4</v>
      </c>
      <c r="J1500" s="1" cm="1">
        <f t="array" ref="J1500">SUMPRODUCT(("T_TW-BEVELC-S2"=[1]OUT_TransportEnergyCons!$A$3:$A$1000)*1,("Var_Fin"=[1]OUT_TransportEnergyCons!$B$3:$B$1000)*1,ISNUMBER(SEARCH("ELC",[1]OUT_TransportEnergyCons!$C$3:$C$1000))*1,[1]OUT_TransportEnergyCons!H$3:H$1000)</f>
        <v>4.0892919865601887E-4</v>
      </c>
      <c r="K1500" s="1" cm="1">
        <f t="array" ref="K1500">SUMPRODUCT(("T_TW-BEVELC-S2"=[1]OUT_TransportEnergyCons!$A$3:$A$1000)*1,("Var_Fin"=[1]OUT_TransportEnergyCons!$B$3:$B$1000)*1,ISNUMBER(SEARCH("ELC",[1]OUT_TransportEnergyCons!$C$3:$C$1000))*1,[1]OUT_TransportEnergyCons!I$3:I$1000)</f>
        <v>4.3897263776049376E-4</v>
      </c>
      <c r="L1500" s="1" cm="1">
        <f t="array" ref="L1500">SUMPRODUCT(("T_TW-BEVELC-S2"=[1]OUT_TransportEnergyCons!$A$3:$A$1000)*1,("Var_Fin"=[1]OUT_TransportEnergyCons!$B$3:$B$1000)*1,ISNUMBER(SEARCH("ELC",[1]OUT_TransportEnergyCons!$C$3:$C$1000))*1,[1]OUT_TransportEnergyCons!J$3:J$1000)</f>
        <v>6.0498081926546241E-4</v>
      </c>
      <c r="M1500" s="1" cm="1">
        <f t="array" ref="M1500">SUMPRODUCT(("T_TW-BEVELC-S2"=[1]OUT_TransportEnergyCons!$A$3:$A$1000)*1,("Var_Fin"=[1]OUT_TransportEnergyCons!$B$3:$B$1000)*1,ISNUMBER(SEARCH("ELC",[1]OUT_TransportEnergyCons!$C$3:$C$1000))*1,[1]OUT_TransportEnergyCons!K$3:K$1000)</f>
        <v>8.1896995353473014E-4</v>
      </c>
      <c r="N1500" s="1" cm="1">
        <f t="array" ref="N1500">SUMPRODUCT(("T_TW-BEVELC-S2"=[1]OUT_TransportEnergyCons!$A$3:$A$1000)*1,("Var_Fin"=[1]OUT_TransportEnergyCons!$B$3:$B$1000)*1,ISNUMBER(SEARCH("ELC",[1]OUT_TransportEnergyCons!$C$3:$C$1000))*1,[1]OUT_TransportEnergyCons!L$3:L$1000)</f>
        <v>9.7012527236771959E-4</v>
      </c>
      <c r="O1500" s="1" cm="1">
        <f t="array" ref="O1500">SUMPRODUCT(("T_TW-BEVELC-S2"=[1]OUT_TransportEnergyCons!$A$3:$A$1000)*1,("Var_Fin"=[1]OUT_TransportEnergyCons!$B$3:$B$1000)*1,ISNUMBER(SEARCH("ELC",[1]OUT_TransportEnergyCons!$C$3:$C$1000))*1,[1]OUT_TransportEnergyCons!M$3:M$1000)</f>
        <v>1.2451346126771509E-3</v>
      </c>
      <c r="P1500" s="1" cm="1">
        <f t="array" ref="P1500">SUMPRODUCT(("T_TW-BEVELC-S2"=[1]OUT_TransportEnergyCons!$A$3:$A$1000)*1,("Var_Fin"=[1]OUT_TransportEnergyCons!$B$3:$B$1000)*1,ISNUMBER(SEARCH("ELC",[1]OUT_TransportEnergyCons!$C$3:$C$1000))*1,[1]OUT_TransportEnergyCons!N$3:N$1000)</f>
        <v>1.165405631085724E-3</v>
      </c>
      <c r="Q1500" s="1" cm="1">
        <f t="array" ref="Q1500">SUMPRODUCT(("T_TW-BEVELC-S2"=[1]OUT_TransportEnergyCons!$A$3:$A$1000)*1,("Var_Fin"=[1]OUT_TransportEnergyCons!$B$3:$B$1000)*1,ISNUMBER(SEARCH("ELC",[1]OUT_TransportEnergyCons!$C$3:$C$1000))*1,[1]OUT_TransportEnergyCons!O$3:O$1000)</f>
        <v>1.6151667199944789E-3</v>
      </c>
      <c r="S1500" s="3"/>
    </row>
    <row r="1501" spans="2:19" x14ac:dyDescent="0.5">
      <c r="B1501" t="str">
        <f t="shared" si="1692"/>
        <v>SPS1</v>
      </c>
      <c r="C1501" t="str">
        <f t="shared" si="1689"/>
        <v>CH</v>
      </c>
      <c r="D1501" t="s">
        <v>1492</v>
      </c>
      <c r="E1501" t="str">
        <f t="shared" si="1693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1.4742157238422759E-4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2.908066355774751E-4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3.9085682829245538E-4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4.6229766583082176E-4</v>
      </c>
      <c r="J1501" s="1" cm="1">
        <f t="array" ref="J1501">SUMPRODUCT(("T_TW-BEVELC-S3"=[1]OUT_TransportEnergyCons!$A$3:$A$1000)*1,("Var_Fin"=[1]OUT_TransportEnergyCons!$B$3:$B$1000)*1,ISNUMBER(SEARCH("ELC",[1]OUT_TransportEnergyCons!$C$3:$C$1000))*1,[1]OUT_TransportEnergyCons!H$3:H$1000)</f>
        <v>6.3558923641708045E-4</v>
      </c>
      <c r="K1501" s="1" cm="1">
        <f t="array" ref="K1501">SUMPRODUCT(("T_TW-BEVELC-S3"=[1]OUT_TransportEnergyCons!$A$3:$A$1000)*1,("Var_Fin"=[1]OUT_TransportEnergyCons!$B$3:$B$1000)*1,ISNUMBER(SEARCH("ELC",[1]OUT_TransportEnergyCons!$C$3:$C$1000))*1,[1]OUT_TransportEnergyCons!I$3:I$1000)</f>
        <v>6.8162419854482189E-4</v>
      </c>
      <c r="L1501" s="1" cm="1">
        <f t="array" ref="L1501">SUMPRODUCT(("T_TW-BEVELC-S3"=[1]OUT_TransportEnergyCons!$A$3:$A$1000)*1,("Var_Fin"=[1]OUT_TransportEnergyCons!$B$3:$B$1000)*1,ISNUMBER(SEARCH("ELC",[1]OUT_TransportEnergyCons!$C$3:$C$1000))*1,[1]OUT_TransportEnergyCons!J$3:J$1000)</f>
        <v>6.462803463916563E-4</v>
      </c>
      <c r="M1501" s="1" cm="1">
        <f t="array" ref="M1501">SUMPRODUCT(("T_TW-BEVELC-S3"=[1]OUT_TransportEnergyCons!$A$3:$A$1000)*1,("Var_Fin"=[1]OUT_TransportEnergyCons!$B$3:$B$1000)*1,ISNUMBER(SEARCH("ELC",[1]OUT_TransportEnergyCons!$C$3:$C$1000))*1,[1]OUT_TransportEnergyCons!K$3:K$1000)</f>
        <v>8.4658584211675389E-4</v>
      </c>
      <c r="N1501" s="1" cm="1">
        <f t="array" ref="N1501">SUMPRODUCT(("T_TW-BEVELC-S3"=[1]OUT_TransportEnergyCons!$A$3:$A$1000)*1,("Var_Fin"=[1]OUT_TransportEnergyCons!$B$3:$B$1000)*1,ISNUMBER(SEARCH("ELC",[1]OUT_TransportEnergyCons!$C$3:$C$1000))*1,[1]OUT_TransportEnergyCons!L$3:L$1000)</f>
        <v>1.0017780880094398E-3</v>
      </c>
      <c r="O1501" s="1" cm="1">
        <f t="array" ref="O1501">SUMPRODUCT(("T_TW-BEVELC-S3"=[1]OUT_TransportEnergyCons!$A$3:$A$1000)*1,("Var_Fin"=[1]OUT_TransportEnergyCons!$B$3:$B$1000)*1,ISNUMBER(SEARCH("ELC",[1]OUT_TransportEnergyCons!$C$3:$C$1000))*1,[1]OUT_TransportEnergyCons!M$3:M$1000)</f>
        <v>1.1587561874282257E-3</v>
      </c>
      <c r="P1501" s="1" cm="1">
        <f t="array" ref="P1501">SUMPRODUCT(("T_TW-BEVELC-S3"=[1]OUT_TransportEnergyCons!$A$3:$A$1000)*1,("Var_Fin"=[1]OUT_TransportEnergyCons!$B$3:$B$1000)*1,ISNUMBER(SEARCH("ELC",[1]OUT_TransportEnergyCons!$C$3:$C$1000))*1,[1]OUT_TransportEnergyCons!N$3:N$1000)</f>
        <v>1.3193959944517112E-3</v>
      </c>
      <c r="Q1501" s="1" cm="1">
        <f t="array" ref="Q1501">SUMPRODUCT(("T_TW-BEVELC-S3"=[1]OUT_TransportEnergyCons!$A$3:$A$1000)*1,("Var_Fin"=[1]OUT_TransportEnergyCons!$B$3:$B$1000)*1,ISNUMBER(SEARCH("ELC",[1]OUT_TransportEnergyCons!$C$3:$C$1000))*1,[1]OUT_TransportEnergyCons!O$3:O$1000)</f>
        <v>1.5617398915793489E-3</v>
      </c>
      <c r="S1501" s="3"/>
    </row>
    <row r="1502" spans="2:19" x14ac:dyDescent="0.5">
      <c r="B1502" t="str">
        <f t="shared" si="1692"/>
        <v>SPS1</v>
      </c>
      <c r="C1502" t="str">
        <f t="shared" si="1689"/>
        <v>CH</v>
      </c>
      <c r="D1502" t="s">
        <v>1491</v>
      </c>
      <c r="E1502" t="str">
        <f t="shared" si="1693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1.1372044258895617E-4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2.1423133489962195E-4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2.862928890106251E-4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3.4566978111865375E-4</v>
      </c>
      <c r="J1502" s="1" cm="1">
        <f t="array" ref="J1502">SUMPRODUCT(("T_TW-BEVELC-S4"=[1]OUT_TransportEnergyCons!$A$3:$A$1000)*1,("Var_Fin"=[1]OUT_TransportEnergyCons!$B$3:$B$1000)*1,ISNUMBER(SEARCH("ELC",[1]OUT_TransportEnergyCons!$C$3:$C$1000))*1,[1]OUT_TransportEnergyCons!H$3:H$1000)</f>
        <v>4.5456101397264159E-4</v>
      </c>
      <c r="K1502" s="1" cm="1">
        <f t="array" ref="K1502">SUMPRODUCT(("T_TW-BEVELC-S4"=[1]OUT_TransportEnergyCons!$A$3:$A$1000)*1,("Var_Fin"=[1]OUT_TransportEnergyCons!$B$3:$B$1000)*1,ISNUMBER(SEARCH("ELC",[1]OUT_TransportEnergyCons!$C$3:$C$1000))*1,[1]OUT_TransportEnergyCons!I$3:I$1000)</f>
        <v>5.8534870154437453E-4</v>
      </c>
      <c r="L1502" s="1" cm="1">
        <f t="array" ref="L1502">SUMPRODUCT(("T_TW-BEVELC-S4"=[1]OUT_TransportEnergyCons!$A$3:$A$1000)*1,("Var_Fin"=[1]OUT_TransportEnergyCons!$B$3:$B$1000)*1,ISNUMBER(SEARCH("ELC",[1]OUT_TransportEnergyCons!$C$3:$C$1000))*1,[1]OUT_TransportEnergyCons!J$3:J$1000)</f>
        <v>6.3405991936863165E-4</v>
      </c>
      <c r="M1502" s="1" cm="1">
        <f t="array" ref="M1502">SUMPRODUCT(("T_TW-BEVELC-S4"=[1]OUT_TransportEnergyCons!$A$3:$A$1000)*1,("Var_Fin"=[1]OUT_TransportEnergyCons!$B$3:$B$1000)*1,ISNUMBER(SEARCH("ELC",[1]OUT_TransportEnergyCons!$C$3:$C$1000))*1,[1]OUT_TransportEnergyCons!K$3:K$1000)</f>
        <v>6.9047684879771612E-4</v>
      </c>
      <c r="N1502" s="1" cm="1">
        <f t="array" ref="N1502">SUMPRODUCT(("T_TW-BEVELC-S4"=[1]OUT_TransportEnergyCons!$A$3:$A$1000)*1,("Var_Fin"=[1]OUT_TransportEnergyCons!$B$3:$B$1000)*1,ISNUMBER(SEARCH("ELC",[1]OUT_TransportEnergyCons!$C$3:$C$1000))*1,[1]OUT_TransportEnergyCons!L$3:L$1000)</f>
        <v>8.1978342531826036E-4</v>
      </c>
      <c r="O1502" s="1" cm="1">
        <f t="array" ref="O1502">SUMPRODUCT(("T_TW-BEVELC-S4"=[1]OUT_TransportEnergyCons!$A$3:$A$1000)*1,("Var_Fin"=[1]OUT_TransportEnergyCons!$B$3:$B$1000)*1,ISNUMBER(SEARCH("ELC",[1]OUT_TransportEnergyCons!$C$3:$C$1000))*1,[1]OUT_TransportEnergyCons!M$3:M$1000)</f>
        <v>9.5062723873386515E-4</v>
      </c>
      <c r="P1502" s="1" cm="1">
        <f t="array" ref="P1502">SUMPRODUCT(("T_TW-BEVELC-S4"=[1]OUT_TransportEnergyCons!$A$3:$A$1000)*1,("Var_Fin"=[1]OUT_TransportEnergyCons!$B$3:$B$1000)*1,ISNUMBER(SEARCH("ELC",[1]OUT_TransportEnergyCons!$C$3:$C$1000))*1,[1]OUT_TransportEnergyCons!N$3:N$1000)</f>
        <v>1.0418938210950972E-3</v>
      </c>
      <c r="Q1502" s="1" cm="1">
        <f t="array" ref="Q1502">SUMPRODUCT(("T_TW-BEVELC-S4"=[1]OUT_TransportEnergyCons!$A$3:$A$1000)*1,("Var_Fin"=[1]OUT_TransportEnergyCons!$B$3:$B$1000)*1,ISNUMBER(SEARCH("ELC",[1]OUT_TransportEnergyCons!$C$3:$C$1000))*1,[1]OUT_TransportEnergyCons!O$3:O$1000)</f>
        <v>1.2552066105070967E-3</v>
      </c>
      <c r="S1502" s="3"/>
    </row>
    <row r="1503" spans="2:19" x14ac:dyDescent="0.5">
      <c r="B1503" s="5" t="str">
        <f>B1502</f>
        <v>SPS1</v>
      </c>
      <c r="C1503" t="str">
        <f t="shared" ref="C1503:C1507" si="1694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695">SUM(G1504:G1507)</f>
        <v>0</v>
      </c>
      <c r="H1503" s="1">
        <f t="shared" si="1695"/>
        <v>0</v>
      </c>
      <c r="I1503" s="1">
        <f t="shared" si="1695"/>
        <v>3.1542181509542152E-4</v>
      </c>
      <c r="J1503" s="1">
        <f t="shared" si="1695"/>
        <v>8.0278422094033619E-4</v>
      </c>
      <c r="K1503" s="1">
        <f t="shared" si="1695"/>
        <v>1.2361337637218116E-3</v>
      </c>
      <c r="L1503" s="1">
        <f t="shared" ref="L1503:O1503" si="1696">SUM(L1504:L1507)</f>
        <v>1.7737142941299392E-3</v>
      </c>
      <c r="M1503" s="1">
        <f t="shared" si="1696"/>
        <v>2.5859671567728185E-3</v>
      </c>
      <c r="N1503" s="1">
        <f t="shared" si="1696"/>
        <v>3.2686600096659998E-3</v>
      </c>
      <c r="O1503" s="1">
        <f t="shared" si="1696"/>
        <v>4.0628024857715097E-3</v>
      </c>
      <c r="P1503" s="1">
        <f>SUM(P1504:P1507)</f>
        <v>4.2508678516806463E-3</v>
      </c>
      <c r="Q1503" s="1">
        <f>SUM(Q1504:Q1507)</f>
        <v>5.6132513900717202E-3</v>
      </c>
      <c r="S1503" s="3"/>
    </row>
    <row r="1504" spans="2:19" x14ac:dyDescent="0.5">
      <c r="B1504" t="str">
        <f t="shared" ref="B1504:B1507" si="1697">B1503</f>
        <v>SPS1</v>
      </c>
      <c r="C1504" t="str">
        <f t="shared" si="1694"/>
        <v>CH</v>
      </c>
      <c r="D1504" t="s">
        <v>1494</v>
      </c>
      <c r="E1504" t="str">
        <f t="shared" ref="E1504:E1507" si="1698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9.4173915442270512E-5</v>
      </c>
      <c r="J1504" s="1" cm="1">
        <f t="array" ref="J1504">SUMPRODUCT(("T_TW-fclh2o-S1"=[1]OUT_TransportEnergyCons!$A$3:$A$1000)*1,("Var_Fin"=[1]OUT_TransportEnergyCons!$B$3:$B$1000)*1,ISNUMBER(SEARCH("h2",[1]OUT_TransportEnergyCons!$C$3:$C$1000))*1,[1]OUT_TransportEnergyCons!H$3:H$1000)</f>
        <v>2.4348819620436537E-4</v>
      </c>
      <c r="K1504" s="1" cm="1">
        <f t="array" ref="K1504">SUMPRODUCT(("T_TW-fclh2o-S1"=[1]OUT_TransportEnergyCons!$A$3:$A$1000)*1,("Var_Fin"=[1]OUT_TransportEnergyCons!$B$3:$B$1000)*1,ISNUMBER(SEARCH("h2",[1]OUT_TransportEnergyCons!$C$3:$C$1000))*1,[1]OUT_TransportEnergyCons!I$3:I$1000)</f>
        <v>3.4596037967580433E-4</v>
      </c>
      <c r="L1504" s="1" cm="1">
        <f t="array" ref="L1504">SUMPRODUCT(("T_TW-fclh2o-S1"=[1]OUT_TransportEnergyCons!$A$3:$A$1000)*1,("Var_Fin"=[1]OUT_TransportEnergyCons!$B$3:$B$1000)*1,ISNUMBER(SEARCH("h2",[1]OUT_TransportEnergyCons!$C$3:$C$1000))*1,[1]OUT_TransportEnergyCons!J$3:J$1000)</f>
        <v>5.1240059170194871E-4</v>
      </c>
      <c r="M1504" s="1" cm="1">
        <f t="array" ref="M1504">SUMPRODUCT(("T_TW-fclh2o-S1"=[1]OUT_TransportEnergyCons!$A$3:$A$1000)*1,("Var_Fin"=[1]OUT_TransportEnergyCons!$B$3:$B$1000)*1,ISNUMBER(SEARCH("h2",[1]OUT_TransportEnergyCons!$C$3:$C$1000))*1,[1]OUT_TransportEnergyCons!K$3:K$1000)</f>
        <v>7.9612776361337402E-4</v>
      </c>
      <c r="N1504" s="1" cm="1">
        <f t="array" ref="N1504">SUMPRODUCT(("T_TW-fclh2o-S1"=[1]OUT_TransportEnergyCons!$A$3:$A$1000)*1,("Var_Fin"=[1]OUT_TransportEnergyCons!$B$3:$B$1000)*1,ISNUMBER(SEARCH("h2",[1]OUT_TransportEnergyCons!$C$3:$C$1000))*1,[1]OUT_TransportEnergyCons!L$3:L$1000)</f>
        <v>1.1277958669355013E-3</v>
      </c>
      <c r="O1504" s="1" cm="1">
        <f t="array" ref="O1504">SUMPRODUCT(("T_TW-fclh2o-S1"=[1]OUT_TransportEnergyCons!$A$3:$A$1000)*1,("Var_Fin"=[1]OUT_TransportEnergyCons!$B$3:$B$1000)*1,ISNUMBER(SEARCH("h2",[1]OUT_TransportEnergyCons!$C$3:$C$1000))*1,[1]OUT_TransportEnergyCons!M$3:M$1000)</f>
        <v>1.3991563568436229E-3</v>
      </c>
      <c r="P1504" s="1" cm="1">
        <f t="array" ref="P1504">SUMPRODUCT(("T_TW-fclh2o-S1"=[1]OUT_TransportEnergyCons!$A$3:$A$1000)*1,("Var_Fin"=[1]OUT_TransportEnergyCons!$B$3:$B$1000)*1,ISNUMBER(SEARCH("h2",[1]OUT_TransportEnergyCons!$C$3:$C$1000))*1,[1]OUT_TransportEnergyCons!N$3:N$1000)</f>
        <v>1.3509622500931307E-3</v>
      </c>
      <c r="Q1504" s="1" cm="1">
        <f t="array" ref="Q1504">SUMPRODUCT(("T_TW-fclh2o-S1"=[1]OUT_TransportEnergyCons!$A$3:$A$1000)*1,("Var_Fin"=[1]OUT_TransportEnergyCons!$B$3:$B$1000)*1,ISNUMBER(SEARCH("h2",[1]OUT_TransportEnergyCons!$C$3:$C$1000))*1,[1]OUT_TransportEnergyCons!O$3:O$1000)</f>
        <v>1.8798667924806555E-3</v>
      </c>
      <c r="S1504" s="3"/>
    </row>
    <row r="1505" spans="2:19" x14ac:dyDescent="0.5">
      <c r="B1505" t="str">
        <f t="shared" si="1697"/>
        <v>SPS1</v>
      </c>
      <c r="C1505" t="str">
        <f t="shared" si="1694"/>
        <v>CH</v>
      </c>
      <c r="D1505" t="s">
        <v>1495</v>
      </c>
      <c r="E1505" t="str">
        <f t="shared" si="1698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8.4675378005371089E-5</v>
      </c>
      <c r="J1505" s="1" cm="1">
        <f t="array" ref="J1505">SUMPRODUCT(("T_TW-fclh2o-S2"=[1]OUT_TransportEnergyCons!$A$3:$A$1000)*1,("Var_Fin"=[1]OUT_TransportEnergyCons!$B$3:$B$1000)*1,ISNUMBER(SEARCH("h2",[1]OUT_TransportEnergyCons!$C$3:$C$1000))*1,[1]OUT_TransportEnergyCons!H$3:H$1000)</f>
        <v>2.044118609390349E-4</v>
      </c>
      <c r="K1505" s="1" cm="1">
        <f t="array" ref="K1505">SUMPRODUCT(("T_TW-fclh2o-S2"=[1]OUT_TransportEnergyCons!$A$3:$A$1000)*1,("Var_Fin"=[1]OUT_TransportEnergyCons!$B$3:$B$1000)*1,ISNUMBER(SEARCH("h2",[1]OUT_TransportEnergyCons!$C$3:$C$1000))*1,[1]OUT_TransportEnergyCons!I$3:I$1000)</f>
        <v>3.1305975275879678E-4</v>
      </c>
      <c r="L1505" s="1" cm="1">
        <f t="array" ref="L1505">SUMPRODUCT(("T_TW-fclh2o-S2"=[1]OUT_TransportEnergyCons!$A$3:$A$1000)*1,("Var_Fin"=[1]OUT_TransportEnergyCons!$B$3:$B$1000)*1,ISNUMBER(SEARCH("h2",[1]OUT_TransportEnergyCons!$C$3:$C$1000))*1,[1]OUT_TransportEnergyCons!J$3:J$1000)</f>
        <v>4.25160647016565E-4</v>
      </c>
      <c r="M1505" s="1" cm="1">
        <f t="array" ref="M1505">SUMPRODUCT(("T_TW-fclh2o-S2"=[1]OUT_TransportEnergyCons!$A$3:$A$1000)*1,("Var_Fin"=[1]OUT_TransportEnergyCons!$B$3:$B$1000)*1,ISNUMBER(SEARCH("h2",[1]OUT_TransportEnergyCons!$C$3:$C$1000))*1,[1]OUT_TransportEnergyCons!K$3:K$1000)</f>
        <v>5.9338664307467196E-4</v>
      </c>
      <c r="N1505" s="1" cm="1">
        <f t="array" ref="N1505">SUMPRODUCT(("T_TW-fclh2o-S2"=[1]OUT_TransportEnergyCons!$A$3:$A$1000)*1,("Var_Fin"=[1]OUT_TransportEnergyCons!$B$3:$B$1000)*1,ISNUMBER(SEARCH("h2",[1]OUT_TransportEnergyCons!$C$3:$C$1000))*1,[1]OUT_TransportEnergyCons!L$3:L$1000)</f>
        <v>6.9805160184561457E-4</v>
      </c>
      <c r="O1505" s="1" cm="1">
        <f t="array" ref="O1505">SUMPRODUCT(("T_TW-fclh2o-S2"=[1]OUT_TransportEnergyCons!$A$3:$A$1000)*1,("Var_Fin"=[1]OUT_TransportEnergyCons!$B$3:$B$1000)*1,ISNUMBER(SEARCH("h2",[1]OUT_TransportEnergyCons!$C$3:$C$1000))*1,[1]OUT_TransportEnergyCons!M$3:M$1000)</f>
        <v>9.2646825040638698E-4</v>
      </c>
      <c r="P1505" s="1" cm="1">
        <f t="array" ref="P1505">SUMPRODUCT(("T_TW-fclh2o-S2"=[1]OUT_TransportEnergyCons!$A$3:$A$1000)*1,("Var_Fin"=[1]OUT_TransportEnergyCons!$B$3:$B$1000)*1,ISNUMBER(SEARCH("h2",[1]OUT_TransportEnergyCons!$C$3:$C$1000))*1,[1]OUT_TransportEnergyCons!N$3:N$1000)</f>
        <v>8.9852528362527979E-4</v>
      </c>
      <c r="Q1505" s="1" cm="1">
        <f t="array" ref="Q1505">SUMPRODUCT(("T_TW-fclh2o-S2"=[1]OUT_TransportEnergyCons!$A$3:$A$1000)*1,("Var_Fin"=[1]OUT_TransportEnergyCons!$B$3:$B$1000)*1,ISNUMBER(SEARCH("h2",[1]OUT_TransportEnergyCons!$C$3:$C$1000))*1,[1]OUT_TransportEnergyCons!O$3:O$1000)</f>
        <v>1.2738931530445247E-3</v>
      </c>
      <c r="S1505" s="3"/>
    </row>
    <row r="1506" spans="2:19" x14ac:dyDescent="0.5">
      <c r="B1506" t="str">
        <f t="shared" si="1697"/>
        <v>SPS1</v>
      </c>
      <c r="C1506" t="str">
        <f t="shared" si="1694"/>
        <v>CH</v>
      </c>
      <c r="D1506" t="s">
        <v>1496</v>
      </c>
      <c r="E1506" t="str">
        <f t="shared" si="1698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7.8707672057624914E-5</v>
      </c>
      <c r="J1506" s="1" cm="1">
        <f t="array" ref="J1506">SUMPRODUCT(("T_TW-fclh2o-S3"=[1]OUT_TransportEnergyCons!$A$3:$A$1000)*1,("Var_Fin"=[1]OUT_TransportEnergyCons!$B$3:$B$1000)*1,ISNUMBER(SEARCH("h2",[1]OUT_TransportEnergyCons!$C$3:$C$1000))*1,[1]OUT_TransportEnergyCons!H$3:H$1000)</f>
        <v>2.1507185894394787E-4</v>
      </c>
      <c r="K1506" s="1" cm="1">
        <f t="array" ref="K1506">SUMPRODUCT(("T_TW-fclh2o-S3"=[1]OUT_TransportEnergyCons!$A$3:$A$1000)*1,("Var_Fin"=[1]OUT_TransportEnergyCons!$B$3:$B$1000)*1,ISNUMBER(SEARCH("h2",[1]OUT_TransportEnergyCons!$C$3:$C$1000))*1,[1]OUT_TransportEnergyCons!I$3:I$1000)</f>
        <v>3.4217257157044935E-4</v>
      </c>
      <c r="L1506" s="1" cm="1">
        <f t="array" ref="L1506">SUMPRODUCT(("T_TW-fclh2o-S3"=[1]OUT_TransportEnergyCons!$A$3:$A$1000)*1,("Var_Fin"=[1]OUT_TransportEnergyCons!$B$3:$B$1000)*1,ISNUMBER(SEARCH("h2",[1]OUT_TransportEnergyCons!$C$3:$C$1000))*1,[1]OUT_TransportEnergyCons!J$3:J$1000)</f>
        <v>4.7774310769149649E-4</v>
      </c>
      <c r="M1506" s="1" cm="1">
        <f t="array" ref="M1506">SUMPRODUCT(("T_TW-fclh2o-S3"=[1]OUT_TransportEnergyCons!$A$3:$A$1000)*1,("Var_Fin"=[1]OUT_TransportEnergyCons!$B$3:$B$1000)*1,ISNUMBER(SEARCH("h2",[1]OUT_TransportEnergyCons!$C$3:$C$1000))*1,[1]OUT_TransportEnergyCons!K$3:K$1000)</f>
        <v>6.5618204216193762E-4</v>
      </c>
      <c r="N1506" s="1" cm="1">
        <f t="array" ref="N1506">SUMPRODUCT(("T_TW-fclh2o-S3"=[1]OUT_TransportEnergyCons!$A$3:$A$1000)*1,("Var_Fin"=[1]OUT_TransportEnergyCons!$B$3:$B$1000)*1,ISNUMBER(SEARCH("h2",[1]OUT_TransportEnergyCons!$C$3:$C$1000))*1,[1]OUT_TransportEnergyCons!L$3:L$1000)</f>
        <v>7.8791687025928363E-4</v>
      </c>
      <c r="O1506" s="1" cm="1">
        <f t="array" ref="O1506">SUMPRODUCT(("T_TW-fclh2o-S3"=[1]OUT_TransportEnergyCons!$A$3:$A$1000)*1,("Var_Fin"=[1]OUT_TransportEnergyCons!$B$3:$B$1000)*1,ISNUMBER(SEARCH("h2",[1]OUT_TransportEnergyCons!$C$3:$C$1000))*1,[1]OUT_TransportEnergyCons!M$3:M$1000)</f>
        <v>9.4252660522133578E-4</v>
      </c>
      <c r="P1506" s="1" cm="1">
        <f t="array" ref="P1506">SUMPRODUCT(("T_TW-fclh2o-S3"=[1]OUT_TransportEnergyCons!$A$3:$A$1000)*1,("Var_Fin"=[1]OUT_TransportEnergyCons!$B$3:$B$1000)*1,ISNUMBER(SEARCH("h2",[1]OUT_TransportEnergyCons!$C$3:$C$1000))*1,[1]OUT_TransportEnergyCons!N$3:N$1000)</f>
        <v>1.0981820082346127E-3</v>
      </c>
      <c r="Q1506" s="1" cm="1">
        <f t="array" ref="Q1506">SUMPRODUCT(("T_TW-fclh2o-S3"=[1]OUT_TransportEnergyCons!$A$3:$A$1000)*1,("Var_Fin"=[1]OUT_TransportEnergyCons!$B$3:$B$1000)*1,ISNUMBER(SEARCH("h2",[1]OUT_TransportEnergyCons!$C$3:$C$1000))*1,[1]OUT_TransportEnergyCons!O$3:O$1000)</f>
        <v>1.3261438634649149E-3</v>
      </c>
      <c r="S1506" s="3"/>
    </row>
    <row r="1507" spans="2:19" x14ac:dyDescent="0.5">
      <c r="B1507" t="str">
        <f t="shared" si="1697"/>
        <v>SPS1</v>
      </c>
      <c r="C1507" t="str">
        <f t="shared" si="1694"/>
        <v>CH</v>
      </c>
      <c r="D1507" t="s">
        <v>1497</v>
      </c>
      <c r="E1507" t="str">
        <f t="shared" si="1698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5.7864849590155023E-5</v>
      </c>
      <c r="J1507" s="1" cm="1">
        <f t="array" ref="J1507">SUMPRODUCT(("T_TW-fclh2o-S4"=[1]OUT_TransportEnergyCons!$A$3:$A$1000)*1,("Var_Fin"=[1]OUT_TransportEnergyCons!$B$3:$B$1000)*1,ISNUMBER(SEARCH("h2",[1]OUT_TransportEnergyCons!$C$3:$C$1000))*1,[1]OUT_TransportEnergyCons!H$3:H$1000)</f>
        <v>1.3981230485298802E-4</v>
      </c>
      <c r="K1507" s="1" cm="1">
        <f t="array" ref="K1507">SUMPRODUCT(("T_TW-fclh2o-S4"=[1]OUT_TransportEnergyCons!$A$3:$A$1000)*1,("Var_Fin"=[1]OUT_TransportEnergyCons!$B$3:$B$1000)*1,ISNUMBER(SEARCH("h2",[1]OUT_TransportEnergyCons!$C$3:$C$1000))*1,[1]OUT_TransportEnergyCons!I$3:I$1000)</f>
        <v>2.3494105971676098E-4</v>
      </c>
      <c r="L1507" s="1" cm="1">
        <f t="array" ref="L1507">SUMPRODUCT(("T_TW-fclh2o-S4"=[1]OUT_TransportEnergyCons!$A$3:$A$1000)*1,("Var_Fin"=[1]OUT_TransportEnergyCons!$B$3:$B$1000)*1,ISNUMBER(SEARCH("h2",[1]OUT_TransportEnergyCons!$C$3:$C$1000))*1,[1]OUT_TransportEnergyCons!J$3:J$1000)</f>
        <v>3.5840994771992908E-4</v>
      </c>
      <c r="M1507" s="1" cm="1">
        <f t="array" ref="M1507">SUMPRODUCT(("T_TW-fclh2o-S4"=[1]OUT_TransportEnergyCons!$A$3:$A$1000)*1,("Var_Fin"=[1]OUT_TransportEnergyCons!$B$3:$B$1000)*1,ISNUMBER(SEARCH("h2",[1]OUT_TransportEnergyCons!$C$3:$C$1000))*1,[1]OUT_TransportEnergyCons!K$3:K$1000)</f>
        <v>5.4027070792283464E-4</v>
      </c>
      <c r="N1507" s="1" cm="1">
        <f t="array" ref="N1507">SUMPRODUCT(("T_TW-fclh2o-S4"=[1]OUT_TransportEnergyCons!$A$3:$A$1000)*1,("Var_Fin"=[1]OUT_TransportEnergyCons!$B$3:$B$1000)*1,ISNUMBER(SEARCH("h2",[1]OUT_TransportEnergyCons!$C$3:$C$1000))*1,[1]OUT_TransportEnergyCons!L$3:L$1000)</f>
        <v>6.5489567062560058E-4</v>
      </c>
      <c r="O1507" s="1" cm="1">
        <f t="array" ref="O1507">SUMPRODUCT(("T_TW-fclh2o-S4"=[1]OUT_TransportEnergyCons!$A$3:$A$1000)*1,("Var_Fin"=[1]OUT_TransportEnergyCons!$B$3:$B$1000)*1,ISNUMBER(SEARCH("h2",[1]OUT_TransportEnergyCons!$C$3:$C$1000))*1,[1]OUT_TransportEnergyCons!M$3:M$1000)</f>
        <v>7.9465127330016403E-4</v>
      </c>
      <c r="P1507" s="1" cm="1">
        <f t="array" ref="P1507">SUMPRODUCT(("T_TW-fclh2o-S4"=[1]OUT_TransportEnergyCons!$A$3:$A$1000)*1,("Var_Fin"=[1]OUT_TransportEnergyCons!$B$3:$B$1000)*1,ISNUMBER(SEARCH("h2",[1]OUT_TransportEnergyCons!$C$3:$C$1000))*1,[1]OUT_TransportEnergyCons!N$3:N$1000)</f>
        <v>9.0319830972762334E-4</v>
      </c>
      <c r="Q1507" s="1" cm="1">
        <f t="array" ref="Q1507">SUMPRODUCT(("T_TW-fclh2o-S4"=[1]OUT_TransportEnergyCons!$A$3:$A$1000)*1,("Var_Fin"=[1]OUT_TransportEnergyCons!$B$3:$B$1000)*1,ISNUMBER(SEARCH("h2",[1]OUT_TransportEnergyCons!$C$3:$C$1000))*1,[1]OUT_TransportEnergyCons!O$3:O$1000)</f>
        <v>1.1333475810816251E-3</v>
      </c>
      <c r="S1507" s="3"/>
    </row>
    <row r="1508" spans="2:19" x14ac:dyDescent="0.5">
      <c r="B1508" s="5" t="str">
        <f>B1507</f>
        <v>SPS1</v>
      </c>
      <c r="C1508" t="str">
        <f t="shared" ref="C1508:C1518" si="1699">C1507</f>
        <v>CH</v>
      </c>
      <c r="D1508" t="s">
        <v>1498</v>
      </c>
      <c r="E1508" t="str">
        <f>E1507</f>
        <v>PJ/yr.</v>
      </c>
      <c r="F1508" s="1">
        <f>SUM(F1513:F1517)</f>
        <v>2.4114021902969824</v>
      </c>
      <c r="G1508" s="1">
        <f t="shared" ref="G1508:K1508" si="1700">SUM(G1513:G1517)</f>
        <v>1.6949160482953571</v>
      </c>
      <c r="H1508" s="1">
        <f t="shared" si="1700"/>
        <v>1.6741631295998949</v>
      </c>
      <c r="I1508" s="1">
        <f t="shared" si="1700"/>
        <v>1.4994244280238216</v>
      </c>
      <c r="J1508" s="1">
        <f t="shared" si="1700"/>
        <v>1.1717393757238908</v>
      </c>
      <c r="K1508" s="1">
        <f t="shared" si="1700"/>
        <v>1.0677184699308873</v>
      </c>
      <c r="L1508" s="1">
        <f t="shared" ref="L1508:O1508" si="1701">SUM(L1513:L1517)</f>
        <v>0.93304870607209156</v>
      </c>
      <c r="M1508" s="1">
        <f t="shared" si="1701"/>
        <v>0.86847393121432503</v>
      </c>
      <c r="N1508" s="1">
        <f t="shared" si="1701"/>
        <v>0.82942052002763267</v>
      </c>
      <c r="O1508" s="1">
        <f t="shared" si="1701"/>
        <v>0.79762757748901347</v>
      </c>
      <c r="P1508" s="1">
        <f>SUM(P1513:P1517)</f>
        <v>0.78448568626021908</v>
      </c>
      <c r="Q1508" s="1">
        <f>SUM(Q1513:Q1517)</f>
        <v>0.75638916190456984</v>
      </c>
      <c r="S1508" s="3"/>
    </row>
    <row r="1509" spans="2:19" x14ac:dyDescent="0.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2.2793949241187854</v>
      </c>
      <c r="G1509" s="1">
        <f t="shared" ref="G1509:K1509" si="1702">IF(G1508-G1510&lt;0,0,G1508-G1510)</f>
        <v>1.6021336326029296</v>
      </c>
      <c r="H1509" s="1">
        <f t="shared" si="1702"/>
        <v>1.5825125636058621</v>
      </c>
      <c r="I1509" s="1">
        <f t="shared" si="1702"/>
        <v>1.4006188373667647</v>
      </c>
      <c r="J1509" s="1">
        <f t="shared" si="1702"/>
        <v>1.1006041061675735</v>
      </c>
      <c r="K1509" s="1">
        <f t="shared" si="1702"/>
        <v>1.0092359252665286</v>
      </c>
      <c r="L1509" s="1">
        <f t="shared" ref="L1509:O1509" si="1703">IF(L1508-L1510&lt;0,0,L1508-L1510)</f>
        <v>0.88193736799317379</v>
      </c>
      <c r="M1509" s="1">
        <f t="shared" si="1703"/>
        <v>0.82085608027706958</v>
      </c>
      <c r="N1509" s="1">
        <f t="shared" si="1703"/>
        <v>0.78397751503961643</v>
      </c>
      <c r="O1509" s="1">
        <f t="shared" si="1703"/>
        <v>0.75387858747629721</v>
      </c>
      <c r="P1509" s="1">
        <f>IF(P1508-P1510&lt;0,0,P1508-P1510)</f>
        <v>0.74147303985894386</v>
      </c>
      <c r="Q1509" s="1">
        <f>IF(Q1508-Q1510&lt;0,0,Q1508-Q1510)</f>
        <v>0.71481964216064364</v>
      </c>
      <c r="S1509" s="3"/>
    </row>
    <row r="1510" spans="2:19" x14ac:dyDescent="0.5">
      <c r="B1510" s="5" t="str">
        <f t="shared" ref="B1510:B1512" si="1704">B1509</f>
        <v>SPS1</v>
      </c>
      <c r="C1510" s="5" t="str">
        <f t="shared" ref="C1510:C1512" si="1705">C1509</f>
        <v>CH</v>
      </c>
      <c r="D1510" t="s">
        <v>1500</v>
      </c>
      <c r="E1510" t="str">
        <f>E1509</f>
        <v>PJ/yr.</v>
      </c>
      <c r="F1510" s="1">
        <f>SUM(F1511:F1512)</f>
        <v>0.13200726617819711</v>
      </c>
      <c r="G1510" s="1">
        <f t="shared" ref="G1510" si="1706">SUM(G1511:G1512)</f>
        <v>9.2782415692427608E-2</v>
      </c>
      <c r="H1510" s="1">
        <f t="shared" ref="H1510" si="1707">SUM(H1511:H1512)</f>
        <v>9.165056599403279E-2</v>
      </c>
      <c r="I1510" s="1">
        <f t="shared" ref="I1510" si="1708">SUM(I1511:I1512)</f>
        <v>9.8805590657056769E-2</v>
      </c>
      <c r="J1510" s="1">
        <f t="shared" ref="J1510" si="1709">SUM(J1511:J1512)</f>
        <v>7.1135269556317229E-2</v>
      </c>
      <c r="K1510" s="1">
        <f t="shared" ref="K1510" si="1710">SUM(K1511:K1512)</f>
        <v>5.8482544664358586E-2</v>
      </c>
      <c r="L1510" s="1">
        <f t="shared" ref="L1510:O1510" si="1711">SUM(L1511:L1512)</f>
        <v>5.1111338078917781E-2</v>
      </c>
      <c r="M1510" s="1">
        <f t="shared" si="1711"/>
        <v>4.7617850937255436E-2</v>
      </c>
      <c r="N1510" s="1">
        <f t="shared" si="1711"/>
        <v>4.5443004988016206E-2</v>
      </c>
      <c r="O1510" s="1">
        <f t="shared" si="1711"/>
        <v>4.3748990012716309E-2</v>
      </c>
      <c r="P1510" s="1">
        <f>SUM(P1511:P1512)</f>
        <v>4.3012646401275202E-2</v>
      </c>
      <c r="Q1510" s="1">
        <f>SUM(Q1511:Q1512)</f>
        <v>4.1569519743926205E-2</v>
      </c>
      <c r="S1510" s="3"/>
    </row>
    <row r="1511" spans="2:19" x14ac:dyDescent="0.5">
      <c r="B1511" s="5" t="str">
        <f t="shared" si="1704"/>
        <v>SPS1</v>
      </c>
      <c r="C1511" s="5" t="str">
        <f t="shared" si="1705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0.13200726617819711</v>
      </c>
      <c r="G1511" s="1">
        <f>[1]Transport!C$25/SUM([1]Transport!C$21,[1]Transport!C$25)*G1508*(G$35+G$600)/(G$35+G$600+G$39)</f>
        <v>9.2782415692427608E-2</v>
      </c>
      <c r="H1511" s="1">
        <f>[1]Transport!D$25/SUM([1]Transport!D$21,[1]Transport!D$25)*H1508*(H$35+H$600)/(H$35+H$600+H$39)</f>
        <v>9.165056599403279E-2</v>
      </c>
      <c r="I1511" s="1">
        <f>[1]Transport!E$25/SUM([1]Transport!E$21,[1]Transport!E$25)*I1508*(I$35+I$600)/(I$35+I$600+I$39)</f>
        <v>9.8805590657056769E-2</v>
      </c>
      <c r="J1511" s="1">
        <f>[1]Transport!F$25/SUM([1]Transport!F$21,[1]Transport!F$25)*J1508*(J$35+J$600)/(J$35+J$600+J$39)</f>
        <v>7.1135269556317229E-2</v>
      </c>
      <c r="K1511" s="1">
        <f>[1]Transport!G$25/SUM([1]Transport!G$21,[1]Transport!G$25)*K1508*(K$35+K$600)/(K$35+K$600+K$39)</f>
        <v>5.8482544664358586E-2</v>
      </c>
      <c r="L1511" s="1">
        <f>[1]Transport!H$25/SUM([1]Transport!H$21,[1]Transport!H$25)*L1508*(L$35+L$600)/(L$35+L$600+L$39)</f>
        <v>5.1111338078917781E-2</v>
      </c>
      <c r="M1511" s="1">
        <f>[1]Transport!I$25/SUM([1]Transport!I$21,[1]Transport!I$25)*M1508*(M$35+M$600)/(M$35+M$600+M$39)</f>
        <v>4.7617850937255436E-2</v>
      </c>
      <c r="N1511" s="1">
        <f>[1]Transport!J$25/SUM([1]Transport!J$21,[1]Transport!J$25)*N1508*(N$35+N$600)/(N$35+N$600+N$39)</f>
        <v>4.5443004988016206E-2</v>
      </c>
      <c r="O1511" s="1">
        <f>[1]Transport!K$25/SUM([1]Transport!K$21,[1]Transport!K$25)*O1508*(O$35+O$600)/(O$35+O$600+O$39)</f>
        <v>4.3748990012716309E-2</v>
      </c>
      <c r="P1511" s="1">
        <f>[1]Transport!L$25/SUM([1]Transport!L$21,[1]Transport!L$25)*P1508*(P$35+P$600)/(P$35+P$600+P$39)</f>
        <v>4.3012646401275202E-2</v>
      </c>
      <c r="Q1511" s="1">
        <f>[1]Transport!M$25/SUM([1]Transport!M$21,[1]Transport!M$25)*Q1508*(Q$35+Q$600)/(Q$35+Q$600+Q$39)</f>
        <v>4.1569519743926205E-2</v>
      </c>
      <c r="S1511" s="3"/>
    </row>
    <row r="1512" spans="2:19" x14ac:dyDescent="0.5">
      <c r="B1512" s="5" t="str">
        <f t="shared" si="1704"/>
        <v>SPS1</v>
      </c>
      <c r="C1512" s="5" t="str">
        <f t="shared" si="1705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(J$39+J$719)/([1]Transport!F$21+[1]Transport!F$25)*J1508</f>
        <v>0</v>
      </c>
      <c r="K1512" s="1">
        <f>(K$39+K$719)/([1]Transport!G$21+[1]Transport!G$25)*K1508</f>
        <v>0</v>
      </c>
      <c r="L1512" s="1">
        <f>(L$39+L$719)/([1]Transport!H$21+[1]Transport!H$25)*L1508</f>
        <v>0</v>
      </c>
      <c r="M1512" s="1">
        <f>(M$39+M$719)/([1]Transport!I$21+[1]Transport!I$25)*M1508</f>
        <v>0</v>
      </c>
      <c r="N1512" s="1">
        <f>(N$39+N$719)/([1]Transport!J$21+[1]Transport!J$25)*N1508</f>
        <v>0</v>
      </c>
      <c r="O1512" s="1">
        <f>(O$39+O$719)/([1]Transport!K$21+[1]Transport!K$25)*O1508</f>
        <v>0</v>
      </c>
      <c r="P1512" s="1">
        <f>(P$39+P$719)/([1]Transport!L$21+[1]Transport!L$25)*P1508</f>
        <v>0</v>
      </c>
      <c r="Q1512" s="1">
        <f>(Q$39+Q$719)/([1]Transport!M$21+[1]Transport!M$25)*Q1508</f>
        <v>0</v>
      </c>
      <c r="S1512" s="3"/>
    </row>
    <row r="1513" spans="2:19" x14ac:dyDescent="0.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1.9731163208391227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0.71483335459336605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0.69404111088001896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0.45352689159527365</v>
      </c>
      <c r="J1513" s="1" cm="1">
        <f t="array" ref="J1513">SUMPRODUCT(("T_TW-ICEGSLEXT"=[1]OUT_TransportEnergyCons!$A$3:$A$1000)*1,("Var_Fin"=[1]OUT_TransportEnergyCons!$B$3:$B$1000)*1,ISNUMBER(SEARCH("gsl",[1]OUT_TransportEnergyCons!$C$3:$C$1000))*1,[1]OUT_TransportEnergyCons!H$3:H$1000)</f>
        <v>0</v>
      </c>
      <c r="K1513" s="1" cm="1">
        <f t="array" ref="K1513">SUMPRODUCT(("T_TW-ICEGSLEXT"=[1]OUT_TransportEnergyCons!$A$3:$A$1000)*1,("Var_Fin"=[1]OUT_TransportEnergyCons!$B$3:$B$1000)*1,ISNUMBER(SEARCH("gsl",[1]OUT_TransportEnergyCons!$C$3:$C$1000))*1,[1]OUT_TransportEnergyCons!I$3:I$1000)</f>
        <v>0</v>
      </c>
      <c r="L1513" s="1" cm="1">
        <f t="array" ref="L1513">SUMPRODUCT(("T_TW-ICEGSLEXT"=[1]OUT_TransportEnergyCons!$A$3:$A$1000)*1,("Var_Fin"=[1]OUT_TransportEnergyCons!$B$3:$B$1000)*1,ISNUMBER(SEARCH("gsl",[1]OUT_TransportEnergyCons!$C$3:$C$1000))*1,[1]OUT_TransportEnergyCons!J$3:J$1000)</f>
        <v>0</v>
      </c>
      <c r="M1513" s="1" cm="1">
        <f t="array" ref="M1513">SUMPRODUCT(("T_TW-ICEGSLEXT"=[1]OUT_TransportEnergyCons!$A$3:$A$1000)*1,("Var_Fin"=[1]OUT_TransportEnergyCons!$B$3:$B$1000)*1,ISNUMBER(SEARCH("gsl",[1]OUT_TransportEnergyCons!$C$3:$C$1000))*1,[1]OUT_TransportEnergyCons!K$3:K$1000)</f>
        <v>0</v>
      </c>
      <c r="N1513" s="1" cm="1">
        <f t="array" ref="N1513">SUMPRODUCT(("T_TW-ICEGSLEXT"=[1]OUT_TransportEnergyCons!$A$3:$A$1000)*1,("Var_Fin"=[1]OUT_TransportEnergyCons!$B$3:$B$1000)*1,ISNUMBER(SEARCH("gsl",[1]OUT_TransportEnergyCons!$C$3:$C$1000))*1,[1]OUT_TransportEnergyCons!L$3:L$1000)</f>
        <v>0</v>
      </c>
      <c r="O1513" s="1" cm="1">
        <f t="array" ref="O1513">SUMPRODUCT(("T_TW-ICEGSLEXT"=[1]OUT_TransportEnergyCons!$A$3:$A$1000)*1,("Var_Fin"=[1]OUT_TransportEnergyCons!$B$3:$B$1000)*1,ISNUMBER(SEARCH("gsl",[1]OUT_TransportEnergyCons!$C$3:$C$1000))*1,[1]OUT_TransportEnergyCons!M$3:M$1000)</f>
        <v>0</v>
      </c>
      <c r="P1513" s="1" cm="1">
        <f t="array" ref="P1513">SUMPRODUCT(("T_TW-ICEGSLEXT"=[1]OUT_TransportEnergyCons!$A$3:$A$1000)*1,("Var_Fin"=[1]OUT_TransportEnergyCons!$B$3:$B$1000)*1,ISNUMBER(SEARCH("gsl",[1]OUT_TransportEnergyCons!$C$3:$C$1000))*1,[1]OUT_TransportEnergyCons!N$3:N$1000)</f>
        <v>0</v>
      </c>
      <c r="Q1513" s="1" cm="1">
        <f t="array" ref="Q1513">SUMPRODUCT(("T_TW-ICEGSLEXT"=[1]OUT_TransportEnergyCons!$A$3:$A$1000)*1,("Var_Fin"=[1]OUT_TransportEnergyCons!$B$3:$B$1000)*1,ISNUMBER(SEARCH("gsl",[1]OUT_TransportEnergyCons!$C$3:$C$1000))*1,[1]OUT_TransportEnergyCons!O$3:O$1000)</f>
        <v>0</v>
      </c>
      <c r="S1513" s="3"/>
    </row>
    <row r="1514" spans="2:19" x14ac:dyDescent="0.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4.3837062042008643E-2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0.4922141110354652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0.49689789903107545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0.61434670035487837</v>
      </c>
      <c r="J1514" s="1" cm="1">
        <f t="array" ref="J1514">SUMPRODUCT(("T_TW-icegsl-S1"=[1]OUT_TransportEnergyCons!$A$3:$A$1000)*1,("Var_Fin"=[1]OUT_TransportEnergyCons!$B$3:$B$1000)*1,ISNUMBER(SEARCH("gsl",[1]OUT_TransportEnergyCons!$C$3:$C$1000))*1,[1]OUT_TransportEnergyCons!H$3:H$1000)</f>
        <v>0.83822325941808329</v>
      </c>
      <c r="K1514" s="1" cm="1">
        <f t="array" ref="K1514">SUMPRODUCT(("T_TW-icegsl-S1"=[1]OUT_TransportEnergyCons!$A$3:$A$1000)*1,("Var_Fin"=[1]OUT_TransportEnergyCons!$B$3:$B$1000)*1,ISNUMBER(SEARCH("gsl",[1]OUT_TransportEnergyCons!$C$3:$C$1000))*1,[1]OUT_TransportEnergyCons!I$3:I$1000)</f>
        <v>0.88385005701351194</v>
      </c>
      <c r="L1514" s="1" cm="1">
        <f t="array" ref="L1514">SUMPRODUCT(("T_TW-icegsl-S1"=[1]OUT_TransportEnergyCons!$A$3:$A$1000)*1,("Var_Fin"=[1]OUT_TransportEnergyCons!$B$3:$B$1000)*1,ISNUMBER(SEARCH("gsl",[1]OUT_TransportEnergyCons!$C$3:$C$1000))*1,[1]OUT_TransportEnergyCons!J$3:J$1000)</f>
        <v>0.89901844277031207</v>
      </c>
      <c r="M1514" s="1" cm="1">
        <f t="array" ref="M1514">SUMPRODUCT(("T_TW-icegsl-S1"=[1]OUT_TransportEnergyCons!$A$3:$A$1000)*1,("Var_Fin"=[1]OUT_TransportEnergyCons!$B$3:$B$1000)*1,ISNUMBER(SEARCH("gsl",[1]OUT_TransportEnergyCons!$C$3:$C$1000))*1,[1]OUT_TransportEnergyCons!K$3:K$1000)</f>
        <v>0.86099969789614228</v>
      </c>
      <c r="N1514" s="1" cm="1">
        <f t="array" ref="N1514">SUMPRODUCT(("T_TW-icegsl-S1"=[1]OUT_TransportEnergyCons!$A$3:$A$1000)*1,("Var_Fin"=[1]OUT_TransportEnergyCons!$B$3:$B$1000)*1,ISNUMBER(SEARCH("gsl",[1]OUT_TransportEnergyCons!$C$3:$C$1000))*1,[1]OUT_TransportEnergyCons!L$3:L$1000)</f>
        <v>0.82166603790736759</v>
      </c>
      <c r="O1514" s="1" cm="1">
        <f t="array" ref="O1514">SUMPRODUCT(("T_TW-icegsl-S1"=[1]OUT_TransportEnergyCons!$A$3:$A$1000)*1,("Var_Fin"=[1]OUT_TransportEnergyCons!$B$3:$B$1000)*1,ISNUMBER(SEARCH("gsl",[1]OUT_TransportEnergyCons!$C$3:$C$1000))*1,[1]OUT_TransportEnergyCons!M$3:M$1000)</f>
        <v>0.78866236860723038</v>
      </c>
      <c r="P1514" s="1" cm="1">
        <f t="array" ref="P1514">SUMPRODUCT(("T_TW-icegsl-S1"=[1]OUT_TransportEnergyCons!$A$3:$A$1000)*1,("Var_Fin"=[1]OUT_TransportEnergyCons!$B$3:$B$1000)*1,ISNUMBER(SEARCH("gsl",[1]OUT_TransportEnergyCons!$C$3:$C$1000))*1,[1]OUT_TransportEnergyCons!N$3:N$1000)</f>
        <v>0.77525777772518756</v>
      </c>
      <c r="Q1514" s="1" cm="1">
        <f t="array" ref="Q1514">SUMPRODUCT(("T_TW-icegsl-S1"=[1]OUT_TransportEnergyCons!$A$3:$A$1000)*1,("Var_Fin"=[1]OUT_TransportEnergyCons!$B$3:$B$1000)*1,ISNUMBER(SEARCH("gsl",[1]OUT_TransportEnergyCons!$C$3:$C$1000))*1,[1]OUT_TransportEnergyCons!O$3:O$1000)</f>
        <v>0.74457798181729951</v>
      </c>
      <c r="S1514" s="3"/>
    </row>
    <row r="1515" spans="2:19" x14ac:dyDescent="0.5">
      <c r="B1515" t="str">
        <f t="shared" ref="B1515:B1518" si="1712">B1514</f>
        <v>SPS1</v>
      </c>
      <c r="C1515" t="str">
        <f t="shared" si="1699"/>
        <v>CH</v>
      </c>
      <c r="D1515" t="s">
        <v>1579</v>
      </c>
      <c r="E1515" t="str">
        <f t="shared" ref="E1515:E1517" si="1713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0.1104731432709303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0.16324301142823722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0.15209915479952935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0.10447381500214863</v>
      </c>
      <c r="J1515" s="1" cm="1">
        <f t="array" ref="J1515">SUMPRODUCT(("T_TW-icegsl-S2"=[1]OUT_TransportEnergyCons!$A$3:$A$1000)*1,("Var_Fin"=[1]OUT_TransportEnergyCons!$B$3:$B$1000)*1,ISNUMBER(SEARCH("gsl",[1]OUT_TransportEnergyCons!$C$3:$C$1000))*1,[1]OUT_TransportEnergyCons!H$3:H$1000)</f>
        <v>1.2025830510103357E-2</v>
      </c>
      <c r="K1515" s="1" cm="1">
        <f t="array" ref="K1515">SUMPRODUCT(("T_TW-icegsl-S2"=[1]OUT_TransportEnergyCons!$A$3:$A$1000)*1,("Var_Fin"=[1]OUT_TransportEnergyCons!$B$3:$B$1000)*1,ISNUMBER(SEARCH("gsl",[1]OUT_TransportEnergyCons!$C$3:$C$1000))*1,[1]OUT_TransportEnergyCons!I$3:I$1000)</f>
        <v>2.0920281545119849E-3</v>
      </c>
      <c r="L1515" s="1" cm="1">
        <f t="array" ref="L1515">SUMPRODUCT(("T_TW-icegsl-S2"=[1]OUT_TransportEnergyCons!$A$3:$A$1000)*1,("Var_Fin"=[1]OUT_TransportEnergyCons!$B$3:$B$1000)*1,ISNUMBER(SEARCH("gsl",[1]OUT_TransportEnergyCons!$C$3:$C$1000))*1,[1]OUT_TransportEnergyCons!J$3:J$1000)</f>
        <v>2.5011391410495339E-3</v>
      </c>
      <c r="M1515" s="1" cm="1">
        <f t="array" ref="M1515">SUMPRODUCT(("T_TW-icegsl-S2"=[1]OUT_TransportEnergyCons!$A$3:$A$1000)*1,("Var_Fin"=[1]OUT_TransportEnergyCons!$B$3:$B$1000)*1,ISNUMBER(SEARCH("gsl",[1]OUT_TransportEnergyCons!$C$3:$C$1000))*1,[1]OUT_TransportEnergyCons!K$3:K$1000)</f>
        <v>2.9162953333546379E-3</v>
      </c>
      <c r="N1515" s="1" cm="1">
        <f t="array" ref="N1515">SUMPRODUCT(("T_TW-icegsl-S2"=[1]OUT_TransportEnergyCons!$A$3:$A$1000)*1,("Var_Fin"=[1]OUT_TransportEnergyCons!$B$3:$B$1000)*1,ISNUMBER(SEARCH("gsl",[1]OUT_TransportEnergyCons!$C$3:$C$1000))*1,[1]OUT_TransportEnergyCons!L$3:L$1000)</f>
        <v>2.8830245642249034E-3</v>
      </c>
      <c r="O1515" s="1" cm="1">
        <f t="array" ref="O1515">SUMPRODUCT(("T_TW-icegsl-S2"=[1]OUT_TransportEnergyCons!$A$3:$A$1000)*1,("Var_Fin"=[1]OUT_TransportEnergyCons!$B$3:$B$1000)*1,ISNUMBER(SEARCH("gsl",[1]OUT_TransportEnergyCons!$C$3:$C$1000))*1,[1]OUT_TransportEnergyCons!M$3:M$1000)</f>
        <v>3.5841777825927961E-3</v>
      </c>
      <c r="P1515" s="1" cm="1">
        <f t="array" ref="P1515">SUMPRODUCT(("T_TW-icegsl-S2"=[1]OUT_TransportEnergyCons!$A$3:$A$1000)*1,("Var_Fin"=[1]OUT_TransportEnergyCons!$B$3:$B$1000)*1,ISNUMBER(SEARCH("gsl",[1]OUT_TransportEnergyCons!$C$3:$C$1000))*1,[1]OUT_TransportEnergyCons!N$3:N$1000)</f>
        <v>3.3849306380985449E-3</v>
      </c>
      <c r="Q1515" s="1" cm="1">
        <f t="array" ref="Q1515">SUMPRODUCT(("T_TW-icegsl-S2"=[1]OUT_TransportEnergyCons!$A$3:$A$1000)*1,("Var_Fin"=[1]OUT_TransportEnergyCons!$B$3:$B$1000)*1,ISNUMBER(SEARCH("gsl",[1]OUT_TransportEnergyCons!$C$3:$C$1000))*1,[1]OUT_TransportEnergyCons!O$3:O$1000)</f>
        <v>4.7753060412971012E-3</v>
      </c>
      <c r="S1515" s="3"/>
    </row>
    <row r="1516" spans="2:19" x14ac:dyDescent="0.5">
      <c r="B1516" t="str">
        <f t="shared" si="1712"/>
        <v>SPS1</v>
      </c>
      <c r="C1516" t="str">
        <f t="shared" si="1699"/>
        <v>CH</v>
      </c>
      <c r="D1516" t="s">
        <v>1580</v>
      </c>
      <c r="E1516" t="str">
        <f t="shared" si="1713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0.17221123143734271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0.19799076166521329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0.20164379052777742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0.1993552145414722</v>
      </c>
      <c r="J1516" s="1" cm="1">
        <f t="array" ref="J1516">SUMPRODUCT(("T_TW-icegsl-S3"=[1]OUT_TransportEnergyCons!$A$3:$A$1000)*1,("Var_Fin"=[1]OUT_TransportEnergyCons!$B$3:$B$1000)*1,ISNUMBER(SEARCH("gsl",[1]OUT_TransportEnergyCons!$C$3:$C$1000))*1,[1]OUT_TransportEnergyCons!H$3:H$1000)</f>
        <v>0.19237158869084667</v>
      </c>
      <c r="K1516" s="1" cm="1">
        <f t="array" ref="K1516">SUMPRODUCT(("T_TW-icegsl-S3"=[1]OUT_TransportEnergyCons!$A$3:$A$1000)*1,("Var_Fin"=[1]OUT_TransportEnergyCons!$B$3:$B$1000)*1,ISNUMBER(SEARCH("gsl",[1]OUT_TransportEnergyCons!$C$3:$C$1000))*1,[1]OUT_TransportEnergyCons!I$3:I$1000)</f>
        <v>5.7400605124776093E-2</v>
      </c>
      <c r="L1516" s="1" cm="1">
        <f t="array" ref="L1516">SUMPRODUCT(("T_TW-icegsl-S3"=[1]OUT_TransportEnergyCons!$A$3:$A$1000)*1,("Var_Fin"=[1]OUT_TransportEnergyCons!$B$3:$B$1000)*1,ISNUMBER(SEARCH("gsl",[1]OUT_TransportEnergyCons!$C$3:$C$1000))*1,[1]OUT_TransportEnergyCons!J$3:J$1000)</f>
        <v>2.3331633672139689E-3</v>
      </c>
      <c r="M1516" s="1" cm="1">
        <f t="array" ref="M1516">SUMPRODUCT(("T_TW-icegsl-S3"=[1]OUT_TransportEnergyCons!$A$3:$A$1000)*1,("Var_Fin"=[1]OUT_TransportEnergyCons!$B$3:$B$1000)*1,ISNUMBER(SEARCH("gsl",[1]OUT_TransportEnergyCons!$C$3:$C$1000))*1,[1]OUT_TransportEnergyCons!K$3:K$1000)</f>
        <v>2.7146308715023685E-3</v>
      </c>
      <c r="N1516" s="1" cm="1">
        <f t="array" ref="N1516">SUMPRODUCT(("T_TW-icegsl-S3"=[1]OUT_TransportEnergyCons!$A$3:$A$1000)*1,("Var_Fin"=[1]OUT_TransportEnergyCons!$B$3:$B$1000)*1,ISNUMBER(SEARCH("gsl",[1]OUT_TransportEnergyCons!$C$3:$C$1000))*1,[1]OUT_TransportEnergyCons!L$3:L$1000)</f>
        <v>2.8889667351130197E-3</v>
      </c>
      <c r="O1516" s="1" cm="1">
        <f t="array" ref="O1516">SUMPRODUCT(("T_TW-icegsl-S3"=[1]OUT_TransportEnergyCons!$A$3:$A$1000)*1,("Var_Fin"=[1]OUT_TransportEnergyCons!$B$3:$B$1000)*1,ISNUMBER(SEARCH("gsl",[1]OUT_TransportEnergyCons!$C$3:$C$1000))*1,[1]OUT_TransportEnergyCons!M$3:M$1000)</f>
        <v>3.1586954690448932E-3</v>
      </c>
      <c r="P1516" s="1" cm="1">
        <f t="array" ref="P1516">SUMPRODUCT(("T_TW-icegsl-S3"=[1]OUT_TransportEnergyCons!$A$3:$A$1000)*1,("Var_Fin"=[1]OUT_TransportEnergyCons!$B$3:$B$1000)*1,ISNUMBER(SEARCH("gsl",[1]OUT_TransportEnergyCons!$C$3:$C$1000))*1,[1]OUT_TransportEnergyCons!N$3:N$1000)</f>
        <v>3.4782365014065192E-3</v>
      </c>
      <c r="Q1516" s="1" cm="1">
        <f t="array" ref="Q1516">SUMPRODUCT(("T_TW-icegsl-S3"=[1]OUT_TransportEnergyCons!$A$3:$A$1000)*1,("Var_Fin"=[1]OUT_TransportEnergyCons!$B$3:$B$1000)*1,ISNUMBER(SEARCH("gsl",[1]OUT_TransportEnergyCons!$C$3:$C$1000))*1,[1]OUT_TransportEnergyCons!O$3:O$1000)</f>
        <v>4.1603535041210725E-3</v>
      </c>
      <c r="S1516" s="3"/>
    </row>
    <row r="1517" spans="2:19" x14ac:dyDescent="0.5">
      <c r="B1517" t="str">
        <f t="shared" si="1712"/>
        <v>SPS1</v>
      </c>
      <c r="C1517" t="str">
        <f t="shared" si="1699"/>
        <v>CH</v>
      </c>
      <c r="D1517" t="s">
        <v>1581</v>
      </c>
      <c r="E1517" t="str">
        <f t="shared" si="1713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0.11176443270757803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0.12663480957307535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0.12948117436149365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0.12772180653004861</v>
      </c>
      <c r="J1517" s="1" cm="1">
        <f t="array" ref="J1517">SUMPRODUCT(("T_TW-icegsl-S4"=[1]OUT_TransportEnergyCons!$A$3:$A$1000)*1,("Var_Fin"=[1]OUT_TransportEnergyCons!$B$3:$B$1000)*1,ISNUMBER(SEARCH("gsl",[1]OUT_TransportEnergyCons!$C$3:$C$1000))*1,[1]OUT_TransportEnergyCons!H$3:H$1000)</f>
        <v>0.12911869710485746</v>
      </c>
      <c r="K1517" s="1" cm="1">
        <f t="array" ref="K1517">SUMPRODUCT(("T_TW-icegsl-S4"=[1]OUT_TransportEnergyCons!$A$3:$A$1000)*1,("Var_Fin"=[1]OUT_TransportEnergyCons!$B$3:$B$1000)*1,ISNUMBER(SEARCH("gsl",[1]OUT_TransportEnergyCons!$C$3:$C$1000))*1,[1]OUT_TransportEnergyCons!I$3:I$1000)</f>
        <v>0.12437577963808717</v>
      </c>
      <c r="L1517" s="1" cm="1">
        <f t="array" ref="L1517">SUMPRODUCT(("T_TW-icegsl-S4"=[1]OUT_TransportEnergyCons!$A$3:$A$1000)*1,("Var_Fin"=[1]OUT_TransportEnergyCons!$B$3:$B$1000)*1,ISNUMBER(SEARCH("gsl",[1]OUT_TransportEnergyCons!$C$3:$C$1000))*1,[1]OUT_TransportEnergyCons!J$3:J$1000)</f>
        <v>2.9195960793515947E-2</v>
      </c>
      <c r="M1517" s="1" cm="1">
        <f t="array" ref="M1517">SUMPRODUCT(("T_TW-icegsl-S4"=[1]OUT_TransportEnergyCons!$A$3:$A$1000)*1,("Var_Fin"=[1]OUT_TransportEnergyCons!$B$3:$B$1000)*1,ISNUMBER(SEARCH("gsl",[1]OUT_TransportEnergyCons!$C$3:$C$1000))*1,[1]OUT_TransportEnergyCons!K$3:K$1000)</f>
        <v>1.8433071133256685E-3</v>
      </c>
      <c r="N1517" s="1" cm="1">
        <f t="array" ref="N1517">SUMPRODUCT(("T_TW-icegsl-S4"=[1]OUT_TransportEnergyCons!$A$3:$A$1000)*1,("Var_Fin"=[1]OUT_TransportEnergyCons!$B$3:$B$1000)*1,ISNUMBER(SEARCH("gsl",[1]OUT_TransportEnergyCons!$C$3:$C$1000))*1,[1]OUT_TransportEnergyCons!L$3:L$1000)</f>
        <v>1.9824908209270589E-3</v>
      </c>
      <c r="O1517" s="1" cm="1">
        <f t="array" ref="O1517">SUMPRODUCT(("T_TW-icegsl-S4"=[1]OUT_TransportEnergyCons!$A$3:$A$1000)*1,("Var_Fin"=[1]OUT_TransportEnergyCons!$B$3:$B$1000)*1,ISNUMBER(SEARCH("gsl",[1]OUT_TransportEnergyCons!$C$3:$C$1000))*1,[1]OUT_TransportEnergyCons!M$3:M$1000)</f>
        <v>2.2223356301453519E-3</v>
      </c>
      <c r="P1517" s="1" cm="1">
        <f t="array" ref="P1517">SUMPRODUCT(("T_TW-icegsl-S4"=[1]OUT_TransportEnergyCons!$A$3:$A$1000)*1,("Var_Fin"=[1]OUT_TransportEnergyCons!$B$3:$B$1000)*1,ISNUMBER(SEARCH("gsl",[1]OUT_TransportEnergyCons!$C$3:$C$1000))*1,[1]OUT_TransportEnergyCons!N$3:N$1000)</f>
        <v>2.3647413955264446E-3</v>
      </c>
      <c r="Q1517" s="1" cm="1">
        <f t="array" ref="Q1517">SUMPRODUCT(("T_TW-icegsl-S4"=[1]OUT_TransportEnergyCons!$A$3:$A$1000)*1,("Var_Fin"=[1]OUT_TransportEnergyCons!$B$3:$B$1000)*1,ISNUMBER(SEARCH("gsl",[1]OUT_TransportEnergyCons!$C$3:$C$1000))*1,[1]OUT_TransportEnergyCons!O$3:O$1000)</f>
        <v>2.8755205418522136E-3</v>
      </c>
      <c r="S1517" s="3"/>
    </row>
    <row r="1518" spans="2:19" x14ac:dyDescent="0.5">
      <c r="B1518" s="9" t="str">
        <f t="shared" si="1712"/>
        <v>SPS1</v>
      </c>
      <c r="C1518" s="9" t="str">
        <f t="shared" si="1699"/>
        <v>CH</v>
      </c>
      <c r="D1518" s="2" t="s">
        <v>1503</v>
      </c>
      <c r="E1518" s="2" t="s">
        <v>1517</v>
      </c>
      <c r="F1518" s="3">
        <f>SUM(F1519:F1531)</f>
        <v>1.9491881547410257</v>
      </c>
      <c r="G1518" s="3">
        <f t="shared" ref="G1518:K1518" si="1714">SUM(G1519:G1531)</f>
        <v>1.951488807280954</v>
      </c>
      <c r="H1518" s="3">
        <f t="shared" si="1714"/>
        <v>1.9548601467349962</v>
      </c>
      <c r="I1518" s="3">
        <f t="shared" si="1714"/>
        <v>1.9604607933844245</v>
      </c>
      <c r="J1518" s="3">
        <f t="shared" si="1714"/>
        <v>1.9636503403779675</v>
      </c>
      <c r="K1518" s="3">
        <f t="shared" si="1714"/>
        <v>1.9679417409142592</v>
      </c>
      <c r="L1518" s="3">
        <f t="shared" ref="L1518:O1518" si="1715">SUM(L1519:L1531)</f>
        <v>1.9437397572855284</v>
      </c>
      <c r="M1518" s="3">
        <f t="shared" si="1715"/>
        <v>1.9195566913211775</v>
      </c>
      <c r="N1518" s="3">
        <f t="shared" si="1715"/>
        <v>1.8780143051587674</v>
      </c>
      <c r="O1518" s="3">
        <f t="shared" si="1715"/>
        <v>1.8361084970509471</v>
      </c>
      <c r="P1518" s="3">
        <f>SUM(P1519:P1531)</f>
        <v>1.8018943731196857</v>
      </c>
      <c r="Q1518" s="3">
        <f>SUM(Q1519:Q1531)</f>
        <v>1.7688966365630301</v>
      </c>
      <c r="S1518" s="3"/>
    </row>
    <row r="1519" spans="2:19" x14ac:dyDescent="0.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1.7684653278865113E-2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2.5773104745070864E-2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2.6247985820298234E-2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1.9313150652816826E-2</v>
      </c>
      <c r="J1519" s="1" cm="1">
        <f t="array" ref="J1519">SUMPRODUCT(("T_TW-BEVELC-S1"=[1]OUT_TransportEnergyCons!$A$3:$A$1000)*1,("var_fout"=[1]OUT_TransportEnergyCons!$B$3:$B$1000)*1,ISNUMBER(SEARCH("TPTWL",[1]OUT_TransportEnergyCons!$C$3:$C$1000))*1,[1]OUT_TransportEnergyCons!H$3:H$1000)</f>
        <v>7.7597774211431705E-3</v>
      </c>
      <c r="K1519" s="1" cm="1">
        <f t="array" ref="K1519">SUMPRODUCT(("T_TW-BEVELC-S1"=[1]OUT_TransportEnergyCons!$A$3:$A$1000)*1,("var_fout"=[1]OUT_TransportEnergyCons!$B$3:$B$1000)*1,ISNUMBER(SEARCH("TPTWL",[1]OUT_TransportEnergyCons!$C$3:$C$1000))*1,[1]OUT_TransportEnergyCons!I$3:I$1000)</f>
        <v>1.0412067814275805E-2</v>
      </c>
      <c r="L1519" s="1" cm="1">
        <f t="array" ref="L1519">SUMPRODUCT(("T_TW-BEVELC-S1"=[1]OUT_TransportEnergyCons!$A$3:$A$1000)*1,("var_fout"=[1]OUT_TransportEnergyCons!$B$3:$B$1000)*1,ISNUMBER(SEARCH("TPTWL",[1]OUT_TransportEnergyCons!$C$3:$C$1000))*1,[1]OUT_TransportEnergyCons!J$3:J$1000)</f>
        <v>1.6535471141382332E-2</v>
      </c>
      <c r="M1519" s="1" cm="1">
        <f t="array" ref="M1519">SUMPRODUCT(("T_TW-BEVELC-S1"=[1]OUT_TransportEnergyCons!$A$3:$A$1000)*1,("var_fout"=[1]OUT_TransportEnergyCons!$B$3:$B$1000)*1,ISNUMBER(SEARCH("TPTWL",[1]OUT_TransportEnergyCons!$C$3:$C$1000))*1,[1]OUT_TransportEnergyCons!K$3:K$1000)</f>
        <v>3.191773911872034E-2</v>
      </c>
      <c r="N1519" s="1" cm="1">
        <f t="array" ref="N1519">SUMPRODUCT(("T_TW-BEVELC-S1"=[1]OUT_TransportEnergyCons!$A$3:$A$1000)*1,("var_fout"=[1]OUT_TransportEnergyCons!$B$3:$B$1000)*1,ISNUMBER(SEARCH("TPTWL",[1]OUT_TransportEnergyCons!$C$3:$C$1000))*1,[1]OUT_TransportEnergyCons!L$3:L$1000)</f>
        <v>5.5526535792772821E-2</v>
      </c>
      <c r="O1519" s="1" cm="1">
        <f t="array" ref="O1519">SUMPRODUCT(("T_TW-BEVELC-S1"=[1]OUT_TransportEnergyCons!$A$3:$A$1000)*1,("var_fout"=[1]OUT_TransportEnergyCons!$B$3:$B$1000)*1,ISNUMBER(SEARCH("TPTWL",[1]OUT_TransportEnergyCons!$C$3:$C$1000))*1,[1]OUT_TransportEnergyCons!M$3:M$1000)</f>
        <v>7.139864939972973E-2</v>
      </c>
      <c r="P1519" s="1" cm="1">
        <f t="array" ref="P1519">SUMPRODUCT(("T_TW-BEVELC-S1"=[1]OUT_TransportEnergyCons!$A$3:$A$1000)*1,("var_fout"=[1]OUT_TransportEnergyCons!$B$3:$B$1000)*1,ISNUMBER(SEARCH("TPTWL",[1]OUT_TransportEnergyCons!$C$3:$C$1000))*1,[1]OUT_TransportEnergyCons!N$3:N$1000)</f>
        <v>6.5622590997021987E-2</v>
      </c>
      <c r="Q1519" s="1" cm="1">
        <f t="array" ref="Q1519">SUMPRODUCT(("T_TW-BEVELC-S1"=[1]OUT_TransportEnergyCons!$A$3:$A$1000)*1,("var_fout"=[1]OUT_TransportEnergyCons!$B$3:$B$1000)*1,ISNUMBER(SEARCH("TPTWL",[1]OUT_TransportEnergyCons!$C$3:$C$1000))*1,[1]OUT_TransportEnergyCons!O$3:O$1000)</f>
        <v>8.7544715470001977E-2</v>
      </c>
      <c r="S1519" s="3"/>
    </row>
    <row r="1520" spans="2:19" x14ac:dyDescent="0.5">
      <c r="B1520" t="str">
        <f t="shared" ref="B1520:B1545" si="1716">B1519</f>
        <v>SPS1</v>
      </c>
      <c r="C1520" t="str">
        <f t="shared" ref="C1520:C1545" si="1717">C1519</f>
        <v>CH</v>
      </c>
      <c r="D1520" t="s">
        <v>1505</v>
      </c>
      <c r="E1520" t="str">
        <f t="shared" ref="E1520:E1531" si="1718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2.2660924421810352E-3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3.4269446712730184E-3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3.7896517930653037E-3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3.7978311013599098E-3</v>
      </c>
      <c r="J1520" s="1" cm="1">
        <f t="array" ref="J1520">SUMPRODUCT(("T_TW-BEVELC-S2"=[1]OUT_TransportEnergyCons!$A$3:$A$1000)*1,("var_fout"=[1]OUT_TransportEnergyCons!$B$3:$B$1000)*1,ISNUMBER(SEARCH("TPTWL",[1]OUT_TransportEnergyCons!$C$3:$C$1000))*1,[1]OUT_TransportEnergyCons!H$3:H$1000)</f>
        <v>2.6413019658892644E-3</v>
      </c>
      <c r="K1520" s="1" cm="1">
        <f t="array" ref="K1520">SUMPRODUCT(("T_TW-BEVELC-S2"=[1]OUT_TransportEnergyCons!$A$3:$A$1000)*1,("var_fout"=[1]OUT_TransportEnergyCons!$B$3:$B$1000)*1,ISNUMBER(SEARCH("TPTWL",[1]OUT_TransportEnergyCons!$C$3:$C$1000))*1,[1]OUT_TransportEnergyCons!I$3:I$1000)</f>
        <v>2.8727822523048042E-3</v>
      </c>
      <c r="L1520" s="1" cm="1">
        <f t="array" ref="L1520">SUMPRODUCT(("T_TW-BEVELC-S2"=[1]OUT_TransportEnergyCons!$A$3:$A$1000)*1,("var_fout"=[1]OUT_TransportEnergyCons!$B$3:$B$1000)*1,ISNUMBER(SEARCH("TPTWL",[1]OUT_TransportEnergyCons!$C$3:$C$1000))*1,[1]OUT_TransportEnergyCons!J$3:J$1000)</f>
        <v>3.9971019803290214E-3</v>
      </c>
      <c r="M1520" s="1" cm="1">
        <f t="array" ref="M1520">SUMPRODUCT(("T_TW-BEVELC-S2"=[1]OUT_TransportEnergyCons!$A$3:$A$1000)*1,("var_fout"=[1]OUT_TransportEnergyCons!$B$3:$B$1000)*1,ISNUMBER(SEARCH("TPTWL",[1]OUT_TransportEnergyCons!$C$3:$C$1000))*1,[1]OUT_TransportEnergyCons!K$3:K$1000)</f>
        <v>5.4809650519329327E-3</v>
      </c>
      <c r="N1520" s="1" cm="1">
        <f t="array" ref="N1520">SUMPRODUCT(("T_TW-BEVELC-S2"=[1]OUT_TransportEnergyCons!$A$3:$A$1000)*1,("var_fout"=[1]OUT_TransportEnergyCons!$B$3:$B$1000)*1,ISNUMBER(SEARCH("TPTWL",[1]OUT_TransportEnergyCons!$C$3:$C$1000))*1,[1]OUT_TransportEnergyCons!L$3:L$1000)</f>
        <v>6.5315213637990553E-3</v>
      </c>
      <c r="O1520" s="1" cm="1">
        <f t="array" ref="O1520">SUMPRODUCT(("T_TW-BEVELC-S2"=[1]OUT_TransportEnergyCons!$A$3:$A$1000)*1,("var_fout"=[1]OUT_TransportEnergyCons!$B$3:$B$1000)*1,ISNUMBER(SEARCH("TPTWL",[1]OUT_TransportEnergyCons!$C$3:$C$1000))*1,[1]OUT_TransportEnergyCons!M$3:M$1000)</f>
        <v>8.4004864853650454E-3</v>
      </c>
      <c r="P1520" s="1" cm="1">
        <f t="array" ref="P1520">SUMPRODUCT(("T_TW-BEVELC-S2"=[1]OUT_TransportEnergyCons!$A$3:$A$1000)*1,("var_fout"=[1]OUT_TransportEnergyCons!$B$3:$B$1000)*1,ISNUMBER(SEARCH("TPTWL",[1]OUT_TransportEnergyCons!$C$3:$C$1000))*1,[1]OUT_TransportEnergyCons!N$3:N$1000)</f>
        <v>7.8625830124942099E-3</v>
      </c>
      <c r="Q1520" s="1" cm="1">
        <f t="array" ref="Q1520">SUMPRODUCT(("T_TW-BEVELC-S2"=[1]OUT_TransportEnergyCons!$A$3:$A$1000)*1,("var_fout"=[1]OUT_TransportEnergyCons!$B$3:$B$1000)*1,ISNUMBER(SEARCH("TPTWL",[1]OUT_TransportEnergyCons!$C$3:$C$1000))*1,[1]OUT_TransportEnergyCons!O$3:O$1000)</f>
        <v>1.0896963320096112E-2</v>
      </c>
      <c r="S1520" s="3"/>
    </row>
    <row r="1521" spans="2:19" x14ac:dyDescent="0.5">
      <c r="B1521" t="str">
        <f t="shared" si="1716"/>
        <v>SPS1</v>
      </c>
      <c r="C1521" t="str">
        <f t="shared" si="1717"/>
        <v>CH</v>
      </c>
      <c r="D1521" t="s">
        <v>1506</v>
      </c>
      <c r="E1521" t="str">
        <f t="shared" si="1718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6.0297535266550114E-4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1.1924155680212174E-3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1.6082822463478685E-3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1.9110377526630963E-3</v>
      </c>
      <c r="J1521" s="1" cm="1">
        <f t="array" ref="J1521">SUMPRODUCT(("T_TW-BEVELC-S3"=[1]OUT_TransportEnergyCons!$A$3:$A$1000)*1,("var_fout"=[1]OUT_TransportEnergyCons!$B$3:$B$1000)*1,ISNUMBER(SEARCH("TPTWL",[1]OUT_TransportEnergyCons!$C$3:$C$1000))*1,[1]OUT_TransportEnergyCons!H$3:H$1000)</f>
        <v>2.6519512972915807E-3</v>
      </c>
      <c r="K1521" s="1" cm="1">
        <f t="array" ref="K1521">SUMPRODUCT(("T_TW-BEVELC-S3"=[1]OUT_TransportEnergyCons!$A$3:$A$1000)*1,("var_fout"=[1]OUT_TransportEnergyCons!$B$3:$B$1000)*1,ISNUMBER(SEARCH("TPTWL",[1]OUT_TransportEnergyCons!$C$3:$C$1000))*1,[1]OUT_TransportEnergyCons!I$3:I$1000)</f>
        <v>2.8830412850293936E-3</v>
      </c>
      <c r="L1521" s="1" cm="1">
        <f t="array" ref="L1521">SUMPRODUCT(("T_TW-BEVELC-S3"=[1]OUT_TransportEnergyCons!$A$3:$A$1000)*1,("var_fout"=[1]OUT_TransportEnergyCons!$B$3:$B$1000)*1,ISNUMBER(SEARCH("TPTWL",[1]OUT_TransportEnergyCons!$C$3:$C$1000))*1,[1]OUT_TransportEnergyCons!J$3:J$1000)</f>
        <v>2.7892195637679684E-3</v>
      </c>
      <c r="M1521" s="1" cm="1">
        <f t="array" ref="M1521">SUMPRODUCT(("T_TW-BEVELC-S3"=[1]OUT_TransportEnergyCons!$A$3:$A$1000)*1,("var_fout"=[1]OUT_TransportEnergyCons!$B$3:$B$1000)*1,ISNUMBER(SEARCH("TPTWL",[1]OUT_TransportEnergyCons!$C$3:$C$1000))*1,[1]OUT_TransportEnergyCons!K$3:K$1000)</f>
        <v>3.6968580947708612E-3</v>
      </c>
      <c r="N1521" s="1" cm="1">
        <f t="array" ref="N1521">SUMPRODUCT(("T_TW-BEVELC-S3"=[1]OUT_TransportEnergyCons!$A$3:$A$1000)*1,("var_fout"=[1]OUT_TransportEnergyCons!$B$3:$B$1000)*1,ISNUMBER(SEARCH("TPTWL",[1]OUT_TransportEnergyCons!$C$3:$C$1000))*1,[1]OUT_TransportEnergyCons!L$3:L$1000)</f>
        <v>4.4087757073831583E-3</v>
      </c>
      <c r="O1521" s="1" cm="1">
        <f t="array" ref="O1521">SUMPRODUCT(("T_TW-BEVELC-S3"=[1]OUT_TransportEnergyCons!$A$3:$A$1000)*1,("var_fout"=[1]OUT_TransportEnergyCons!$B$3:$B$1000)*1,ISNUMBER(SEARCH("TPTWL",[1]OUT_TransportEnergyCons!$C$3:$C$1000))*1,[1]OUT_TransportEnergyCons!M$3:M$1000)</f>
        <v>5.1322615966519543E-3</v>
      </c>
      <c r="P1521" s="1" cm="1">
        <f t="array" ref="P1521">SUMPRODUCT(("T_TW-BEVELC-S3"=[1]OUT_TransportEnergyCons!$A$3:$A$1000)*1,("var_fout"=[1]OUT_TransportEnergyCons!$B$3:$B$1000)*1,ISNUMBER(SEARCH("TPTWL",[1]OUT_TransportEnergyCons!$C$3:$C$1000))*1,[1]OUT_TransportEnergyCons!N$3:N$1000)</f>
        <v>5.8567881276977143E-3</v>
      </c>
      <c r="Q1521" s="1" cm="1">
        <f t="array" ref="Q1521">SUMPRODUCT(("T_TW-BEVELC-S3"=[1]OUT_TransportEnergyCons!$A$3:$A$1000)*1,("var_fout"=[1]OUT_TransportEnergyCons!$B$3:$B$1000)*1,ISNUMBER(SEARCH("TPTWL",[1]OUT_TransportEnergyCons!$C$3:$C$1000))*1,[1]OUT_TransportEnergyCons!O$3:O$1000)</f>
        <v>6.9325507232230917E-3</v>
      </c>
      <c r="S1521" s="3"/>
    </row>
    <row r="1522" spans="2:19" x14ac:dyDescent="0.5">
      <c r="B1522" t="str">
        <f t="shared" si="1716"/>
        <v>SPS1</v>
      </c>
      <c r="C1522" t="str">
        <f t="shared" si="1717"/>
        <v>CH</v>
      </c>
      <c r="D1522" t="s">
        <v>1507</v>
      </c>
      <c r="E1522" t="str">
        <f t="shared" si="1718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4.2816354845330649E-4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8.0888137455067206E-4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1.0849837751145217E-3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1.317495117754862E-3</v>
      </c>
      <c r="J1522" s="1" cm="1">
        <f t="array" ref="J1522">SUMPRODUCT(("T_TW-BEVELC-S4"=[1]OUT_TransportEnergyCons!$A$3:$A$1000)*1,("var_fout"=[1]OUT_TransportEnergyCons!$B$3:$B$1000)*1,ISNUMBER(SEARCH("TPTWL",[1]OUT_TransportEnergyCons!$C$3:$C$1000))*1,[1]OUT_TransportEnergyCons!H$3:H$1000)</f>
        <v>1.7480057397475891E-3</v>
      </c>
      <c r="K1522" s="1" cm="1">
        <f t="array" ref="K1522">SUMPRODUCT(("T_TW-BEVELC-S4"=[1]OUT_TransportEnergyCons!$A$3:$A$1000)*1,("var_fout"=[1]OUT_TransportEnergyCons!$B$3:$B$1000)*1,ISNUMBER(SEARCH("TPTWL",[1]OUT_TransportEnergyCons!$C$3:$C$1000))*1,[1]OUT_TransportEnergyCons!I$3:I$1000)</f>
        <v>2.2722765636383076E-3</v>
      </c>
      <c r="L1522" s="1" cm="1">
        <f t="array" ref="L1522">SUMPRODUCT(("T_TW-BEVELC-S4"=[1]OUT_TransportEnergyCons!$A$3:$A$1000)*1,("var_fout"=[1]OUT_TransportEnergyCons!$B$3:$B$1000)*1,ISNUMBER(SEARCH("TPTWL",[1]OUT_TransportEnergyCons!$C$3:$C$1000))*1,[1]OUT_TransportEnergyCons!J$3:J$1000)</f>
        <v>2.5048580459842854E-3</v>
      </c>
      <c r="M1522" s="1" cm="1">
        <f t="array" ref="M1522">SUMPRODUCT(("T_TW-BEVELC-S4"=[1]OUT_TransportEnergyCons!$A$3:$A$1000)*1,("var_fout"=[1]OUT_TransportEnergyCons!$B$3:$B$1000)*1,ISNUMBER(SEARCH("TPTWL",[1]OUT_TransportEnergyCons!$C$3:$C$1000))*1,[1]OUT_TransportEnergyCons!K$3:K$1000)</f>
        <v>2.7875245389404691E-3</v>
      </c>
      <c r="N1522" s="1" cm="1">
        <f t="array" ref="N1522">SUMPRODUCT(("T_TW-BEVELC-S4"=[1]OUT_TransportEnergyCons!$A$3:$A$1000)*1,("var_fout"=[1]OUT_TransportEnergyCons!$B$3:$B$1000)*1,ISNUMBER(SEARCH("TPTWL",[1]OUT_TransportEnergyCons!$C$3:$C$1000))*1,[1]OUT_TransportEnergyCons!L$3:L$1000)</f>
        <v>3.3369373794346949E-3</v>
      </c>
      <c r="O1522" s="1" cm="1">
        <f t="array" ref="O1522">SUMPRODUCT(("T_TW-BEVELC-S4"=[1]OUT_TransportEnergyCons!$A$3:$A$1000)*1,("var_fout"=[1]OUT_TransportEnergyCons!$B$3:$B$1000)*1,ISNUMBER(SEARCH("TPTWL",[1]OUT_TransportEnergyCons!$C$3:$C$1000))*1,[1]OUT_TransportEnergyCons!M$3:M$1000)</f>
        <v>3.8957382136294333E-3</v>
      </c>
      <c r="P1522" s="1" cm="1">
        <f t="array" ref="P1522">SUMPRODUCT(("T_TW-BEVELC-S4"=[1]OUT_TransportEnergyCons!$A$3:$A$1000)*1,("var_fout"=[1]OUT_TransportEnergyCons!$B$3:$B$1000)*1,ISNUMBER(SEARCH("TPTWL",[1]OUT_TransportEnergyCons!$C$3:$C$1000))*1,[1]OUT_TransportEnergyCons!N$3:N$1000)</f>
        <v>4.2884781684166913E-3</v>
      </c>
      <c r="Q1522" s="1" cm="1">
        <f t="array" ref="Q1522">SUMPRODUCT(("T_TW-BEVELC-S4"=[1]OUT_TransportEnergyCons!$A$3:$A$1000)*1,("var_fout"=[1]OUT_TransportEnergyCons!$B$3:$B$1000)*1,ISNUMBER(SEARCH("TPTWL",[1]OUT_TransportEnergyCons!$C$3:$C$1000))*1,[1]OUT_TransportEnergyCons!O$3:O$1000)</f>
        <v>5.1761679664202986E-3</v>
      </c>
      <c r="S1522" s="3"/>
    </row>
    <row r="1523" spans="2:19" x14ac:dyDescent="0.5">
      <c r="B1523" t="str">
        <f t="shared" si="1716"/>
        <v>SPS1</v>
      </c>
      <c r="C1523" t="str">
        <f t="shared" si="1717"/>
        <v>CH</v>
      </c>
      <c r="D1523" t="s">
        <v>1508</v>
      </c>
      <c r="E1523" t="str">
        <f t="shared" si="1718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4.3688390141222232E-4</v>
      </c>
      <c r="J1523" s="1" cm="1">
        <f t="array" ref="J1523">SUMPRODUCT(("T_TW-fclh2o-S1"=[1]OUT_TransportEnergyCons!$A$3:$A$1000)*1,("var_fout"=[1]OUT_TransportEnergyCons!$B$3:$B$1000)*1,ISNUMBER(SEARCH("TPTWL",[1]OUT_TransportEnergyCons!$C$3:$C$1000))*1,[1]OUT_TransportEnergyCons!H$3:H$1000)</f>
        <v>1.1407913031386146E-3</v>
      </c>
      <c r="K1523" s="1" cm="1">
        <f t="array" ref="K1523">SUMPRODUCT(("T_TW-fclh2o-S1"=[1]OUT_TransportEnergyCons!$A$3:$A$1000)*1,("var_fout"=[1]OUT_TransportEnergyCons!$B$3:$B$1000)*1,ISNUMBER(SEARCH("TPTWL",[1]OUT_TransportEnergyCons!$C$3:$C$1000))*1,[1]OUT_TransportEnergyCons!I$3:I$1000)</f>
        <v>1.6424884703981869E-3</v>
      </c>
      <c r="L1523" s="1" cm="1">
        <f t="array" ref="L1523">SUMPRODUCT(("T_TW-fclh2o-S1"=[1]OUT_TransportEnergyCons!$A$3:$A$1000)*1,("var_fout"=[1]OUT_TransportEnergyCons!$B$3:$B$1000)*1,ISNUMBER(SEARCH("TPTWL",[1]OUT_TransportEnergyCons!$C$3:$C$1000))*1,[1]OUT_TransportEnergyCons!J$3:J$1000)</f>
        <v>2.4670705880837063E-3</v>
      </c>
      <c r="M1523" s="1" cm="1">
        <f t="array" ref="M1523">SUMPRODUCT(("T_TW-fclh2o-S1"=[1]OUT_TransportEnergyCons!$A$3:$A$1000)*1,("var_fout"=[1]OUT_TransportEnergyCons!$B$3:$B$1000)*1,ISNUMBER(SEARCH("TPTWL",[1]OUT_TransportEnergyCons!$C$3:$C$1000))*1,[1]OUT_TransportEnergyCons!K$3:K$1000)</f>
        <v>3.902870504079752E-3</v>
      </c>
      <c r="N1523" s="1" cm="1">
        <f t="array" ref="N1523">SUMPRODUCT(("T_TW-fclh2o-S1"=[1]OUT_TransportEnergyCons!$A$3:$A$1000)*1,("var_fout"=[1]OUT_TransportEnergyCons!$B$3:$B$1000)*1,ISNUMBER(SEARCH("TPTWL",[1]OUT_TransportEnergyCons!$C$3:$C$1000))*1,[1]OUT_TransportEnergyCons!L$3:L$1000)</f>
        <v>5.560011370289576E-3</v>
      </c>
      <c r="O1523" s="1" cm="1">
        <f t="array" ref="O1523">SUMPRODUCT(("T_TW-fclh2o-S1"=[1]OUT_TransportEnergyCons!$A$3:$A$1000)*1,("var_fout"=[1]OUT_TransportEnergyCons!$B$3:$B$1000)*1,ISNUMBER(SEARCH("TPTWL",[1]OUT_TransportEnergyCons!$C$3:$C$1000))*1,[1]OUT_TransportEnergyCons!M$3:M$1000)</f>
        <v>6.9084846692301161E-3</v>
      </c>
      <c r="P1523" s="1" cm="1">
        <f t="array" ref="P1523">SUMPRODUCT(("T_TW-fclh2o-S1"=[1]OUT_TransportEnergyCons!$A$3:$A$1000)*1,("var_fout"=[1]OUT_TransportEnergyCons!$B$3:$B$1000)*1,ISNUMBER(SEARCH("TPTWL",[1]OUT_TransportEnergyCons!$C$3:$C$1000))*1,[1]OUT_TransportEnergyCons!N$3:N$1000)</f>
        <v>6.6705210949630405E-3</v>
      </c>
      <c r="Q1523" s="1" cm="1">
        <f t="array" ref="Q1523">SUMPRODUCT(("T_TW-fclh2o-S1"=[1]OUT_TransportEnergyCons!$A$3:$A$1000)*1,("var_fout"=[1]OUT_TransportEnergyCons!$B$3:$B$1000)*1,ISNUMBER(SEARCH("TPTWL",[1]OUT_TransportEnergyCons!$C$3:$C$1000))*1,[1]OUT_TransportEnergyCons!O$3:O$1000)</f>
        <v>9.2820440349819285E-3</v>
      </c>
      <c r="S1523" s="3"/>
    </row>
    <row r="1524" spans="2:19" x14ac:dyDescent="0.5">
      <c r="B1524" t="str">
        <f t="shared" si="1716"/>
        <v>SPS1</v>
      </c>
      <c r="C1524" t="str">
        <f t="shared" si="1717"/>
        <v>CH</v>
      </c>
      <c r="D1524" t="s">
        <v>1509</v>
      </c>
      <c r="E1524" t="str">
        <f t="shared" si="1718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2.2869861505810715E-4</v>
      </c>
      <c r="J1524" s="1" cm="1">
        <f t="array" ref="J1524">SUMPRODUCT(("T_TW-fclh2o-S2"=[1]OUT_TransportEnergyCons!$A$3:$A$1000)*1,("var_fout"=[1]OUT_TransportEnergyCons!$B$3:$B$1000)*1,ISNUMBER(SEARCH("TPTWL",[1]OUT_TransportEnergyCons!$C$3:$C$1000))*1,[1]OUT_TransportEnergyCons!H$3:H$1000)</f>
        <v>5.5696245336309266E-4</v>
      </c>
      <c r="K1524" s="1" cm="1">
        <f t="array" ref="K1524">SUMPRODUCT(("T_TW-fclh2o-S2"=[1]OUT_TransportEnergyCons!$A$3:$A$1000)*1,("var_fout"=[1]OUT_TransportEnergyCons!$B$3:$B$1000)*1,ISNUMBER(SEARCH("TPTWL",[1]OUT_TransportEnergyCons!$C$3:$C$1000))*1,[1]OUT_TransportEnergyCons!I$3:I$1000)</f>
        <v>8.6186274733667933E-4</v>
      </c>
      <c r="L1524" s="1" cm="1">
        <f t="array" ref="L1524">SUMPRODUCT(("T_TW-fclh2o-S2"=[1]OUT_TransportEnergyCons!$A$3:$A$1000)*1,("var_fout"=[1]OUT_TransportEnergyCons!$B$3:$B$1000)*1,ISNUMBER(SEARCH("TPTWL",[1]OUT_TransportEnergyCons!$C$3:$C$1000))*1,[1]OUT_TransportEnergyCons!J$3:J$1000)</f>
        <v>1.1860727481090413E-3</v>
      </c>
      <c r="M1524" s="1" cm="1">
        <f t="array" ref="M1524">SUMPRODUCT(("T_TW-fclh2o-S2"=[1]OUT_TransportEnergyCons!$A$3:$A$1000)*1,("var_fout"=[1]OUT_TransportEnergyCons!$B$3:$B$1000)*1,ISNUMBER(SEARCH("TPTWL",[1]OUT_TransportEnergyCons!$C$3:$C$1000))*1,[1]OUT_TransportEnergyCons!K$3:K$1000)</f>
        <v>1.6799708313769872E-3</v>
      </c>
      <c r="N1524" s="1" cm="1">
        <f t="array" ref="N1524">SUMPRODUCT(("T_TW-fclh2o-S2"=[1]OUT_TransportEnergyCons!$A$3:$A$1000)*1,("var_fout"=[1]OUT_TransportEnergyCons!$B$3:$B$1000)*1,ISNUMBER(SEARCH("TPTWL",[1]OUT_TransportEnergyCons!$C$3:$C$1000))*1,[1]OUT_TransportEnergyCons!L$3:L$1000)</f>
        <v>1.9930577802767953E-3</v>
      </c>
      <c r="O1524" s="1" cm="1">
        <f t="array" ref="O1524">SUMPRODUCT(("T_TW-fclh2o-S2"=[1]OUT_TransportEnergyCons!$A$3:$A$1000)*1,("var_fout"=[1]OUT_TransportEnergyCons!$B$3:$B$1000)*1,ISNUMBER(SEARCH("TPTWL",[1]OUT_TransportEnergyCons!$C$3:$C$1000))*1,[1]OUT_TransportEnergyCons!M$3:M$1000)</f>
        <v>2.6523972678958578E-3</v>
      </c>
      <c r="P1524" s="1" cm="1">
        <f t="array" ref="P1524">SUMPRODUCT(("T_TW-fclh2o-S2"=[1]OUT_TransportEnergyCons!$A$3:$A$1000)*1,("var_fout"=[1]OUT_TransportEnergyCons!$B$3:$B$1000)*1,ISNUMBER(SEARCH("TPTWL",[1]OUT_TransportEnergyCons!$C$3:$C$1000))*1,[1]OUT_TransportEnergyCons!N$3:N$1000)</f>
        <v>2.5723990070654359E-3</v>
      </c>
      <c r="Q1524" s="1" cm="1">
        <f t="array" ref="Q1524">SUMPRODUCT(("T_TW-fclh2o-S2"=[1]OUT_TransportEnergyCons!$A$3:$A$1000)*1,("var_fout"=[1]OUT_TransportEnergyCons!$B$3:$B$1000)*1,ISNUMBER(SEARCH("TPTWL",[1]OUT_TransportEnergyCons!$C$3:$C$1000))*1,[1]OUT_TransportEnergyCons!O$3:O$1000)</f>
        <v>3.6470442643279206E-3</v>
      </c>
      <c r="S1524" s="3"/>
    </row>
    <row r="1525" spans="2:19" x14ac:dyDescent="0.5">
      <c r="B1525" t="str">
        <f t="shared" si="1716"/>
        <v>SPS1</v>
      </c>
      <c r="C1525" t="str">
        <f t="shared" si="1717"/>
        <v>CH</v>
      </c>
      <c r="D1525" t="s">
        <v>1510</v>
      </c>
      <c r="E1525" t="str">
        <f t="shared" si="1718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1.3857654751511298E-4</v>
      </c>
      <c r="J1525" s="1" cm="1">
        <f t="array" ref="J1525">SUMPRODUCT(("T_TW-fclh2o-S3"=[1]OUT_TransportEnergyCons!$A$3:$A$1000)*1,("var_fout"=[1]OUT_TransportEnergyCons!$B$3:$B$1000)*1,ISNUMBER(SEARCH("TPTWL",[1]OUT_TransportEnergyCons!$C$3:$C$1000))*1,[1]OUT_TransportEnergyCons!H$3:H$1000)</f>
        <v>3.8258495400834893E-4</v>
      </c>
      <c r="K1525" s="1" cm="1">
        <f t="array" ref="K1525">SUMPRODUCT(("T_TW-fclh2o-S3"=[1]OUT_TransportEnergyCons!$A$3:$A$1000)*1,("var_fout"=[1]OUT_TransportEnergyCons!$B$3:$B$1000)*1,ISNUMBER(SEARCH("TPTWL",[1]OUT_TransportEnergyCons!$C$3:$C$1000))*1,[1]OUT_TransportEnergyCons!I$3:I$1000)</f>
        <v>6.1367715170529131E-4</v>
      </c>
      <c r="L1525" s="1" cm="1">
        <f t="array" ref="L1525">SUMPRODUCT(("T_TW-fclh2o-S3"=[1]OUT_TransportEnergyCons!$A$3:$A$1000)*1,("var_fout"=[1]OUT_TransportEnergyCons!$B$3:$B$1000)*1,ISNUMBER(SEARCH("TPTWL",[1]OUT_TransportEnergyCons!$C$3:$C$1000))*1,[1]OUT_TransportEnergyCons!J$3:J$1000)</f>
        <v>8.6614330635568354E-4</v>
      </c>
      <c r="M1525" s="1" cm="1">
        <f t="array" ref="M1525">SUMPRODUCT(("T_TW-fclh2o-S3"=[1]OUT_TransportEnergyCons!$A$3:$A$1000)*1,("var_fout"=[1]OUT_TransportEnergyCons!$B$3:$B$1000)*1,ISNUMBER(SEARCH("TPTWL",[1]OUT_TransportEnergyCons!$C$3:$C$1000))*1,[1]OUT_TransportEnergyCons!K$3:K$1000)</f>
        <v>1.2068128120242881E-3</v>
      </c>
      <c r="N1525" s="1" cm="1">
        <f t="array" ref="N1525">SUMPRODUCT(("T_TW-fclh2o-S3"=[1]OUT_TransportEnergyCons!$A$3:$A$1000)*1,("var_fout"=[1]OUT_TransportEnergyCons!$B$3:$B$1000)*1,ISNUMBER(SEARCH("TPTWL",[1]OUT_TransportEnergyCons!$C$3:$C$1000))*1,[1]OUT_TransportEnergyCons!L$3:L$1000)</f>
        <v>1.4630253135849403E-3</v>
      </c>
      <c r="O1525" s="1" cm="1">
        <f t="array" ref="O1525">SUMPRODUCT(("T_TW-fclh2o-S3"=[1]OUT_TransportEnergyCons!$A$3:$A$1000)*1,("var_fout"=[1]OUT_TransportEnergyCons!$B$3:$B$1000)*1,ISNUMBER(SEARCH("TPTWL",[1]OUT_TransportEnergyCons!$C$3:$C$1000))*1,[1]OUT_TransportEnergyCons!M$3:M$1000)</f>
        <v>1.7628849973524928E-3</v>
      </c>
      <c r="P1525" s="1" cm="1">
        <f t="array" ref="P1525">SUMPRODUCT(("T_TW-fclh2o-S3"=[1]OUT_TransportEnergyCons!$A$3:$A$1000)*1,("var_fout"=[1]OUT_TransportEnergyCons!$B$3:$B$1000)*1,ISNUMBER(SEARCH("TPTWL",[1]OUT_TransportEnergyCons!$C$3:$C$1000))*1,[1]OUT_TransportEnergyCons!N$3:N$1000)</f>
        <v>2.0593385910889529E-3</v>
      </c>
      <c r="Q1525" s="1" cm="1">
        <f t="array" ref="Q1525">SUMPRODUCT(("T_TW-fclh2o-S3"=[1]OUT_TransportEnergyCons!$A$3:$A$1000)*1,("var_fout"=[1]OUT_TransportEnergyCons!$B$3:$B$1000)*1,ISNUMBER(SEARCH("TPTWL",[1]OUT_TransportEnergyCons!$C$3:$C$1000))*1,[1]OUT_TransportEnergyCons!O$3:O$1000)</f>
        <v>2.486818409781899E-3</v>
      </c>
      <c r="S1525" s="3"/>
    </row>
    <row r="1526" spans="2:19" x14ac:dyDescent="0.5">
      <c r="B1526" t="str">
        <f t="shared" si="1716"/>
        <v>SPS1</v>
      </c>
      <c r="C1526" t="str">
        <f t="shared" si="1717"/>
        <v>CH</v>
      </c>
      <c r="D1526" t="s">
        <v>1511</v>
      </c>
      <c r="E1526" t="str">
        <f t="shared" si="1718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9.0387277852028265E-5</v>
      </c>
      <c r="J1526" s="1" cm="1">
        <f t="array" ref="J1526">SUMPRODUCT(("T_TW-fclh2o-S4"=[1]OUT_TransportEnergyCons!$A$3:$A$1000)*1,("var_fout"=[1]OUT_TransportEnergyCons!$B$3:$B$1000)*1,ISNUMBER(SEARCH("TPTWL",[1]OUT_TransportEnergyCons!$C$3:$C$1000))*1,[1]OUT_TransportEnergyCons!H$3:H$1000)</f>
        <v>2.2078572305157441E-4</v>
      </c>
      <c r="K1526" s="1" cm="1">
        <f t="array" ref="K1526">SUMPRODUCT(("T_TW-fclh2o-S4"=[1]OUT_TransportEnergyCons!$A$3:$A$1000)*1,("var_fout"=[1]OUT_TransportEnergyCons!$B$3:$B$1000)*1,ISNUMBER(SEARCH("TPTWL",[1]OUT_TransportEnergyCons!$C$3:$C$1000))*1,[1]OUT_TransportEnergyCons!I$3:I$1000)</f>
        <v>3.749274111731069E-4</v>
      </c>
      <c r="L1526" s="1" cm="1">
        <f t="array" ref="L1526">SUMPRODUCT(("T_TW-fclh2o-S4"=[1]OUT_TransportEnergyCons!$A$3:$A$1000)*1,("var_fout"=[1]OUT_TransportEnergyCons!$B$3:$B$1000)*1,ISNUMBER(SEARCH("TPTWL",[1]OUT_TransportEnergyCons!$C$3:$C$1000))*1,[1]OUT_TransportEnergyCons!J$3:J$1000)</f>
        <v>5.7847871038411525E-4</v>
      </c>
      <c r="M1526" s="1" cm="1">
        <f t="array" ref="M1526">SUMPRODUCT(("T_TW-fclh2o-S4"=[1]OUT_TransportEnergyCons!$A$3:$A$1000)*1,("var_fout"=[1]OUT_TransportEnergyCons!$B$3:$B$1000)*1,ISNUMBER(SEARCH("TPTWL",[1]OUT_TransportEnergyCons!$C$3:$C$1000))*1,[1]OUT_TransportEnergyCons!K$3:K$1000)</f>
        <v>8.836001164385835E-4</v>
      </c>
      <c r="N1526" s="1" cm="1">
        <f t="array" ref="N1526">SUMPRODUCT(("T_TW-fclh2o-S4"=[1]OUT_TransportEnergyCons!$A$3:$A$1000)*1,("var_fout"=[1]OUT_TransportEnergyCons!$B$3:$B$1000)*1,ISNUMBER(SEARCH("TPTWL",[1]OUT_TransportEnergyCons!$C$3:$C$1000))*1,[1]OUT_TransportEnergyCons!L$3:L$1000)</f>
        <v>1.0827243909084187E-3</v>
      </c>
      <c r="O1526" s="1" cm="1">
        <f t="array" ref="O1526">SUMPRODUCT(("T_TW-fclh2o-S4"=[1]OUT_TransportEnergyCons!$A$3:$A$1000)*1,("var_fout"=[1]OUT_TransportEnergyCons!$B$3:$B$1000)*1,ISNUMBER(SEARCH("TPTWL",[1]OUT_TransportEnergyCons!$C$3:$C$1000))*1,[1]OUT_TransportEnergyCons!M$3:M$1000)</f>
        <v>1.3243252441524651E-3</v>
      </c>
      <c r="P1526" s="1" cm="1">
        <f t="array" ref="P1526">SUMPRODUCT(("T_TW-fclh2o-S4"=[1]OUT_TransportEnergyCons!$A$3:$A$1000)*1,("var_fout"=[1]OUT_TransportEnergyCons!$B$3:$B$1000)*1,ISNUMBER(SEARCH("TPTWL",[1]OUT_TransportEnergyCons!$C$3:$C$1000))*1,[1]OUT_TransportEnergyCons!N$3:N$1000)</f>
        <v>1.5125798915626004E-3</v>
      </c>
      <c r="Q1526" s="1" cm="1">
        <f t="array" ref="Q1526">SUMPRODUCT(("T_TW-fclh2o-S4"=[1]OUT_TransportEnergyCons!$A$3:$A$1000)*1,("var_fout"=[1]OUT_TransportEnergyCons!$B$3:$B$1000)*1,ISNUMBER(SEARCH("TPTWL",[1]OUT_TransportEnergyCons!$C$3:$C$1000))*1,[1]OUT_TransportEnergyCons!O$3:O$1000)</f>
        <v>1.9017409301656204E-3</v>
      </c>
      <c r="S1526" s="3"/>
    </row>
    <row r="1527" spans="2:19" x14ac:dyDescent="0.5">
      <c r="B1527" t="str">
        <f t="shared" si="1716"/>
        <v>SPS1</v>
      </c>
      <c r="C1527" t="str">
        <f t="shared" si="1717"/>
        <v>CH</v>
      </c>
      <c r="D1527" t="s">
        <v>1512</v>
      </c>
      <c r="E1527" t="str">
        <f t="shared" si="1718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1.5215984554193756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0.56274421627501903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0.56310898306548884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0.38619231113681596</v>
      </c>
      <c r="J1527" s="1" cm="1">
        <f t="array" ref="J1527">SUMPRODUCT(("T_TW-ICEGSLEXT"=[1]OUT_TransportEnergyCons!$A$3:$A$1000)*1,("var_fout"=[1]OUT_TransportEnergyCons!$B$3:$B$1000)*1,ISNUMBER(SEARCH("TPTWL",[1]OUT_TransportEnergyCons!$C$3:$C$1000))*1,[1]OUT_TransportEnergyCons!H$3:H$1000)</f>
        <v>0</v>
      </c>
      <c r="K1527" s="1" cm="1">
        <f t="array" ref="K1527">SUMPRODUCT(("T_TW-ICEGSLEXT"=[1]OUT_TransportEnergyCons!$A$3:$A$1000)*1,("var_fout"=[1]OUT_TransportEnergyCons!$B$3:$B$1000)*1,ISNUMBER(SEARCH("TPTWL",[1]OUT_TransportEnergyCons!$C$3:$C$1000))*1,[1]OUT_TransportEnergyCons!I$3:I$1000)</f>
        <v>0</v>
      </c>
      <c r="L1527" s="1" cm="1">
        <f t="array" ref="L1527">SUMPRODUCT(("T_TW-ICEGSLEXT"=[1]OUT_TransportEnergyCons!$A$3:$A$1000)*1,("var_fout"=[1]OUT_TransportEnergyCons!$B$3:$B$1000)*1,ISNUMBER(SEARCH("TPTWL",[1]OUT_TransportEnergyCons!$C$3:$C$1000))*1,[1]OUT_TransportEnergyCons!J$3:J$1000)</f>
        <v>0</v>
      </c>
      <c r="M1527" s="1" cm="1">
        <f t="array" ref="M1527">SUMPRODUCT(("T_TW-ICEGSLEXT"=[1]OUT_TransportEnergyCons!$A$3:$A$1000)*1,("var_fout"=[1]OUT_TransportEnergyCons!$B$3:$B$1000)*1,ISNUMBER(SEARCH("TPTWL",[1]OUT_TransportEnergyCons!$C$3:$C$1000))*1,[1]OUT_TransportEnergyCons!K$3:K$1000)</f>
        <v>0</v>
      </c>
      <c r="N1527" s="1" cm="1">
        <f t="array" ref="N1527">SUMPRODUCT(("T_TW-ICEGSLEXT"=[1]OUT_TransportEnergyCons!$A$3:$A$1000)*1,("var_fout"=[1]OUT_TransportEnergyCons!$B$3:$B$1000)*1,ISNUMBER(SEARCH("TPTWL",[1]OUT_TransportEnergyCons!$C$3:$C$1000))*1,[1]OUT_TransportEnergyCons!L$3:L$1000)</f>
        <v>0</v>
      </c>
      <c r="O1527" s="1" cm="1">
        <f t="array" ref="O1527">SUMPRODUCT(("T_TW-ICEGSLEXT"=[1]OUT_TransportEnergyCons!$A$3:$A$1000)*1,("var_fout"=[1]OUT_TransportEnergyCons!$B$3:$B$1000)*1,ISNUMBER(SEARCH("TPTWL",[1]OUT_TransportEnergyCons!$C$3:$C$1000))*1,[1]OUT_TransportEnergyCons!M$3:M$1000)</f>
        <v>0</v>
      </c>
      <c r="P1527" s="1" cm="1">
        <f t="array" ref="P1527">SUMPRODUCT(("T_TW-ICEGSLEXT"=[1]OUT_TransportEnergyCons!$A$3:$A$1000)*1,("var_fout"=[1]OUT_TransportEnergyCons!$B$3:$B$1000)*1,ISNUMBER(SEARCH("TPTWL",[1]OUT_TransportEnergyCons!$C$3:$C$1000))*1,[1]OUT_TransportEnergyCons!N$3:N$1000)</f>
        <v>0</v>
      </c>
      <c r="Q1527" s="1" cm="1">
        <f t="array" ref="Q1527">SUMPRODUCT(("T_TW-ICEGSLEXT"=[1]OUT_TransportEnergyCons!$A$3:$A$1000)*1,("var_fout"=[1]OUT_TransportEnergyCons!$B$3:$B$1000)*1,ISNUMBER(SEARCH("TPTWL",[1]OUT_TransportEnergyCons!$C$3:$C$1000))*1,[1]OUT_TransportEnergyCons!O$3:O$1000)</f>
        <v>0</v>
      </c>
      <c r="S1527" s="3"/>
    </row>
    <row r="1528" spans="2:19" x14ac:dyDescent="0.5">
      <c r="B1528" t="str">
        <f t="shared" si="1716"/>
        <v>SPS1</v>
      </c>
      <c r="C1528" t="str">
        <f t="shared" si="1717"/>
        <v>CH</v>
      </c>
      <c r="D1528" t="s">
        <v>1513</v>
      </c>
      <c r="E1528" t="str">
        <f t="shared" si="1718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8.3636013206774731E-2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0.94704245544128829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0.9562048712871245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1.1995994133967038</v>
      </c>
      <c r="J1528" s="1" cm="1">
        <f t="array" ref="J1528">SUMPRODUCT(("T_TW-icegsl-S1"=[1]OUT_TransportEnergyCons!$A$3:$A$1000)*1,("var_fout"=[1]OUT_TransportEnergyCons!$B$3:$B$1000)*1,ISNUMBER(SEARCH("TPTWL",[1]OUT_TransportEnergyCons!$C$3:$C$1000))*1,[1]OUT_TransportEnergyCons!H$3:H$1000)</f>
        <v>1.7052316621177948</v>
      </c>
      <c r="K1528" s="1" cm="1">
        <f t="array" ref="K1528">SUMPRODUCT(("T_TW-icegsl-S1"=[1]OUT_TransportEnergyCons!$A$3:$A$1000)*1,("var_fout"=[1]OUT_TransportEnergyCons!$B$3:$B$1000)*1,ISNUMBER(SEARCH("TPTWL",[1]OUT_TransportEnergyCons!$C$3:$C$1000))*1,[1]OUT_TransportEnergyCons!I$3:I$1000)</f>
        <v>1.817287957524498</v>
      </c>
      <c r="L1528" s="1" cm="1">
        <f t="array" ref="L1528">SUMPRODUCT(("T_TW-icegsl-S1"=[1]OUT_TransportEnergyCons!$A$3:$A$1000)*1,("var_fout"=[1]OUT_TransportEnergyCons!$B$3:$B$1000)*1,ISNUMBER(SEARCH("TPTWL",[1]OUT_TransportEnergyCons!$C$3:$C$1000))*1,[1]OUT_TransportEnergyCons!J$3:J$1000)</f>
        <v>1.8880982835294282</v>
      </c>
      <c r="M1528" s="1" cm="1">
        <f t="array" ref="M1528">SUMPRODUCT(("T_TW-icegsl-S1"=[1]OUT_TransportEnergyCons!$A$3:$A$1000)*1,("var_fout"=[1]OUT_TransportEnergyCons!$B$3:$B$1000)*1,ISNUMBER(SEARCH("TPTWL",[1]OUT_TransportEnergyCons!$C$3:$C$1000))*1,[1]OUT_TransportEnergyCons!K$3:K$1000)</f>
        <v>1.860844924297363</v>
      </c>
      <c r="N1528" s="1" cm="1">
        <f t="array" ref="N1528">SUMPRODUCT(("T_TW-icegsl-S1"=[1]OUT_TransportEnergyCons!$A$3:$A$1000)*1,("var_fout"=[1]OUT_TransportEnergyCons!$B$3:$B$1000)*1,ISNUMBER(SEARCH("TPTWL",[1]OUT_TransportEnergyCons!$C$3:$C$1000))*1,[1]OUT_TransportEnergyCons!L$3:L$1000)</f>
        <v>1.7906457350471607</v>
      </c>
      <c r="O1528" s="1" cm="1">
        <f t="array" ref="O1528">SUMPRODUCT(("T_TW-icegsl-S1"=[1]OUT_TransportEnergyCons!$A$3:$A$1000)*1,("var_fout"=[1]OUT_TransportEnergyCons!$B$3:$B$1000)*1,ISNUMBER(SEARCH("TPTWL",[1]OUT_TransportEnergyCons!$C$3:$C$1000))*1,[1]OUT_TransportEnergyCons!M$3:M$1000)</f>
        <v>1.7258129195882628</v>
      </c>
      <c r="P1528" s="1" cm="1">
        <f t="array" ref="P1528">SUMPRODUCT(("T_TW-icegsl-S1"=[1]OUT_TransportEnergyCons!$A$3:$A$1000)*1,("var_fout"=[1]OUT_TransportEnergyCons!$B$3:$B$1000)*1,ISNUMBER(SEARCH("TPTWL",[1]OUT_TransportEnergyCons!$C$3:$C$1000))*1,[1]OUT_TransportEnergyCons!N$3:N$1000)</f>
        <v>1.6964799413115432</v>
      </c>
      <c r="Q1528" s="1" cm="1">
        <f t="array" ref="Q1528">SUMPRODUCT(("T_TW-icegsl-S1"=[1]OUT_TransportEnergyCons!$A$3:$A$1000)*1,("var_fout"=[1]OUT_TransportEnergyCons!$B$3:$B$1000)*1,ISNUMBER(SEARCH("TPTWL",[1]OUT_TransportEnergyCons!$C$3:$C$1000))*1,[1]OUT_TransportEnergyCons!O$3:O$1000)</f>
        <v>1.6293440029737352</v>
      </c>
      <c r="S1528" s="3"/>
    </row>
    <row r="1529" spans="2:19" x14ac:dyDescent="0.5">
      <c r="B1529" t="str">
        <f t="shared" si="1716"/>
        <v>SPS1</v>
      </c>
      <c r="C1529" t="str">
        <f t="shared" si="1717"/>
        <v>CH</v>
      </c>
      <c r="D1529" t="s">
        <v>1514</v>
      </c>
      <c r="E1529" t="str">
        <f t="shared" si="1718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0.12182569320786941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0.1802727634908767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0.16798309142384962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0.11544095956170804</v>
      </c>
      <c r="J1529" s="1" cm="1">
        <f t="array" ref="J1529">SUMPRODUCT(("T_TW-icegsl-S2"=[1]OUT_TransportEnergyCons!$A$3:$A$1000)*1,("var_fout"=[1]OUT_TransportEnergyCons!$B$3:$B$1000)*1,ISNUMBER(SEARCH("TPTWL",[1]OUT_TransportEnergyCons!$C$3:$C$1000))*1,[1]OUT_TransportEnergyCons!H$3:H$1000)</f>
        <v>1.342030330654391E-2</v>
      </c>
      <c r="K1529" s="1" cm="1">
        <f t="array" ref="K1529">SUMPRODUCT(("T_TW-icegsl-S2"=[1]OUT_TransportEnergyCons!$A$3:$A$1000)*1,("var_fout"=[1]OUT_TransportEnergyCons!$B$3:$B$1000)*1,ISNUMBER(SEARCH("TPTWL",[1]OUT_TransportEnergyCons!$C$3:$C$1000))*1,[1]OUT_TransportEnergyCons!I$3:I$1000)</f>
        <v>2.4774087537459727E-3</v>
      </c>
      <c r="L1529" s="1" cm="1">
        <f t="array" ref="L1529">SUMPRODUCT(("T_TW-icegsl-S2"=[1]OUT_TransportEnergyCons!$A$3:$A$1000)*1,("var_fout"=[1]OUT_TransportEnergyCons!$B$3:$B$1000)*1,ISNUMBER(SEARCH("TPTWL",[1]OUT_TransportEnergyCons!$C$3:$C$1000))*1,[1]OUT_TransportEnergyCons!J$3:J$1000)</f>
        <v>3.0205277256701488E-3</v>
      </c>
      <c r="M1529" s="1" cm="1">
        <f t="array" ref="M1529">SUMPRODUCT(("T_TW-icegsl-S2"=[1]OUT_TransportEnergyCons!$A$3:$A$1000)*1,("var_fout"=[1]OUT_TransportEnergyCons!$B$3:$B$1000)*1,ISNUMBER(SEARCH("TPTWL",[1]OUT_TransportEnergyCons!$C$3:$C$1000))*1,[1]OUT_TransportEnergyCons!K$3:K$1000)</f>
        <v>3.5965895116482735E-3</v>
      </c>
      <c r="N1529" s="1" cm="1">
        <f t="array" ref="N1529">SUMPRODUCT(("T_TW-icegsl-S2"=[1]OUT_TransportEnergyCons!$A$3:$A$1000)*1,("var_fout"=[1]OUT_TransportEnergyCons!$B$3:$B$1000)*1,ISNUMBER(SEARCH("TPTWL",[1]OUT_TransportEnergyCons!$C$3:$C$1000))*1,[1]OUT_TransportEnergyCons!L$3:L$1000)</f>
        <v>3.6072802778246539E-3</v>
      </c>
      <c r="O1529" s="1" cm="1">
        <f t="array" ref="O1529">SUMPRODUCT(("T_TW-icegsl-S2"=[1]OUT_TransportEnergyCons!$A$3:$A$1000)*1,("var_fout"=[1]OUT_TransportEnergyCons!$B$3:$B$1000)*1,ISNUMBER(SEARCH("TPTWL",[1]OUT_TransportEnergyCons!$C$3:$C$1000))*1,[1]OUT_TransportEnergyCons!M$3:M$1000)</f>
        <v>4.507382816217596E-3</v>
      </c>
      <c r="P1529" s="1" cm="1">
        <f t="array" ref="P1529">SUMPRODUCT(("T_TW-icegsl-S2"=[1]OUT_TransportEnergyCons!$A$3:$A$1000)*1,("var_fout"=[1]OUT_TransportEnergyCons!$B$3:$B$1000)*1,ISNUMBER(SEARCH("TPTWL",[1]OUT_TransportEnergyCons!$C$3:$C$1000))*1,[1]OUT_TransportEnergyCons!N$3:N$1000)</f>
        <v>4.2568140080419701E-3</v>
      </c>
      <c r="Q1529" s="1" cm="1">
        <f t="array" ref="Q1529">SUMPRODUCT(("T_TW-icegsl-S2"=[1]OUT_TransportEnergyCons!$A$3:$A$1000)*1,("var_fout"=[1]OUT_TransportEnergyCons!$B$3:$B$1000)*1,ISNUMBER(SEARCH("TPTWL",[1]OUT_TransportEnergyCons!$C$3:$C$1000))*1,[1]OUT_TransportEnergyCons!O$3:O$1000)</f>
        <v>6.0053194061015754E-3</v>
      </c>
      <c r="S1529" s="3"/>
    </row>
    <row r="1530" spans="2:19" x14ac:dyDescent="0.5">
      <c r="B1530" t="str">
        <f t="shared" si="1716"/>
        <v>SPS1</v>
      </c>
      <c r="C1530" t="str">
        <f t="shared" si="1717"/>
        <v>CH</v>
      </c>
      <c r="D1530" t="s">
        <v>1515</v>
      </c>
      <c r="E1530" t="str">
        <f t="shared" si="1718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0.12561551854456995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0.14456929346488279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0.14724439951586121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0.14558784047661744</v>
      </c>
      <c r="J1530" s="1" cm="1">
        <f t="array" ref="J1530">SUMPRODUCT(("T_TW-icegsl-S3"=[1]OUT_TransportEnergyCons!$A$3:$A$1000)*1,("var_fout"=[1]OUT_TransportEnergyCons!$B$3:$B$1000)*1,ISNUMBER(SEARCH("TPTWL",[1]OUT_TransportEnergyCons!$C$3:$C$1000))*1,[1]OUT_TransportEnergyCons!H$3:H$1000)</f>
        <v>0.14052956924085283</v>
      </c>
      <c r="K1530" s="1" cm="1">
        <f t="array" ref="K1530">SUMPRODUCT(("T_TW-icegsl-S3"=[1]OUT_TransportEnergyCons!$A$3:$A$1000)*1,("var_fout"=[1]OUT_TransportEnergyCons!$B$3:$B$1000)*1,ISNUMBER(SEARCH("TPTWL",[1]OUT_TransportEnergyCons!$C$3:$C$1000))*1,[1]OUT_TransportEnergyCons!I$3:I$1000)</f>
        <v>4.205981024720324E-2</v>
      </c>
      <c r="L1530" s="1" cm="1">
        <f t="array" ref="L1530">SUMPRODUCT(("T_TW-icegsl-S3"=[1]OUT_TransportEnergyCons!$A$3:$A$1000)*1,("var_fout"=[1]OUT_TransportEnergyCons!$B$3:$B$1000)*1,ISNUMBER(SEARCH("TPTWL",[1]OUT_TransportEnergyCons!$C$3:$C$1000))*1,[1]OUT_TransportEnergyCons!J$3:J$1000)</f>
        <v>1.8423576907803511E-3</v>
      </c>
      <c r="M1530" s="1" cm="1">
        <f t="array" ref="M1530">SUMPRODUCT(("T_TW-icegsl-S3"=[1]OUT_TransportEnergyCons!$A$3:$A$1000)*1,("var_fout"=[1]OUT_TransportEnergyCons!$B$3:$B$1000)*1,ISNUMBER(SEARCH("TPTWL",[1]OUT_TransportEnergyCons!$C$3:$C$1000))*1,[1]OUT_TransportEnergyCons!K$3:K$1000)</f>
        <v>2.188486589855378E-3</v>
      </c>
      <c r="N1530" s="1" cm="1">
        <f t="array" ref="N1530">SUMPRODUCT(("T_TW-icegsl-S3"=[1]OUT_TransportEnergyCons!$A$3:$A$1000)*1,("var_fout"=[1]OUT_TransportEnergyCons!$B$3:$B$1000)*1,ISNUMBER(SEARCH("TPTWL",[1]OUT_TransportEnergyCons!$C$3:$C$1000))*1,[1]OUT_TransportEnergyCons!L$3:L$1000)</f>
        <v>2.3618532746774237E-3</v>
      </c>
      <c r="O1530" s="1" cm="1">
        <f t="array" ref="O1530">SUMPRODUCT(("T_TW-icegsl-S3"=[1]OUT_TransportEnergyCons!$A$3:$A$1000)*1,("var_fout"=[1]OUT_TransportEnergyCons!$B$3:$B$1000)*1,ISNUMBER(SEARCH("TPTWL",[1]OUT_TransportEnergyCons!$C$3:$C$1000))*1,[1]OUT_TransportEnergyCons!M$3:M$1000)</f>
        <v>2.6147650834966087E-3</v>
      </c>
      <c r="P1530" s="1" cm="1">
        <f t="array" ref="P1530">SUMPRODUCT(("T_TW-icegsl-S3"=[1]OUT_TransportEnergyCons!$A$3:$A$1000)*1,("var_fout"=[1]OUT_TransportEnergyCons!$B$3:$B$1000)*1,ISNUMBER(SEARCH("TPTWL",[1]OUT_TransportEnergyCons!$C$3:$C$1000))*1,[1]OUT_TransportEnergyCons!N$3:N$1000)</f>
        <v>2.891624303794792E-3</v>
      </c>
      <c r="Q1530" s="1" cm="1">
        <f t="array" ref="Q1530">SUMPRODUCT(("T_TW-icegsl-S3"=[1]OUT_TransportEnergyCons!$A$3:$A$1000)*1,("var_fout"=[1]OUT_TransportEnergyCons!$B$3:$B$1000)*1,ISNUMBER(SEARCH("TPTWL",[1]OUT_TransportEnergyCons!$C$3:$C$1000))*1,[1]OUT_TransportEnergyCons!O$3:O$1000)</f>
        <v>3.4587007812808533E-3</v>
      </c>
      <c r="S1530" s="3"/>
    </row>
    <row r="1531" spans="2:19" x14ac:dyDescent="0.5">
      <c r="B1531" t="str">
        <f t="shared" si="1716"/>
        <v>SPS1</v>
      </c>
      <c r="C1531" t="str">
        <f t="shared" si="1717"/>
        <v>CH</v>
      </c>
      <c r="D1531" t="s">
        <v>1516</v>
      </c>
      <c r="E1531" t="str">
        <f t="shared" si="1718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7.5530589740271006E-2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8.5658732249971281E-2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8.7587897807846232E-2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8.6406207846146901E-2</v>
      </c>
      <c r="J1531" s="1" cm="1">
        <f t="array" ref="J1531">SUMPRODUCT(("T_TW-icegsl-S4"=[1]OUT_TransportEnergyCons!$A$3:$A$1000)*1,("var_fout"=[1]OUT_TransportEnergyCons!$B$3:$B$1000)*1,ISNUMBER(SEARCH("TPTWL",[1]OUT_TransportEnergyCons!$C$3:$C$1000))*1,[1]OUT_TransportEnergyCons!H$3:H$1000)</f>
        <v>8.7366644855142783E-2</v>
      </c>
      <c r="K1531" s="1" cm="1">
        <f t="array" ref="K1531">SUMPRODUCT(("T_TW-icegsl-S4"=[1]OUT_TransportEnergyCons!$A$3:$A$1000)*1,("var_fout"=[1]OUT_TransportEnergyCons!$B$3:$B$1000)*1,ISNUMBER(SEARCH("TPTWL",[1]OUT_TransportEnergyCons!$C$3:$C$1000))*1,[1]OUT_TransportEnergyCons!I$3:I$1000)</f>
        <v>8.4183440692950556E-2</v>
      </c>
      <c r="L1531" s="1" cm="1">
        <f t="array" ref="L1531">SUMPRODUCT(("T_TW-icegsl-S4"=[1]OUT_TransportEnergyCons!$A$3:$A$1000)*1,("var_fout"=[1]OUT_TransportEnergyCons!$B$3:$B$1000)*1,ISNUMBER(SEARCH("TPTWL",[1]OUT_TransportEnergyCons!$C$3:$C$1000))*1,[1]OUT_TransportEnergyCons!J$3:J$1000)</f>
        <v>1.9854172255253391E-2</v>
      </c>
      <c r="M1531" s="1" cm="1">
        <f t="array" ref="M1531">SUMPRODUCT(("T_TW-icegsl-S4"=[1]OUT_TransportEnergyCons!$A$3:$A$1000)*1,("var_fout"=[1]OUT_TransportEnergyCons!$B$3:$B$1000)*1,ISNUMBER(SEARCH("TPTWL",[1]OUT_TransportEnergyCons!$C$3:$C$1000))*1,[1]OUT_TransportEnergyCons!K$3:K$1000)</f>
        <v>1.3703498540266186E-3</v>
      </c>
      <c r="N1531" s="1" cm="1">
        <f t="array" ref="N1531">SUMPRODUCT(("T_TW-icegsl-S4"=[1]OUT_TransportEnergyCons!$A$3:$A$1000)*1,("var_fout"=[1]OUT_TransportEnergyCons!$B$3:$B$1000)*1,ISNUMBER(SEARCH("TPTWL",[1]OUT_TransportEnergyCons!$C$3:$C$1000))*1,[1]OUT_TransportEnergyCons!L$3:L$1000)</f>
        <v>1.4968474606550668E-3</v>
      </c>
      <c r="O1531" s="1" cm="1">
        <f t="array" ref="O1531">SUMPRODUCT(("T_TW-icegsl-S4"=[1]OUT_TransportEnergyCons!$A$3:$A$1000)*1,("var_fout"=[1]OUT_TransportEnergyCons!$B$3:$B$1000)*1,ISNUMBER(SEARCH("TPTWL",[1]OUT_TransportEnergyCons!$C$3:$C$1000))*1,[1]OUT_TransportEnergyCons!M$3:M$1000)</f>
        <v>1.6982016889630482E-3</v>
      </c>
      <c r="P1531" s="1" cm="1">
        <f t="array" ref="P1531">SUMPRODUCT(("T_TW-icegsl-S4"=[1]OUT_TransportEnergyCons!$A$3:$A$1000)*1,("var_fout"=[1]OUT_TransportEnergyCons!$B$3:$B$1000)*1,ISNUMBER(SEARCH("TPTWL",[1]OUT_TransportEnergyCons!$C$3:$C$1000))*1,[1]OUT_TransportEnergyCons!N$3:N$1000)</f>
        <v>1.8207146059950427E-3</v>
      </c>
      <c r="Q1531" s="1" cm="1">
        <f t="array" ref="Q1531">SUMPRODUCT(("T_TW-icegsl-S4"=[1]OUT_TransportEnergyCons!$A$3:$A$1000)*1,("var_fout"=[1]OUT_TransportEnergyCons!$B$3:$B$1000)*1,ISNUMBER(SEARCH("TPTWL",[1]OUT_TransportEnergyCons!$C$3:$C$1000))*1,[1]OUT_TransportEnergyCons!O$3:O$1000)</f>
        <v>2.220568282913833E-3</v>
      </c>
      <c r="S1531" s="3"/>
    </row>
    <row r="1532" spans="2:19" x14ac:dyDescent="0.5">
      <c r="B1532" s="9" t="str">
        <f t="shared" si="1716"/>
        <v>SPS1</v>
      </c>
      <c r="C1532" s="9" t="str">
        <f t="shared" si="1717"/>
        <v>CH</v>
      </c>
      <c r="D1532" s="2" t="s">
        <v>1518</v>
      </c>
      <c r="E1532" s="2" t="s">
        <v>1229</v>
      </c>
      <c r="F1532" s="21" t="s">
        <v>1527</v>
      </c>
      <c r="G1532" s="21" t="s">
        <v>1527</v>
      </c>
      <c r="H1532" s="21" t="s">
        <v>1527</v>
      </c>
      <c r="I1532" s="21" t="s">
        <v>1527</v>
      </c>
      <c r="J1532" s="21" t="s">
        <v>1527</v>
      </c>
      <c r="K1532" s="21" t="s">
        <v>1527</v>
      </c>
      <c r="L1532" s="21" t="s">
        <v>1527</v>
      </c>
      <c r="M1532" s="21" t="s">
        <v>1527</v>
      </c>
      <c r="N1532" s="21" t="s">
        <v>1527</v>
      </c>
      <c r="O1532" s="21" t="s">
        <v>1527</v>
      </c>
      <c r="P1532" s="21" t="s">
        <v>1527</v>
      </c>
      <c r="Q1532" s="21" t="s">
        <v>1527</v>
      </c>
      <c r="S1532" s="3"/>
    </row>
    <row r="1533" spans="2:19" x14ac:dyDescent="0.5">
      <c r="B1533" t="str">
        <f t="shared" si="1716"/>
        <v>SPS1</v>
      </c>
      <c r="C1533" t="str">
        <f t="shared" si="1717"/>
        <v>CH</v>
      </c>
      <c r="D1533" t="s">
        <v>1519</v>
      </c>
      <c r="E1533" t="s">
        <v>1229</v>
      </c>
      <c r="F1533" s="1">
        <f t="shared" ref="F1533:K1536" si="1719">IFERROR(F1519/F1499,"-")</f>
        <v>11.098927012431917</v>
      </c>
      <c r="G1533" s="1">
        <f t="shared" si="1719"/>
        <v>11.109172059775316</v>
      </c>
      <c r="H1533" s="1">
        <f t="shared" si="1719"/>
        <v>11.113777316308889</v>
      </c>
      <c r="I1533" s="1">
        <f t="shared" si="1719"/>
        <v>11.140085319648927</v>
      </c>
      <c r="J1533" s="1">
        <f t="shared" si="1719"/>
        <v>11.472366233011284</v>
      </c>
      <c r="K1533" s="1">
        <f t="shared" si="1719"/>
        <v>11.566442044663134</v>
      </c>
      <c r="L1533" s="1">
        <f t="shared" ref="L1533:O1533" si="1720">IFERROR(L1519/L1499,"-")</f>
        <v>11.698781975297585</v>
      </c>
      <c r="M1533" s="1">
        <f t="shared" si="1720"/>
        <v>11.864196964736724</v>
      </c>
      <c r="N1533" s="1">
        <f t="shared" si="1720"/>
        <v>11.904091176888938</v>
      </c>
      <c r="O1533" s="1">
        <f t="shared" si="1720"/>
        <v>11.913862498205898</v>
      </c>
      <c r="P1533" s="1">
        <f t="shared" ref="P1533:Q1536" si="1721">IFERROR(P1519/P1499,"-")</f>
        <v>11.913862498205885</v>
      </c>
      <c r="Q1533" s="1">
        <f t="shared" si="1721"/>
        <v>11.913862498205896</v>
      </c>
      <c r="S1533" s="3"/>
    </row>
    <row r="1534" spans="2:19" x14ac:dyDescent="0.5">
      <c r="B1534" t="str">
        <f t="shared" si="1716"/>
        <v>SPS1</v>
      </c>
      <c r="C1534" t="str">
        <f t="shared" si="1717"/>
        <v>CH</v>
      </c>
      <c r="D1534" t="s">
        <v>1520</v>
      </c>
      <c r="E1534" t="s">
        <v>1229</v>
      </c>
      <c r="F1534" s="1">
        <f t="shared" si="1719"/>
        <v>6.2845243629360006</v>
      </c>
      <c r="G1534" s="1">
        <f t="shared" si="1719"/>
        <v>6.2925369097629043</v>
      </c>
      <c r="H1534" s="1">
        <f t="shared" si="1719"/>
        <v>6.3022404804326957</v>
      </c>
      <c r="I1534" s="1">
        <f t="shared" si="1719"/>
        <v>6.3253265611277394</v>
      </c>
      <c r="J1534" s="1">
        <f t="shared" si="1719"/>
        <v>6.4590691361001644</v>
      </c>
      <c r="K1534" s="1">
        <f t="shared" si="1719"/>
        <v>6.544331024732827</v>
      </c>
      <c r="L1534" s="1">
        <f t="shared" ref="L1534:O1534" si="1722">IFERROR(L1520/L1500,"-")</f>
        <v>6.606989598748112</v>
      </c>
      <c r="M1534" s="1">
        <f t="shared" si="1722"/>
        <v>6.6925105472755311</v>
      </c>
      <c r="N1534" s="1">
        <f t="shared" si="1722"/>
        <v>6.7326576781759426</v>
      </c>
      <c r="O1534" s="1">
        <f t="shared" si="1722"/>
        <v>6.7466492376300158</v>
      </c>
      <c r="P1534" s="1">
        <f t="shared" si="1721"/>
        <v>6.7466492376300007</v>
      </c>
      <c r="Q1534" s="1">
        <f t="shared" si="1721"/>
        <v>6.7466492376300087</v>
      </c>
      <c r="S1534" s="3"/>
    </row>
    <row r="1535" spans="2:19" x14ac:dyDescent="0.5">
      <c r="B1535" t="str">
        <f t="shared" si="1716"/>
        <v>SPS1</v>
      </c>
      <c r="C1535" t="str">
        <f t="shared" si="1717"/>
        <v>CH</v>
      </c>
      <c r="D1535" t="s">
        <v>1521</v>
      </c>
      <c r="E1535" t="s">
        <v>1229</v>
      </c>
      <c r="F1535" s="1">
        <f t="shared" si="1719"/>
        <v>4.0901432735634868</v>
      </c>
      <c r="G1535" s="1">
        <f t="shared" si="1719"/>
        <v>4.1003726261381699</v>
      </c>
      <c r="H1535" s="1">
        <f t="shared" si="1719"/>
        <v>4.1147605208127125</v>
      </c>
      <c r="I1535" s="1">
        <f t="shared" si="1719"/>
        <v>4.1337819632479871</v>
      </c>
      <c r="J1535" s="1">
        <f t="shared" si="1719"/>
        <v>4.1724295273486067</v>
      </c>
      <c r="K1535" s="1">
        <f t="shared" si="1719"/>
        <v>4.2296639279889243</v>
      </c>
      <c r="L1535" s="1">
        <f t="shared" ref="L1535:O1535" si="1723">IFERROR(L1521/L1501,"-")</f>
        <v>4.3158044018217083</v>
      </c>
      <c r="M1535" s="1">
        <f t="shared" si="1723"/>
        <v>4.3667846907614862</v>
      </c>
      <c r="N1535" s="1">
        <f t="shared" si="1723"/>
        <v>4.4009504301930926</v>
      </c>
      <c r="O1535" s="1">
        <f t="shared" si="1723"/>
        <v>4.4291125711635964</v>
      </c>
      <c r="P1535" s="1">
        <f t="shared" si="1721"/>
        <v>4.4389918965394193</v>
      </c>
      <c r="Q1535" s="1">
        <f t="shared" si="1721"/>
        <v>4.4389918965394264</v>
      </c>
      <c r="S1535" s="3"/>
    </row>
    <row r="1536" spans="2:19" x14ac:dyDescent="0.5">
      <c r="B1536" t="str">
        <f t="shared" si="1716"/>
        <v>SPS1</v>
      </c>
      <c r="C1536" t="str">
        <f t="shared" si="1717"/>
        <v>CH</v>
      </c>
      <c r="D1536" t="s">
        <v>1522</v>
      </c>
      <c r="E1536" t="s">
        <v>1229</v>
      </c>
      <c r="F1536" s="1">
        <f t="shared" si="1719"/>
        <v>3.7650534829600382</v>
      </c>
      <c r="G1536" s="1">
        <f t="shared" si="1719"/>
        <v>3.7757379186834328</v>
      </c>
      <c r="H1536" s="1">
        <f t="shared" si="1719"/>
        <v>3.7897685089700395</v>
      </c>
      <c r="I1536" s="1">
        <f t="shared" si="1719"/>
        <v>3.811426944788737</v>
      </c>
      <c r="J1536" s="1">
        <f t="shared" si="1719"/>
        <v>3.8454809937853476</v>
      </c>
      <c r="K1536" s="1">
        <f t="shared" si="1719"/>
        <v>3.8819195423910053</v>
      </c>
      <c r="L1536" s="1">
        <f t="shared" ref="L1536:O1536" si="1724">IFERROR(L1522/L1502,"-")</f>
        <v>3.9505068361338949</v>
      </c>
      <c r="M1536" s="1">
        <f t="shared" si="1724"/>
        <v>4.0371006555747817</v>
      </c>
      <c r="N1536" s="1">
        <f t="shared" si="1724"/>
        <v>4.0705109134637754</v>
      </c>
      <c r="O1536" s="1">
        <f t="shared" si="1724"/>
        <v>4.0980713100732782</v>
      </c>
      <c r="P1536" s="1">
        <f t="shared" si="1721"/>
        <v>4.1160414637157805</v>
      </c>
      <c r="Q1536" s="1">
        <f t="shared" si="1721"/>
        <v>4.1237577328637194</v>
      </c>
      <c r="S1536" s="3"/>
    </row>
    <row r="1537" spans="2:19" x14ac:dyDescent="0.5">
      <c r="B1537" t="str">
        <f t="shared" si="1716"/>
        <v>SPS1</v>
      </c>
      <c r="C1537" t="str">
        <f t="shared" si="1717"/>
        <v>CH</v>
      </c>
      <c r="D1537" t="s">
        <v>1523</v>
      </c>
      <c r="E1537" t="s">
        <v>1229</v>
      </c>
      <c r="F1537" s="1" t="str">
        <f t="shared" ref="F1537:K1540" si="1725">IFERROR(F1523/F1504,"-")</f>
        <v>-</v>
      </c>
      <c r="G1537" s="1" t="str">
        <f t="shared" si="1725"/>
        <v>-</v>
      </c>
      <c r="H1537" s="1" t="str">
        <f t="shared" si="1725"/>
        <v>-</v>
      </c>
      <c r="I1537" s="1">
        <f t="shared" si="1725"/>
        <v>4.6391179485367813</v>
      </c>
      <c r="J1537" s="1">
        <f t="shared" si="1725"/>
        <v>4.6852016685898059</v>
      </c>
      <c r="K1537" s="1">
        <f t="shared" si="1725"/>
        <v>4.7476201521611952</v>
      </c>
      <c r="L1537" s="1">
        <f t="shared" ref="L1537:O1537" si="1726">IFERROR(L1523/L1504,"-")</f>
        <v>4.8147301701765848</v>
      </c>
      <c r="M1537" s="1">
        <f t="shared" si="1726"/>
        <v>4.9023167919252657</v>
      </c>
      <c r="N1537" s="1">
        <f t="shared" si="1726"/>
        <v>4.9299802679694986</v>
      </c>
      <c r="O1537" s="1">
        <f t="shared" si="1726"/>
        <v>4.9376073198960171</v>
      </c>
      <c r="P1537" s="1">
        <f t="shared" ref="P1537:Q1540" si="1727">IFERROR(P1523/P1504,"-")</f>
        <v>4.9376073198960206</v>
      </c>
      <c r="Q1537" s="1">
        <f t="shared" si="1727"/>
        <v>4.9376073198960153</v>
      </c>
      <c r="S1537" s="3"/>
    </row>
    <row r="1538" spans="2:19" x14ac:dyDescent="0.5">
      <c r="B1538" t="str">
        <f t="shared" si="1716"/>
        <v>SPS1</v>
      </c>
      <c r="C1538" t="str">
        <f t="shared" si="1717"/>
        <v>CH</v>
      </c>
      <c r="D1538" t="s">
        <v>1524</v>
      </c>
      <c r="E1538" t="s">
        <v>1229</v>
      </c>
      <c r="F1538" s="1" t="str">
        <f t="shared" si="1725"/>
        <v>-</v>
      </c>
      <c r="G1538" s="1" t="str">
        <f t="shared" si="1725"/>
        <v>-</v>
      </c>
      <c r="H1538" s="1" t="str">
        <f t="shared" si="1725"/>
        <v>-</v>
      </c>
      <c r="I1538" s="1">
        <f t="shared" si="1725"/>
        <v>2.7008868509993595</v>
      </c>
      <c r="J1538" s="1">
        <f t="shared" si="1725"/>
        <v>2.7247071222017039</v>
      </c>
      <c r="K1538" s="1">
        <f t="shared" si="1725"/>
        <v>2.7530295406599867</v>
      </c>
      <c r="L1538" s="1">
        <f t="shared" ref="L1538:O1538" si="1728">IFERROR(L1524/L1505,"-")</f>
        <v>2.7897049184395231</v>
      </c>
      <c r="M1538" s="1">
        <f t="shared" si="1728"/>
        <v>2.831157140093528</v>
      </c>
      <c r="N1538" s="1">
        <f t="shared" si="1728"/>
        <v>2.8551725617522363</v>
      </c>
      <c r="O1538" s="1">
        <f t="shared" si="1728"/>
        <v>2.8629122117594505</v>
      </c>
      <c r="P1538" s="1">
        <f t="shared" si="1727"/>
        <v>2.8629122117594488</v>
      </c>
      <c r="Q1538" s="1">
        <f t="shared" si="1727"/>
        <v>2.8629122117594505</v>
      </c>
      <c r="S1538" s="3"/>
    </row>
    <row r="1539" spans="2:19" x14ac:dyDescent="0.5">
      <c r="B1539" t="str">
        <f t="shared" si="1716"/>
        <v>SPS1</v>
      </c>
      <c r="C1539" t="str">
        <f t="shared" si="1717"/>
        <v>CH</v>
      </c>
      <c r="D1539" t="s">
        <v>1525</v>
      </c>
      <c r="E1539" t="s">
        <v>1229</v>
      </c>
      <c r="F1539" s="1" t="str">
        <f t="shared" si="1725"/>
        <v>-</v>
      </c>
      <c r="G1539" s="1" t="str">
        <f t="shared" si="1725"/>
        <v>-</v>
      </c>
      <c r="H1539" s="1" t="str">
        <f t="shared" si="1725"/>
        <v>-</v>
      </c>
      <c r="I1539" s="1">
        <f t="shared" si="1725"/>
        <v>1.7606485351727308</v>
      </c>
      <c r="J1539" s="1">
        <f t="shared" si="1725"/>
        <v>1.77887035471274</v>
      </c>
      <c r="K1539" s="1">
        <f t="shared" si="1725"/>
        <v>1.7934726588070264</v>
      </c>
      <c r="L1539" s="1">
        <f t="shared" ref="L1539:O1539" si="1729">IFERROR(L1525/L1506,"-")</f>
        <v>1.8129896432017125</v>
      </c>
      <c r="M1539" s="1">
        <f t="shared" si="1729"/>
        <v>1.8391433085370259</v>
      </c>
      <c r="N1539" s="1">
        <f t="shared" si="1729"/>
        <v>1.8568269938216901</v>
      </c>
      <c r="O1539" s="1">
        <f t="shared" si="1729"/>
        <v>1.870382212646942</v>
      </c>
      <c r="P1539" s="1">
        <f t="shared" si="1727"/>
        <v>1.875225213714302</v>
      </c>
      <c r="Q1539" s="1">
        <f t="shared" si="1727"/>
        <v>1.8752252137142973</v>
      </c>
      <c r="S1539" s="3"/>
    </row>
    <row r="1540" spans="2:19" x14ac:dyDescent="0.5">
      <c r="B1540" t="str">
        <f t="shared" si="1716"/>
        <v>SPS1</v>
      </c>
      <c r="C1540" t="str">
        <f t="shared" si="1717"/>
        <v>CH</v>
      </c>
      <c r="D1540" t="s">
        <v>1526</v>
      </c>
      <c r="E1540" t="s">
        <v>1229</v>
      </c>
      <c r="F1540" s="1" t="str">
        <f t="shared" si="1725"/>
        <v>-</v>
      </c>
      <c r="G1540" s="1" t="str">
        <f t="shared" si="1725"/>
        <v>-</v>
      </c>
      <c r="H1540" s="1" t="str">
        <f t="shared" si="1725"/>
        <v>-</v>
      </c>
      <c r="I1540" s="1">
        <f t="shared" si="1725"/>
        <v>1.5620411785777202</v>
      </c>
      <c r="J1540" s="1">
        <f t="shared" si="1725"/>
        <v>1.5791580239216394</v>
      </c>
      <c r="K1540" s="1">
        <f t="shared" si="1725"/>
        <v>1.5958360434106746</v>
      </c>
      <c r="L1540" s="1">
        <f t="shared" ref="L1540:O1540" si="1730">IFERROR(L1526/L1507,"-")</f>
        <v>1.6140141033031641</v>
      </c>
      <c r="M1540" s="1">
        <f t="shared" si="1730"/>
        <v>1.6354766295506542</v>
      </c>
      <c r="N1540" s="1">
        <f t="shared" si="1730"/>
        <v>1.6532776737921129</v>
      </c>
      <c r="O1540" s="1">
        <f t="shared" si="1730"/>
        <v>1.6665489487641292</v>
      </c>
      <c r="P1540" s="1">
        <f t="shared" si="1727"/>
        <v>1.67469300514828</v>
      </c>
      <c r="Q1540" s="1">
        <f t="shared" si="1727"/>
        <v>1.6779856082197386</v>
      </c>
      <c r="S1540" s="3"/>
    </row>
    <row r="1541" spans="2:19" x14ac:dyDescent="0.5">
      <c r="B1541" t="str">
        <f t="shared" si="1716"/>
        <v>SPS1</v>
      </c>
      <c r="C1541" t="str">
        <f t="shared" si="1717"/>
        <v>CH</v>
      </c>
      <c r="D1541" t="s">
        <v>1582</v>
      </c>
      <c r="E1541" t="s">
        <v>1229</v>
      </c>
      <c r="F1541" s="1">
        <f t="shared" ref="F1541:K1545" si="1731">IFERROR(F1527/F1513,"-")</f>
        <v>0.77116510534577776</v>
      </c>
      <c r="G1541" s="1">
        <f t="shared" si="1731"/>
        <v>0.78723832996732068</v>
      </c>
      <c r="H1541" s="1">
        <f t="shared" si="1731"/>
        <v>0.81134816689963374</v>
      </c>
      <c r="I1541" s="1">
        <f t="shared" si="1731"/>
        <v>0.8515312284534895</v>
      </c>
      <c r="J1541" s="1" t="str">
        <f t="shared" si="1731"/>
        <v>-</v>
      </c>
      <c r="K1541" s="1" t="str">
        <f t="shared" si="1731"/>
        <v>-</v>
      </c>
      <c r="L1541" s="1" t="str">
        <f t="shared" ref="L1541:O1541" si="1732">IFERROR(L1527/L1513,"-")</f>
        <v>-</v>
      </c>
      <c r="M1541" s="1" t="str">
        <f t="shared" si="1732"/>
        <v>-</v>
      </c>
      <c r="N1541" s="1" t="str">
        <f t="shared" si="1732"/>
        <v>-</v>
      </c>
      <c r="O1541" s="1" t="str">
        <f t="shared" si="1732"/>
        <v>-</v>
      </c>
      <c r="P1541" s="1" t="str">
        <f t="shared" ref="P1541:Q1545" si="1733">IFERROR(P1527/P1513,"-")</f>
        <v>-</v>
      </c>
      <c r="Q1541" s="1" t="str">
        <f t="shared" si="1733"/>
        <v>-</v>
      </c>
      <c r="S1541" s="3"/>
    </row>
    <row r="1542" spans="2:19" x14ac:dyDescent="0.5">
      <c r="B1542" t="str">
        <f t="shared" si="1716"/>
        <v>SPS1</v>
      </c>
      <c r="C1542" t="str">
        <f t="shared" si="1717"/>
        <v>CH</v>
      </c>
      <c r="D1542" t="s">
        <v>1583</v>
      </c>
      <c r="E1542" t="s">
        <v>1229</v>
      </c>
      <c r="F1542" s="1">
        <f t="shared" si="1731"/>
        <v>1.9078836334110878</v>
      </c>
      <c r="G1542" s="1">
        <f t="shared" si="1731"/>
        <v>1.9240457236161026</v>
      </c>
      <c r="H1542" s="1">
        <f t="shared" si="1731"/>
        <v>1.9243487910729211</v>
      </c>
      <c r="I1542" s="1">
        <f t="shared" si="1731"/>
        <v>1.9526423967179336</v>
      </c>
      <c r="J1542" s="1">
        <f t="shared" si="1731"/>
        <v>2.0343406639677495</v>
      </c>
      <c r="K1542" s="1">
        <f t="shared" si="1731"/>
        <v>2.0561043619378485</v>
      </c>
      <c r="L1542" s="1">
        <f t="shared" ref="L1542:O1542" si="1734">IFERROR(L1528/L1514,"-")</f>
        <v>2.1001774754601041</v>
      </c>
      <c r="M1542" s="1">
        <f t="shared" si="1734"/>
        <v>2.1612608330111476</v>
      </c>
      <c r="N1542" s="1">
        <f t="shared" si="1734"/>
        <v>2.1792865378829656</v>
      </c>
      <c r="O1542" s="1">
        <f t="shared" si="1734"/>
        <v>2.1882785185199474</v>
      </c>
      <c r="P1542" s="1">
        <f t="shared" si="1733"/>
        <v>2.1882785185199514</v>
      </c>
      <c r="Q1542" s="1">
        <f t="shared" si="1733"/>
        <v>2.1882785185199509</v>
      </c>
      <c r="S1542" s="3"/>
    </row>
    <row r="1543" spans="2:19" x14ac:dyDescent="0.5">
      <c r="B1543" t="str">
        <f t="shared" si="1716"/>
        <v>SPS1</v>
      </c>
      <c r="C1543" t="str">
        <f t="shared" si="1717"/>
        <v>CH</v>
      </c>
      <c r="D1543" t="s">
        <v>1584</v>
      </c>
      <c r="E1543" t="s">
        <v>1229</v>
      </c>
      <c r="F1543" s="1">
        <f t="shared" si="1731"/>
        <v>1.1027629847473202</v>
      </c>
      <c r="G1543" s="1">
        <f t="shared" si="1731"/>
        <v>1.1043214770031726</v>
      </c>
      <c r="H1543" s="1">
        <f t="shared" si="1731"/>
        <v>1.1044314588418043</v>
      </c>
      <c r="I1543" s="1">
        <f t="shared" si="1731"/>
        <v>1.1049750558006699</v>
      </c>
      <c r="J1543" s="1">
        <f t="shared" si="1731"/>
        <v>1.115956465149663</v>
      </c>
      <c r="K1543" s="1">
        <f t="shared" si="1731"/>
        <v>1.1842138684428398</v>
      </c>
      <c r="L1543" s="1">
        <f t="shared" ref="L1543:O1543" si="1735">IFERROR(L1529/L1515,"-")</f>
        <v>1.2076608118661754</v>
      </c>
      <c r="M1543" s="1">
        <f t="shared" si="1735"/>
        <v>1.2332734173089006</v>
      </c>
      <c r="N1543" s="1">
        <f t="shared" si="1735"/>
        <v>1.2512138545702838</v>
      </c>
      <c r="O1543" s="1">
        <f t="shared" si="1735"/>
        <v>1.2575779131572411</v>
      </c>
      <c r="P1543" s="1">
        <f t="shared" si="1733"/>
        <v>1.2575779131572391</v>
      </c>
      <c r="Q1543" s="1">
        <f t="shared" si="1733"/>
        <v>1.2575779131572413</v>
      </c>
      <c r="S1543" s="3"/>
    </row>
    <row r="1544" spans="2:19" x14ac:dyDescent="0.5">
      <c r="B1544" t="str">
        <f t="shared" si="1716"/>
        <v>SPS1</v>
      </c>
      <c r="C1544" t="str">
        <f t="shared" si="1717"/>
        <v>CH</v>
      </c>
      <c r="D1544" t="s">
        <v>1585</v>
      </c>
      <c r="E1544" t="s">
        <v>1229</v>
      </c>
      <c r="F1544" s="1">
        <f t="shared" si="1731"/>
        <v>0.72942698043637111</v>
      </c>
      <c r="G1544" s="1">
        <f t="shared" si="1731"/>
        <v>0.73018201581212172</v>
      </c>
      <c r="H1544" s="1">
        <f t="shared" si="1731"/>
        <v>0.73022035109768269</v>
      </c>
      <c r="I1544" s="1">
        <f t="shared" si="1731"/>
        <v>0.73029361590303699</v>
      </c>
      <c r="J1544" s="1">
        <f t="shared" si="1731"/>
        <v>0.73051103958335939</v>
      </c>
      <c r="K1544" s="1">
        <f t="shared" si="1731"/>
        <v>0.73274158270238809</v>
      </c>
      <c r="L1544" s="1">
        <f t="shared" ref="L1544:O1544" si="1736">IFERROR(L1530/L1516,"-")</f>
        <v>0.78963938688113</v>
      </c>
      <c r="M1544" s="1">
        <f t="shared" si="1736"/>
        <v>0.80618201643164678</v>
      </c>
      <c r="N1544" s="1">
        <f t="shared" si="1736"/>
        <v>0.81754256494927258</v>
      </c>
      <c r="O1544" s="1">
        <f t="shared" si="1736"/>
        <v>0.82779904207962318</v>
      </c>
      <c r="P1544" s="1">
        <f t="shared" si="1733"/>
        <v>0.83134781163543237</v>
      </c>
      <c r="Q1544" s="1">
        <f t="shared" si="1733"/>
        <v>0.83134781163543159</v>
      </c>
      <c r="S1544" s="3"/>
    </row>
    <row r="1545" spans="2:19" x14ac:dyDescent="0.5">
      <c r="B1545" t="str">
        <f t="shared" si="1716"/>
        <v>SPS1</v>
      </c>
      <c r="C1545" t="str">
        <f t="shared" si="1717"/>
        <v>CH</v>
      </c>
      <c r="D1545" t="s">
        <v>1586</v>
      </c>
      <c r="E1545" t="s">
        <v>1229</v>
      </c>
      <c r="F1545" s="1">
        <f t="shared" si="1731"/>
        <v>0.67580166525687346</v>
      </c>
      <c r="G1545" s="1">
        <f t="shared" si="1731"/>
        <v>0.67642327207466135</v>
      </c>
      <c r="H1545" s="1">
        <f t="shared" si="1731"/>
        <v>0.67645276033188317</v>
      </c>
      <c r="I1545" s="1">
        <f t="shared" si="1731"/>
        <v>0.67651883569168314</v>
      </c>
      <c r="J1545" s="1">
        <f t="shared" si="1731"/>
        <v>0.67663821595250628</v>
      </c>
      <c r="K1545" s="1">
        <f t="shared" si="1731"/>
        <v>0.67684754168303796</v>
      </c>
      <c r="L1545" s="1">
        <f t="shared" ref="L1545:O1545" si="1737">IFERROR(L1531/L1517,"-")</f>
        <v>0.68003147406824682</v>
      </c>
      <c r="M1545" s="1">
        <f t="shared" si="1737"/>
        <v>0.74341917530728396</v>
      </c>
      <c r="N1545" s="1">
        <f t="shared" si="1737"/>
        <v>0.75503374081455066</v>
      </c>
      <c r="O1545" s="1">
        <f t="shared" si="1737"/>
        <v>0.76415176264441087</v>
      </c>
      <c r="P1545" s="1">
        <f t="shared" si="1733"/>
        <v>0.76994237485731953</v>
      </c>
      <c r="Q1545" s="1">
        <f t="shared" si="1733"/>
        <v>0.77223175790060428</v>
      </c>
      <c r="S1545" s="3"/>
    </row>
    <row r="1546" spans="2:19" x14ac:dyDescent="0.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16.708712639215356</v>
      </c>
      <c r="G1546" s="3">
        <f t="shared" ref="G1546:K1546" si="1738">G1547+G1550+G1552+G1559+G1567</f>
        <v>15.648396599393619</v>
      </c>
      <c r="H1546" s="3">
        <f t="shared" si="1738"/>
        <v>14.083686661742528</v>
      </c>
      <c r="I1546" s="3">
        <f t="shared" si="1738"/>
        <v>11.588874369159225</v>
      </c>
      <c r="J1546" s="3">
        <f t="shared" si="1738"/>
        <v>9.6774534147513247</v>
      </c>
      <c r="K1546" s="3">
        <f t="shared" si="1738"/>
        <v>8.8013894636023817</v>
      </c>
      <c r="L1546" s="3">
        <f t="shared" ref="L1546:O1546" si="1739">L1547+L1550+L1552+L1559+L1567</f>
        <v>9.1677624521964525</v>
      </c>
      <c r="M1546" s="3">
        <f t="shared" si="1739"/>
        <v>9.5183434598013896</v>
      </c>
      <c r="N1546" s="3">
        <f t="shared" si="1739"/>
        <v>9.9166406669503822</v>
      </c>
      <c r="O1546" s="3">
        <f t="shared" si="1739"/>
        <v>10.450790069944182</v>
      </c>
      <c r="P1546" s="3">
        <f>P1547+P1550+P1552+P1559+P1567</f>
        <v>11.027377832737608</v>
      </c>
      <c r="Q1546" s="3">
        <f>Q1547+Q1550+Q1552+Q1559+Q1567</f>
        <v>11.683707482203589</v>
      </c>
      <c r="S1546" s="3"/>
    </row>
    <row r="1547" spans="2:19" x14ac:dyDescent="0.5">
      <c r="B1547" t="str">
        <f t="shared" ref="B1547:B1592" si="1740">B1546</f>
        <v>SPS1</v>
      </c>
      <c r="C1547" t="str">
        <f t="shared" ref="C1547:C1592" si="1741">C1546</f>
        <v>CH</v>
      </c>
      <c r="D1547" t="s">
        <v>1536</v>
      </c>
      <c r="E1547" t="str">
        <f>E1546</f>
        <v>PJ/yr.</v>
      </c>
      <c r="F1547" s="1">
        <f>SUM(F1548:F1549)</f>
        <v>7.5191560598185408E-2</v>
      </c>
      <c r="G1547" s="1">
        <f t="shared" ref="G1547:K1547" si="1742">SUM(G1548:G1549)</f>
        <v>9.4915773558222394E-2</v>
      </c>
      <c r="H1547" s="1">
        <f t="shared" si="1742"/>
        <v>0.32354181048609049</v>
      </c>
      <c r="I1547" s="1">
        <f t="shared" si="1742"/>
        <v>1.2347478740546178</v>
      </c>
      <c r="J1547" s="1">
        <f t="shared" si="1742"/>
        <v>2.8908544873620148</v>
      </c>
      <c r="K1547" s="1">
        <f t="shared" si="1742"/>
        <v>5.0956643228911283</v>
      </c>
      <c r="L1547" s="1">
        <f t="shared" ref="L1547:O1547" si="1743">SUM(L1548:L1549)</f>
        <v>5.270202398548677</v>
      </c>
      <c r="M1547" s="1">
        <f t="shared" si="1743"/>
        <v>5.4799323411903789</v>
      </c>
      <c r="N1547" s="1">
        <f t="shared" si="1743"/>
        <v>5.8034417412295385</v>
      </c>
      <c r="O1547" s="1">
        <f t="shared" si="1743"/>
        <v>6.316500770561615</v>
      </c>
      <c r="P1547" s="1">
        <f>SUM(P1548:P1549)</f>
        <v>6.9083907457753746</v>
      </c>
      <c r="Q1547" s="1">
        <f>SUM(Q1548:Q1549)</f>
        <v>7.5216131041173497</v>
      </c>
      <c r="S1547" s="3"/>
    </row>
    <row r="1548" spans="2:19" x14ac:dyDescent="0.5">
      <c r="B1548" t="str">
        <f t="shared" si="1740"/>
        <v>SPS1</v>
      </c>
      <c r="C1548" t="str">
        <f t="shared" si="1741"/>
        <v>CH</v>
      </c>
      <c r="D1548" t="s">
        <v>1543</v>
      </c>
      <c r="E1548" t="str">
        <f t="shared" ref="E1548:E1572" si="1744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4.0311807448093248E-2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2.9852565918012677E-2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2.6287348571714875E-2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1.3045981063844237E-2</v>
      </c>
      <c r="J1548" s="1" cm="1">
        <f t="array" ref="J1548">SUMPRODUCT(("TFLGV-BeVELCExt"=[1]OUT_TransportEnergyCons!$A$3:$A$1000)*1,("Var_Fin"=[1]OUT_TransportEnergyCons!$B$3:$B$1000)*1,ISNUMBER(SEARCH("ELC",[1]OUT_TransportEnergyCons!$C$3:$C$1000))*1,[1]OUT_TransportEnergyCons!H$3:H$1000)</f>
        <v>0</v>
      </c>
      <c r="K1548" s="1" cm="1">
        <f t="array" ref="K1548">SUMPRODUCT(("TFLGV-BeVELCExt"=[1]OUT_TransportEnergyCons!$A$3:$A$1000)*1,("Var_Fin"=[1]OUT_TransportEnergyCons!$B$3:$B$1000)*1,ISNUMBER(SEARCH("ELC",[1]OUT_TransportEnergyCons!$C$3:$C$1000))*1,[1]OUT_TransportEnergyCons!I$3:I$1000)</f>
        <v>0</v>
      </c>
      <c r="L1548" s="1" cm="1">
        <f t="array" ref="L1548">SUMPRODUCT(("TFLGV-BeVELCExt"=[1]OUT_TransportEnergyCons!$A$3:$A$1000)*1,("Var_Fin"=[1]OUT_TransportEnergyCons!$B$3:$B$1000)*1,ISNUMBER(SEARCH("ELC",[1]OUT_TransportEnergyCons!$C$3:$C$1000))*1,[1]OUT_TransportEnergyCons!J$3:J$1000)</f>
        <v>0</v>
      </c>
      <c r="M1548" s="1" cm="1">
        <f t="array" ref="M1548">SUMPRODUCT(("TFLGV-BeVELCExt"=[1]OUT_TransportEnergyCons!$A$3:$A$1000)*1,("Var_Fin"=[1]OUT_TransportEnergyCons!$B$3:$B$1000)*1,ISNUMBER(SEARCH("ELC",[1]OUT_TransportEnergyCons!$C$3:$C$1000))*1,[1]OUT_TransportEnergyCons!K$3:K$1000)</f>
        <v>0</v>
      </c>
      <c r="N1548" s="1" cm="1">
        <f t="array" ref="N1548">SUMPRODUCT(("TFLGV-BeVELCExt"=[1]OUT_TransportEnergyCons!$A$3:$A$1000)*1,("Var_Fin"=[1]OUT_TransportEnergyCons!$B$3:$B$1000)*1,ISNUMBER(SEARCH("ELC",[1]OUT_TransportEnergyCons!$C$3:$C$1000))*1,[1]OUT_TransportEnergyCons!L$3:L$1000)</f>
        <v>0</v>
      </c>
      <c r="O1548" s="1" cm="1">
        <f t="array" ref="O1548">SUMPRODUCT(("TFLGV-BeVELCExt"=[1]OUT_TransportEnergyCons!$A$3:$A$1000)*1,("Var_Fin"=[1]OUT_TransportEnergyCons!$B$3:$B$1000)*1,ISNUMBER(SEARCH("ELC",[1]OUT_TransportEnergyCons!$C$3:$C$1000))*1,[1]OUT_TransportEnergyCons!M$3:M$1000)</f>
        <v>0</v>
      </c>
      <c r="P1548" s="1" cm="1">
        <f t="array" ref="P1548">SUMPRODUCT(("TFLGV-BeVELCExt"=[1]OUT_TransportEnergyCons!$A$3:$A$1000)*1,("Var_Fin"=[1]OUT_TransportEnergyCons!$B$3:$B$1000)*1,ISNUMBER(SEARCH("ELC",[1]OUT_TransportEnergyCons!$C$3:$C$1000))*1,[1]OUT_TransportEnergyCons!N$3:N$1000)</f>
        <v>0</v>
      </c>
      <c r="Q1548" s="1" cm="1">
        <f t="array" ref="Q1548">SUMPRODUCT(("TFLGV-BeVELCExt"=[1]OUT_TransportEnergyCons!$A$3:$A$1000)*1,("Var_Fin"=[1]OUT_TransportEnergyCons!$B$3:$B$1000)*1,ISNUMBER(SEARCH("ELC",[1]OUT_TransportEnergyCons!$C$3:$C$1000))*1,[1]OUT_TransportEnergyCons!O$3:O$1000)</f>
        <v>0</v>
      </c>
      <c r="S1548" s="3"/>
    </row>
    <row r="1549" spans="2:19" x14ac:dyDescent="0.5">
      <c r="B1549" t="str">
        <f t="shared" si="1740"/>
        <v>SPS1</v>
      </c>
      <c r="C1549" t="str">
        <f t="shared" si="1741"/>
        <v>CH</v>
      </c>
      <c r="D1549" t="s">
        <v>1544</v>
      </c>
      <c r="E1549" t="str">
        <f t="shared" si="1744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3.4879753150092153E-2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6.5063207640209716E-2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0.2972544619143756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1.2217018929907737</v>
      </c>
      <c r="J1549" s="1" cm="1">
        <f t="array" ref="J1549">SUMPRODUCT(("TFLGV-BEVELC"=[1]OUT_TransportEnergyCons!$A$3:$A$1000)*1,("Var_Fin"=[1]OUT_TransportEnergyCons!$B$3:$B$1000)*1,ISNUMBER(SEARCH("ELC",[1]OUT_TransportEnergyCons!$C$3:$C$1000))*1,[1]OUT_TransportEnergyCons!H$3:H$1000)</f>
        <v>2.8908544873620148</v>
      </c>
      <c r="K1549" s="1" cm="1">
        <f t="array" ref="K1549">SUMPRODUCT(("TFLGV-BEVELC"=[1]OUT_TransportEnergyCons!$A$3:$A$1000)*1,("Var_Fin"=[1]OUT_TransportEnergyCons!$B$3:$B$1000)*1,ISNUMBER(SEARCH("ELC",[1]OUT_TransportEnergyCons!$C$3:$C$1000))*1,[1]OUT_TransportEnergyCons!I$3:I$1000)</f>
        <v>5.0956643228911283</v>
      </c>
      <c r="L1549" s="1" cm="1">
        <f t="array" ref="L1549">SUMPRODUCT(("TFLGV-BEVELC"=[1]OUT_TransportEnergyCons!$A$3:$A$1000)*1,("Var_Fin"=[1]OUT_TransportEnergyCons!$B$3:$B$1000)*1,ISNUMBER(SEARCH("ELC",[1]OUT_TransportEnergyCons!$C$3:$C$1000))*1,[1]OUT_TransportEnergyCons!J$3:J$1000)</f>
        <v>5.270202398548677</v>
      </c>
      <c r="M1549" s="1" cm="1">
        <f t="array" ref="M1549">SUMPRODUCT(("TFLGV-BEVELC"=[1]OUT_TransportEnergyCons!$A$3:$A$1000)*1,("Var_Fin"=[1]OUT_TransportEnergyCons!$B$3:$B$1000)*1,ISNUMBER(SEARCH("ELC",[1]OUT_TransportEnergyCons!$C$3:$C$1000))*1,[1]OUT_TransportEnergyCons!K$3:K$1000)</f>
        <v>5.4799323411903789</v>
      </c>
      <c r="N1549" s="1" cm="1">
        <f t="array" ref="N1549">SUMPRODUCT(("TFLGV-BEVELC"=[1]OUT_TransportEnergyCons!$A$3:$A$1000)*1,("Var_Fin"=[1]OUT_TransportEnergyCons!$B$3:$B$1000)*1,ISNUMBER(SEARCH("ELC",[1]OUT_TransportEnergyCons!$C$3:$C$1000))*1,[1]OUT_TransportEnergyCons!L$3:L$1000)</f>
        <v>5.8034417412295385</v>
      </c>
      <c r="O1549" s="1" cm="1">
        <f t="array" ref="O1549">SUMPRODUCT(("TFLGV-BEVELC"=[1]OUT_TransportEnergyCons!$A$3:$A$1000)*1,("Var_Fin"=[1]OUT_TransportEnergyCons!$B$3:$B$1000)*1,ISNUMBER(SEARCH("ELC",[1]OUT_TransportEnergyCons!$C$3:$C$1000))*1,[1]OUT_TransportEnergyCons!M$3:M$1000)</f>
        <v>6.316500770561615</v>
      </c>
      <c r="P1549" s="1" cm="1">
        <f t="array" ref="P1549">SUMPRODUCT(("TFLGV-BEVELC"=[1]OUT_TransportEnergyCons!$A$3:$A$1000)*1,("Var_Fin"=[1]OUT_TransportEnergyCons!$B$3:$B$1000)*1,ISNUMBER(SEARCH("ELC",[1]OUT_TransportEnergyCons!$C$3:$C$1000))*1,[1]OUT_TransportEnergyCons!N$3:N$1000)</f>
        <v>6.9083907457753746</v>
      </c>
      <c r="Q1549" s="1" cm="1">
        <f t="array" ref="Q1549">SUMPRODUCT(("TFLGV-BEVELC"=[1]OUT_TransportEnergyCons!$A$3:$A$1000)*1,("Var_Fin"=[1]OUT_TransportEnergyCons!$B$3:$B$1000)*1,ISNUMBER(SEARCH("ELC",[1]OUT_TransportEnergyCons!$C$3:$C$1000))*1,[1]OUT_TransportEnergyCons!O$3:O$1000)</f>
        <v>7.5216131041173497</v>
      </c>
      <c r="S1549" s="3"/>
    </row>
    <row r="1550" spans="2:19" x14ac:dyDescent="0.5">
      <c r="B1550" t="str">
        <f t="shared" si="1740"/>
        <v>SPS1</v>
      </c>
      <c r="C1550" t="str">
        <f t="shared" si="1741"/>
        <v>CH</v>
      </c>
      <c r="D1550" t="s">
        <v>1537</v>
      </c>
      <c r="E1550" t="str">
        <f t="shared" si="1744"/>
        <v>PJ/yr.</v>
      </c>
      <c r="F1550" s="1">
        <f>F1551</f>
        <v>0</v>
      </c>
      <c r="G1550" s="1">
        <f t="shared" ref="G1550:O1550" si="1745">G1551</f>
        <v>2.1541769045735825E-4</v>
      </c>
      <c r="H1550" s="1">
        <f t="shared" si="1745"/>
        <v>2.8400470186114746E-4</v>
      </c>
      <c r="I1550" s="1">
        <f t="shared" si="1745"/>
        <v>2.0259760276665849E-5</v>
      </c>
      <c r="J1550" s="1">
        <f t="shared" si="1745"/>
        <v>1.7234179941346509E-5</v>
      </c>
      <c r="K1550" s="1">
        <f t="shared" si="1745"/>
        <v>1.579108837679192E-5</v>
      </c>
      <c r="L1550" s="1">
        <f t="shared" si="1745"/>
        <v>1.6581587804563317E-5</v>
      </c>
      <c r="M1550" s="1">
        <f t="shared" si="1745"/>
        <v>1.5346772530484907E-5</v>
      </c>
      <c r="N1550" s="1">
        <f t="shared" si="1745"/>
        <v>1.4521794907802209E-5</v>
      </c>
      <c r="O1550" s="1">
        <f t="shared" si="1745"/>
        <v>1.3817339420387879E-5</v>
      </c>
      <c r="P1550" s="1">
        <f>P1551</f>
        <v>1.275200370291809E-5</v>
      </c>
      <c r="Q1550" s="1">
        <f>Q1551</f>
        <v>5.241949002886811E-5</v>
      </c>
      <c r="S1550" s="3"/>
    </row>
    <row r="1551" spans="2:19" x14ac:dyDescent="0.5">
      <c r="B1551" t="str">
        <f t="shared" si="1740"/>
        <v>SPS1</v>
      </c>
      <c r="C1551" t="str">
        <f t="shared" si="1741"/>
        <v>CH</v>
      </c>
      <c r="D1551" t="s">
        <v>1545</v>
      </c>
      <c r="E1551" t="str">
        <f t="shared" si="1744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2.1541769045735825E-4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2.8400470186114746E-4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2.0259760276665849E-5</v>
      </c>
      <c r="J1551" s="1" cm="1">
        <f t="array" ref="J1551">SUMPRODUCT(("TFLGV-FCLH2O"=[1]OUT_TransportEnergyCons!$A$3:$A$1000)*1,("Var_Fin"=[1]OUT_TransportEnergyCons!$B$3:$B$1000)*1,ISNUMBER(SEARCH("h2",[1]OUT_TransportEnergyCons!$C$3:$C$1000))*1,[1]OUT_TransportEnergyCons!H$3:H$1000)</f>
        <v>1.7234179941346509E-5</v>
      </c>
      <c r="K1551" s="1" cm="1">
        <f t="array" ref="K1551">SUMPRODUCT(("TFLGV-FCLH2O"=[1]OUT_TransportEnergyCons!$A$3:$A$1000)*1,("Var_Fin"=[1]OUT_TransportEnergyCons!$B$3:$B$1000)*1,ISNUMBER(SEARCH("h2",[1]OUT_TransportEnergyCons!$C$3:$C$1000))*1,[1]OUT_TransportEnergyCons!I$3:I$1000)</f>
        <v>1.579108837679192E-5</v>
      </c>
      <c r="L1551" s="1" cm="1">
        <f t="array" ref="L1551">SUMPRODUCT(("TFLGV-FCLH2O"=[1]OUT_TransportEnergyCons!$A$3:$A$1000)*1,("Var_Fin"=[1]OUT_TransportEnergyCons!$B$3:$B$1000)*1,ISNUMBER(SEARCH("h2",[1]OUT_TransportEnergyCons!$C$3:$C$1000))*1,[1]OUT_TransportEnergyCons!J$3:J$1000)</f>
        <v>1.6581587804563317E-5</v>
      </c>
      <c r="M1551" s="1" cm="1">
        <f t="array" ref="M1551">SUMPRODUCT(("TFLGV-FCLH2O"=[1]OUT_TransportEnergyCons!$A$3:$A$1000)*1,("Var_Fin"=[1]OUT_TransportEnergyCons!$B$3:$B$1000)*1,ISNUMBER(SEARCH("h2",[1]OUT_TransportEnergyCons!$C$3:$C$1000))*1,[1]OUT_TransportEnergyCons!K$3:K$1000)</f>
        <v>1.5346772530484907E-5</v>
      </c>
      <c r="N1551" s="1" cm="1">
        <f t="array" ref="N1551">SUMPRODUCT(("TFLGV-FCLH2O"=[1]OUT_TransportEnergyCons!$A$3:$A$1000)*1,("Var_Fin"=[1]OUT_TransportEnergyCons!$B$3:$B$1000)*1,ISNUMBER(SEARCH("h2",[1]OUT_TransportEnergyCons!$C$3:$C$1000))*1,[1]OUT_TransportEnergyCons!L$3:L$1000)</f>
        <v>1.4521794907802209E-5</v>
      </c>
      <c r="O1551" s="1" cm="1">
        <f t="array" ref="O1551">SUMPRODUCT(("TFLGV-FCLH2O"=[1]OUT_TransportEnergyCons!$A$3:$A$1000)*1,("Var_Fin"=[1]OUT_TransportEnergyCons!$B$3:$B$1000)*1,ISNUMBER(SEARCH("h2",[1]OUT_TransportEnergyCons!$C$3:$C$1000))*1,[1]OUT_TransportEnergyCons!M$3:M$1000)</f>
        <v>1.3817339420387879E-5</v>
      </c>
      <c r="P1551" s="1" cm="1">
        <f t="array" ref="P1551">SUMPRODUCT(("TFLGV-FCLH2O"=[1]OUT_TransportEnergyCons!$A$3:$A$1000)*1,("Var_Fin"=[1]OUT_TransportEnergyCons!$B$3:$B$1000)*1,ISNUMBER(SEARCH("h2",[1]OUT_TransportEnergyCons!$C$3:$C$1000))*1,[1]OUT_TransportEnergyCons!N$3:N$1000)</f>
        <v>1.275200370291809E-5</v>
      </c>
      <c r="Q1551" s="1" cm="1">
        <f t="array" ref="Q1551">SUMPRODUCT(("TFLGV-FCLH2O"=[1]OUT_TransportEnergyCons!$A$3:$A$1000)*1,("Var_Fin"=[1]OUT_TransportEnergyCons!$B$3:$B$1000)*1,ISNUMBER(SEARCH("h2",[1]OUT_TransportEnergyCons!$C$3:$C$1000))*1,[1]OUT_TransportEnergyCons!O$3:O$1000)</f>
        <v>5.241949002886811E-5</v>
      </c>
      <c r="S1551" s="3"/>
    </row>
    <row r="1552" spans="2:19" x14ac:dyDescent="0.5">
      <c r="B1552" t="str">
        <f t="shared" si="1740"/>
        <v>SPS1</v>
      </c>
      <c r="C1552" t="str">
        <f t="shared" si="1741"/>
        <v>CH</v>
      </c>
      <c r="D1552" t="s">
        <v>1538</v>
      </c>
      <c r="E1552" t="str">
        <f t="shared" si="1744"/>
        <v>PJ/yr.</v>
      </c>
      <c r="F1552" s="1">
        <f>SUM(F1557:F1558)</f>
        <v>1.1175514281603527</v>
      </c>
      <c r="G1552" s="1">
        <f t="shared" ref="G1552:K1552" si="1746">SUM(G1557:G1558)</f>
        <v>1.7971837164326354</v>
      </c>
      <c r="H1552" s="1">
        <f t="shared" si="1746"/>
        <v>1.5253262340422995</v>
      </c>
      <c r="I1552" s="1">
        <f t="shared" si="1746"/>
        <v>1.7470193341136795</v>
      </c>
      <c r="J1552" s="1">
        <f t="shared" si="1746"/>
        <v>1.9887054330615082</v>
      </c>
      <c r="K1552" s="1">
        <f t="shared" si="1746"/>
        <v>1.1971395097929944</v>
      </c>
      <c r="L1552" s="1">
        <f t="shared" ref="L1552:O1552" si="1747">SUM(L1557:L1558)</f>
        <v>1.3148042452737698</v>
      </c>
      <c r="M1552" s="1">
        <f t="shared" si="1747"/>
        <v>1.4497472494193051</v>
      </c>
      <c r="N1552" s="1">
        <f t="shared" si="1747"/>
        <v>1.4561404777954328</v>
      </c>
      <c r="O1552" s="1">
        <f t="shared" si="1747"/>
        <v>1.4778981639348068</v>
      </c>
      <c r="P1552" s="1">
        <f>SUM(P1557:P1558)</f>
        <v>1.4790460873250029</v>
      </c>
      <c r="Q1552" s="1">
        <f>SUM(Q1557:Q1558)</f>
        <v>1.4852249650333842</v>
      </c>
      <c r="S1552" s="3"/>
    </row>
    <row r="1553" spans="2:19" x14ac:dyDescent="0.5">
      <c r="B1553" t="str">
        <f t="shared" si="1740"/>
        <v>SPS1</v>
      </c>
      <c r="C1553" t="str">
        <f t="shared" si="1741"/>
        <v>CH</v>
      </c>
      <c r="D1553" t="s">
        <v>1539</v>
      </c>
      <c r="E1553" t="str">
        <f t="shared" si="1744"/>
        <v>PJ/yr.</v>
      </c>
      <c r="F1553" s="1">
        <f>IF(F1552-F1554&lt;0,0,F1552-F1554)</f>
        <v>1.0563733677610547</v>
      </c>
      <c r="G1553" s="1">
        <f t="shared" ref="G1553:K1553" si="1748">IF(G1552-G1554&lt;0,0,G1552-G1554)</f>
        <v>1.6988030049977425</v>
      </c>
      <c r="H1553" s="1">
        <f t="shared" si="1748"/>
        <v>1.4418236110279383</v>
      </c>
      <c r="I1553" s="1">
        <f t="shared" si="1748"/>
        <v>1.6318983090254728</v>
      </c>
      <c r="J1553" s="1">
        <f t="shared" si="1748"/>
        <v>1.8679728708724583</v>
      </c>
      <c r="K1553" s="1">
        <f t="shared" si="1748"/>
        <v>1.1315681379167835</v>
      </c>
      <c r="L1553" s="1">
        <f t="shared" ref="L1553:O1553" si="1749">IF(L1552-L1554&lt;0,0,L1552-L1554)</f>
        <v>1.2427807765625967</v>
      </c>
      <c r="M1553" s="1">
        <f t="shared" si="1749"/>
        <v>1.3702585671015532</v>
      </c>
      <c r="N1553" s="1">
        <f t="shared" si="1749"/>
        <v>1.37636020060443</v>
      </c>
      <c r="O1553" s="1">
        <f t="shared" si="1749"/>
        <v>1.396837085007046</v>
      </c>
      <c r="P1553" s="1">
        <f>IF(P1552-P1554&lt;0,0,P1552-P1554)</f>
        <v>1.3979513172361098</v>
      </c>
      <c r="Q1553" s="1">
        <f>IF(Q1552-Q1554&lt;0,0,Q1552-Q1554)</f>
        <v>1.4036001988182427</v>
      </c>
      <c r="S1553" s="3"/>
    </row>
    <row r="1554" spans="2:19" x14ac:dyDescent="0.5">
      <c r="B1554" t="str">
        <f t="shared" si="1740"/>
        <v>SPS1</v>
      </c>
      <c r="C1554" t="str">
        <f t="shared" si="1741"/>
        <v>CH</v>
      </c>
      <c r="D1554" t="s">
        <v>1540</v>
      </c>
      <c r="E1554" t="str">
        <f t="shared" si="1744"/>
        <v>PJ/yr.</v>
      </c>
      <c r="F1554" s="1">
        <f>SUM(F1555:F1556)</f>
        <v>6.1178060399297893E-2</v>
      </c>
      <c r="G1554" s="1">
        <f t="shared" ref="G1554:K1554" si="1750">SUM(G1555:G1556)</f>
        <v>9.838071143489302E-2</v>
      </c>
      <c r="H1554" s="1">
        <f t="shared" si="1750"/>
        <v>8.3502623014361274E-2</v>
      </c>
      <c r="I1554" s="1">
        <f t="shared" si="1750"/>
        <v>0.11512102508820654</v>
      </c>
      <c r="J1554" s="1">
        <f t="shared" si="1750"/>
        <v>0.12073256218904976</v>
      </c>
      <c r="K1554" s="1">
        <f t="shared" si="1750"/>
        <v>6.5571371876210913E-2</v>
      </c>
      <c r="L1554" s="1">
        <f t="shared" ref="L1554:O1554" si="1751">SUM(L1555:L1556)</f>
        <v>7.2023468711173266E-2</v>
      </c>
      <c r="M1554" s="1">
        <f t="shared" si="1751"/>
        <v>7.9488682317751844E-2</v>
      </c>
      <c r="N1554" s="1">
        <f t="shared" si="1751"/>
        <v>7.978027719100271E-2</v>
      </c>
      <c r="O1554" s="1">
        <f t="shared" si="1751"/>
        <v>8.1061078927760877E-2</v>
      </c>
      <c r="P1554" s="1">
        <f>SUM(P1555:P1556)</f>
        <v>8.1094770088893056E-2</v>
      </c>
      <c r="Q1554" s="1">
        <f>SUM(Q1555:Q1556)</f>
        <v>8.1624766215141559E-2</v>
      </c>
      <c r="S1554" s="3"/>
    </row>
    <row r="1555" spans="2:19" x14ac:dyDescent="0.5">
      <c r="B1555" t="str">
        <f t="shared" si="1740"/>
        <v>SPS1</v>
      </c>
      <c r="C1555" t="str">
        <f t="shared" si="1741"/>
        <v>CH</v>
      </c>
      <c r="D1555" t="s">
        <v>1541</v>
      </c>
      <c r="E1555" t="str">
        <f t="shared" si="1744"/>
        <v>PJ/yr.</v>
      </c>
      <c r="F1555" s="1">
        <f>[1]Transport!B$25/SUM([1]Transport!B$21,[1]Transport!B$25)*F1552*(F$35+F$600)/(F$35+F$600+F$39)</f>
        <v>6.1178060399297893E-2</v>
      </c>
      <c r="G1555" s="1">
        <f>[1]Transport!C$25/SUM([1]Transport!C$21,[1]Transport!C$25)*G1552*(G$35+G$600)/(G$35+G$600+G$39)</f>
        <v>9.838071143489302E-2</v>
      </c>
      <c r="H1555" s="1">
        <f>[1]Transport!D$25/SUM([1]Transport!D$21,[1]Transport!D$25)*H1552*(H$35+H$600)/(H$35+H$600+H$39)</f>
        <v>8.3502623014361274E-2</v>
      </c>
      <c r="I1555" s="1">
        <f>[1]Transport!E$25/SUM([1]Transport!E$21,[1]Transport!E$25)*I1552*(I$35+I$600)/(I$35+I$600+I$39)</f>
        <v>0.11512102508820654</v>
      </c>
      <c r="J1555" s="1">
        <f>[1]Transport!F$25/SUM([1]Transport!F$21,[1]Transport!F$25)*J1552*(J$35+J$600)/(J$35+J$600+J$39)</f>
        <v>0.12073256218904976</v>
      </c>
      <c r="K1555" s="1">
        <f>[1]Transport!G$25/SUM([1]Transport!G$21,[1]Transport!G$25)*K1552*(K$35+K$600)/(K$35+K$600+K$39)</f>
        <v>6.5571371876210913E-2</v>
      </c>
      <c r="L1555" s="1">
        <f>[1]Transport!H$25/SUM([1]Transport!H$21,[1]Transport!H$25)*L1552*(L$35+L$600)/(L$35+L$600+L$39)</f>
        <v>7.2023468711173266E-2</v>
      </c>
      <c r="M1555" s="1">
        <f>[1]Transport!I$25/SUM([1]Transport!I$21,[1]Transport!I$25)*M1552*(M$35+M$600)/(M$35+M$600+M$39)</f>
        <v>7.9488682317751844E-2</v>
      </c>
      <c r="N1555" s="1">
        <f>[1]Transport!J$25/SUM([1]Transport!J$21,[1]Transport!J$25)*N1552*(N$35+N$600)/(N$35+N$600+N$39)</f>
        <v>7.978027719100271E-2</v>
      </c>
      <c r="O1555" s="1">
        <f>[1]Transport!K$25/SUM([1]Transport!K$21,[1]Transport!K$25)*O1552*(O$35+O$600)/(O$35+O$600+O$39)</f>
        <v>8.1061078927760877E-2</v>
      </c>
      <c r="P1555" s="1">
        <f>[1]Transport!L$25/SUM([1]Transport!L$21,[1]Transport!L$25)*P1552*(P$35+P$600)/(P$35+P$600+P$39)</f>
        <v>8.1094770088893056E-2</v>
      </c>
      <c r="Q1555" s="1">
        <f>[1]Transport!M$25/SUM([1]Transport!M$21,[1]Transport!M$25)*Q1552*(Q$35+Q$600)/(Q$35+Q$600+Q$39)</f>
        <v>8.1624766215141559E-2</v>
      </c>
      <c r="S1555" s="3"/>
    </row>
    <row r="1556" spans="2:19" x14ac:dyDescent="0.5">
      <c r="B1556" t="str">
        <f t="shared" si="1740"/>
        <v>SPS1</v>
      </c>
      <c r="C1556" t="str">
        <f t="shared" si="1741"/>
        <v>CH</v>
      </c>
      <c r="D1556" t="s">
        <v>1542</v>
      </c>
      <c r="E1556" t="str">
        <f t="shared" si="1744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(J$39+J$719)/([1]Transport!F$21+[1]Transport!F$25)*J1552</f>
        <v>0</v>
      </c>
      <c r="K1556" s="1">
        <f>(K$39+K$719)/([1]Transport!G$21+[1]Transport!G$25)*K1552</f>
        <v>0</v>
      </c>
      <c r="L1556" s="1">
        <f>(L$39+L$719)/([1]Transport!H$21+[1]Transport!H$25)*L1552</f>
        <v>0</v>
      </c>
      <c r="M1556" s="1">
        <f>(M$39+M$719)/([1]Transport!I$21+[1]Transport!I$25)*M1552</f>
        <v>0</v>
      </c>
      <c r="N1556" s="1">
        <f>(N$39+N$719)/([1]Transport!J$21+[1]Transport!J$25)*N1552</f>
        <v>0</v>
      </c>
      <c r="O1556" s="1">
        <f>(O$39+O$719)/([1]Transport!K$21+[1]Transport!K$25)*O1552</f>
        <v>0</v>
      </c>
      <c r="P1556" s="1">
        <f>(P$39+P$719)/([1]Transport!L$21+[1]Transport!L$25)*P1552</f>
        <v>0</v>
      </c>
      <c r="Q1556" s="1">
        <f>(Q$39+Q$719)/([1]Transport!M$21+[1]Transport!M$25)*Q1552</f>
        <v>0</v>
      </c>
      <c r="S1556" s="3"/>
    </row>
    <row r="1557" spans="2:19" x14ac:dyDescent="0.5">
      <c r="B1557" t="str">
        <f t="shared" si="1740"/>
        <v>SPS1</v>
      </c>
      <c r="C1557" t="str">
        <f t="shared" si="1741"/>
        <v>CH</v>
      </c>
      <c r="D1557" t="s">
        <v>1588</v>
      </c>
      <c r="E1557" t="str">
        <f t="shared" si="1744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0.72623700254501311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1.2173890353959518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0.59496166051473698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0.27192044732831805</v>
      </c>
      <c r="J1557" s="1" cm="1">
        <f t="array" ref="J1557">SUMPRODUCT(("TFLGV-ICEGSLExt"=[1]OUT_TransportEnergyCons!$A$3:$A$1000)*1,("Var_Fin"=[1]OUT_TransportEnergyCons!$B$3:$B$1000)*1,ISNUMBER(SEARCH("gsl",[1]OUT_TransportEnergyCons!$C$3:$C$1000))*1,[1]OUT_TransportEnergyCons!H$3:H$1000)</f>
        <v>0</v>
      </c>
      <c r="K1557" s="1" cm="1">
        <f t="array" ref="K1557">SUMPRODUCT(("TFLGV-ICEGSLExt"=[1]OUT_TransportEnergyCons!$A$3:$A$1000)*1,("Var_Fin"=[1]OUT_TransportEnergyCons!$B$3:$B$1000)*1,ISNUMBER(SEARCH("gsl",[1]OUT_TransportEnergyCons!$C$3:$C$1000))*1,[1]OUT_TransportEnergyCons!I$3:I$1000)</f>
        <v>0</v>
      </c>
      <c r="L1557" s="1" cm="1">
        <f t="array" ref="L1557">SUMPRODUCT(("TFLGV-ICEGSLExt"=[1]OUT_TransportEnergyCons!$A$3:$A$1000)*1,("Var_Fin"=[1]OUT_TransportEnergyCons!$B$3:$B$1000)*1,ISNUMBER(SEARCH("gsl",[1]OUT_TransportEnergyCons!$C$3:$C$1000))*1,[1]OUT_TransportEnergyCons!J$3:J$1000)</f>
        <v>0</v>
      </c>
      <c r="M1557" s="1" cm="1">
        <f t="array" ref="M1557">SUMPRODUCT(("TFLGV-ICEGSLExt"=[1]OUT_TransportEnergyCons!$A$3:$A$1000)*1,("Var_Fin"=[1]OUT_TransportEnergyCons!$B$3:$B$1000)*1,ISNUMBER(SEARCH("gsl",[1]OUT_TransportEnergyCons!$C$3:$C$1000))*1,[1]OUT_TransportEnergyCons!K$3:K$1000)</f>
        <v>0</v>
      </c>
      <c r="N1557" s="1" cm="1">
        <f t="array" ref="N1557">SUMPRODUCT(("TFLGV-ICEGSLExt"=[1]OUT_TransportEnergyCons!$A$3:$A$1000)*1,("Var_Fin"=[1]OUT_TransportEnergyCons!$B$3:$B$1000)*1,ISNUMBER(SEARCH("gsl",[1]OUT_TransportEnergyCons!$C$3:$C$1000))*1,[1]OUT_TransportEnergyCons!L$3:L$1000)</f>
        <v>0</v>
      </c>
      <c r="O1557" s="1" cm="1">
        <f t="array" ref="O1557">SUMPRODUCT(("TFLGV-ICEGSLExt"=[1]OUT_TransportEnergyCons!$A$3:$A$1000)*1,("Var_Fin"=[1]OUT_TransportEnergyCons!$B$3:$B$1000)*1,ISNUMBER(SEARCH("gsl",[1]OUT_TransportEnergyCons!$C$3:$C$1000))*1,[1]OUT_TransportEnergyCons!M$3:M$1000)</f>
        <v>0</v>
      </c>
      <c r="P1557" s="1" cm="1">
        <f t="array" ref="P1557">SUMPRODUCT(("TFLGV-ICEGSLExt"=[1]OUT_TransportEnergyCons!$A$3:$A$1000)*1,("Var_Fin"=[1]OUT_TransportEnergyCons!$B$3:$B$1000)*1,ISNUMBER(SEARCH("gsl",[1]OUT_TransportEnergyCons!$C$3:$C$1000))*1,[1]OUT_TransportEnergyCons!N$3:N$1000)</f>
        <v>0</v>
      </c>
      <c r="Q1557" s="1" cm="1">
        <f t="array" ref="Q1557">SUMPRODUCT(("TFLGV-ICEGSLExt"=[1]OUT_TransportEnergyCons!$A$3:$A$1000)*1,("Var_Fin"=[1]OUT_TransportEnergyCons!$B$3:$B$1000)*1,ISNUMBER(SEARCH("gsl",[1]OUT_TransportEnergyCons!$C$3:$C$1000))*1,[1]OUT_TransportEnergyCons!O$3:O$1000)</f>
        <v>0</v>
      </c>
      <c r="S1557" s="3"/>
    </row>
    <row r="1558" spans="2:19" x14ac:dyDescent="0.5">
      <c r="B1558" t="str">
        <f t="shared" si="1740"/>
        <v>SPS1</v>
      </c>
      <c r="C1558" t="str">
        <f t="shared" si="1741"/>
        <v>CH</v>
      </c>
      <c r="D1558" t="s">
        <v>1587</v>
      </c>
      <c r="E1558" t="str">
        <f t="shared" si="1744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0.39131442561533958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0.57979468103668375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0.93036457352756263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1.4750988867853614</v>
      </c>
      <c r="J1558" s="1" cm="1">
        <f t="array" ref="J1558">SUMPRODUCT(("TFLGV-ICEGSL"=[1]OUT_TransportEnergyCons!$A$3:$A$1000)*1,("Var_Fin"=[1]OUT_TransportEnergyCons!$B$3:$B$1000)*1,ISNUMBER(SEARCH("gsl",[1]OUT_TransportEnergyCons!$C$3:$C$1000))*1,[1]OUT_TransportEnergyCons!H$3:H$1000)</f>
        <v>1.9887054330615082</v>
      </c>
      <c r="K1558" s="1" cm="1">
        <f t="array" ref="K1558">SUMPRODUCT(("TFLGV-ICEGSL"=[1]OUT_TransportEnergyCons!$A$3:$A$1000)*1,("Var_Fin"=[1]OUT_TransportEnergyCons!$B$3:$B$1000)*1,ISNUMBER(SEARCH("gsl",[1]OUT_TransportEnergyCons!$C$3:$C$1000))*1,[1]OUT_TransportEnergyCons!I$3:I$1000)</f>
        <v>1.1971395097929944</v>
      </c>
      <c r="L1558" s="1" cm="1">
        <f t="array" ref="L1558">SUMPRODUCT(("TFLGV-ICEGSL"=[1]OUT_TransportEnergyCons!$A$3:$A$1000)*1,("Var_Fin"=[1]OUT_TransportEnergyCons!$B$3:$B$1000)*1,ISNUMBER(SEARCH("gsl",[1]OUT_TransportEnergyCons!$C$3:$C$1000))*1,[1]OUT_TransportEnergyCons!J$3:J$1000)</f>
        <v>1.3148042452737698</v>
      </c>
      <c r="M1558" s="1" cm="1">
        <f t="array" ref="M1558">SUMPRODUCT(("TFLGV-ICEGSL"=[1]OUT_TransportEnergyCons!$A$3:$A$1000)*1,("Var_Fin"=[1]OUT_TransportEnergyCons!$B$3:$B$1000)*1,ISNUMBER(SEARCH("gsl",[1]OUT_TransportEnergyCons!$C$3:$C$1000))*1,[1]OUT_TransportEnergyCons!K$3:K$1000)</f>
        <v>1.4497472494193051</v>
      </c>
      <c r="N1558" s="1" cm="1">
        <f t="array" ref="N1558">SUMPRODUCT(("TFLGV-ICEGSL"=[1]OUT_TransportEnergyCons!$A$3:$A$1000)*1,("Var_Fin"=[1]OUT_TransportEnergyCons!$B$3:$B$1000)*1,ISNUMBER(SEARCH("gsl",[1]OUT_TransportEnergyCons!$C$3:$C$1000))*1,[1]OUT_TransportEnergyCons!L$3:L$1000)</f>
        <v>1.4561404777954328</v>
      </c>
      <c r="O1558" s="1" cm="1">
        <f t="array" ref="O1558">SUMPRODUCT(("TFLGV-ICEGSL"=[1]OUT_TransportEnergyCons!$A$3:$A$1000)*1,("Var_Fin"=[1]OUT_TransportEnergyCons!$B$3:$B$1000)*1,ISNUMBER(SEARCH("gsl",[1]OUT_TransportEnergyCons!$C$3:$C$1000))*1,[1]OUT_TransportEnergyCons!M$3:M$1000)</f>
        <v>1.4778981639348068</v>
      </c>
      <c r="P1558" s="1" cm="1">
        <f t="array" ref="P1558">SUMPRODUCT(("TFLGV-ICEGSL"=[1]OUT_TransportEnergyCons!$A$3:$A$1000)*1,("Var_Fin"=[1]OUT_TransportEnergyCons!$B$3:$B$1000)*1,ISNUMBER(SEARCH("gsl",[1]OUT_TransportEnergyCons!$C$3:$C$1000))*1,[1]OUT_TransportEnergyCons!N$3:N$1000)</f>
        <v>1.4790460873250029</v>
      </c>
      <c r="Q1558" s="1" cm="1">
        <f t="array" ref="Q1558">SUMPRODUCT(("TFLGV-ICEGSL"=[1]OUT_TransportEnergyCons!$A$3:$A$1000)*1,("Var_Fin"=[1]OUT_TransportEnergyCons!$B$3:$B$1000)*1,ISNUMBER(SEARCH("gsl",[1]OUT_TransportEnergyCons!$C$3:$C$1000))*1,[1]OUT_TransportEnergyCons!O$3:O$1000)</f>
        <v>1.4852249650333842</v>
      </c>
      <c r="S1558" s="3"/>
    </row>
    <row r="1559" spans="2:19" x14ac:dyDescent="0.5">
      <c r="B1559" t="str">
        <f t="shared" si="1740"/>
        <v>SPS1</v>
      </c>
      <c r="C1559" t="str">
        <f t="shared" si="1741"/>
        <v>CH</v>
      </c>
      <c r="D1559" t="s">
        <v>1546</v>
      </c>
      <c r="E1559" t="str">
        <f t="shared" si="1744"/>
        <v>PJ/yr.</v>
      </c>
      <c r="F1559" s="1">
        <f>SUM(F1564:F1566)</f>
        <v>15.505246855385806</v>
      </c>
      <c r="G1559" s="1">
        <f t="shared" ref="G1559:K1559" si="1752">SUM(G1564:G1566)</f>
        <v>13.747958050373709</v>
      </c>
      <c r="H1559" s="1">
        <f t="shared" si="1752"/>
        <v>12.223736908246721</v>
      </c>
      <c r="I1559" s="1">
        <f t="shared" si="1752"/>
        <v>8.6069615810218494</v>
      </c>
      <c r="J1559" s="1">
        <f t="shared" si="1752"/>
        <v>4.7977707165673635</v>
      </c>
      <c r="K1559" s="1">
        <f t="shared" si="1752"/>
        <v>2.508469759874127</v>
      </c>
      <c r="L1559" s="1">
        <f t="shared" ref="L1559:O1559" si="1753">SUM(L1564:L1566)</f>
        <v>2.5826382290827046</v>
      </c>
      <c r="M1559" s="1">
        <f t="shared" si="1753"/>
        <v>2.5885434814884127</v>
      </c>
      <c r="N1559" s="1">
        <f t="shared" si="1753"/>
        <v>2.6569374237655046</v>
      </c>
      <c r="O1559" s="1">
        <f t="shared" si="1753"/>
        <v>2.6562670727870943</v>
      </c>
      <c r="P1559" s="1">
        <f>SUM(P1564:P1566)</f>
        <v>2.6398165971393195</v>
      </c>
      <c r="Q1559" s="1">
        <f>SUM(Q1564:Q1566)</f>
        <v>2.6766986840819942</v>
      </c>
      <c r="S1559" s="3"/>
    </row>
    <row r="1560" spans="2:19" x14ac:dyDescent="0.5">
      <c r="B1560" t="str">
        <f t="shared" si="1740"/>
        <v>SPS1</v>
      </c>
      <c r="C1560" t="str">
        <f t="shared" si="1741"/>
        <v>CH</v>
      </c>
      <c r="D1560" t="s">
        <v>1547</v>
      </c>
      <c r="E1560" t="str">
        <f t="shared" si="1744"/>
        <v>PJ/yr.</v>
      </c>
      <c r="F1560" s="1">
        <f>IF(F1559-F1561&lt;0,0,F1559-F1561)</f>
        <v>15.119843646074731</v>
      </c>
      <c r="G1560" s="1">
        <f t="shared" ref="G1560:K1560" si="1754">IF(G1559-G1561&lt;0,0,G1559-G1561)</f>
        <v>13.388199452060965</v>
      </c>
      <c r="H1560" s="1">
        <f t="shared" si="1754"/>
        <v>11.675766389944741</v>
      </c>
      <c r="I1560" s="1">
        <f t="shared" si="1754"/>
        <v>8.3244049168259782</v>
      </c>
      <c r="J1560" s="1">
        <f t="shared" si="1754"/>
        <v>4.6286533273783368</v>
      </c>
      <c r="K1560" s="1">
        <f t="shared" si="1754"/>
        <v>2.4105262134359173</v>
      </c>
      <c r="L1560" s="1">
        <f t="shared" ref="L1560:O1560" si="1755">IF(L1559-L1561&lt;0,0,L1559-L1561)</f>
        <v>2.4807110220551167</v>
      </c>
      <c r="M1560" s="1">
        <f t="shared" si="1755"/>
        <v>2.4848214710822565</v>
      </c>
      <c r="N1560" s="1">
        <f t="shared" si="1755"/>
        <v>2.5493556779381881</v>
      </c>
      <c r="O1560" s="1">
        <f t="shared" si="1755"/>
        <v>2.5300695455753881</v>
      </c>
      <c r="P1560" s="1">
        <f>IF(P1559-P1561&lt;0,0,P1559-P1561)</f>
        <v>2.4877343634025868</v>
      </c>
      <c r="Q1560" s="1">
        <f>IF(Q1559-Q1561&lt;0,0,Q1559-Q1561)</f>
        <v>2.5131866804850889</v>
      </c>
      <c r="S1560" s="3"/>
    </row>
    <row r="1561" spans="2:19" x14ac:dyDescent="0.5">
      <c r="B1561" t="str">
        <f t="shared" si="1740"/>
        <v>SPS1</v>
      </c>
      <c r="C1561" t="str">
        <f t="shared" si="1741"/>
        <v>CH</v>
      </c>
      <c r="D1561" t="s">
        <v>1548</v>
      </c>
      <c r="E1561" t="str">
        <f t="shared" si="1744"/>
        <v>PJ/yr.</v>
      </c>
      <c r="F1561" s="1">
        <f>SUM(F1562:F1563)</f>
        <v>0.38540320931107547</v>
      </c>
      <c r="G1561" s="1">
        <f t="shared" ref="G1561:K1561" si="1756">SUM(G1562:G1563)</f>
        <v>0.35975859831274398</v>
      </c>
      <c r="H1561" s="1">
        <f t="shared" si="1756"/>
        <v>0.54797051830198085</v>
      </c>
      <c r="I1561" s="1">
        <f t="shared" si="1756"/>
        <v>0.2825566641958715</v>
      </c>
      <c r="J1561" s="1">
        <f t="shared" si="1756"/>
        <v>0.1691173891890265</v>
      </c>
      <c r="K1561" s="1">
        <f t="shared" si="1756"/>
        <v>9.7943546438209489E-2</v>
      </c>
      <c r="L1561" s="1">
        <f t="shared" ref="L1561:O1561" si="1757">SUM(L1562:L1563)</f>
        <v>0.10192720702758805</v>
      </c>
      <c r="M1561" s="1">
        <f t="shared" si="1757"/>
        <v>0.10372201040615618</v>
      </c>
      <c r="N1561" s="1">
        <f t="shared" si="1757"/>
        <v>0.10758174582731632</v>
      </c>
      <c r="O1561" s="1">
        <f t="shared" si="1757"/>
        <v>0.12619752721170621</v>
      </c>
      <c r="P1561" s="1">
        <f>SUM(P1562:P1563)</f>
        <v>0.15208223373673257</v>
      </c>
      <c r="Q1561" s="1">
        <f>SUM(Q1562:Q1563)</f>
        <v>0.16351200359690538</v>
      </c>
      <c r="S1561" s="3"/>
    </row>
    <row r="1562" spans="2:19" x14ac:dyDescent="0.5">
      <c r="B1562" t="str">
        <f t="shared" si="1740"/>
        <v>SPS1</v>
      </c>
      <c r="C1562" t="str">
        <f t="shared" si="1741"/>
        <v>CH</v>
      </c>
      <c r="D1562" t="s">
        <v>1549</v>
      </c>
      <c r="E1562" t="str">
        <f t="shared" si="1744"/>
        <v>PJ/yr.</v>
      </c>
      <c r="F1562" s="1">
        <f>[1]Transport!B$26/SUM([1]Transport!B$22,[1]Transport!B$26)*F1559*(F$34+F$582)/(F$34+F$582+F$38)</f>
        <v>0.38540320931107547</v>
      </c>
      <c r="G1562" s="1">
        <f>[1]Transport!C$26/SUM([1]Transport!C$22,[1]Transport!C$26)*G1559*(G$34+G$582)/(G$34+G$582+G$38)</f>
        <v>0.35975859831274398</v>
      </c>
      <c r="H1562" s="1">
        <f>[1]Transport!D$26/SUM([1]Transport!D$22,[1]Transport!D$26)*H1559*(H$34+H$582)/(H$34+H$582+H$38)</f>
        <v>0.54797051830198085</v>
      </c>
      <c r="I1562" s="1">
        <f>[1]Transport!E$26/SUM([1]Transport!E$22,[1]Transport!E$26)*I1559*(I$34+I$582)/(I$34+I$582+I$38)</f>
        <v>0.2825566641958715</v>
      </c>
      <c r="J1562" s="1">
        <f>[1]Transport!F$26/SUM([1]Transport!F$22,[1]Transport!F$26)*J1559*(J$34+J$582)/(J$34+J$582+J$38)</f>
        <v>0.1691173891890265</v>
      </c>
      <c r="K1562" s="1">
        <f>[1]Transport!G$26/SUM([1]Transport!G$22,[1]Transport!G$26)*K1559*(K$34+K$582)/(K$34+K$582+K$38)</f>
        <v>9.7943546438209489E-2</v>
      </c>
      <c r="L1562" s="1">
        <f>[1]Transport!H$26/SUM([1]Transport!H$22,[1]Transport!H$26)*L1559*(L$34+L$582)/(L$34+L$582+L$38)</f>
        <v>0.10192720702758805</v>
      </c>
      <c r="M1562" s="1">
        <f>[1]Transport!I$26/SUM([1]Transport!I$22,[1]Transport!I$26)*M1559*(M$34+M$582)/(M$34+M$582+M$38)</f>
        <v>0.10372201040615618</v>
      </c>
      <c r="N1562" s="1">
        <f>[1]Transport!J$26/SUM([1]Transport!J$22,[1]Transport!J$26)*N1559*(N$34+N$582)/(N$34+N$582+N$38)</f>
        <v>0.10758174582731632</v>
      </c>
      <c r="O1562" s="1">
        <f>[1]Transport!K$26/SUM([1]Transport!K$22,[1]Transport!K$26)*O1559*(O$34+O$582)/(O$34+O$582+O$38)</f>
        <v>0.12619752721170621</v>
      </c>
      <c r="P1562" s="1">
        <f>[1]Transport!L$26/SUM([1]Transport!L$22,[1]Transport!L$26)*P1559*(P$34+P$582)/(P$34+P$582+P$38)</f>
        <v>0.15208223373673257</v>
      </c>
      <c r="Q1562" s="1">
        <f>[1]Transport!M$26/SUM([1]Transport!M$22,[1]Transport!M$26)*Q1559*(Q$34+Q$582)/(Q$34+Q$582+Q$38)</f>
        <v>0.16351200359690538</v>
      </c>
      <c r="S1562" s="3"/>
    </row>
    <row r="1563" spans="2:19" x14ac:dyDescent="0.5">
      <c r="B1563" t="str">
        <f t="shared" si="1740"/>
        <v>SPS1</v>
      </c>
      <c r="C1563" t="str">
        <f t="shared" si="1741"/>
        <v>CH</v>
      </c>
      <c r="D1563" t="s">
        <v>1550</v>
      </c>
      <c r="E1563" t="str">
        <f t="shared" si="1744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(J$38+J$718)/([1]Transport!F$22+[1]Transport!F$26)*J1559</f>
        <v>0</v>
      </c>
      <c r="K1563" s="1">
        <f>(K$38+K$718)/([1]Transport!G$22+[1]Transport!G$26)*K1559</f>
        <v>0</v>
      </c>
      <c r="L1563" s="1">
        <f>(L$38+L$718)/([1]Transport!H$22+[1]Transport!H$26)*L1559</f>
        <v>0</v>
      </c>
      <c r="M1563" s="1">
        <f>(M$38+M$718)/([1]Transport!I$22+[1]Transport!I$26)*M1559</f>
        <v>0</v>
      </c>
      <c r="N1563" s="1">
        <f>(N$38+N$718)/([1]Transport!J$22+[1]Transport!J$26)*N1559</f>
        <v>0</v>
      </c>
      <c r="O1563" s="1">
        <f>(O$38+O$718)/([1]Transport!K$22+[1]Transport!K$26)*O1559</f>
        <v>0</v>
      </c>
      <c r="P1563" s="1">
        <f>(P$38+P$718)/([1]Transport!L$22+[1]Transport!L$26)*P1559</f>
        <v>0</v>
      </c>
      <c r="Q1563" s="1">
        <f>(Q$38+Q$718)/([1]Transport!M$22+[1]Transport!M$26)*Q1559</f>
        <v>0</v>
      </c>
      <c r="S1563" s="3"/>
    </row>
    <row r="1564" spans="2:19" x14ac:dyDescent="0.5">
      <c r="B1564" t="str">
        <f t="shared" si="1740"/>
        <v>SPS1</v>
      </c>
      <c r="C1564" t="str">
        <f t="shared" si="1741"/>
        <v>CH</v>
      </c>
      <c r="D1564" t="s">
        <v>1551</v>
      </c>
      <c r="E1564" t="str">
        <f t="shared" si="1744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11.069379859470333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8.0604900420150454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5.6541325601488337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2.7263098675854587</v>
      </c>
      <c r="J1564" s="1" cm="1">
        <f t="array" ref="J1564">SUMPRODUCT(("TFLGV-ICEdslExt"=[1]OUT_TransportEnergyCons!$A$3:$A$1000)*1,("Var_Fin"=[1]OUT_TransportEnergyCons!$B$3:$B$1000)*1,ISNUMBER(SEARCH("dsl",[1]OUT_TransportEnergyCons!$C$3:$C$1000))*1,[1]OUT_TransportEnergyCons!H$3:H$1000)</f>
        <v>0</v>
      </c>
      <c r="K1564" s="1" cm="1">
        <f t="array" ref="K1564">SUMPRODUCT(("TFLGV-ICEdslExt"=[1]OUT_TransportEnergyCons!$A$3:$A$1000)*1,("Var_Fin"=[1]OUT_TransportEnergyCons!$B$3:$B$1000)*1,ISNUMBER(SEARCH("dsl",[1]OUT_TransportEnergyCons!$C$3:$C$1000))*1,[1]OUT_TransportEnergyCons!I$3:I$1000)</f>
        <v>0</v>
      </c>
      <c r="L1564" s="1" cm="1">
        <f t="array" ref="L1564">SUMPRODUCT(("TFLGV-ICEdslExt"=[1]OUT_TransportEnergyCons!$A$3:$A$1000)*1,("Var_Fin"=[1]OUT_TransportEnergyCons!$B$3:$B$1000)*1,ISNUMBER(SEARCH("dsl",[1]OUT_TransportEnergyCons!$C$3:$C$1000))*1,[1]OUT_TransportEnergyCons!J$3:J$1000)</f>
        <v>0</v>
      </c>
      <c r="M1564" s="1" cm="1">
        <f t="array" ref="M1564">SUMPRODUCT(("TFLGV-ICEdslExt"=[1]OUT_TransportEnergyCons!$A$3:$A$1000)*1,("Var_Fin"=[1]OUT_TransportEnergyCons!$B$3:$B$1000)*1,ISNUMBER(SEARCH("dsl",[1]OUT_TransportEnergyCons!$C$3:$C$1000))*1,[1]OUT_TransportEnergyCons!K$3:K$1000)</f>
        <v>0</v>
      </c>
      <c r="N1564" s="1" cm="1">
        <f t="array" ref="N1564">SUMPRODUCT(("TFLGV-ICEdslExt"=[1]OUT_TransportEnergyCons!$A$3:$A$1000)*1,("Var_Fin"=[1]OUT_TransportEnergyCons!$B$3:$B$1000)*1,ISNUMBER(SEARCH("dsl",[1]OUT_TransportEnergyCons!$C$3:$C$1000))*1,[1]OUT_TransportEnergyCons!L$3:L$1000)</f>
        <v>0</v>
      </c>
      <c r="O1564" s="1" cm="1">
        <f t="array" ref="O1564">SUMPRODUCT(("TFLGV-ICEdslExt"=[1]OUT_TransportEnergyCons!$A$3:$A$1000)*1,("Var_Fin"=[1]OUT_TransportEnergyCons!$B$3:$B$1000)*1,ISNUMBER(SEARCH("dsl",[1]OUT_TransportEnergyCons!$C$3:$C$1000))*1,[1]OUT_TransportEnergyCons!M$3:M$1000)</f>
        <v>0</v>
      </c>
      <c r="P1564" s="1" cm="1">
        <f t="array" ref="P1564">SUMPRODUCT(("TFLGV-ICEdslExt"=[1]OUT_TransportEnergyCons!$A$3:$A$1000)*1,("Var_Fin"=[1]OUT_TransportEnergyCons!$B$3:$B$1000)*1,ISNUMBER(SEARCH("dsl",[1]OUT_TransportEnergyCons!$C$3:$C$1000))*1,[1]OUT_TransportEnergyCons!N$3:N$1000)</f>
        <v>0</v>
      </c>
      <c r="Q1564" s="1" cm="1">
        <f t="array" ref="Q1564">SUMPRODUCT(("TFLGV-ICEdslExt"=[1]OUT_TransportEnergyCons!$A$3:$A$1000)*1,("Var_Fin"=[1]OUT_TransportEnergyCons!$B$3:$B$1000)*1,ISNUMBER(SEARCH("dsl",[1]OUT_TransportEnergyCons!$C$3:$C$1000))*1,[1]OUT_TransportEnergyCons!O$3:O$1000)</f>
        <v>0</v>
      </c>
      <c r="S1564" s="3"/>
    </row>
    <row r="1565" spans="2:19" x14ac:dyDescent="0.5">
      <c r="B1565" t="str">
        <f t="shared" si="1740"/>
        <v>SPS1</v>
      </c>
      <c r="C1565" t="str">
        <f t="shared" si="1741"/>
        <v>CH</v>
      </c>
      <c r="D1565" t="s">
        <v>1552</v>
      </c>
      <c r="E1565" t="str">
        <f t="shared" si="1744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4.4358669959154735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5.2483533016536654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5.2472101741128894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2.1213667184299463</v>
      </c>
      <c r="J1565" s="1" cm="1">
        <f t="array" ref="J1565">SUMPRODUCT(("TFLGV-ICEdsl"=[1]OUT_TransportEnergyCons!$A$3:$A$1000)*1,("Var_Fin"=[1]OUT_TransportEnergyCons!$B$3:$B$1000)*1,ISNUMBER(SEARCH("dsl",[1]OUT_TransportEnergyCons!$C$3:$C$1000))*1,[1]OUT_TransportEnergyCons!H$3:H$1000)</f>
        <v>0.29439324893104513</v>
      </c>
      <c r="K1565" s="1" cm="1">
        <f t="array" ref="K1565">SUMPRODUCT(("TFLGV-ICEdsl"=[1]OUT_TransportEnergyCons!$A$3:$A$1000)*1,("Var_Fin"=[1]OUT_TransportEnergyCons!$B$3:$B$1000)*1,ISNUMBER(SEARCH("dsl",[1]OUT_TransportEnergyCons!$C$3:$C$1000))*1,[1]OUT_TransportEnergyCons!I$3:I$1000)</f>
        <v>0.28896099198072428</v>
      </c>
      <c r="L1565" s="1" cm="1">
        <f t="array" ref="L1565">SUMPRODUCT(("TFLGV-ICEdsl"=[1]OUT_TransportEnergyCons!$A$3:$A$1000)*1,("Var_Fin"=[1]OUT_TransportEnergyCons!$B$3:$B$1000)*1,ISNUMBER(SEARCH("dsl",[1]OUT_TransportEnergyCons!$C$3:$C$1000))*1,[1]OUT_TransportEnergyCons!J$3:J$1000)</f>
        <v>0.16536533269282602</v>
      </c>
      <c r="M1565" s="1" cm="1">
        <f t="array" ref="M1565">SUMPRODUCT(("TFLGV-ICEdsl"=[1]OUT_TransportEnergyCons!$A$3:$A$1000)*1,("Var_Fin"=[1]OUT_TransportEnergyCons!$B$3:$B$1000)*1,ISNUMBER(SEARCH("dsl",[1]OUT_TransportEnergyCons!$C$3:$C$1000))*1,[1]OUT_TransportEnergyCons!K$3:K$1000)</f>
        <v>2.9932970538417061E-2</v>
      </c>
      <c r="N1565" s="1" cm="1">
        <f t="array" ref="N1565">SUMPRODUCT(("TFLGV-ICEdsl"=[1]OUT_TransportEnergyCons!$A$3:$A$1000)*1,("Var_Fin"=[1]OUT_TransportEnergyCons!$B$3:$B$1000)*1,ISNUMBER(SEARCH("dsl",[1]OUT_TransportEnergyCons!$C$3:$C$1000))*1,[1]OUT_TransportEnergyCons!L$3:L$1000)</f>
        <v>2.8309833784803715E-2</v>
      </c>
      <c r="O1565" s="1" cm="1">
        <f t="array" ref="O1565">SUMPRODUCT(("TFLGV-ICEdsl"=[1]OUT_TransportEnergyCons!$A$3:$A$1000)*1,("Var_Fin"=[1]OUT_TransportEnergyCons!$B$3:$B$1000)*1,ISNUMBER(SEARCH("dsl",[1]OUT_TransportEnergyCons!$C$3:$C$1000))*1,[1]OUT_TransportEnergyCons!M$3:M$1000)</f>
        <v>2.5008329296272724E-2</v>
      </c>
      <c r="P1565" s="1" cm="1">
        <f t="array" ref="P1565">SUMPRODUCT(("TFLGV-ICEdsl"=[1]OUT_TransportEnergyCons!$A$3:$A$1000)*1,("Var_Fin"=[1]OUT_TransportEnergyCons!$B$3:$B$1000)*1,ISNUMBER(SEARCH("dsl",[1]OUT_TransportEnergyCons!$C$3:$C$1000))*1,[1]OUT_TransportEnergyCons!N$3:N$1000)</f>
        <v>2.0320493027631167E-2</v>
      </c>
      <c r="Q1565" s="1" cm="1">
        <f t="array" ref="Q1565">SUMPRODUCT(("TFLGV-ICEdsl"=[1]OUT_TransportEnergyCons!$A$3:$A$1000)*1,("Var_Fin"=[1]OUT_TransportEnergyCons!$B$3:$B$1000)*1,ISNUMBER(SEARCH("dsl",[1]OUT_TransportEnergyCons!$C$3:$C$1000))*1,[1]OUT_TransportEnergyCons!O$3:O$1000)</f>
        <v>2.8528170200208824E-2</v>
      </c>
      <c r="S1565" s="3"/>
    </row>
    <row r="1566" spans="2:19" x14ac:dyDescent="0.5">
      <c r="B1566" t="str">
        <f t="shared" si="1740"/>
        <v>SPS1</v>
      </c>
      <c r="C1566" t="str">
        <f t="shared" si="1741"/>
        <v>CH</v>
      </c>
      <c r="D1566" t="s">
        <v>1553</v>
      </c>
      <c r="E1566" t="str">
        <f t="shared" si="1744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0.43911470670499769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1.322394173984998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3.759284995006444</v>
      </c>
      <c r="J1566" s="1" cm="1">
        <f t="array" ref="J1566">SUMPRODUCT(("TFLGV-HYBDSL"=[1]OUT_TransportEnergyCons!$A$3:$A$1000)*1,("Var_Fin"=[1]OUT_TransportEnergyCons!$B$3:$B$1000)*1,ISNUMBER(SEARCH("dsl",[1]OUT_TransportEnergyCons!$C$3:$C$1000))*1,[1]OUT_TransportEnergyCons!H$3:H$1000)</f>
        <v>4.5033774676363185</v>
      </c>
      <c r="K1566" s="1" cm="1">
        <f t="array" ref="K1566">SUMPRODUCT(("TFLGV-HYBDSL"=[1]OUT_TransportEnergyCons!$A$3:$A$1000)*1,("Var_Fin"=[1]OUT_TransportEnergyCons!$B$3:$B$1000)*1,ISNUMBER(SEARCH("dsl",[1]OUT_TransportEnergyCons!$C$3:$C$1000))*1,[1]OUT_TransportEnergyCons!I$3:I$1000)</f>
        <v>2.2195087678934029</v>
      </c>
      <c r="L1566" s="1" cm="1">
        <f t="array" ref="L1566">SUMPRODUCT(("TFLGV-HYBDSL"=[1]OUT_TransportEnergyCons!$A$3:$A$1000)*1,("Var_Fin"=[1]OUT_TransportEnergyCons!$B$3:$B$1000)*1,ISNUMBER(SEARCH("dsl",[1]OUT_TransportEnergyCons!$C$3:$C$1000))*1,[1]OUT_TransportEnergyCons!J$3:J$1000)</f>
        <v>2.4172728963898784</v>
      </c>
      <c r="M1566" s="1" cm="1">
        <f t="array" ref="M1566">SUMPRODUCT(("TFLGV-HYBDSL"=[1]OUT_TransportEnergyCons!$A$3:$A$1000)*1,("Var_Fin"=[1]OUT_TransportEnergyCons!$B$3:$B$1000)*1,ISNUMBER(SEARCH("dsl",[1]OUT_TransportEnergyCons!$C$3:$C$1000))*1,[1]OUT_TransportEnergyCons!K$3:K$1000)</f>
        <v>2.5586105109499955</v>
      </c>
      <c r="N1566" s="1" cm="1">
        <f t="array" ref="N1566">SUMPRODUCT(("TFLGV-HYBDSL"=[1]OUT_TransportEnergyCons!$A$3:$A$1000)*1,("Var_Fin"=[1]OUT_TransportEnergyCons!$B$3:$B$1000)*1,ISNUMBER(SEARCH("dsl",[1]OUT_TransportEnergyCons!$C$3:$C$1000))*1,[1]OUT_TransportEnergyCons!L$3:L$1000)</f>
        <v>2.628627589980701</v>
      </c>
      <c r="O1566" s="1" cm="1">
        <f t="array" ref="O1566">SUMPRODUCT(("TFLGV-HYBDSL"=[1]OUT_TransportEnergyCons!$A$3:$A$1000)*1,("Var_Fin"=[1]OUT_TransportEnergyCons!$B$3:$B$1000)*1,ISNUMBER(SEARCH("dsl",[1]OUT_TransportEnergyCons!$C$3:$C$1000))*1,[1]OUT_TransportEnergyCons!M$3:M$1000)</f>
        <v>2.6312587434908217</v>
      </c>
      <c r="P1566" s="1" cm="1">
        <f t="array" ref="P1566">SUMPRODUCT(("TFLGV-HYBDSL"=[1]OUT_TransportEnergyCons!$A$3:$A$1000)*1,("Var_Fin"=[1]OUT_TransportEnergyCons!$B$3:$B$1000)*1,ISNUMBER(SEARCH("dsl",[1]OUT_TransportEnergyCons!$C$3:$C$1000))*1,[1]OUT_TransportEnergyCons!N$3:N$1000)</f>
        <v>2.6194961041116884</v>
      </c>
      <c r="Q1566" s="1" cm="1">
        <f t="array" ref="Q1566">SUMPRODUCT(("TFLGV-HYBDSL"=[1]OUT_TransportEnergyCons!$A$3:$A$1000)*1,("Var_Fin"=[1]OUT_TransportEnergyCons!$B$3:$B$1000)*1,ISNUMBER(SEARCH("dsl",[1]OUT_TransportEnergyCons!$C$3:$C$1000))*1,[1]OUT_TransportEnergyCons!O$3:O$1000)</f>
        <v>2.6481705138817855</v>
      </c>
      <c r="S1566" s="3"/>
    </row>
    <row r="1567" spans="2:19" x14ac:dyDescent="0.5">
      <c r="B1567" t="str">
        <f t="shared" si="1740"/>
        <v>SPS1</v>
      </c>
      <c r="C1567" t="str">
        <f t="shared" si="1741"/>
        <v>CH</v>
      </c>
      <c r="D1567" t="s">
        <v>1554</v>
      </c>
      <c r="E1567" t="str">
        <f t="shared" si="1744"/>
        <v>PJ/yr.</v>
      </c>
      <c r="F1567" s="1">
        <f>F1572</f>
        <v>1.0722795071012495E-2</v>
      </c>
      <c r="G1567" s="1">
        <f t="shared" ref="G1567:K1567" si="1758">G1572</f>
        <v>8.1236413385948041E-3</v>
      </c>
      <c r="H1567" s="1">
        <f t="shared" si="1758"/>
        <v>1.079770426555484E-2</v>
      </c>
      <c r="I1567" s="1">
        <f t="shared" si="1758"/>
        <v>1.2532020880186057E-4</v>
      </c>
      <c r="J1567" s="1">
        <f t="shared" si="1758"/>
        <v>1.0554358049698351E-4</v>
      </c>
      <c r="K1567" s="1">
        <f t="shared" si="1758"/>
        <v>1.0007995575609536E-4</v>
      </c>
      <c r="L1567" s="1">
        <f t="shared" ref="L1567:O1567" si="1759">L1572</f>
        <v>1.0099770349724518E-4</v>
      </c>
      <c r="M1567" s="1">
        <f t="shared" si="1759"/>
        <v>1.0504093076297101E-4</v>
      </c>
      <c r="N1567" s="1">
        <f t="shared" si="1759"/>
        <v>1.065023649973854E-4</v>
      </c>
      <c r="O1567" s="1">
        <f t="shared" si="1759"/>
        <v>1.1024532124473147E-4</v>
      </c>
      <c r="P1567" s="1">
        <f>P1572</f>
        <v>1.116504942080142E-4</v>
      </c>
      <c r="Q1567" s="1">
        <f>Q1572</f>
        <v>1.1830948083277385E-4</v>
      </c>
      <c r="S1567" s="3"/>
    </row>
    <row r="1568" spans="2:19" x14ac:dyDescent="0.5">
      <c r="B1568" t="str">
        <f t="shared" si="1740"/>
        <v>SPS1</v>
      </c>
      <c r="C1568" t="str">
        <f t="shared" si="1741"/>
        <v>CH</v>
      </c>
      <c r="D1568" t="s">
        <v>1555</v>
      </c>
      <c r="E1568" t="str">
        <f t="shared" si="1744"/>
        <v>PJ/yr.</v>
      </c>
      <c r="F1568" s="1">
        <f>IF(F1567-F1569&lt;0,0,F1567-F1569)</f>
        <v>9.89906040650625E-3</v>
      </c>
      <c r="G1568" s="1">
        <f t="shared" ref="G1568:K1568" si="1760">IF(G1567-G1569&lt;0,0,G1567-G1569)</f>
        <v>7.1249688183864096E-3</v>
      </c>
      <c r="H1568" s="1">
        <f t="shared" si="1760"/>
        <v>1.0298299042575985E-2</v>
      </c>
      <c r="I1568" s="1">
        <f t="shared" si="1760"/>
        <v>8.5343927748917809E-5</v>
      </c>
      <c r="J1568" s="1">
        <f t="shared" si="1760"/>
        <v>0</v>
      </c>
      <c r="K1568" s="1">
        <f t="shared" si="1760"/>
        <v>0</v>
      </c>
      <c r="L1568" s="1">
        <f t="shared" ref="L1568:O1568" si="1761">IF(L1567-L1569&lt;0,0,L1567-L1569)</f>
        <v>0</v>
      </c>
      <c r="M1568" s="1">
        <f t="shared" si="1761"/>
        <v>0</v>
      </c>
      <c r="N1568" s="1">
        <f t="shared" si="1761"/>
        <v>0</v>
      </c>
      <c r="O1568" s="1">
        <f t="shared" si="1761"/>
        <v>0</v>
      </c>
      <c r="P1568" s="1">
        <f>IF(P1567-P1569&lt;0,0,P1567-P1569)</f>
        <v>0</v>
      </c>
      <c r="Q1568" s="1">
        <f>IF(Q1567-Q1569&lt;0,0,Q1567-Q1569)</f>
        <v>0</v>
      </c>
      <c r="S1568" s="3"/>
    </row>
    <row r="1569" spans="2:19" x14ac:dyDescent="0.5">
      <c r="B1569" t="str">
        <f t="shared" si="1740"/>
        <v>SPS1</v>
      </c>
      <c r="C1569" t="str">
        <f t="shared" si="1741"/>
        <v>CH</v>
      </c>
      <c r="D1569" t="s">
        <v>1556</v>
      </c>
      <c r="E1569" t="str">
        <f t="shared" si="1744"/>
        <v>PJ/yr.</v>
      </c>
      <c r="F1569" s="1">
        <f>SUM(F1570:F1571)</f>
        <v>8.2373466450624561E-4</v>
      </c>
      <c r="G1569" s="1">
        <f t="shared" ref="G1569:K1569" si="1762">SUM(G1570:G1571)</f>
        <v>9.9867252020839452E-4</v>
      </c>
      <c r="H1569" s="1">
        <f t="shared" si="1762"/>
        <v>4.9940522297885475E-4</v>
      </c>
      <c r="I1569" s="1">
        <f t="shared" si="1762"/>
        <v>3.9976281052942758E-5</v>
      </c>
      <c r="J1569" s="1">
        <f t="shared" si="1762"/>
        <v>2.2814953685813759E-2</v>
      </c>
      <c r="K1569" s="1">
        <f t="shared" si="1762"/>
        <v>3.1631205399815336E-2</v>
      </c>
      <c r="L1569" s="1">
        <f t="shared" ref="L1569:O1569" si="1763">SUM(L1570:L1571)</f>
        <v>3.956429232986898E-3</v>
      </c>
      <c r="M1569" s="1">
        <f t="shared" si="1763"/>
        <v>4.7670194754548933E-3</v>
      </c>
      <c r="N1569" s="1">
        <f t="shared" si="1763"/>
        <v>6.4177786821928116E-3</v>
      </c>
      <c r="O1569" s="1">
        <f t="shared" si="1763"/>
        <v>5.266313660702601E-3</v>
      </c>
      <c r="P1569" s="1">
        <f>SUM(P1570:P1571)</f>
        <v>1.7730399355979653E-2</v>
      </c>
      <c r="Q1569" s="1">
        <f>SUM(Q1570:Q1571)</f>
        <v>5.1052026451251682E-3</v>
      </c>
      <c r="S1569" s="3"/>
    </row>
    <row r="1570" spans="2:19" x14ac:dyDescent="0.5">
      <c r="B1570" t="str">
        <f t="shared" si="1740"/>
        <v>SPS1</v>
      </c>
      <c r="C1570" t="str">
        <f t="shared" si="1741"/>
        <v>CH</v>
      </c>
      <c r="D1570" t="s">
        <v>1557</v>
      </c>
      <c r="E1570" t="str">
        <f t="shared" si="1744"/>
        <v>PJ/yr.</v>
      </c>
      <c r="F1570" s="1">
        <f>IF(SUM([1]Transport!B$24,[1]Transport!B$27)=0,0,[1]Transport!B$27/SUM([1]Transport!B$24,[1]Transport!B$27)*F1567*(F$47+F$614)/(F$47+F$614+F$49))</f>
        <v>8.2373466450624561E-4</v>
      </c>
      <c r="G1570" s="1">
        <f>IF(SUM([1]Transport!C$24,[1]Transport!C$27)=0,0,[1]Transport!C$27/SUM([1]Transport!C$24,[1]Transport!C$27)*G1567*(G$47+G$614)/(G$47+G$614+G$49))</f>
        <v>9.9867252020839452E-4</v>
      </c>
      <c r="H1570" s="1">
        <f>IF(SUM([1]Transport!D$24,[1]Transport!D$27)=0,0,[1]Transport!D$27/SUM([1]Transport!D$24,[1]Transport!D$27)*H1567*(H$47+H$614)/(H$47+H$614+H$49))</f>
        <v>4.9940522297885475E-4</v>
      </c>
      <c r="I1570" s="1">
        <f>IF(SUM([1]Transport!E$24,[1]Transport!E$27)=0,0,[1]Transport!E$27/SUM([1]Transport!E$24,[1]Transport!E$27)*I1567*(I$47+I$614)/(I$47+I$614+I$49))</f>
        <v>3.9976281052942758E-5</v>
      </c>
      <c r="J1570" s="1">
        <f>IF(SUM([1]Transport!F$24,[1]Transport!F$27)=0,0,[1]Transport!F$27/SUM([1]Transport!F$24,[1]Transport!F$27)*J1567*(J$47+J$614)/(J$47+J$614+J$49))</f>
        <v>3.1781906802359851E-5</v>
      </c>
      <c r="K1570" s="1">
        <f>IF(SUM([1]Transport!G$24,[1]Transport!G$27)=0,0,[1]Transport!G$27/SUM([1]Transport!G$24,[1]Transport!G$27)*K1567*(K$47+K$614)/(K$47+K$614+K$49))</f>
        <v>3.6513985866700014E-6</v>
      </c>
      <c r="L1570" s="1">
        <f>IF(SUM([1]Transport!H$24,[1]Transport!H$27)=0,0,[1]Transport!H$27/SUM([1]Transport!H$24,[1]Transport!H$27)*L1567*(L$47+L$614)/(L$47+L$614+L$49))</f>
        <v>5.0903147753096821E-6</v>
      </c>
      <c r="M1570" s="1">
        <f>IF(SUM([1]Transport!I$24,[1]Transport!I$27)=0,0,[1]Transport!I$27/SUM([1]Transport!I$24,[1]Transport!I$27)*M1567*(M$47+M$614)/(M$47+M$614+M$49))</f>
        <v>1.0314410080008086E-5</v>
      </c>
      <c r="N1570" s="1">
        <f>IF(SUM([1]Transport!J$24,[1]Transport!J$27)=0,0,[1]Transport!J$27/SUM([1]Transport!J$24,[1]Transport!J$27)*N1567*(N$47+N$614)/(N$47+N$614+N$49))</f>
        <v>7.033508434985519E-6</v>
      </c>
      <c r="O1570" s="1">
        <f>IF(SUM([1]Transport!K$24,[1]Transport!K$27)=0,0,[1]Transport!K$27/SUM([1]Transport!K$24,[1]Transport!K$27)*O1567*(O$47+O$614)/(O$47+O$614+O$49))</f>
        <v>1.1828049535193614E-5</v>
      </c>
      <c r="P1570" s="1">
        <f>IF(SUM([1]Transport!L$24,[1]Transport!L$27)=0,0,[1]Transport!L$27/SUM([1]Transport!L$24,[1]Transport!L$27)*P1567*(P$47+P$614)/(P$47+P$614+P$49))</f>
        <v>9.6038899676781653E-6</v>
      </c>
      <c r="Q1570" s="1">
        <f>IF(SUM([1]Transport!M$24,[1]Transport!M$27)=0,0,[1]Transport!M$27/SUM([1]Transport!M$24,[1]Transport!M$27)*Q1567*(Q$47+Q$614)/(Q$47+Q$614+Q$49))</f>
        <v>1.9147858006022701E-5</v>
      </c>
      <c r="S1570" s="3"/>
    </row>
    <row r="1571" spans="2:19" x14ac:dyDescent="0.5">
      <c r="B1571" t="str">
        <f t="shared" si="1740"/>
        <v>SPS1</v>
      </c>
      <c r="C1571" t="str">
        <f t="shared" si="1741"/>
        <v>CH</v>
      </c>
      <c r="D1571" t="s">
        <v>1558</v>
      </c>
      <c r="E1571" t="str">
        <f t="shared" si="1744"/>
        <v>PJ/yr.</v>
      </c>
      <c r="F1571" s="1">
        <f>IF(([1]Transport!B$24+[1]Transport!B$27)=0,0,(F$49+F$716)/([1]Transport!B$24+[1]Transport!B$27)*F1567)</f>
        <v>0</v>
      </c>
      <c r="G1571" s="1">
        <f>IF(([1]Transport!C$24+[1]Transport!C$27)=0,0,(G$49+G$716)/([1]Transport!C$24+[1]Transport!C$27)*G1567)</f>
        <v>0</v>
      </c>
      <c r="H1571" s="1">
        <f>IF(([1]Transport!D$24+[1]Transport!D$27)=0,0,(H$49+H$716)/([1]Transport!D$24+[1]Transport!D$27)*H1567)</f>
        <v>0</v>
      </c>
      <c r="I1571" s="1">
        <f>IF(([1]Transport!E$24+[1]Transport!E$27)=0,0,(I$49+I$716)/([1]Transport!E$24+[1]Transport!E$27)*I1567)</f>
        <v>0</v>
      </c>
      <c r="J1571" s="1">
        <f>IF(([1]Transport!F$24+[1]Transport!F$27)=0,0,(J$49+J$716)/([1]Transport!F$24+[1]Transport!F$27)*J1567)</f>
        <v>2.2783171779011398E-2</v>
      </c>
      <c r="K1571" s="1">
        <f>IF(([1]Transport!G$24+[1]Transport!G$27)=0,0,(K$49+K$716)/([1]Transport!G$24+[1]Transport!G$27)*K1567)</f>
        <v>3.1627554001228665E-2</v>
      </c>
      <c r="L1571" s="1">
        <f>IF(([1]Transport!H$24+[1]Transport!H$27)=0,0,(L$49+L$716)/([1]Transport!H$24+[1]Transport!H$27)*L1567)</f>
        <v>3.9513389182115879E-3</v>
      </c>
      <c r="M1571" s="1">
        <f>IF(([1]Transport!I$24+[1]Transport!I$27)=0,0,(M$49+M$716)/([1]Transport!I$24+[1]Transport!I$27)*M1567)</f>
        <v>4.7567050653748852E-3</v>
      </c>
      <c r="N1571" s="1">
        <f>IF(([1]Transport!J$24+[1]Transport!J$27)=0,0,(N$49+N$716)/([1]Transport!J$24+[1]Transport!J$27)*N1567)</f>
        <v>6.4107451737578265E-3</v>
      </c>
      <c r="O1571" s="1">
        <f>IF(([1]Transport!K$24+[1]Transport!K$27)=0,0,(O$49+O$716)/([1]Transport!K$24+[1]Transport!K$27)*O1567)</f>
        <v>5.2544856111674072E-3</v>
      </c>
      <c r="P1571" s="1">
        <f>IF(([1]Transport!L$24+[1]Transport!L$27)=0,0,(P$49+P$716)/([1]Transport!L$24+[1]Transport!L$27)*P1567)</f>
        <v>1.7720795466011973E-2</v>
      </c>
      <c r="Q1571" s="1">
        <f>IF(([1]Transport!M$24+[1]Transport!M$27)=0,0,(Q$49+Q$716)/([1]Transport!M$24+[1]Transport!M$27)*Q1567)</f>
        <v>5.0860547871191455E-3</v>
      </c>
      <c r="S1571" s="3"/>
    </row>
    <row r="1572" spans="2:19" x14ac:dyDescent="0.5">
      <c r="B1572" t="str">
        <f t="shared" si="1740"/>
        <v>SPS1</v>
      </c>
      <c r="C1572" t="str">
        <f t="shared" si="1741"/>
        <v>CH</v>
      </c>
      <c r="D1572" t="s">
        <v>1559</v>
      </c>
      <c r="E1572" t="str">
        <f t="shared" si="1744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1.0722795071012495E-2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8.1236413385948041E-3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1.079770426555484E-2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1.2532020880186057E-4</v>
      </c>
      <c r="J1572" s="1" cm="1">
        <f t="array" ref="J1572">SUMPRODUCT(("TFLGV-ICENGA"=[1]OUT_TransportEnergyCons!$A$3:$A$1000)*1,("Var_Fin"=[1]OUT_TransportEnergyCons!$B$3:$B$1000)*1,ISNUMBER(SEARCH("nga",[1]OUT_TransportEnergyCons!$C$3:$C$1000))*1,[1]OUT_TransportEnergyCons!H$3:H$1000)</f>
        <v>1.0554358049698351E-4</v>
      </c>
      <c r="K1572" s="1" cm="1">
        <f t="array" ref="K1572">SUMPRODUCT(("TFLGV-ICENGA"=[1]OUT_TransportEnergyCons!$A$3:$A$1000)*1,("Var_Fin"=[1]OUT_TransportEnergyCons!$B$3:$B$1000)*1,ISNUMBER(SEARCH("nga",[1]OUT_TransportEnergyCons!$C$3:$C$1000))*1,[1]OUT_TransportEnergyCons!I$3:I$1000)</f>
        <v>1.0007995575609536E-4</v>
      </c>
      <c r="L1572" s="1" cm="1">
        <f t="array" ref="L1572">SUMPRODUCT(("TFLGV-ICENGA"=[1]OUT_TransportEnergyCons!$A$3:$A$1000)*1,("Var_Fin"=[1]OUT_TransportEnergyCons!$B$3:$B$1000)*1,ISNUMBER(SEARCH("nga",[1]OUT_TransportEnergyCons!$C$3:$C$1000))*1,[1]OUT_TransportEnergyCons!J$3:J$1000)</f>
        <v>1.0099770349724518E-4</v>
      </c>
      <c r="M1572" s="1" cm="1">
        <f t="array" ref="M1572">SUMPRODUCT(("TFLGV-ICENGA"=[1]OUT_TransportEnergyCons!$A$3:$A$1000)*1,("Var_Fin"=[1]OUT_TransportEnergyCons!$B$3:$B$1000)*1,ISNUMBER(SEARCH("nga",[1]OUT_TransportEnergyCons!$C$3:$C$1000))*1,[1]OUT_TransportEnergyCons!K$3:K$1000)</f>
        <v>1.0504093076297101E-4</v>
      </c>
      <c r="N1572" s="1" cm="1">
        <f t="array" ref="N1572">SUMPRODUCT(("TFLGV-ICENGA"=[1]OUT_TransportEnergyCons!$A$3:$A$1000)*1,("Var_Fin"=[1]OUT_TransportEnergyCons!$B$3:$B$1000)*1,ISNUMBER(SEARCH("nga",[1]OUT_TransportEnergyCons!$C$3:$C$1000))*1,[1]OUT_TransportEnergyCons!L$3:L$1000)</f>
        <v>1.065023649973854E-4</v>
      </c>
      <c r="O1572" s="1" cm="1">
        <f t="array" ref="O1572">SUMPRODUCT(("TFLGV-ICENGA"=[1]OUT_TransportEnergyCons!$A$3:$A$1000)*1,("Var_Fin"=[1]OUT_TransportEnergyCons!$B$3:$B$1000)*1,ISNUMBER(SEARCH("nga",[1]OUT_TransportEnergyCons!$C$3:$C$1000))*1,[1]OUT_TransportEnergyCons!M$3:M$1000)</f>
        <v>1.1024532124473147E-4</v>
      </c>
      <c r="P1572" s="1" cm="1">
        <f t="array" ref="P1572">SUMPRODUCT(("TFLGV-ICENGA"=[1]OUT_TransportEnergyCons!$A$3:$A$1000)*1,("Var_Fin"=[1]OUT_TransportEnergyCons!$B$3:$B$1000)*1,ISNUMBER(SEARCH("nga",[1]OUT_TransportEnergyCons!$C$3:$C$1000))*1,[1]OUT_TransportEnergyCons!N$3:N$1000)</f>
        <v>1.116504942080142E-4</v>
      </c>
      <c r="Q1572" s="1" cm="1">
        <f t="array" ref="Q1572">SUMPRODUCT(("TFLGV-ICENGA"=[1]OUT_TransportEnergyCons!$A$3:$A$1000)*1,("Var_Fin"=[1]OUT_TransportEnergyCons!$B$3:$B$1000)*1,ISNUMBER(SEARCH("nga",[1]OUT_TransportEnergyCons!$C$3:$C$1000))*1,[1]OUT_TransportEnergyCons!O$3:O$1000)</f>
        <v>1.1830948083277385E-4</v>
      </c>
      <c r="S1572" s="3"/>
    </row>
    <row r="1573" spans="2:19" x14ac:dyDescent="0.5">
      <c r="B1573" s="2" t="str">
        <f t="shared" si="1740"/>
        <v>SPS1</v>
      </c>
      <c r="C1573" s="2" t="str">
        <f t="shared" si="1741"/>
        <v>CH</v>
      </c>
      <c r="D1573" s="2" t="s">
        <v>1560</v>
      </c>
      <c r="E1573" s="2" t="s">
        <v>1517</v>
      </c>
      <c r="F1573" s="3">
        <f>SUM(F1574:F1582)</f>
        <v>4.7789687325600099</v>
      </c>
      <c r="G1573" s="3">
        <f t="shared" ref="G1573:K1573" si="1764">SUM(G1574:G1582)</f>
        <v>4.7700948580278997</v>
      </c>
      <c r="H1573" s="3">
        <f t="shared" si="1764"/>
        <v>4.715349957900175</v>
      </c>
      <c r="I1573" s="3">
        <f t="shared" si="1764"/>
        <v>4.661792041328563</v>
      </c>
      <c r="J1573" s="3">
        <f t="shared" si="1764"/>
        <v>4.843967385304536</v>
      </c>
      <c r="K1573" s="3">
        <f t="shared" si="1764"/>
        <v>5.0140167267700866</v>
      </c>
      <c r="L1573" s="3">
        <f t="shared" ref="L1573:O1573" si="1765">SUM(L1574:L1582)</f>
        <v>5.2231073157377779</v>
      </c>
      <c r="M1573" s="3">
        <f t="shared" si="1765"/>
        <v>5.4321956598921304</v>
      </c>
      <c r="N1573" s="3">
        <f t="shared" si="1765"/>
        <v>5.6865731141950482</v>
      </c>
      <c r="O1573" s="3">
        <f t="shared" si="1765"/>
        <v>6.0438753827122866</v>
      </c>
      <c r="P1573" s="3">
        <f>SUM(P1574:P1582)</f>
        <v>6.4405434688853154</v>
      </c>
      <c r="Q1573" s="3">
        <f>SUM(Q1574:Q1582)</f>
        <v>6.8765836995855283</v>
      </c>
      <c r="S1573" s="3"/>
    </row>
    <row r="1574" spans="2:19" x14ac:dyDescent="0.5">
      <c r="B1574" t="str">
        <f t="shared" si="1740"/>
        <v>SPS1</v>
      </c>
      <c r="C1574" t="str">
        <f t="shared" si="1741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2.7783818954094371E-2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2.0766830946148025E-2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1.8539988470521181E-2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9.2010929839673426E-3</v>
      </c>
      <c r="J1574" s="1" cm="1">
        <f t="array" ref="J1574">SUMPRODUCT(("TFLGV-BeVELCExt"=[1]OUT_TransportEnergyCons!$A$3:$A$1000)*1,("var_fout"=[1]OUT_TransportEnergyCons!$B$3:$B$1000)*1,ISNUMBER(SEARCH("TFLGV",[1]OUT_TransportEnergyCons!$C$3:$C$1000))*1,[1]OUT_TransportEnergyCons!H$3:H$1000)</f>
        <v>0</v>
      </c>
      <c r="K1574" s="1" cm="1">
        <f t="array" ref="K1574">SUMPRODUCT(("TFLGV-BeVELCExt"=[1]OUT_TransportEnergyCons!$A$3:$A$1000)*1,("var_fout"=[1]OUT_TransportEnergyCons!$B$3:$B$1000)*1,ISNUMBER(SEARCH("TFLGV",[1]OUT_TransportEnergyCons!$C$3:$C$1000))*1,[1]OUT_TransportEnergyCons!I$3:I$1000)</f>
        <v>0</v>
      </c>
      <c r="L1574" s="1" cm="1">
        <f t="array" ref="L1574">SUMPRODUCT(("TFLGV-BeVELCExt"=[1]OUT_TransportEnergyCons!$A$3:$A$1000)*1,("var_fout"=[1]OUT_TransportEnergyCons!$B$3:$B$1000)*1,ISNUMBER(SEARCH("TFLGV",[1]OUT_TransportEnergyCons!$C$3:$C$1000))*1,[1]OUT_TransportEnergyCons!J$3:J$1000)</f>
        <v>0</v>
      </c>
      <c r="M1574" s="1" cm="1">
        <f t="array" ref="M1574">SUMPRODUCT(("TFLGV-BeVELCExt"=[1]OUT_TransportEnergyCons!$A$3:$A$1000)*1,("var_fout"=[1]OUT_TransportEnergyCons!$B$3:$B$1000)*1,ISNUMBER(SEARCH("TFLGV",[1]OUT_TransportEnergyCons!$C$3:$C$1000))*1,[1]OUT_TransportEnergyCons!K$3:K$1000)</f>
        <v>0</v>
      </c>
      <c r="N1574" s="1" cm="1">
        <f t="array" ref="N1574">SUMPRODUCT(("TFLGV-BeVELCExt"=[1]OUT_TransportEnergyCons!$A$3:$A$1000)*1,("var_fout"=[1]OUT_TransportEnergyCons!$B$3:$B$1000)*1,ISNUMBER(SEARCH("TFLGV",[1]OUT_TransportEnergyCons!$C$3:$C$1000))*1,[1]OUT_TransportEnergyCons!L$3:L$1000)</f>
        <v>0</v>
      </c>
      <c r="O1574" s="1" cm="1">
        <f t="array" ref="O1574">SUMPRODUCT(("TFLGV-BeVELCExt"=[1]OUT_TransportEnergyCons!$A$3:$A$1000)*1,("var_fout"=[1]OUT_TransportEnergyCons!$B$3:$B$1000)*1,ISNUMBER(SEARCH("TFLGV",[1]OUT_TransportEnergyCons!$C$3:$C$1000))*1,[1]OUT_TransportEnergyCons!M$3:M$1000)</f>
        <v>0</v>
      </c>
      <c r="P1574" s="1" cm="1">
        <f t="array" ref="P1574">SUMPRODUCT(("TFLGV-BeVELCExt"=[1]OUT_TransportEnergyCons!$A$3:$A$1000)*1,("var_fout"=[1]OUT_TransportEnergyCons!$B$3:$B$1000)*1,ISNUMBER(SEARCH("TFLGV",[1]OUT_TransportEnergyCons!$C$3:$C$1000))*1,[1]OUT_TransportEnergyCons!N$3:N$1000)</f>
        <v>0</v>
      </c>
      <c r="Q1574" s="1" cm="1">
        <f t="array" ref="Q1574">SUMPRODUCT(("TFLGV-BeVELCExt"=[1]OUT_TransportEnergyCons!$A$3:$A$1000)*1,("var_fout"=[1]OUT_TransportEnergyCons!$B$3:$B$1000)*1,ISNUMBER(SEARCH("TFLGV",[1]OUT_TransportEnergyCons!$C$3:$C$1000))*1,[1]OUT_TransportEnergyCons!O$3:O$1000)</f>
        <v>0</v>
      </c>
      <c r="S1574" s="3"/>
    </row>
    <row r="1575" spans="2:19" x14ac:dyDescent="0.5">
      <c r="B1575" t="str">
        <f t="shared" si="1740"/>
        <v>SPS1</v>
      </c>
      <c r="C1575" t="str">
        <f t="shared" si="1741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2.3765583846934238E-2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4.4331309051131126E-2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0.20253657782789522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0.83241583301611766</v>
      </c>
      <c r="J1575" s="1" cm="1">
        <f t="array" ref="J1575">SUMPRODUCT(("TFLGV-BEVELC"=[1]OUT_TransportEnergyCons!$A$3:$A$1000)*1,("var_fout"=[1]OUT_TransportEnergyCons!$B$3:$B$1000)*1,ISNUMBER(SEARCH("TFLGV",[1]OUT_TransportEnergyCons!$C$3:$C$1000))*1,[1]OUT_TransportEnergyCons!H$3:H$1000)</f>
        <v>1.9697055885989401</v>
      </c>
      <c r="K1575" s="1" cm="1">
        <f t="array" ref="K1575">SUMPRODUCT(("TFLGV-BEVELC"=[1]OUT_TransportEnergyCons!$A$3:$A$1000)*1,("var_fout"=[1]OUT_TransportEnergyCons!$B$3:$B$1000)*1,ISNUMBER(SEARCH("TFLGV",[1]OUT_TransportEnergyCons!$C$3:$C$1000))*1,[1]OUT_TransportEnergyCons!I$3:I$1000)</f>
        <v>3.4719694603452353</v>
      </c>
      <c r="L1575" s="1" cm="1">
        <f t="array" ref="L1575">SUMPRODUCT(("TFLGV-BEVELC"=[1]OUT_TransportEnergyCons!$A$3:$A$1000)*1,("var_fout"=[1]OUT_TransportEnergyCons!$B$3:$B$1000)*1,ISNUMBER(SEARCH("TFLGV",[1]OUT_TransportEnergyCons!$C$3:$C$1000))*1,[1]OUT_TransportEnergyCons!J$3:J$1000)</f>
        <v>3.5908922994396768</v>
      </c>
      <c r="M1575" s="1" cm="1">
        <f t="array" ref="M1575">SUMPRODUCT(("TFLGV-BEVELC"=[1]OUT_TransportEnergyCons!$A$3:$A$1000)*1,("var_fout"=[1]OUT_TransportEnergyCons!$B$3:$B$1000)*1,ISNUMBER(SEARCH("TFLGV",[1]OUT_TransportEnergyCons!$C$3:$C$1000))*1,[1]OUT_TransportEnergyCons!K$3:K$1000)</f>
        <v>3.7337933835045631</v>
      </c>
      <c r="N1575" s="1" cm="1">
        <f t="array" ref="N1575">SUMPRODUCT(("TFLGV-BEVELC"=[1]OUT_TransportEnergyCons!$A$3:$A$1000)*1,("var_fout"=[1]OUT_TransportEnergyCons!$B$3:$B$1000)*1,ISNUMBER(SEARCH("TFLGV",[1]OUT_TransportEnergyCons!$C$3:$C$1000))*1,[1]OUT_TransportEnergyCons!L$3:L$1000)</f>
        <v>3.954218962172444</v>
      </c>
      <c r="O1575" s="1" cm="1">
        <f t="array" ref="O1575">SUMPRODUCT(("TFLGV-BEVELC"=[1]OUT_TransportEnergyCons!$A$3:$A$1000)*1,("var_fout"=[1]OUT_TransportEnergyCons!$B$3:$B$1000)*1,ISNUMBER(SEARCH("TFLGV",[1]OUT_TransportEnergyCons!$C$3:$C$1000))*1,[1]OUT_TransportEnergyCons!M$3:M$1000)</f>
        <v>4.3037956156410013</v>
      </c>
      <c r="P1575" s="1" cm="1">
        <f t="array" ref="P1575">SUMPRODUCT(("TFLGV-BEVELC"=[1]OUT_TransportEnergyCons!$A$3:$A$1000)*1,("var_fout"=[1]OUT_TransportEnergyCons!$B$3:$B$1000)*1,ISNUMBER(SEARCH("TFLGV",[1]OUT_TransportEnergyCons!$C$3:$C$1000))*1,[1]OUT_TransportEnergyCons!N$3:N$1000)</f>
        <v>4.7070843308326458</v>
      </c>
      <c r="Q1575" s="1" cm="1">
        <f t="array" ref="Q1575">SUMPRODUCT(("TFLGV-BEVELC"=[1]OUT_TransportEnergyCons!$A$3:$A$1000)*1,("var_fout"=[1]OUT_TransportEnergyCons!$B$3:$B$1000)*1,ISNUMBER(SEARCH("TFLGV",[1]OUT_TransportEnergyCons!$C$3:$C$1000))*1,[1]OUT_TransportEnergyCons!O$3:O$1000)</f>
        <v>5.1249080267538423</v>
      </c>
      <c r="S1575" s="3"/>
    </row>
    <row r="1576" spans="2:19" x14ac:dyDescent="0.5">
      <c r="B1576" t="str">
        <f t="shared" si="1740"/>
        <v>SPS1</v>
      </c>
      <c r="C1576" t="str">
        <f t="shared" si="1741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1.0019150708384862E-4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1.3412580963651944E-4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1.0059316874601738E-5</v>
      </c>
      <c r="J1576" s="1" cm="1">
        <f t="array" ref="J1576">SUMPRODUCT(("TFLGV-FCLH2O"=[1]OUT_TransportEnergyCons!$A$3:$A$1000)*1,("var_fout"=[1]OUT_TransportEnergyCons!$B$3:$B$1000)*1,ISNUMBER(SEARCH("TFLGV",[1]OUT_TransportEnergyCons!$C$3:$C$1000))*1,[1]OUT_TransportEnergyCons!H$3:H$1000)</f>
        <v>9.1262647960634453E-6</v>
      </c>
      <c r="K1576" s="1" cm="1">
        <f t="array" ref="K1576">SUMPRODUCT(("TFLGV-FCLH2O"=[1]OUT_TransportEnergyCons!$A$3:$A$1000)*1,("var_fout"=[1]OUT_TransportEnergyCons!$B$3:$B$1000)*1,ISNUMBER(SEARCH("TFLGV",[1]OUT_TransportEnergyCons!$C$3:$C$1000))*1,[1]OUT_TransportEnergyCons!I$3:I$1000)</f>
        <v>8.8763664178294272E-6</v>
      </c>
      <c r="L1576" s="1" cm="1">
        <f t="array" ref="L1576">SUMPRODUCT(("TFLGV-FCLH2O"=[1]OUT_TransportEnergyCons!$A$3:$A$1000)*1,("var_fout"=[1]OUT_TransportEnergyCons!$B$3:$B$1000)*1,ISNUMBER(SEARCH("TFLGV",[1]OUT_TransportEnergyCons!$C$3:$C$1000))*1,[1]OUT_TransportEnergyCons!J$3:J$1000)</f>
        <v>9.5600639098546558E-6</v>
      </c>
      <c r="M1576" s="1" cm="1">
        <f t="array" ref="M1576">SUMPRODUCT(("TFLGV-FCLH2O"=[1]OUT_TransportEnergyCons!$A$3:$A$1000)*1,("var_fout"=[1]OUT_TransportEnergyCons!$B$3:$B$1000)*1,ISNUMBER(SEARCH("TFLGV",[1]OUT_TransportEnergyCons!$C$3:$C$1000))*1,[1]OUT_TransportEnergyCons!K$3:K$1000)</f>
        <v>9.1292488439403692E-6</v>
      </c>
      <c r="N1576" s="1" cm="1">
        <f t="array" ref="N1576">SUMPRODUCT(("TFLGV-FCLH2O"=[1]OUT_TransportEnergyCons!$A$3:$A$1000)*1,("var_fout"=[1]OUT_TransportEnergyCons!$B$3:$B$1000)*1,ISNUMBER(SEARCH("TFLGV",[1]OUT_TransportEnergyCons!$C$3:$C$1000))*1,[1]OUT_TransportEnergyCons!L$3:L$1000)</f>
        <v>8.7429503875203947E-6</v>
      </c>
      <c r="O1576" s="1" cm="1">
        <f t="array" ref="O1576">SUMPRODUCT(("TFLGV-FCLH2O"=[1]OUT_TransportEnergyCons!$A$3:$A$1000)*1,("var_fout"=[1]OUT_TransportEnergyCons!$B$3:$B$1000)*1,ISNUMBER(SEARCH("TFLGV",[1]OUT_TransportEnergyCons!$C$3:$C$1000))*1,[1]OUT_TransportEnergyCons!M$3:M$1000)</f>
        <v>8.3567624513333291E-6</v>
      </c>
      <c r="P1576" s="1" cm="1">
        <f t="array" ref="P1576">SUMPRODUCT(("TFLGV-FCLH2O"=[1]OUT_TransportEnergyCons!$A$3:$A$1000)*1,("var_fout"=[1]OUT_TransportEnergyCons!$B$3:$B$1000)*1,ISNUMBER(SEARCH("TFLGV",[1]OUT_TransportEnergyCons!$C$3:$C$1000))*1,[1]OUT_TransportEnergyCons!N$3:N$1000)</f>
        <v>7.7124446669211281E-6</v>
      </c>
      <c r="Q1576" s="1" cm="1">
        <f t="array" ref="Q1576">SUMPRODUCT(("TFLGV-FCLH2O"=[1]OUT_TransportEnergyCons!$A$3:$A$1000)*1,("var_fout"=[1]OUT_TransportEnergyCons!$B$3:$B$1000)*1,ISNUMBER(SEARCH("TFLGV",[1]OUT_TransportEnergyCons!$C$3:$C$1000))*1,[1]OUT_TransportEnergyCons!O$3:O$1000)</f>
        <v>3.1703442512595521E-5</v>
      </c>
      <c r="S1576" s="3"/>
    </row>
    <row r="1577" spans="2:19" x14ac:dyDescent="0.5">
      <c r="B1577" t="str">
        <f t="shared" si="1740"/>
        <v>SPS1</v>
      </c>
      <c r="C1577" t="str">
        <f t="shared" si="1741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0.20159123189348163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0.34107630058708599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0.16899943504728449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7.7239266033600637E-2</v>
      </c>
      <c r="J1577" s="1" cm="1">
        <f t="array" ref="J1577">SUMPRODUCT(("TFLGV-ICEGSLExt"=[1]OUT_TransportEnergyCons!$A$3:$A$1000)*1,("var_fout"=[1]OUT_TransportEnergyCons!$B$3:$B$1000)*1,ISNUMBER(SEARCH("TFLGV",[1]OUT_TransportEnergyCons!$C$3:$C$1000))*1,[1]OUT_TransportEnergyCons!H$3:H$1000)</f>
        <v>0</v>
      </c>
      <c r="K1577" s="1" cm="1">
        <f t="array" ref="K1577">SUMPRODUCT(("TFLGV-ICEGSLExt"=[1]OUT_TransportEnergyCons!$A$3:$A$1000)*1,("var_fout"=[1]OUT_TransportEnergyCons!$B$3:$B$1000)*1,ISNUMBER(SEARCH("TFLGV",[1]OUT_TransportEnergyCons!$C$3:$C$1000))*1,[1]OUT_TransportEnergyCons!I$3:I$1000)</f>
        <v>0</v>
      </c>
      <c r="L1577" s="1" cm="1">
        <f t="array" ref="L1577">SUMPRODUCT(("TFLGV-ICEGSLExt"=[1]OUT_TransportEnergyCons!$A$3:$A$1000)*1,("var_fout"=[1]OUT_TransportEnergyCons!$B$3:$B$1000)*1,ISNUMBER(SEARCH("TFLGV",[1]OUT_TransportEnergyCons!$C$3:$C$1000))*1,[1]OUT_TransportEnergyCons!J$3:J$1000)</f>
        <v>0</v>
      </c>
      <c r="M1577" s="1" cm="1">
        <f t="array" ref="M1577">SUMPRODUCT(("TFLGV-ICEGSLExt"=[1]OUT_TransportEnergyCons!$A$3:$A$1000)*1,("var_fout"=[1]OUT_TransportEnergyCons!$B$3:$B$1000)*1,ISNUMBER(SEARCH("TFLGV",[1]OUT_TransportEnergyCons!$C$3:$C$1000))*1,[1]OUT_TransportEnergyCons!K$3:K$1000)</f>
        <v>0</v>
      </c>
      <c r="N1577" s="1" cm="1">
        <f t="array" ref="N1577">SUMPRODUCT(("TFLGV-ICEGSLExt"=[1]OUT_TransportEnergyCons!$A$3:$A$1000)*1,("var_fout"=[1]OUT_TransportEnergyCons!$B$3:$B$1000)*1,ISNUMBER(SEARCH("TFLGV",[1]OUT_TransportEnergyCons!$C$3:$C$1000))*1,[1]OUT_TransportEnergyCons!L$3:L$1000)</f>
        <v>0</v>
      </c>
      <c r="O1577" s="1" cm="1">
        <f t="array" ref="O1577">SUMPRODUCT(("TFLGV-ICEGSLExt"=[1]OUT_TransportEnergyCons!$A$3:$A$1000)*1,("var_fout"=[1]OUT_TransportEnergyCons!$B$3:$B$1000)*1,ISNUMBER(SEARCH("TFLGV",[1]OUT_TransportEnergyCons!$C$3:$C$1000))*1,[1]OUT_TransportEnergyCons!M$3:M$1000)</f>
        <v>0</v>
      </c>
      <c r="P1577" s="1" cm="1">
        <f t="array" ref="P1577">SUMPRODUCT(("TFLGV-ICEGSLExt"=[1]OUT_TransportEnergyCons!$A$3:$A$1000)*1,("var_fout"=[1]OUT_TransportEnergyCons!$B$3:$B$1000)*1,ISNUMBER(SEARCH("TFLGV",[1]OUT_TransportEnergyCons!$C$3:$C$1000))*1,[1]OUT_TransportEnergyCons!N$3:N$1000)</f>
        <v>0</v>
      </c>
      <c r="Q1577" s="1" cm="1">
        <f t="array" ref="Q1577">SUMPRODUCT(("TFLGV-ICEGSLExt"=[1]OUT_TransportEnergyCons!$A$3:$A$1000)*1,("var_fout"=[1]OUT_TransportEnergyCons!$B$3:$B$1000)*1,ISNUMBER(SEARCH("TFLGV",[1]OUT_TransportEnergyCons!$C$3:$C$1000))*1,[1]OUT_TransportEnergyCons!O$3:O$1000)</f>
        <v>0</v>
      </c>
      <c r="S1577" s="3"/>
    </row>
    <row r="1578" spans="2:19" x14ac:dyDescent="0.5">
      <c r="B1578" t="str">
        <f t="shared" si="1740"/>
        <v>SPS1</v>
      </c>
      <c r="C1578" t="str">
        <f t="shared" si="1741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0.13744121394000999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0.20364106095075424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0.32677158832397302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0.5180984098976954</v>
      </c>
      <c r="J1578" s="1" cm="1">
        <f t="array" ref="J1578">SUMPRODUCT(("TFLGV-ICEGSL"=[1]OUT_TransportEnergyCons!$A$3:$A$1000)*1,("var_fout"=[1]OUT_TransportEnergyCons!$B$3:$B$1000)*1,ISNUMBER(SEARCH("TFLGV",[1]OUT_TransportEnergyCons!$C$3:$C$1000))*1,[1]OUT_TransportEnergyCons!H$3:H$1000)</f>
        <v>0.69849223794716409</v>
      </c>
      <c r="K1578" s="1" cm="1">
        <f t="array" ref="K1578">SUMPRODUCT(("TFLGV-ICEGSL"=[1]OUT_TransportEnergyCons!$A$3:$A$1000)*1,("var_fout"=[1]OUT_TransportEnergyCons!$B$3:$B$1000)*1,ISNUMBER(SEARCH("TFLGV",[1]OUT_TransportEnergyCons!$C$3:$C$1000))*1,[1]OUT_TransportEnergyCons!I$3:I$1000)</f>
        <v>0.42047084572148108</v>
      </c>
      <c r="L1578" s="1" cm="1">
        <f t="array" ref="L1578">SUMPRODUCT(("TFLGV-ICEGSL"=[1]OUT_TransportEnergyCons!$A$3:$A$1000)*1,("var_fout"=[1]OUT_TransportEnergyCons!$B$3:$B$1000)*1,ISNUMBER(SEARCH("TFLGV",[1]OUT_TransportEnergyCons!$C$3:$C$1000))*1,[1]OUT_TransportEnergyCons!J$3:J$1000)</f>
        <v>0.46179818512885945</v>
      </c>
      <c r="M1578" s="1" cm="1">
        <f t="array" ref="M1578">SUMPRODUCT(("TFLGV-ICEGSL"=[1]OUT_TransportEnergyCons!$A$3:$A$1000)*1,("var_fout"=[1]OUT_TransportEnergyCons!$B$3:$B$1000)*1,ISNUMBER(SEARCH("TFLGV",[1]OUT_TransportEnergyCons!$C$3:$C$1000))*1,[1]OUT_TransportEnergyCons!K$3:K$1000)</f>
        <v>0.50919416413809138</v>
      </c>
      <c r="N1578" s="1" cm="1">
        <f t="array" ref="N1578">SUMPRODUCT(("TFLGV-ICEGSL"=[1]OUT_TransportEnergyCons!$A$3:$A$1000)*1,("var_fout"=[1]OUT_TransportEnergyCons!$B$3:$B$1000)*1,ISNUMBER(SEARCH("TFLGV",[1]OUT_TransportEnergyCons!$C$3:$C$1000))*1,[1]OUT_TransportEnergyCons!L$3:L$1000)</f>
        <v>0.5114396552610645</v>
      </c>
      <c r="O1578" s="1" cm="1">
        <f t="array" ref="O1578">SUMPRODUCT(("TFLGV-ICEGSL"=[1]OUT_TransportEnergyCons!$A$3:$A$1000)*1,("var_fout"=[1]OUT_TransportEnergyCons!$B$3:$B$1000)*1,ISNUMBER(SEARCH("TFLGV",[1]OUT_TransportEnergyCons!$C$3:$C$1000))*1,[1]OUT_TransportEnergyCons!M$3:M$1000)</f>
        <v>0.51908159892521333</v>
      </c>
      <c r="P1578" s="1" cm="1">
        <f t="array" ref="P1578">SUMPRODUCT(("TFLGV-ICEGSL"=[1]OUT_TransportEnergyCons!$A$3:$A$1000)*1,("var_fout"=[1]OUT_TransportEnergyCons!$B$3:$B$1000)*1,ISNUMBER(SEARCH("TFLGV",[1]OUT_TransportEnergyCons!$C$3:$C$1000))*1,[1]OUT_TransportEnergyCons!N$3:N$1000)</f>
        <v>0.51948478361233652</v>
      </c>
      <c r="Q1578" s="1" cm="1">
        <f t="array" ref="Q1578">SUMPRODUCT(("TFLGV-ICEGSL"=[1]OUT_TransportEnergyCons!$A$3:$A$1000)*1,("var_fout"=[1]OUT_TransportEnergyCons!$B$3:$B$1000)*1,ISNUMBER(SEARCH("TFLGV",[1]OUT_TransportEnergyCons!$C$3:$C$1000))*1,[1]OUT_TransportEnergyCons!O$3:O$1000)</f>
        <v>0.52165498843341263</v>
      </c>
      <c r="S1578" s="3"/>
    </row>
    <row r="1579" spans="2:19" x14ac:dyDescent="0.5">
      <c r="B1579" t="str">
        <f t="shared" si="1740"/>
        <v>SPS1</v>
      </c>
      <c r="C1579" t="str">
        <f t="shared" si="1741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2.8673749242734945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2.15970725058963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1.5904436118976077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0.76688016540605775</v>
      </c>
      <c r="J1579" s="1" cm="1">
        <f t="array" ref="J1579">SUMPRODUCT(("TFLGV-ICEdslExt"=[1]OUT_TransportEnergyCons!$A$3:$A$1000)*1,("var_fout"=[1]OUT_TransportEnergyCons!$B$3:$B$1000)*1,ISNUMBER(SEARCH("TFLGV",[1]OUT_TransportEnergyCons!$C$3:$C$1000))*1,[1]OUT_TransportEnergyCons!H$3:H$1000)</f>
        <v>0</v>
      </c>
      <c r="K1579" s="1" cm="1">
        <f t="array" ref="K1579">SUMPRODUCT(("TFLGV-ICEdslExt"=[1]OUT_TransportEnergyCons!$A$3:$A$1000)*1,("var_fout"=[1]OUT_TransportEnergyCons!$B$3:$B$1000)*1,ISNUMBER(SEARCH("TFLGV",[1]OUT_TransportEnergyCons!$C$3:$C$1000))*1,[1]OUT_TransportEnergyCons!I$3:I$1000)</f>
        <v>0</v>
      </c>
      <c r="L1579" s="1" cm="1">
        <f t="array" ref="L1579">SUMPRODUCT(("TFLGV-ICEdslExt"=[1]OUT_TransportEnergyCons!$A$3:$A$1000)*1,("var_fout"=[1]OUT_TransportEnergyCons!$B$3:$B$1000)*1,ISNUMBER(SEARCH("TFLGV",[1]OUT_TransportEnergyCons!$C$3:$C$1000))*1,[1]OUT_TransportEnergyCons!J$3:J$1000)</f>
        <v>0</v>
      </c>
      <c r="M1579" s="1" cm="1">
        <f t="array" ref="M1579">SUMPRODUCT(("TFLGV-ICEdslExt"=[1]OUT_TransportEnergyCons!$A$3:$A$1000)*1,("var_fout"=[1]OUT_TransportEnergyCons!$B$3:$B$1000)*1,ISNUMBER(SEARCH("TFLGV",[1]OUT_TransportEnergyCons!$C$3:$C$1000))*1,[1]OUT_TransportEnergyCons!K$3:K$1000)</f>
        <v>0</v>
      </c>
      <c r="N1579" s="1" cm="1">
        <f t="array" ref="N1579">SUMPRODUCT(("TFLGV-ICEdslExt"=[1]OUT_TransportEnergyCons!$A$3:$A$1000)*1,("var_fout"=[1]OUT_TransportEnergyCons!$B$3:$B$1000)*1,ISNUMBER(SEARCH("TFLGV",[1]OUT_TransportEnergyCons!$C$3:$C$1000))*1,[1]OUT_TransportEnergyCons!L$3:L$1000)</f>
        <v>0</v>
      </c>
      <c r="O1579" s="1" cm="1">
        <f t="array" ref="O1579">SUMPRODUCT(("TFLGV-ICEdslExt"=[1]OUT_TransportEnergyCons!$A$3:$A$1000)*1,("var_fout"=[1]OUT_TransportEnergyCons!$B$3:$B$1000)*1,ISNUMBER(SEARCH("TFLGV",[1]OUT_TransportEnergyCons!$C$3:$C$1000))*1,[1]OUT_TransportEnergyCons!M$3:M$1000)</f>
        <v>0</v>
      </c>
      <c r="P1579" s="1" cm="1">
        <f t="array" ref="P1579">SUMPRODUCT(("TFLGV-ICEdslExt"=[1]OUT_TransportEnergyCons!$A$3:$A$1000)*1,("var_fout"=[1]OUT_TransportEnergyCons!$B$3:$B$1000)*1,ISNUMBER(SEARCH("TFLGV",[1]OUT_TransportEnergyCons!$C$3:$C$1000))*1,[1]OUT_TransportEnergyCons!N$3:N$1000)</f>
        <v>0</v>
      </c>
      <c r="Q1579" s="1" cm="1">
        <f t="array" ref="Q1579">SUMPRODUCT(("TFLGV-ICEdslExt"=[1]OUT_TransportEnergyCons!$A$3:$A$1000)*1,("var_fout"=[1]OUT_TransportEnergyCons!$B$3:$B$1000)*1,ISNUMBER(SEARCH("TFLGV",[1]OUT_TransportEnergyCons!$C$3:$C$1000))*1,[1]OUT_TransportEnergyCons!O$3:O$1000)</f>
        <v>0</v>
      </c>
      <c r="S1579" s="3"/>
    </row>
    <row r="1580" spans="2:19" x14ac:dyDescent="0.5">
      <c r="B1580" t="str">
        <f t="shared" si="1740"/>
        <v>SPS1</v>
      </c>
      <c r="C1580" t="str">
        <f t="shared" si="1741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1.5175744789546131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1.7955378361120145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1.7951467555896168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0.72575034268550787</v>
      </c>
      <c r="J1580" s="1" cm="1">
        <f t="array" ref="J1580">SUMPRODUCT(("TFLGV-ICEdsl"=[1]OUT_TransportEnergyCons!$A$3:$A$1000)*1,("var_fout"=[1]OUT_TransportEnergyCons!$B$3:$B$1000)*1,ISNUMBER(SEARCH("TFLGV",[1]OUT_TransportEnergyCons!$C$3:$C$1000))*1,[1]OUT_TransportEnergyCons!H$3:H$1000)</f>
        <v>0.10071620311557242</v>
      </c>
      <c r="K1580" s="1" cm="1">
        <f t="array" ref="K1580">SUMPRODUCT(("TFLGV-ICEdsl"=[1]OUT_TransportEnergyCons!$A$3:$A$1000)*1,("var_fout"=[1]OUT_TransportEnergyCons!$B$3:$B$1000)*1,ISNUMBER(SEARCH("TFLGV",[1]OUT_TransportEnergyCons!$C$3:$C$1000))*1,[1]OUT_TransportEnergyCons!I$3:I$1000)</f>
        <v>9.8857749172178433E-2</v>
      </c>
      <c r="L1580" s="1" cm="1">
        <f t="array" ref="L1580">SUMPRODUCT(("TFLGV-ICEdsl"=[1]OUT_TransportEnergyCons!$A$3:$A$1000)*1,("var_fout"=[1]OUT_TransportEnergyCons!$B$3:$B$1000)*1,ISNUMBER(SEARCH("TFLGV",[1]OUT_TransportEnergyCons!$C$3:$C$1000))*1,[1]OUT_TransportEnergyCons!J$3:J$1000)</f>
        <v>5.6573880332649651E-2</v>
      </c>
      <c r="M1580" s="1" cm="1">
        <f t="array" ref="M1580">SUMPRODUCT(("TFLGV-ICEdsl"=[1]OUT_TransportEnergyCons!$A$3:$A$1000)*1,("var_fout"=[1]OUT_TransportEnergyCons!$B$3:$B$1000)*1,ISNUMBER(SEARCH("TFLGV",[1]OUT_TransportEnergyCons!$C$3:$C$1000))*1,[1]OUT_TransportEnergyCons!K$3:K$1000)</f>
        <v>1.0240503651310932E-2</v>
      </c>
      <c r="N1580" s="1" cm="1">
        <f t="array" ref="N1580">SUMPRODUCT(("TFLGV-ICEdsl"=[1]OUT_TransportEnergyCons!$A$3:$A$1000)*1,("var_fout"=[1]OUT_TransportEnergyCons!$B$3:$B$1000)*1,ISNUMBER(SEARCH("TFLGV",[1]OUT_TransportEnergyCons!$C$3:$C$1000))*1,[1]OUT_TransportEnergyCons!L$3:L$1000)</f>
        <v>9.6852050106156599E-3</v>
      </c>
      <c r="O1580" s="1" cm="1">
        <f t="array" ref="O1580">SUMPRODUCT(("TFLGV-ICEdsl"=[1]OUT_TransportEnergyCons!$A$3:$A$1000)*1,("var_fout"=[1]OUT_TransportEnergyCons!$B$3:$B$1000)*1,ISNUMBER(SEARCH("TFLGV",[1]OUT_TransportEnergyCons!$C$3:$C$1000))*1,[1]OUT_TransportEnergyCons!M$3:M$1000)</f>
        <v>8.555712408929864E-3</v>
      </c>
      <c r="P1580" s="1" cm="1">
        <f t="array" ref="P1580">SUMPRODUCT(("TFLGV-ICEdsl"=[1]OUT_TransportEnergyCons!$A$3:$A$1000)*1,("var_fout"=[1]OUT_TransportEnergyCons!$B$3:$B$1000)*1,ISNUMBER(SEARCH("TFLGV",[1]OUT_TransportEnergyCons!$C$3:$C$1000))*1,[1]OUT_TransportEnergyCons!N$3:N$1000)</f>
        <v>6.9519355848368745E-3</v>
      </c>
      <c r="Q1580" s="1" cm="1">
        <f t="array" ref="Q1580">SUMPRODUCT(("TFLGV-ICEdsl"=[1]OUT_TransportEnergyCons!$A$3:$A$1000)*1,("var_fout"=[1]OUT_TransportEnergyCons!$B$3:$B$1000)*1,ISNUMBER(SEARCH("TFLGV",[1]OUT_TransportEnergyCons!$C$3:$C$1000))*1,[1]OUT_TransportEnergyCons!O$3:O$1000)</f>
        <v>9.7599010671363673E-3</v>
      </c>
      <c r="S1580" s="3"/>
    </row>
    <row r="1581" spans="2:19" x14ac:dyDescent="0.5">
      <c r="B1581" t="str">
        <f t="shared" si="1740"/>
        <v>SPS1</v>
      </c>
      <c r="C1581" t="str">
        <f t="shared" si="1741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0.20232982630413926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0.60931638007683442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1.7321566972212581</v>
      </c>
      <c r="J1581" s="1" cm="1">
        <f t="array" ref="J1581">SUMPRODUCT(("TFLGV-HYBDSL"=[1]OUT_TransportEnergyCons!$A$3:$A$1000)*1,("var_fout"=[1]OUT_TransportEnergyCons!$B$3:$B$1000)*1,ISNUMBER(SEARCH("TFLGV",[1]OUT_TransportEnergyCons!$C$3:$C$1000))*1,[1]OUT_TransportEnergyCons!H$3:H$1000)</f>
        <v>2.0750103945413167</v>
      </c>
      <c r="K1581" s="1" cm="1">
        <f t="array" ref="K1581">SUMPRODUCT(("TFLGV-HYBDSL"=[1]OUT_TransportEnergyCons!$A$3:$A$1000)*1,("var_fout"=[1]OUT_TransportEnergyCons!$B$3:$B$1000)*1,ISNUMBER(SEARCH("TFLGV",[1]OUT_TransportEnergyCons!$C$3:$C$1000))*1,[1]OUT_TransportEnergyCons!I$3:I$1000)</f>
        <v>1.0226777118400592</v>
      </c>
      <c r="L1581" s="1" cm="1">
        <f t="array" ref="L1581">SUMPRODUCT(("TFLGV-HYBDSL"=[1]OUT_TransportEnergyCons!$A$3:$A$1000)*1,("var_fout"=[1]OUT_TransportEnergyCons!$B$3:$B$1000)*1,ISNUMBER(SEARCH("TFLGV",[1]OUT_TransportEnergyCons!$C$3:$C$1000))*1,[1]OUT_TransportEnergyCons!J$3:J$1000)</f>
        <v>1.1138010132392175</v>
      </c>
      <c r="M1581" s="1" cm="1">
        <f t="array" ref="M1581">SUMPRODUCT(("TFLGV-HYBDSL"=[1]OUT_TransportEnergyCons!$A$3:$A$1000)*1,("var_fout"=[1]OUT_TransportEnergyCons!$B$3:$B$1000)*1,ISNUMBER(SEARCH("TFLGV",[1]OUT_TransportEnergyCons!$C$3:$C$1000))*1,[1]OUT_TransportEnergyCons!K$3:K$1000)</f>
        <v>1.1789248056504813</v>
      </c>
      <c r="N1581" s="1" cm="1">
        <f t="array" ref="N1581">SUMPRODUCT(("TFLGV-HYBDSL"=[1]OUT_TransportEnergyCons!$A$3:$A$1000)*1,("var_fout"=[1]OUT_TransportEnergyCons!$B$3:$B$1000)*1,ISNUMBER(SEARCH("TFLGV",[1]OUT_TransportEnergyCons!$C$3:$C$1000))*1,[1]OUT_TransportEnergyCons!L$3:L$1000)</f>
        <v>1.2111864065996005</v>
      </c>
      <c r="O1581" s="1" cm="1">
        <f t="array" ref="O1581">SUMPRODUCT(("TFLGV-HYBDSL"=[1]OUT_TransportEnergyCons!$A$3:$A$1000)*1,("var_fout"=[1]OUT_TransportEnergyCons!$B$3:$B$1000)*1,ISNUMBER(SEARCH("TFLGV",[1]OUT_TransportEnergyCons!$C$3:$C$1000))*1,[1]OUT_TransportEnergyCons!M$3:M$1000)</f>
        <v>1.2123987568683421</v>
      </c>
      <c r="P1581" s="1" cm="1">
        <f t="array" ref="P1581">SUMPRODUCT(("TFLGV-HYBDSL"=[1]OUT_TransportEnergyCons!$A$3:$A$1000)*1,("var_fout"=[1]OUT_TransportEnergyCons!$B$3:$B$1000)*1,ISNUMBER(SEARCH("TFLGV",[1]OUT_TransportEnergyCons!$C$3:$C$1000))*1,[1]OUT_TransportEnergyCons!N$3:N$1000)</f>
        <v>1.2069789138384495</v>
      </c>
      <c r="Q1581" s="1" cm="1">
        <f t="array" ref="Q1581">SUMPRODUCT(("TFLGV-HYBDSL"=[1]OUT_TransportEnergyCons!$A$3:$A$1000)*1,("var_fout"=[1]OUT_TransportEnergyCons!$B$3:$B$1000)*1,ISNUMBER(SEARCH("TFLGV",[1]OUT_TransportEnergyCons!$C$3:$C$1000))*1,[1]OUT_TransportEnergyCons!O$3:O$1000)</f>
        <v>1.2201911525987728</v>
      </c>
      <c r="S1581" s="3"/>
    </row>
    <row r="1582" spans="2:19" x14ac:dyDescent="0.5">
      <c r="B1582" t="str">
        <f t="shared" si="1740"/>
        <v>SPS1</v>
      </c>
      <c r="C1582" t="str">
        <f t="shared" si="1741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3.4374806973822792E-3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2.6042519799121364E-3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3.461494856805301E-3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4.0174767483235654E-5</v>
      </c>
      <c r="J1582" s="1" cm="1">
        <f t="array" ref="J1582">SUMPRODUCT(("TFLGV-ICENGA"=[1]OUT_TransportEnergyCons!$A$3:$A$1000)*1,("var_fout"=[1]OUT_TransportEnergyCons!$B$3:$B$1000)*1,ISNUMBER(SEARCH("TFLGV",[1]OUT_TransportEnergyCons!$C$3:$C$1000))*1,[1]OUT_TransportEnergyCons!H$3:H$1000)</f>
        <v>3.383483674623058E-5</v>
      </c>
      <c r="K1582" s="1" cm="1">
        <f t="array" ref="K1582">SUMPRODUCT(("TFLGV-ICENGA"=[1]OUT_TransportEnergyCons!$A$3:$A$1000)*1,("var_fout"=[1]OUT_TransportEnergyCons!$B$3:$B$1000)*1,ISNUMBER(SEARCH("TFLGV",[1]OUT_TransportEnergyCons!$C$3:$C$1000))*1,[1]OUT_TransportEnergyCons!I$3:I$1000)</f>
        <v>3.2083324714137805E-5</v>
      </c>
      <c r="L1582" s="1" cm="1">
        <f t="array" ref="L1582">SUMPRODUCT(("TFLGV-ICENGA"=[1]OUT_TransportEnergyCons!$A$3:$A$1000)*1,("var_fout"=[1]OUT_TransportEnergyCons!$B$3:$B$1000)*1,ISNUMBER(SEARCH("TFLGV",[1]OUT_TransportEnergyCons!$C$3:$C$1000))*1,[1]OUT_TransportEnergyCons!J$3:J$1000)</f>
        <v>3.2377533465156176E-5</v>
      </c>
      <c r="M1582" s="1" cm="1">
        <f t="array" ref="M1582">SUMPRODUCT(("TFLGV-ICENGA"=[1]OUT_TransportEnergyCons!$A$3:$A$1000)*1,("var_fout"=[1]OUT_TransportEnergyCons!$B$3:$B$1000)*1,ISNUMBER(SEARCH("TFLGV",[1]OUT_TransportEnergyCons!$C$3:$C$1000))*1,[1]OUT_TransportEnergyCons!K$3:K$1000)</f>
        <v>3.3673698838924772E-5</v>
      </c>
      <c r="N1582" s="1" cm="1">
        <f t="array" ref="N1582">SUMPRODUCT(("TFLGV-ICENGA"=[1]OUT_TransportEnergyCons!$A$3:$A$1000)*1,("var_fout"=[1]OUT_TransportEnergyCons!$B$3:$B$1000)*1,ISNUMBER(SEARCH("TFLGV",[1]OUT_TransportEnergyCons!$C$3:$C$1000))*1,[1]OUT_TransportEnergyCons!L$3:L$1000)</f>
        <v>3.4142200935441882E-5</v>
      </c>
      <c r="O1582" s="1" cm="1">
        <f t="array" ref="O1582">SUMPRODUCT(("TFLGV-ICENGA"=[1]OUT_TransportEnergyCons!$A$3:$A$1000)*1,("var_fout"=[1]OUT_TransportEnergyCons!$B$3:$B$1000)*1,ISNUMBER(SEARCH("TFLGV",[1]OUT_TransportEnergyCons!$C$3:$C$1000))*1,[1]OUT_TransportEnergyCons!M$3:M$1000)</f>
        <v>3.534210634874041E-5</v>
      </c>
      <c r="P1582" s="1" cm="1">
        <f t="array" ref="P1582">SUMPRODUCT(("TFLGV-ICENGA"=[1]OUT_TransportEnergyCons!$A$3:$A$1000)*1,("var_fout"=[1]OUT_TransportEnergyCons!$B$3:$B$1000)*1,ISNUMBER(SEARCH("TFLGV",[1]OUT_TransportEnergyCons!$C$3:$C$1000))*1,[1]OUT_TransportEnergyCons!N$3:N$1000)</f>
        <v>3.5792572379824519E-5</v>
      </c>
      <c r="Q1582" s="1" cm="1">
        <f t="array" ref="Q1582">SUMPRODUCT(("TFLGV-ICENGA"=[1]OUT_TransportEnergyCons!$A$3:$A$1000)*1,("var_fout"=[1]OUT_TransportEnergyCons!$B$3:$B$1000)*1,ISNUMBER(SEARCH("TFLGV",[1]OUT_TransportEnergyCons!$C$3:$C$1000))*1,[1]OUT_TransportEnergyCons!O$3:O$1000)</f>
        <v>3.7927289851821951E-5</v>
      </c>
      <c r="S1582" s="3"/>
    </row>
    <row r="1583" spans="2:19" x14ac:dyDescent="0.5">
      <c r="B1583" s="2" t="str">
        <f t="shared" si="1740"/>
        <v>SPS1</v>
      </c>
      <c r="C1583" s="2" t="str">
        <f t="shared" si="1741"/>
        <v>CH</v>
      </c>
      <c r="D1583" s="2" t="s">
        <v>1568</v>
      </c>
      <c r="E1583" s="2" t="s">
        <v>1576</v>
      </c>
      <c r="F1583" s="22" t="s">
        <v>292</v>
      </c>
      <c r="G1583" s="22" t="s">
        <v>292</v>
      </c>
      <c r="H1583" s="22" t="s">
        <v>292</v>
      </c>
      <c r="I1583" s="22" t="s">
        <v>292</v>
      </c>
      <c r="J1583" s="22" t="s">
        <v>292</v>
      </c>
      <c r="K1583" s="22" t="s">
        <v>292</v>
      </c>
      <c r="L1583" s="22" t="s">
        <v>292</v>
      </c>
      <c r="M1583" s="22" t="s">
        <v>292</v>
      </c>
      <c r="N1583" s="22" t="s">
        <v>292</v>
      </c>
      <c r="O1583" s="22" t="s">
        <v>292</v>
      </c>
      <c r="P1583" s="22" t="s">
        <v>292</v>
      </c>
      <c r="Q1583" s="22" t="s">
        <v>292</v>
      </c>
      <c r="S1583" s="3"/>
    </row>
    <row r="1584" spans="2:19" x14ac:dyDescent="0.5">
      <c r="B1584" t="str">
        <f t="shared" si="1740"/>
        <v>SPS1</v>
      </c>
      <c r="C1584" t="str">
        <f t="shared" si="1741"/>
        <v>CH</v>
      </c>
      <c r="D1584" t="s">
        <v>1569</v>
      </c>
      <c r="E1584" t="s">
        <v>1576</v>
      </c>
      <c r="F1584" s="1">
        <f>IFERROR(F1574/F1548,"-")</f>
        <v>0.68922285337539602</v>
      </c>
      <c r="G1584" s="1">
        <f t="shared" ref="G1584:K1584" si="1766">IFERROR(G1574/G1548,"-")</f>
        <v>0.69564643130450543</v>
      </c>
      <c r="H1584" s="1">
        <f t="shared" si="1766"/>
        <v>0.70528179819817072</v>
      </c>
      <c r="I1584" s="1">
        <f t="shared" si="1766"/>
        <v>0.70528179819817027</v>
      </c>
      <c r="J1584" s="1" t="str">
        <f t="shared" si="1766"/>
        <v>-</v>
      </c>
      <c r="K1584" s="1" t="str">
        <f t="shared" si="1766"/>
        <v>-</v>
      </c>
      <c r="L1584" s="1" t="str">
        <f t="shared" ref="L1584:O1584" si="1767">IFERROR(L1574/L1548,"-")</f>
        <v>-</v>
      </c>
      <c r="M1584" s="1" t="str">
        <f t="shared" si="1767"/>
        <v>-</v>
      </c>
      <c r="N1584" s="1" t="str">
        <f t="shared" si="1767"/>
        <v>-</v>
      </c>
      <c r="O1584" s="1" t="str">
        <f t="shared" si="1767"/>
        <v>-</v>
      </c>
      <c r="P1584" s="1" t="str">
        <f>IFERROR(P1574/P1548,"-")</f>
        <v>-</v>
      </c>
      <c r="Q1584" s="1" t="str">
        <f>IFERROR(Q1574/Q1548,"-")</f>
        <v>-</v>
      </c>
      <c r="S1584" s="3"/>
    </row>
    <row r="1585" spans="2:19" x14ac:dyDescent="0.5">
      <c r="B1585" t="str">
        <f t="shared" si="1740"/>
        <v>SPS1</v>
      </c>
      <c r="C1585" t="str">
        <f t="shared" si="1741"/>
        <v>CH</v>
      </c>
      <c r="D1585" t="s">
        <v>1570</v>
      </c>
      <c r="E1585" t="s">
        <v>1576</v>
      </c>
      <c r="F1585" s="1">
        <f>IFERROR(F1575/F1549,"-")</f>
        <v>0.68135756995377272</v>
      </c>
      <c r="G1585" s="1">
        <f t="shared" ref="G1585:K1585" si="1768">IFERROR(G1575/G1549,"-")</f>
        <v>0.68135756995377417</v>
      </c>
      <c r="H1585" s="1">
        <f t="shared" si="1768"/>
        <v>0.68135756995377261</v>
      </c>
      <c r="I1585" s="1">
        <f t="shared" si="1768"/>
        <v>0.68135756995377272</v>
      </c>
      <c r="J1585" s="1">
        <f t="shared" si="1768"/>
        <v>0.68135756995377217</v>
      </c>
      <c r="K1585" s="1">
        <f t="shared" si="1768"/>
        <v>0.68135756995377261</v>
      </c>
      <c r="L1585" s="1">
        <f t="shared" ref="L1585:O1585" si="1769">IFERROR(L1575/L1549,"-")</f>
        <v>0.68135756995377383</v>
      </c>
      <c r="M1585" s="1">
        <f t="shared" si="1769"/>
        <v>0.68135756995377239</v>
      </c>
      <c r="N1585" s="1">
        <f t="shared" si="1769"/>
        <v>0.68135756995377172</v>
      </c>
      <c r="O1585" s="1">
        <f t="shared" si="1769"/>
        <v>0.68135756995377372</v>
      </c>
      <c r="P1585" s="1">
        <f>IFERROR(P1575/P1549,"-")</f>
        <v>0.68135756995377339</v>
      </c>
      <c r="Q1585" s="1">
        <f>IFERROR(Q1575/Q1549,"-")</f>
        <v>0.68135756995377161</v>
      </c>
      <c r="S1585" s="3"/>
    </row>
    <row r="1586" spans="2:19" x14ac:dyDescent="0.5">
      <c r="B1586" t="str">
        <f t="shared" si="1740"/>
        <v>SPS1</v>
      </c>
      <c r="C1586" t="str">
        <f t="shared" si="1741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770">IFERROR(G1576/G1551,"-")</f>
        <v>0.46510343171505425</v>
      </c>
      <c r="H1586" s="1">
        <f t="shared" si="1770"/>
        <v>0.47226615882611267</v>
      </c>
      <c r="I1586" s="1">
        <f t="shared" si="1770"/>
        <v>0.49651707311599053</v>
      </c>
      <c r="J1586" s="1">
        <f t="shared" si="1770"/>
        <v>0.52954447656477288</v>
      </c>
      <c r="K1586" s="1">
        <f t="shared" si="1770"/>
        <v>0.5621123893445481</v>
      </c>
      <c r="L1586" s="1">
        <f t="shared" ref="L1586:O1586" si="1771">IFERROR(L1576/L1551,"-")</f>
        <v>0.57654695210935647</v>
      </c>
      <c r="M1586" s="1">
        <f t="shared" si="1771"/>
        <v>0.59486441372646803</v>
      </c>
      <c r="N1586" s="1">
        <f t="shared" si="1771"/>
        <v>0.60205714534799137</v>
      </c>
      <c r="O1586" s="1">
        <f t="shared" si="1771"/>
        <v>0.60480257429318751</v>
      </c>
      <c r="P1586" s="1">
        <f>IFERROR(P1576/P1551,"-")</f>
        <v>0.60480257429318818</v>
      </c>
      <c r="Q1586" s="1">
        <f>IFERROR(Q1576/Q1551,"-")</f>
        <v>0.60480257429318773</v>
      </c>
      <c r="S1586" s="3"/>
    </row>
    <row r="1587" spans="2:19" x14ac:dyDescent="0.5">
      <c r="B1587" t="str">
        <f t="shared" si="1740"/>
        <v>SPS1</v>
      </c>
      <c r="C1587" t="str">
        <f t="shared" si="1741"/>
        <v>CH</v>
      </c>
      <c r="D1587" t="s">
        <v>1591</v>
      </c>
      <c r="E1587" t="s">
        <v>1576</v>
      </c>
      <c r="F1587" s="1">
        <f>IFERROR(F1577/F1557,"-")</f>
        <v>0.27758325613681017</v>
      </c>
      <c r="G1587" s="1">
        <f t="shared" ref="G1587:K1587" si="1772">IFERROR(G1577/G1557,"-")</f>
        <v>0.2801703405158007</v>
      </c>
      <c r="H1587" s="1">
        <f t="shared" si="1772"/>
        <v>0.28405096708428734</v>
      </c>
      <c r="I1587" s="1">
        <f t="shared" si="1772"/>
        <v>0.2840509670842869</v>
      </c>
      <c r="J1587" s="1" t="str">
        <f t="shared" si="1772"/>
        <v>-</v>
      </c>
      <c r="K1587" s="1" t="str">
        <f t="shared" si="1772"/>
        <v>-</v>
      </c>
      <c r="L1587" s="1" t="str">
        <f t="shared" ref="L1587:O1587" si="1773">IFERROR(L1577/L1557,"-")</f>
        <v>-</v>
      </c>
      <c r="M1587" s="1" t="str">
        <f t="shared" si="1773"/>
        <v>-</v>
      </c>
      <c r="N1587" s="1" t="str">
        <f t="shared" si="1773"/>
        <v>-</v>
      </c>
      <c r="O1587" s="1" t="str">
        <f t="shared" si="1773"/>
        <v>-</v>
      </c>
      <c r="P1587" s="1" t="str">
        <f>IFERROR(P1577/P1557,"-")</f>
        <v>-</v>
      </c>
      <c r="Q1587" s="1" t="str">
        <f>IFERROR(Q1577/Q1557,"-")</f>
        <v>-</v>
      </c>
      <c r="S1587" s="3"/>
    </row>
    <row r="1588" spans="2:19" x14ac:dyDescent="0.5">
      <c r="B1588" t="str">
        <f t="shared" si="1740"/>
        <v>SPS1</v>
      </c>
      <c r="C1588" t="str">
        <f t="shared" si="1741"/>
        <v>CH</v>
      </c>
      <c r="D1588" t="s">
        <v>1592</v>
      </c>
      <c r="E1588" t="s">
        <v>1576</v>
      </c>
      <c r="F1588" s="1">
        <f>IFERROR(F1578/F1558,"-")</f>
        <v>0.35122961215622067</v>
      </c>
      <c r="G1588" s="1">
        <f t="shared" ref="G1588:K1588" si="1774">IFERROR(G1578/G1558,"-")</f>
        <v>0.35122961215622089</v>
      </c>
      <c r="H1588" s="1">
        <f t="shared" si="1774"/>
        <v>0.35122961215622017</v>
      </c>
      <c r="I1588" s="1">
        <f t="shared" si="1774"/>
        <v>0.35122961215622073</v>
      </c>
      <c r="J1588" s="1">
        <f t="shared" si="1774"/>
        <v>0.3512296121562215</v>
      </c>
      <c r="K1588" s="1">
        <f t="shared" si="1774"/>
        <v>0.35122961215622028</v>
      </c>
      <c r="L1588" s="1">
        <f t="shared" ref="L1588:O1588" si="1775">IFERROR(L1578/L1558,"-")</f>
        <v>0.35122961215622134</v>
      </c>
      <c r="M1588" s="1">
        <f t="shared" si="1775"/>
        <v>0.35122961215622145</v>
      </c>
      <c r="N1588" s="1">
        <f t="shared" si="1775"/>
        <v>0.35122961215622123</v>
      </c>
      <c r="O1588" s="1">
        <f t="shared" si="1775"/>
        <v>0.351229612156221</v>
      </c>
      <c r="P1588" s="1">
        <f>IFERROR(P1578/P1558,"-")</f>
        <v>0.35122961215622073</v>
      </c>
      <c r="Q1588" s="1">
        <f>IFERROR(Q1578/Q1558,"-")</f>
        <v>0.35122961215622112</v>
      </c>
      <c r="S1588" s="3"/>
    </row>
    <row r="1589" spans="2:19" x14ac:dyDescent="0.5">
      <c r="B1589" t="str">
        <f t="shared" si="1740"/>
        <v>SPS1</v>
      </c>
      <c r="C1589" t="str">
        <f t="shared" si="1741"/>
        <v>CH</v>
      </c>
      <c r="D1589" t="s">
        <v>1572</v>
      </c>
      <c r="E1589" t="s">
        <v>1576</v>
      </c>
      <c r="F1589" s="1">
        <f>IFERROR(F1579/F1564,"-")</f>
        <v>0.25903663625928702</v>
      </c>
      <c r="G1589" s="1">
        <f t="shared" ref="G1589:K1589" si="1776">IFERROR(G1579/G1564,"-")</f>
        <v>0.2679374627761123</v>
      </c>
      <c r="H1589" s="1">
        <f t="shared" si="1776"/>
        <v>0.28128870255134991</v>
      </c>
      <c r="I1589" s="1">
        <f t="shared" si="1776"/>
        <v>0.28128870255135047</v>
      </c>
      <c r="J1589" s="1" t="str">
        <f t="shared" si="1776"/>
        <v>-</v>
      </c>
      <c r="K1589" s="1" t="str">
        <f t="shared" si="1776"/>
        <v>-</v>
      </c>
      <c r="L1589" s="1" t="str">
        <f t="shared" ref="L1589:O1589" si="1777">IFERROR(L1579/L1564,"-")</f>
        <v>-</v>
      </c>
      <c r="M1589" s="1" t="str">
        <f t="shared" si="1777"/>
        <v>-</v>
      </c>
      <c r="N1589" s="1" t="str">
        <f t="shared" si="1777"/>
        <v>-</v>
      </c>
      <c r="O1589" s="1" t="str">
        <f t="shared" si="1777"/>
        <v>-</v>
      </c>
      <c r="P1589" s="1" t="str">
        <f t="shared" ref="P1589:Q1591" si="1778">IFERROR(P1579/P1564,"-")</f>
        <v>-</v>
      </c>
      <c r="Q1589" s="1" t="str">
        <f t="shared" si="1778"/>
        <v>-</v>
      </c>
      <c r="S1589" s="3"/>
    </row>
    <row r="1590" spans="2:19" x14ac:dyDescent="0.5">
      <c r="B1590" t="str">
        <f t="shared" si="1740"/>
        <v>SPS1</v>
      </c>
      <c r="C1590" t="str">
        <f t="shared" si="1741"/>
        <v>CH</v>
      </c>
      <c r="D1590" t="s">
        <v>1573</v>
      </c>
      <c r="E1590" t="s">
        <v>1576</v>
      </c>
      <c r="F1590" s="1">
        <f>IFERROR(F1580/F1565,"-")</f>
        <v>0.34211451343153182</v>
      </c>
      <c r="G1590" s="1">
        <f t="shared" ref="G1590:K1590" si="1779">IFERROR(G1580/G1565,"-")</f>
        <v>0.34211451343153126</v>
      </c>
      <c r="H1590" s="1">
        <f t="shared" si="1779"/>
        <v>0.34211451343153226</v>
      </c>
      <c r="I1590" s="1">
        <f t="shared" si="1779"/>
        <v>0.34211451343153249</v>
      </c>
      <c r="J1590" s="1">
        <f t="shared" si="1779"/>
        <v>0.3421145134315321</v>
      </c>
      <c r="K1590" s="1">
        <f t="shared" si="1779"/>
        <v>0.34211451343153243</v>
      </c>
      <c r="L1590" s="1">
        <f t="shared" ref="L1590:O1590" si="1780">IFERROR(L1580/L1565,"-")</f>
        <v>0.34211451343153237</v>
      </c>
      <c r="M1590" s="1">
        <f t="shared" si="1780"/>
        <v>0.34211451343153187</v>
      </c>
      <c r="N1590" s="1">
        <f t="shared" si="1780"/>
        <v>0.34211451343153171</v>
      </c>
      <c r="O1590" s="1">
        <f t="shared" si="1780"/>
        <v>0.34211451343153176</v>
      </c>
      <c r="P1590" s="1">
        <f t="shared" si="1778"/>
        <v>0.34211451343153199</v>
      </c>
      <c r="Q1590" s="1">
        <f t="shared" si="1778"/>
        <v>0.34211451343153182</v>
      </c>
      <c r="S1590" s="3"/>
    </row>
    <row r="1591" spans="2:19" x14ac:dyDescent="0.5">
      <c r="B1591" t="str">
        <f t="shared" si="1740"/>
        <v>SPS1</v>
      </c>
      <c r="C1591" t="str">
        <f t="shared" si="1741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781">IFERROR(G1581/G1566,"-")</f>
        <v>0.46076759264650813</v>
      </c>
      <c r="H1591" s="1">
        <f t="shared" si="1781"/>
        <v>0.46076759264650757</v>
      </c>
      <c r="I1591" s="1">
        <f t="shared" si="1781"/>
        <v>0.46076759264650774</v>
      </c>
      <c r="J1591" s="1">
        <f t="shared" si="1781"/>
        <v>0.46076759264650863</v>
      </c>
      <c r="K1591" s="1">
        <f t="shared" si="1781"/>
        <v>0.46076759264650746</v>
      </c>
      <c r="L1591" s="1">
        <f t="shared" ref="L1591:O1591" si="1782">IFERROR(L1581/L1566,"-")</f>
        <v>0.46076759264650863</v>
      </c>
      <c r="M1591" s="1">
        <f t="shared" si="1782"/>
        <v>0.46076759264650802</v>
      </c>
      <c r="N1591" s="1">
        <f t="shared" si="1782"/>
        <v>0.46076759264650829</v>
      </c>
      <c r="O1591" s="1">
        <f t="shared" si="1782"/>
        <v>0.46076759264650824</v>
      </c>
      <c r="P1591" s="1">
        <f t="shared" si="1778"/>
        <v>0.46076759264650813</v>
      </c>
      <c r="Q1591" s="1">
        <f t="shared" si="1778"/>
        <v>0.46076759264650669</v>
      </c>
      <c r="S1591" s="3"/>
    </row>
    <row r="1592" spans="2:19" x14ac:dyDescent="0.5">
      <c r="B1592" t="str">
        <f t="shared" si="1740"/>
        <v>SPS1</v>
      </c>
      <c r="C1592" t="str">
        <f t="shared" si="1741"/>
        <v>CH</v>
      </c>
      <c r="D1592" t="s">
        <v>1575</v>
      </c>
      <c r="E1592" t="s">
        <v>1576</v>
      </c>
      <c r="F1592" s="1">
        <f>IFERROR(F1582/F1572,"-")</f>
        <v>0.32057692743518007</v>
      </c>
      <c r="G1592" s="1">
        <f t="shared" ref="G1592:K1592" si="1783">IFERROR(G1582/G1572,"-")</f>
        <v>0.32057692743518018</v>
      </c>
      <c r="H1592" s="1">
        <f t="shared" si="1783"/>
        <v>0.3205769274351794</v>
      </c>
      <c r="I1592" s="1">
        <f t="shared" si="1783"/>
        <v>0.32057692743517996</v>
      </c>
      <c r="J1592" s="1">
        <f t="shared" si="1783"/>
        <v>0.32057692743518018</v>
      </c>
      <c r="K1592" s="1">
        <f t="shared" si="1783"/>
        <v>0.32057692743517996</v>
      </c>
      <c r="L1592" s="1">
        <f t="shared" ref="L1592:O1592" si="1784">IFERROR(L1582/L1572,"-")</f>
        <v>0.32057692743517985</v>
      </c>
      <c r="M1592" s="1">
        <f t="shared" si="1784"/>
        <v>0.32057692743518046</v>
      </c>
      <c r="N1592" s="1">
        <f t="shared" si="1784"/>
        <v>0.32057692743518007</v>
      </c>
      <c r="O1592" s="1">
        <f t="shared" si="1784"/>
        <v>0.32057692743518018</v>
      </c>
      <c r="P1592" s="1">
        <f>IFERROR(P1582/P1572,"-")</f>
        <v>0.32057692743517968</v>
      </c>
      <c r="Q1592" s="1">
        <f>IFERROR(Q1582/Q1572,"-")</f>
        <v>0.3205769274351799</v>
      </c>
      <c r="S1592" s="3"/>
    </row>
    <row r="1593" spans="2:19" x14ac:dyDescent="0.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24.51501032717449</v>
      </c>
      <c r="G1593" s="3">
        <f t="shared" ref="G1593" si="1785">G1594+G1597+G1599+G1606+G1614</f>
        <v>21.032296012276497</v>
      </c>
      <c r="H1593" s="3">
        <f t="shared" ref="H1593" si="1786">H1594+H1597+H1599+H1606+H1614</f>
        <v>20.511887399924522</v>
      </c>
      <c r="I1593" s="3">
        <f t="shared" ref="I1593" si="1787">I1594+I1597+I1599+I1606+I1614</f>
        <v>16.617134212710123</v>
      </c>
      <c r="J1593" s="3">
        <f t="shared" ref="J1593" si="1788">J1594+J1597+J1599+J1606+J1614</f>
        <v>14.800275794792226</v>
      </c>
      <c r="K1593" s="3">
        <f t="shared" ref="K1593" si="1789">K1594+K1597+K1599+K1606+K1614</f>
        <v>15.418496705589396</v>
      </c>
      <c r="L1593" s="3">
        <f t="shared" ref="L1593:O1593" si="1790">L1594+L1597+L1599+L1606+L1614</f>
        <v>16.041276050749794</v>
      </c>
      <c r="M1593" s="3">
        <f t="shared" si="1790"/>
        <v>16.662241584974019</v>
      </c>
      <c r="N1593" s="3">
        <f t="shared" si="1790"/>
        <v>17.198047465804571</v>
      </c>
      <c r="O1593" s="3">
        <f t="shared" si="1790"/>
        <v>17.793827512647642</v>
      </c>
      <c r="P1593" s="3">
        <f>P1594+P1597+P1599+P1606+P1614</f>
        <v>18.413883693762443</v>
      </c>
      <c r="Q1593" s="3">
        <f>Q1594+Q1597+Q1599+Q1606+Q1614</f>
        <v>19.077236648643741</v>
      </c>
      <c r="S1593" s="3"/>
    </row>
    <row r="1594" spans="2:19" x14ac:dyDescent="0.5">
      <c r="B1594" t="str">
        <f t="shared" ref="B1594:B1639" si="1791">B1593</f>
        <v>SPS1</v>
      </c>
      <c r="C1594" t="str">
        <f t="shared" ref="C1594:C1639" si="1792">C1593</f>
        <v>CH</v>
      </c>
      <c r="D1594" t="s">
        <v>1597</v>
      </c>
      <c r="E1594" t="str">
        <f>E1593</f>
        <v>PJ/yr.</v>
      </c>
      <c r="F1594" s="1">
        <f>SUM(F1595:F1596)</f>
        <v>6.0831442873774139E-3</v>
      </c>
      <c r="G1594" s="1">
        <f t="shared" ref="G1594" si="1793">SUM(G1595:G1596)</f>
        <v>8.2516471588938104E-3</v>
      </c>
      <c r="H1594" s="1">
        <f t="shared" ref="H1594" si="1794">SUM(H1595:H1596)</f>
        <v>8.9104428303716579E-3</v>
      </c>
      <c r="I1594" s="1">
        <f t="shared" ref="I1594" si="1795">SUM(I1595:I1596)</f>
        <v>3.8861752343509388E-3</v>
      </c>
      <c r="J1594" s="1">
        <f t="shared" ref="J1594" si="1796">SUM(J1595:J1596)</f>
        <v>2.030641042123403E-3</v>
      </c>
      <c r="K1594" s="1">
        <f t="shared" ref="K1594" si="1797">SUM(K1595:K1596)</f>
        <v>3.8129465442502159E-3</v>
      </c>
      <c r="L1594" s="1">
        <f t="shared" ref="L1594:O1594" si="1798">SUM(L1595:L1596)</f>
        <v>5.3060105056610615E-3</v>
      </c>
      <c r="M1594" s="1">
        <f t="shared" si="1798"/>
        <v>9.5825269429106116E-3</v>
      </c>
      <c r="N1594" s="1">
        <f t="shared" si="1798"/>
        <v>1.4087283768729142E-2</v>
      </c>
      <c r="O1594" s="1">
        <f t="shared" si="1798"/>
        <v>1.7318376358483992E-2</v>
      </c>
      <c r="P1594" s="1">
        <f>SUM(P1595:P1596)</f>
        <v>3.1711364167579303E-2</v>
      </c>
      <c r="Q1594" s="1">
        <f>SUM(Q1595:Q1596)</f>
        <v>8.7631393373043223E-2</v>
      </c>
      <c r="S1594" s="3"/>
    </row>
    <row r="1595" spans="2:19" x14ac:dyDescent="0.5">
      <c r="B1595" t="str">
        <f t="shared" si="1791"/>
        <v>SPS1</v>
      </c>
      <c r="C1595" t="str">
        <f t="shared" si="1792"/>
        <v>CH</v>
      </c>
      <c r="D1595" t="s">
        <v>1598</v>
      </c>
      <c r="E1595" t="str">
        <f t="shared" ref="E1595:E1619" si="1799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SUMPRODUCT(("TFHGV-BeVELCExt"=[1]OUT_TransportEnergyCons!$A$3:$A$1000)*1,("Var_Fin"=[1]OUT_TransportEnergyCons!$B$3:$B$1000)*1,ISNUMBER(SEARCH("ELC",[1]OUT_TransportEnergyCons!$C$3:$C$1000))*1,[1]OUT_TransportEnergyCons!H$3:H$1000)</f>
        <v>0</v>
      </c>
      <c r="K1595" s="1" cm="1">
        <f t="array" ref="K1595">SUMPRODUCT(("TFHGV-BeVELCExt"=[1]OUT_TransportEnergyCons!$A$3:$A$1000)*1,("Var_Fin"=[1]OUT_TransportEnergyCons!$B$3:$B$1000)*1,ISNUMBER(SEARCH("ELC",[1]OUT_TransportEnergyCons!$C$3:$C$1000))*1,[1]OUT_TransportEnergyCons!I$3:I$1000)</f>
        <v>0</v>
      </c>
      <c r="L1595" s="1" cm="1">
        <f t="array" ref="L1595">SUMPRODUCT(("TFHGV-BeVELCExt"=[1]OUT_TransportEnergyCons!$A$3:$A$1000)*1,("Var_Fin"=[1]OUT_TransportEnergyCons!$B$3:$B$1000)*1,ISNUMBER(SEARCH("ELC",[1]OUT_TransportEnergyCons!$C$3:$C$1000))*1,[1]OUT_TransportEnergyCons!J$3:J$1000)</f>
        <v>0</v>
      </c>
      <c r="M1595" s="1" cm="1">
        <f t="array" ref="M1595">SUMPRODUCT(("TFHGV-BeVELCExt"=[1]OUT_TransportEnergyCons!$A$3:$A$1000)*1,("Var_Fin"=[1]OUT_TransportEnergyCons!$B$3:$B$1000)*1,ISNUMBER(SEARCH("ELC",[1]OUT_TransportEnergyCons!$C$3:$C$1000))*1,[1]OUT_TransportEnergyCons!K$3:K$1000)</f>
        <v>0</v>
      </c>
      <c r="N1595" s="1" cm="1">
        <f t="array" ref="N1595">SUMPRODUCT(("TFHGV-BeVELCExt"=[1]OUT_TransportEnergyCons!$A$3:$A$1000)*1,("Var_Fin"=[1]OUT_TransportEnergyCons!$B$3:$B$1000)*1,ISNUMBER(SEARCH("ELC",[1]OUT_TransportEnergyCons!$C$3:$C$1000))*1,[1]OUT_TransportEnergyCons!L$3:L$1000)</f>
        <v>0</v>
      </c>
      <c r="O1595" s="1" cm="1">
        <f t="array" ref="O1595">SUMPRODUCT(("TFHGV-BeVELCExt"=[1]OUT_TransportEnergyCons!$A$3:$A$1000)*1,("Var_Fin"=[1]OUT_TransportEnergyCons!$B$3:$B$1000)*1,ISNUMBER(SEARCH("ELC",[1]OUT_TransportEnergyCons!$C$3:$C$1000))*1,[1]OUT_TransportEnergyCons!M$3:M$1000)</f>
        <v>0</v>
      </c>
      <c r="P1595" s="1" cm="1">
        <f t="array" ref="P1595">SUMPRODUCT(("TFHGV-BeVELCExt"=[1]OUT_TransportEnergyCons!$A$3:$A$1000)*1,("Var_Fin"=[1]OUT_TransportEnergyCons!$B$3:$B$1000)*1,ISNUMBER(SEARCH("ELC",[1]OUT_TransportEnergyCons!$C$3:$C$1000))*1,[1]OUT_TransportEnergyCons!N$3:N$1000)</f>
        <v>0</v>
      </c>
      <c r="Q1595" s="1" cm="1">
        <f t="array" ref="Q1595">SUMPRODUCT(("TFHGV-BeVELCExt"=[1]OUT_TransportEnergyCons!$A$3:$A$1000)*1,("Var_Fin"=[1]OUT_TransportEnergyCons!$B$3:$B$1000)*1,ISNUMBER(SEARCH("ELC",[1]OUT_TransportEnergyCons!$C$3:$C$1000))*1,[1]OUT_TransportEnergyCons!O$3:O$1000)</f>
        <v>0</v>
      </c>
      <c r="S1595" s="3"/>
    </row>
    <row r="1596" spans="2:19" x14ac:dyDescent="0.5">
      <c r="B1596" t="str">
        <f t="shared" si="1791"/>
        <v>SPS1</v>
      </c>
      <c r="C1596" t="str">
        <f t="shared" si="1792"/>
        <v>CH</v>
      </c>
      <c r="D1596" t="s">
        <v>1599</v>
      </c>
      <c r="E1596" t="str">
        <f t="shared" si="1799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6.0831442873774139E-3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8.2516471588938104E-3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8.9104428303716579E-3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3.8861752343509388E-3</v>
      </c>
      <c r="J1596" s="1" cm="1">
        <f t="array" ref="J1596">SUMPRODUCT(("TFHGV-BEVELC"=[1]OUT_TransportEnergyCons!$A$3:$A$1000)*1,("Var_Fin"=[1]OUT_TransportEnergyCons!$B$3:$B$1000)*1,ISNUMBER(SEARCH("ELC",[1]OUT_TransportEnergyCons!$C$3:$C$1000))*1,[1]OUT_TransportEnergyCons!H$3:H$1000)</f>
        <v>2.030641042123403E-3</v>
      </c>
      <c r="K1596" s="1" cm="1">
        <f t="array" ref="K1596">SUMPRODUCT(("TFHGV-BEVELC"=[1]OUT_TransportEnergyCons!$A$3:$A$1000)*1,("Var_Fin"=[1]OUT_TransportEnergyCons!$B$3:$B$1000)*1,ISNUMBER(SEARCH("ELC",[1]OUT_TransportEnergyCons!$C$3:$C$1000))*1,[1]OUT_TransportEnergyCons!I$3:I$1000)</f>
        <v>3.8129465442502159E-3</v>
      </c>
      <c r="L1596" s="1" cm="1">
        <f t="array" ref="L1596">SUMPRODUCT(("TFHGV-BEVELC"=[1]OUT_TransportEnergyCons!$A$3:$A$1000)*1,("Var_Fin"=[1]OUT_TransportEnergyCons!$B$3:$B$1000)*1,ISNUMBER(SEARCH("ELC",[1]OUT_TransportEnergyCons!$C$3:$C$1000))*1,[1]OUT_TransportEnergyCons!J$3:J$1000)</f>
        <v>5.3060105056610615E-3</v>
      </c>
      <c r="M1596" s="1" cm="1">
        <f t="array" ref="M1596">SUMPRODUCT(("TFHGV-BEVELC"=[1]OUT_TransportEnergyCons!$A$3:$A$1000)*1,("Var_Fin"=[1]OUT_TransportEnergyCons!$B$3:$B$1000)*1,ISNUMBER(SEARCH("ELC",[1]OUT_TransportEnergyCons!$C$3:$C$1000))*1,[1]OUT_TransportEnergyCons!K$3:K$1000)</f>
        <v>9.5825269429106116E-3</v>
      </c>
      <c r="N1596" s="1" cm="1">
        <f t="array" ref="N1596">SUMPRODUCT(("TFHGV-BEVELC"=[1]OUT_TransportEnergyCons!$A$3:$A$1000)*1,("Var_Fin"=[1]OUT_TransportEnergyCons!$B$3:$B$1000)*1,ISNUMBER(SEARCH("ELC",[1]OUT_TransportEnergyCons!$C$3:$C$1000))*1,[1]OUT_TransportEnergyCons!L$3:L$1000)</f>
        <v>1.4087283768729142E-2</v>
      </c>
      <c r="O1596" s="1" cm="1">
        <f t="array" ref="O1596">SUMPRODUCT(("TFHGV-BEVELC"=[1]OUT_TransportEnergyCons!$A$3:$A$1000)*1,("Var_Fin"=[1]OUT_TransportEnergyCons!$B$3:$B$1000)*1,ISNUMBER(SEARCH("ELC",[1]OUT_TransportEnergyCons!$C$3:$C$1000))*1,[1]OUT_TransportEnergyCons!M$3:M$1000)</f>
        <v>1.7318376358483992E-2</v>
      </c>
      <c r="P1596" s="1" cm="1">
        <f t="array" ref="P1596">SUMPRODUCT(("TFHGV-BEVELC"=[1]OUT_TransportEnergyCons!$A$3:$A$1000)*1,("Var_Fin"=[1]OUT_TransportEnergyCons!$B$3:$B$1000)*1,ISNUMBER(SEARCH("ELC",[1]OUT_TransportEnergyCons!$C$3:$C$1000))*1,[1]OUT_TransportEnergyCons!N$3:N$1000)</f>
        <v>3.1711364167579303E-2</v>
      </c>
      <c r="Q1596" s="1" cm="1">
        <f t="array" ref="Q1596">SUMPRODUCT(("TFHGV-BEVELC"=[1]OUT_TransportEnergyCons!$A$3:$A$1000)*1,("Var_Fin"=[1]OUT_TransportEnergyCons!$B$3:$B$1000)*1,ISNUMBER(SEARCH("ELC",[1]OUT_TransportEnergyCons!$C$3:$C$1000))*1,[1]OUT_TransportEnergyCons!O$3:O$1000)</f>
        <v>8.7631393373043223E-2</v>
      </c>
      <c r="S1596" s="3"/>
    </row>
    <row r="1597" spans="2:19" x14ac:dyDescent="0.5">
      <c r="B1597" t="str">
        <f t="shared" si="1791"/>
        <v>SPS1</v>
      </c>
      <c r="C1597" t="str">
        <f t="shared" si="1792"/>
        <v>CH</v>
      </c>
      <c r="D1597" t="s">
        <v>1600</v>
      </c>
      <c r="E1597" t="str">
        <f t="shared" si="1799"/>
        <v>PJ/yr.</v>
      </c>
      <c r="F1597" s="1">
        <f>F1598</f>
        <v>3.1751795951736419E-3</v>
      </c>
      <c r="G1597" s="1">
        <f t="shared" ref="G1597" si="1800">G1598</f>
        <v>1.8905037357408627E-3</v>
      </c>
      <c r="H1597" s="1">
        <f t="shared" ref="H1597" si="1801">H1598</f>
        <v>1.8491343737664879E-3</v>
      </c>
      <c r="I1597" s="1">
        <f t="shared" ref="I1597" si="1802">I1598</f>
        <v>1.3964055863400566E-4</v>
      </c>
      <c r="J1597" s="1">
        <f t="shared" ref="J1597" si="1803">J1598</f>
        <v>1.2350586702089406E-4</v>
      </c>
      <c r="K1597" s="1">
        <f t="shared" ref="K1597:O1597" si="1804">K1598</f>
        <v>1.1814564151894969E-4</v>
      </c>
      <c r="L1597" s="1">
        <f t="shared" si="1804"/>
        <v>1.0862226268535156E-4</v>
      </c>
      <c r="M1597" s="1">
        <f t="shared" si="1804"/>
        <v>1.0071272279527647E-4</v>
      </c>
      <c r="N1597" s="1">
        <f t="shared" si="1804"/>
        <v>9.4315511027464181E-5</v>
      </c>
      <c r="O1597" s="1">
        <f t="shared" si="1804"/>
        <v>8.6440060624169427E-5</v>
      </c>
      <c r="P1597" s="1">
        <f>P1598</f>
        <v>9.2501573156564745E-5</v>
      </c>
      <c r="Q1597" s="1">
        <f>Q1598</f>
        <v>1.5896619767415428E-4</v>
      </c>
      <c r="S1597" s="3"/>
    </row>
    <row r="1598" spans="2:19" x14ac:dyDescent="0.5">
      <c r="B1598" t="str">
        <f t="shared" si="1791"/>
        <v>SPS1</v>
      </c>
      <c r="C1598" t="str">
        <f t="shared" si="1792"/>
        <v>CH</v>
      </c>
      <c r="D1598" t="s">
        <v>1601</v>
      </c>
      <c r="E1598" t="str">
        <f t="shared" si="1799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3.1751795951736419E-3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1.8905037357408627E-3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1.8491343737664879E-3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1.3964055863400566E-4</v>
      </c>
      <c r="J1598" s="1" cm="1">
        <f t="array" ref="J1598">SUMPRODUCT(("TFHGV-FCLH2O"=[1]OUT_TransportEnergyCons!$A$3:$A$1000)*1,("Var_Fin"=[1]OUT_TransportEnergyCons!$B$3:$B$1000)*1,ISNUMBER(SEARCH("h2",[1]OUT_TransportEnergyCons!$C$3:$C$1000))*1,[1]OUT_TransportEnergyCons!H$3:H$1000)</f>
        <v>1.2350586702089406E-4</v>
      </c>
      <c r="K1598" s="1" cm="1">
        <f t="array" ref="K1598">SUMPRODUCT(("TFHGV-FCLH2O"=[1]OUT_TransportEnergyCons!$A$3:$A$1000)*1,("Var_Fin"=[1]OUT_TransportEnergyCons!$B$3:$B$1000)*1,ISNUMBER(SEARCH("h2",[1]OUT_TransportEnergyCons!$C$3:$C$1000))*1,[1]OUT_TransportEnergyCons!I$3:I$1000)</f>
        <v>1.1814564151894969E-4</v>
      </c>
      <c r="L1598" s="1" cm="1">
        <f t="array" ref="L1598">SUMPRODUCT(("TFHGV-FCLH2O"=[1]OUT_TransportEnergyCons!$A$3:$A$1000)*1,("Var_Fin"=[1]OUT_TransportEnergyCons!$B$3:$B$1000)*1,ISNUMBER(SEARCH("h2",[1]OUT_TransportEnergyCons!$C$3:$C$1000))*1,[1]OUT_TransportEnergyCons!J$3:J$1000)</f>
        <v>1.0862226268535156E-4</v>
      </c>
      <c r="M1598" s="1" cm="1">
        <f t="array" ref="M1598">SUMPRODUCT(("TFHGV-FCLH2O"=[1]OUT_TransportEnergyCons!$A$3:$A$1000)*1,("Var_Fin"=[1]OUT_TransportEnergyCons!$B$3:$B$1000)*1,ISNUMBER(SEARCH("h2",[1]OUT_TransportEnergyCons!$C$3:$C$1000))*1,[1]OUT_TransportEnergyCons!K$3:K$1000)</f>
        <v>1.0071272279527647E-4</v>
      </c>
      <c r="N1598" s="1" cm="1">
        <f t="array" ref="N1598">SUMPRODUCT(("TFHGV-FCLH2O"=[1]OUT_TransportEnergyCons!$A$3:$A$1000)*1,("Var_Fin"=[1]OUT_TransportEnergyCons!$B$3:$B$1000)*1,ISNUMBER(SEARCH("h2",[1]OUT_TransportEnergyCons!$C$3:$C$1000))*1,[1]OUT_TransportEnergyCons!L$3:L$1000)</f>
        <v>9.4315511027464181E-5</v>
      </c>
      <c r="O1598" s="1" cm="1">
        <f t="array" ref="O1598">SUMPRODUCT(("TFHGV-FCLH2O"=[1]OUT_TransportEnergyCons!$A$3:$A$1000)*1,("Var_Fin"=[1]OUT_TransportEnergyCons!$B$3:$B$1000)*1,ISNUMBER(SEARCH("h2",[1]OUT_TransportEnergyCons!$C$3:$C$1000))*1,[1]OUT_TransportEnergyCons!M$3:M$1000)</f>
        <v>8.6440060624169427E-5</v>
      </c>
      <c r="P1598" s="1" cm="1">
        <f t="array" ref="P1598">SUMPRODUCT(("TFHGV-FCLH2O"=[1]OUT_TransportEnergyCons!$A$3:$A$1000)*1,("Var_Fin"=[1]OUT_TransportEnergyCons!$B$3:$B$1000)*1,ISNUMBER(SEARCH("h2",[1]OUT_TransportEnergyCons!$C$3:$C$1000))*1,[1]OUT_TransportEnergyCons!N$3:N$1000)</f>
        <v>9.2501573156564745E-5</v>
      </c>
      <c r="Q1598" s="1" cm="1">
        <f t="array" ref="Q1598">SUMPRODUCT(("TFHGV-FCLH2O"=[1]OUT_TransportEnergyCons!$A$3:$A$1000)*1,("Var_Fin"=[1]OUT_TransportEnergyCons!$B$3:$B$1000)*1,ISNUMBER(SEARCH("h2",[1]OUT_TransportEnergyCons!$C$3:$C$1000))*1,[1]OUT_TransportEnergyCons!O$3:O$1000)</f>
        <v>1.5896619767415428E-4</v>
      </c>
      <c r="S1598" s="3"/>
    </row>
    <row r="1599" spans="2:19" x14ac:dyDescent="0.5">
      <c r="B1599" t="str">
        <f t="shared" si="1791"/>
        <v>SPS1</v>
      </c>
      <c r="C1599" t="str">
        <f t="shared" si="1792"/>
        <v>CH</v>
      </c>
      <c r="D1599" t="s">
        <v>1602</v>
      </c>
      <c r="E1599" t="str">
        <f t="shared" si="1799"/>
        <v>PJ/yr.</v>
      </c>
      <c r="F1599" s="1">
        <f>SUM(F1604:F1605)</f>
        <v>0</v>
      </c>
      <c r="G1599" s="1">
        <f t="shared" ref="G1599:K1599" si="1805">SUM(G1604:G1605)</f>
        <v>0</v>
      </c>
      <c r="H1599" s="1">
        <f t="shared" si="1805"/>
        <v>0</v>
      </c>
      <c r="I1599" s="1">
        <f t="shared" si="1805"/>
        <v>0</v>
      </c>
      <c r="J1599" s="1">
        <f t="shared" si="1805"/>
        <v>0</v>
      </c>
      <c r="K1599" s="1">
        <f t="shared" si="1805"/>
        <v>0</v>
      </c>
      <c r="L1599" s="1">
        <f t="shared" ref="L1599:O1599" si="1806">SUM(L1604:L1605)</f>
        <v>0</v>
      </c>
      <c r="M1599" s="1">
        <f t="shared" si="1806"/>
        <v>0</v>
      </c>
      <c r="N1599" s="1">
        <f t="shared" si="1806"/>
        <v>0</v>
      </c>
      <c r="O1599" s="1">
        <f t="shared" si="1806"/>
        <v>0</v>
      </c>
      <c r="P1599" s="1">
        <f>SUM(P1604:P1605)</f>
        <v>0</v>
      </c>
      <c r="Q1599" s="1">
        <f>SUM(Q1604:Q1605)</f>
        <v>0</v>
      </c>
      <c r="S1599" s="3"/>
    </row>
    <row r="1600" spans="2:19" x14ac:dyDescent="0.5">
      <c r="B1600" t="str">
        <f t="shared" si="1791"/>
        <v>SPS1</v>
      </c>
      <c r="C1600" t="str">
        <f t="shared" si="1792"/>
        <v>CH</v>
      </c>
      <c r="D1600" t="s">
        <v>1603</v>
      </c>
      <c r="E1600" t="str">
        <f t="shared" si="1799"/>
        <v>PJ/yr.</v>
      </c>
      <c r="F1600" s="1">
        <f>F1599-F1601</f>
        <v>0</v>
      </c>
      <c r="G1600" s="1">
        <f t="shared" ref="G1600:K1600" si="1807">G1599-G1601</f>
        <v>0</v>
      </c>
      <c r="H1600" s="1">
        <f t="shared" si="1807"/>
        <v>0</v>
      </c>
      <c r="I1600" s="1">
        <f t="shared" si="1807"/>
        <v>0</v>
      </c>
      <c r="J1600" s="1">
        <f t="shared" si="1807"/>
        <v>0</v>
      </c>
      <c r="K1600" s="1">
        <f t="shared" si="1807"/>
        <v>0</v>
      </c>
      <c r="L1600" s="1">
        <f t="shared" ref="L1600:O1600" si="1808">L1599-L1601</f>
        <v>0</v>
      </c>
      <c r="M1600" s="1">
        <f t="shared" si="1808"/>
        <v>0</v>
      </c>
      <c r="N1600" s="1">
        <f t="shared" si="1808"/>
        <v>0</v>
      </c>
      <c r="O1600" s="1">
        <f t="shared" si="1808"/>
        <v>0</v>
      </c>
      <c r="P1600" s="1">
        <f>P1599-P1601</f>
        <v>0</v>
      </c>
      <c r="Q1600" s="1">
        <f>Q1599-Q1601</f>
        <v>0</v>
      </c>
      <c r="S1600" s="3"/>
    </row>
    <row r="1601" spans="2:19" x14ac:dyDescent="0.5">
      <c r="B1601" t="str">
        <f t="shared" si="1791"/>
        <v>SPS1</v>
      </c>
      <c r="C1601" t="str">
        <f t="shared" si="1792"/>
        <v>CH</v>
      </c>
      <c r="D1601" t="s">
        <v>1604</v>
      </c>
      <c r="E1601" t="str">
        <f t="shared" si="1799"/>
        <v>PJ/yr.</v>
      </c>
      <c r="F1601" s="1">
        <f>SUM(F1602:F1603)</f>
        <v>0</v>
      </c>
      <c r="G1601" s="1">
        <f t="shared" ref="G1601:K1601" si="1809">SUM(G1602:G1603)</f>
        <v>0</v>
      </c>
      <c r="H1601" s="1">
        <f t="shared" si="1809"/>
        <v>0</v>
      </c>
      <c r="I1601" s="1">
        <f t="shared" si="1809"/>
        <v>0</v>
      </c>
      <c r="J1601" s="1">
        <f t="shared" si="1809"/>
        <v>0</v>
      </c>
      <c r="K1601" s="1">
        <f t="shared" si="1809"/>
        <v>0</v>
      </c>
      <c r="L1601" s="1">
        <f t="shared" ref="L1601:O1601" si="1810">SUM(L1602:L1603)</f>
        <v>0</v>
      </c>
      <c r="M1601" s="1">
        <f t="shared" si="1810"/>
        <v>0</v>
      </c>
      <c r="N1601" s="1">
        <f t="shared" si="1810"/>
        <v>0</v>
      </c>
      <c r="O1601" s="1">
        <f t="shared" si="1810"/>
        <v>0</v>
      </c>
      <c r="P1601" s="1">
        <f>SUM(P1602:P1603)</f>
        <v>0</v>
      </c>
      <c r="Q1601" s="1">
        <f>SUM(Q1602:Q1603)</f>
        <v>0</v>
      </c>
      <c r="S1601" s="3"/>
    </row>
    <row r="1602" spans="2:19" x14ac:dyDescent="0.5">
      <c r="B1602" t="str">
        <f t="shared" si="1791"/>
        <v>SPS1</v>
      </c>
      <c r="C1602" t="str">
        <f t="shared" si="1792"/>
        <v>CH</v>
      </c>
      <c r="D1602" t="s">
        <v>1605</v>
      </c>
      <c r="E1602" t="str">
        <f t="shared" si="1799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[1]Transport!F$25/SUM([1]Transport!F$21,[1]Transport!F$25)*J1599*(J$35+J$600)/(J$35+J$600+J$39)</f>
        <v>0</v>
      </c>
      <c r="K1602" s="1">
        <f>[1]Transport!G$25/SUM([1]Transport!G$21,[1]Transport!G$25)*K1599*(K$35+K$600)/(K$35+K$600+K$39)</f>
        <v>0</v>
      </c>
      <c r="L1602" s="1">
        <f>[1]Transport!H$25/SUM([1]Transport!H$21,[1]Transport!H$25)*L1599*(L$35+L$600)/(L$35+L$600+L$39)</f>
        <v>0</v>
      </c>
      <c r="M1602" s="1">
        <f>[1]Transport!I$25/SUM([1]Transport!I$21,[1]Transport!I$25)*M1599*(M$35+M$600)/(M$35+M$600+M$39)</f>
        <v>0</v>
      </c>
      <c r="N1602" s="1">
        <f>[1]Transport!J$25/SUM([1]Transport!J$21,[1]Transport!J$25)*N1599*(N$35+N$600)/(N$35+N$600+N$39)</f>
        <v>0</v>
      </c>
      <c r="O1602" s="1">
        <f>[1]Transport!K$25/SUM([1]Transport!K$21,[1]Transport!K$25)*O1599*(O$35+O$600)/(O$35+O$600+O$39)</f>
        <v>0</v>
      </c>
      <c r="P1602" s="1">
        <f>[1]Transport!L$25/SUM([1]Transport!L$21,[1]Transport!L$25)*P1599*(P$35+P$600)/(P$35+P$600+P$39)</f>
        <v>0</v>
      </c>
      <c r="Q1602" s="1">
        <f>[1]Transport!M$25/SUM([1]Transport!M$21,[1]Transport!M$25)*Q1599*(Q$35+Q$600)/(Q$35+Q$600+Q$39)</f>
        <v>0</v>
      </c>
      <c r="S1602" s="3"/>
    </row>
    <row r="1603" spans="2:19" x14ac:dyDescent="0.5">
      <c r="B1603" t="str">
        <f t="shared" si="1791"/>
        <v>SPS1</v>
      </c>
      <c r="C1603" t="str">
        <f t="shared" si="1792"/>
        <v>CH</v>
      </c>
      <c r="D1603" t="s">
        <v>1606</v>
      </c>
      <c r="E1603" t="str">
        <f t="shared" si="1799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(J$39+J$719)/([1]Transport!F$21+[1]Transport!F$25)*J1599</f>
        <v>0</v>
      </c>
      <c r="K1603" s="1">
        <f>(K$39+K$719)/([1]Transport!G$21+[1]Transport!G$25)*K1599</f>
        <v>0</v>
      </c>
      <c r="L1603" s="1">
        <f>(L$39+L$719)/([1]Transport!H$21+[1]Transport!H$25)*L1599</f>
        <v>0</v>
      </c>
      <c r="M1603" s="1">
        <f>(M$39+M$719)/([1]Transport!I$21+[1]Transport!I$25)*M1599</f>
        <v>0</v>
      </c>
      <c r="N1603" s="1">
        <f>(N$39+N$719)/([1]Transport!J$21+[1]Transport!J$25)*N1599</f>
        <v>0</v>
      </c>
      <c r="O1603" s="1">
        <f>(O$39+O$719)/([1]Transport!K$21+[1]Transport!K$25)*O1599</f>
        <v>0</v>
      </c>
      <c r="P1603" s="1">
        <f>(P$39+P$719)/([1]Transport!L$21+[1]Transport!L$25)*P1599</f>
        <v>0</v>
      </c>
      <c r="Q1603" s="1">
        <f>(Q$39+Q$719)/([1]Transport!M$21+[1]Transport!M$25)*Q1599</f>
        <v>0</v>
      </c>
      <c r="S1603" s="3"/>
    </row>
    <row r="1604" spans="2:19" x14ac:dyDescent="0.5">
      <c r="B1604" t="str">
        <f t="shared" si="1791"/>
        <v>SPS1</v>
      </c>
      <c r="C1604" t="str">
        <f t="shared" si="1792"/>
        <v>CH</v>
      </c>
      <c r="D1604" t="s">
        <v>1607</v>
      </c>
      <c r="E1604" t="str">
        <f t="shared" si="1799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SUMPRODUCT(("TFHGV-ICEGSLExt"=[1]OUT_TransportEnergyCons!$A$3:$A$1000)*1,("Var_Fin"=[1]OUT_TransportEnergyCons!$B$3:$B$1000)*1,ISNUMBER(SEARCH("gsl",[1]OUT_TransportEnergyCons!$C$3:$C$1000))*1,[1]OUT_TransportEnergyCons!H$3:H$1000)</f>
        <v>0</v>
      </c>
      <c r="K1604" s="1" cm="1">
        <f t="array" ref="K1604">SUMPRODUCT(("TFHGV-ICEGSLExt"=[1]OUT_TransportEnergyCons!$A$3:$A$1000)*1,("Var_Fin"=[1]OUT_TransportEnergyCons!$B$3:$B$1000)*1,ISNUMBER(SEARCH("gsl",[1]OUT_TransportEnergyCons!$C$3:$C$1000))*1,[1]OUT_TransportEnergyCons!I$3:I$1000)</f>
        <v>0</v>
      </c>
      <c r="L1604" s="1" cm="1">
        <f t="array" ref="L1604">SUMPRODUCT(("TFHGV-ICEGSLExt"=[1]OUT_TransportEnergyCons!$A$3:$A$1000)*1,("Var_Fin"=[1]OUT_TransportEnergyCons!$B$3:$B$1000)*1,ISNUMBER(SEARCH("gsl",[1]OUT_TransportEnergyCons!$C$3:$C$1000))*1,[1]OUT_TransportEnergyCons!J$3:J$1000)</f>
        <v>0</v>
      </c>
      <c r="M1604" s="1" cm="1">
        <f t="array" ref="M1604">SUMPRODUCT(("TFHGV-ICEGSLExt"=[1]OUT_TransportEnergyCons!$A$3:$A$1000)*1,("Var_Fin"=[1]OUT_TransportEnergyCons!$B$3:$B$1000)*1,ISNUMBER(SEARCH("gsl",[1]OUT_TransportEnergyCons!$C$3:$C$1000))*1,[1]OUT_TransportEnergyCons!K$3:K$1000)</f>
        <v>0</v>
      </c>
      <c r="N1604" s="1" cm="1">
        <f t="array" ref="N1604">SUMPRODUCT(("TFHGV-ICEGSLExt"=[1]OUT_TransportEnergyCons!$A$3:$A$1000)*1,("Var_Fin"=[1]OUT_TransportEnergyCons!$B$3:$B$1000)*1,ISNUMBER(SEARCH("gsl",[1]OUT_TransportEnergyCons!$C$3:$C$1000))*1,[1]OUT_TransportEnergyCons!L$3:L$1000)</f>
        <v>0</v>
      </c>
      <c r="O1604" s="1" cm="1">
        <f t="array" ref="O1604">SUMPRODUCT(("TFHGV-ICEGSLExt"=[1]OUT_TransportEnergyCons!$A$3:$A$1000)*1,("Var_Fin"=[1]OUT_TransportEnergyCons!$B$3:$B$1000)*1,ISNUMBER(SEARCH("gsl",[1]OUT_TransportEnergyCons!$C$3:$C$1000))*1,[1]OUT_TransportEnergyCons!M$3:M$1000)</f>
        <v>0</v>
      </c>
      <c r="P1604" s="1" cm="1">
        <f t="array" ref="P1604">SUMPRODUCT(("TFHGV-ICEGSLExt"=[1]OUT_TransportEnergyCons!$A$3:$A$1000)*1,("Var_Fin"=[1]OUT_TransportEnergyCons!$B$3:$B$1000)*1,ISNUMBER(SEARCH("gsl",[1]OUT_TransportEnergyCons!$C$3:$C$1000))*1,[1]OUT_TransportEnergyCons!N$3:N$1000)</f>
        <v>0</v>
      </c>
      <c r="Q1604" s="1" cm="1">
        <f t="array" ref="Q1604">SUMPRODUCT(("TFHGV-ICEGSLExt"=[1]OUT_TransportEnergyCons!$A$3:$A$1000)*1,("Var_Fin"=[1]OUT_TransportEnergyCons!$B$3:$B$1000)*1,ISNUMBER(SEARCH("gsl",[1]OUT_TransportEnergyCons!$C$3:$C$1000))*1,[1]OUT_TransportEnergyCons!O$3:O$1000)</f>
        <v>0</v>
      </c>
      <c r="S1604" s="3"/>
    </row>
    <row r="1605" spans="2:19" x14ac:dyDescent="0.5">
      <c r="B1605" t="str">
        <f t="shared" si="1791"/>
        <v>SPS1</v>
      </c>
      <c r="C1605" t="str">
        <f t="shared" si="1792"/>
        <v>CH</v>
      </c>
      <c r="D1605" t="s">
        <v>1608</v>
      </c>
      <c r="E1605" t="str">
        <f t="shared" si="1799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SUMPRODUCT(("TFHGV-ICEGSL"=[1]OUT_TransportEnergyCons!$A$3:$A$1000)*1,("Var_Fin"=[1]OUT_TransportEnergyCons!$B$3:$B$1000)*1,ISNUMBER(SEARCH("gsl",[1]OUT_TransportEnergyCons!$C$3:$C$1000))*1,[1]OUT_TransportEnergyCons!H$3:H$1000)</f>
        <v>0</v>
      </c>
      <c r="K1605" s="1" cm="1">
        <f t="array" ref="K1605">SUMPRODUCT(("TFHGV-ICEGSL"=[1]OUT_TransportEnergyCons!$A$3:$A$1000)*1,("Var_Fin"=[1]OUT_TransportEnergyCons!$B$3:$B$1000)*1,ISNUMBER(SEARCH("gsl",[1]OUT_TransportEnergyCons!$C$3:$C$1000))*1,[1]OUT_TransportEnergyCons!I$3:I$1000)</f>
        <v>0</v>
      </c>
      <c r="L1605" s="1" cm="1">
        <f t="array" ref="L1605">SUMPRODUCT(("TFHGV-ICEGSL"=[1]OUT_TransportEnergyCons!$A$3:$A$1000)*1,("Var_Fin"=[1]OUT_TransportEnergyCons!$B$3:$B$1000)*1,ISNUMBER(SEARCH("gsl",[1]OUT_TransportEnergyCons!$C$3:$C$1000))*1,[1]OUT_TransportEnergyCons!J$3:J$1000)</f>
        <v>0</v>
      </c>
      <c r="M1605" s="1" cm="1">
        <f t="array" ref="M1605">SUMPRODUCT(("TFHGV-ICEGSL"=[1]OUT_TransportEnergyCons!$A$3:$A$1000)*1,("Var_Fin"=[1]OUT_TransportEnergyCons!$B$3:$B$1000)*1,ISNUMBER(SEARCH("gsl",[1]OUT_TransportEnergyCons!$C$3:$C$1000))*1,[1]OUT_TransportEnergyCons!K$3:K$1000)</f>
        <v>0</v>
      </c>
      <c r="N1605" s="1" cm="1">
        <f t="array" ref="N1605">SUMPRODUCT(("TFHGV-ICEGSL"=[1]OUT_TransportEnergyCons!$A$3:$A$1000)*1,("Var_Fin"=[1]OUT_TransportEnergyCons!$B$3:$B$1000)*1,ISNUMBER(SEARCH("gsl",[1]OUT_TransportEnergyCons!$C$3:$C$1000))*1,[1]OUT_TransportEnergyCons!L$3:L$1000)</f>
        <v>0</v>
      </c>
      <c r="O1605" s="1" cm="1">
        <f t="array" ref="O1605">SUMPRODUCT(("TFHGV-ICEGSL"=[1]OUT_TransportEnergyCons!$A$3:$A$1000)*1,("Var_Fin"=[1]OUT_TransportEnergyCons!$B$3:$B$1000)*1,ISNUMBER(SEARCH("gsl",[1]OUT_TransportEnergyCons!$C$3:$C$1000))*1,[1]OUT_TransportEnergyCons!M$3:M$1000)</f>
        <v>0</v>
      </c>
      <c r="P1605" s="1" cm="1">
        <f t="array" ref="P1605">SUMPRODUCT(("TFHGV-ICEGSL"=[1]OUT_TransportEnergyCons!$A$3:$A$1000)*1,("Var_Fin"=[1]OUT_TransportEnergyCons!$B$3:$B$1000)*1,ISNUMBER(SEARCH("gsl",[1]OUT_TransportEnergyCons!$C$3:$C$1000))*1,[1]OUT_TransportEnergyCons!N$3:N$1000)</f>
        <v>0</v>
      </c>
      <c r="Q1605" s="1" cm="1">
        <f t="array" ref="Q1605">SUMPRODUCT(("TFHGV-ICEGSL"=[1]OUT_TransportEnergyCons!$A$3:$A$1000)*1,("Var_Fin"=[1]OUT_TransportEnergyCons!$B$3:$B$1000)*1,ISNUMBER(SEARCH("gsl",[1]OUT_TransportEnergyCons!$C$3:$C$1000))*1,[1]OUT_TransportEnergyCons!O$3:O$1000)</f>
        <v>0</v>
      </c>
      <c r="S1605" s="3"/>
    </row>
    <row r="1606" spans="2:19" x14ac:dyDescent="0.5">
      <c r="B1606" t="str">
        <f t="shared" si="1791"/>
        <v>SPS1</v>
      </c>
      <c r="C1606" t="str">
        <f t="shared" si="1792"/>
        <v>CH</v>
      </c>
      <c r="D1606" t="s">
        <v>1609</v>
      </c>
      <c r="E1606" t="str">
        <f t="shared" si="1799"/>
        <v>PJ/yr.</v>
      </c>
      <c r="F1606" s="1">
        <f>SUM(F1611:F1613)</f>
        <v>24.452795963143846</v>
      </c>
      <c r="G1606" s="1">
        <f t="shared" ref="G1606:K1606" si="1811">SUM(G1611:G1613)</f>
        <v>21.016312701862578</v>
      </c>
      <c r="H1606" s="1">
        <f t="shared" si="1811"/>
        <v>20.493702105977508</v>
      </c>
      <c r="I1606" s="1">
        <f t="shared" si="1811"/>
        <v>16.605757803994656</v>
      </c>
      <c r="J1606" s="1">
        <f t="shared" si="1811"/>
        <v>14.791298897643783</v>
      </c>
      <c r="K1606" s="1">
        <f t="shared" si="1811"/>
        <v>15.407923662894021</v>
      </c>
      <c r="L1606" s="1">
        <f t="shared" ref="L1606:O1606" si="1812">SUM(L1611:L1613)</f>
        <v>16.02951686634589</v>
      </c>
      <c r="M1606" s="1">
        <f t="shared" si="1812"/>
        <v>16.646542920636215</v>
      </c>
      <c r="N1606" s="1">
        <f t="shared" si="1812"/>
        <v>17.178012492388653</v>
      </c>
      <c r="O1606" s="1">
        <f t="shared" si="1812"/>
        <v>17.770589218597088</v>
      </c>
      <c r="P1606" s="1">
        <f>SUM(P1611:P1613)</f>
        <v>18.376223565004075</v>
      </c>
      <c r="Q1606" s="1">
        <f>SUM(Q1611:Q1613)</f>
        <v>18.983632271548398</v>
      </c>
      <c r="S1606" s="3"/>
    </row>
    <row r="1607" spans="2:19" x14ac:dyDescent="0.5">
      <c r="B1607" t="str">
        <f t="shared" si="1791"/>
        <v>SPS1</v>
      </c>
      <c r="C1607" t="str">
        <f t="shared" si="1792"/>
        <v>CH</v>
      </c>
      <c r="D1607" t="s">
        <v>1610</v>
      </c>
      <c r="E1607" t="str">
        <f t="shared" si="1799"/>
        <v>PJ/yr.</v>
      </c>
      <c r="F1607" s="1">
        <f>IF(F1606-F1608&lt;0,0,F1606-F1608)</f>
        <v>23.844989707060215</v>
      </c>
      <c r="G1607" s="1">
        <f t="shared" ref="G1607:K1607" si="1813">IF(G1606-G1608&lt;0,0,G1606-G1608)</f>
        <v>20.466354724712737</v>
      </c>
      <c r="H1607" s="1">
        <f t="shared" si="1813"/>
        <v>19.575002313170071</v>
      </c>
      <c r="I1607" s="1">
        <f t="shared" si="1813"/>
        <v>16.060609845871177</v>
      </c>
      <c r="J1607" s="1">
        <f t="shared" si="1813"/>
        <v>14.269918031391434</v>
      </c>
      <c r="K1607" s="1">
        <f t="shared" si="1813"/>
        <v>14.806319166426512</v>
      </c>
      <c r="L1607" s="1">
        <f t="shared" ref="L1607:O1607" si="1814">IF(L1606-L1608&lt;0,0,L1606-L1608)</f>
        <v>15.39689094693148</v>
      </c>
      <c r="M1607" s="1">
        <f t="shared" si="1814"/>
        <v>15.979521906545328</v>
      </c>
      <c r="N1607" s="1">
        <f t="shared" si="1814"/>
        <v>16.482459575995346</v>
      </c>
      <c r="O1607" s="1">
        <f t="shared" si="1814"/>
        <v>16.926320041202626</v>
      </c>
      <c r="P1607" s="1">
        <f>IF(P1606-P1608&lt;0,0,P1606-P1608)</f>
        <v>17.317552621560534</v>
      </c>
      <c r="Q1607" s="1">
        <f>IF(Q1606-Q1608&lt;0,0,Q1606-Q1608)</f>
        <v>17.823975502287379</v>
      </c>
      <c r="S1607" s="3"/>
    </row>
    <row r="1608" spans="2:19" x14ac:dyDescent="0.5">
      <c r="B1608" t="str">
        <f t="shared" si="1791"/>
        <v>SPS1</v>
      </c>
      <c r="C1608" t="str">
        <f t="shared" si="1792"/>
        <v>CH</v>
      </c>
      <c r="D1608" t="s">
        <v>1611</v>
      </c>
      <c r="E1608" t="str">
        <f t="shared" si="1799"/>
        <v>PJ/yr.</v>
      </c>
      <c r="F1608" s="1">
        <f>SUM(F1609:F1610)</f>
        <v>0.60780625608363159</v>
      </c>
      <c r="G1608" s="1">
        <f t="shared" ref="G1608:K1608" si="1815">SUM(G1609:G1610)</f>
        <v>0.54995797714984107</v>
      </c>
      <c r="H1608" s="1">
        <f t="shared" si="1815"/>
        <v>0.91869979280743763</v>
      </c>
      <c r="I1608" s="1">
        <f t="shared" si="1815"/>
        <v>0.54514795812347883</v>
      </c>
      <c r="J1608" s="1">
        <f t="shared" si="1815"/>
        <v>0.52138086625234825</v>
      </c>
      <c r="K1608" s="1">
        <f t="shared" si="1815"/>
        <v>0.60160449646750902</v>
      </c>
      <c r="L1608" s="1">
        <f t="shared" ref="L1608:O1608" si="1816">SUM(L1609:L1610)</f>
        <v>0.63262591941441082</v>
      </c>
      <c r="M1608" s="1">
        <f t="shared" si="1816"/>
        <v>0.66702101409088665</v>
      </c>
      <c r="N1608" s="1">
        <f t="shared" si="1816"/>
        <v>0.69555291639330852</v>
      </c>
      <c r="O1608" s="1">
        <f t="shared" si="1816"/>
        <v>0.84426917739446317</v>
      </c>
      <c r="P1608" s="1">
        <f>SUM(P1609:P1610)</f>
        <v>1.0586709434435413</v>
      </c>
      <c r="Q1608" s="1">
        <f>SUM(Q1609:Q1610)</f>
        <v>1.1596567692610207</v>
      </c>
      <c r="S1608" s="3"/>
    </row>
    <row r="1609" spans="2:19" x14ac:dyDescent="0.5">
      <c r="B1609" t="str">
        <f t="shared" si="1791"/>
        <v>SPS1</v>
      </c>
      <c r="C1609" t="str">
        <f t="shared" si="1792"/>
        <v>CH</v>
      </c>
      <c r="D1609" t="s">
        <v>1612</v>
      </c>
      <c r="E1609" t="str">
        <f t="shared" si="1799"/>
        <v>PJ/yr.</v>
      </c>
      <c r="F1609" s="1">
        <f>[1]Transport!B$26/SUM([1]Transport!B$22,[1]Transport!B$26)*F1606*(F$34+F$582)/(F$34+F$582+F$38)</f>
        <v>0.60780625608363159</v>
      </c>
      <c r="G1609" s="1">
        <f>[1]Transport!C$26/SUM([1]Transport!C$22,[1]Transport!C$26)*G1606*(G$34+G$582)/(G$34+G$582+G$38)</f>
        <v>0.54995797714984107</v>
      </c>
      <c r="H1609" s="1">
        <f>[1]Transport!D$26/SUM([1]Transport!D$22,[1]Transport!D$26)*H1606*(H$34+H$582)/(H$34+H$582+H$38)</f>
        <v>0.91869979280743763</v>
      </c>
      <c r="I1609" s="1">
        <f>[1]Transport!E$26/SUM([1]Transport!E$22,[1]Transport!E$26)*I1606*(I$34+I$582)/(I$34+I$582+I$38)</f>
        <v>0.54514795812347883</v>
      </c>
      <c r="J1609" s="1">
        <f>[1]Transport!F$26/SUM([1]Transport!F$22,[1]Transport!F$26)*J1606*(J$34+J$582)/(J$34+J$582+J$38)</f>
        <v>0.52138086625234825</v>
      </c>
      <c r="K1609" s="1">
        <f>[1]Transport!G$26/SUM([1]Transport!G$22,[1]Transport!G$26)*K1606*(K$34+K$582)/(K$34+K$582+K$38)</f>
        <v>0.60160449646750902</v>
      </c>
      <c r="L1609" s="1">
        <f>[1]Transport!H$26/SUM([1]Transport!H$22,[1]Transport!H$26)*L1606*(L$34+L$582)/(L$34+L$582+L$38)</f>
        <v>0.63262591941441082</v>
      </c>
      <c r="M1609" s="1">
        <f>[1]Transport!I$26/SUM([1]Transport!I$22,[1]Transport!I$26)*M1606*(M$34+M$582)/(M$34+M$582+M$38)</f>
        <v>0.66702101409088665</v>
      </c>
      <c r="N1609" s="1">
        <f>[1]Transport!J$26/SUM([1]Transport!J$22,[1]Transport!J$26)*N1606*(N$34+N$582)/(N$34+N$582+N$38)</f>
        <v>0.69555291639330852</v>
      </c>
      <c r="O1609" s="1">
        <f>[1]Transport!K$26/SUM([1]Transport!K$22,[1]Transport!K$26)*O1606*(O$34+O$582)/(O$34+O$582+O$38)</f>
        <v>0.84426917739446317</v>
      </c>
      <c r="P1609" s="1">
        <f>[1]Transport!L$26/SUM([1]Transport!L$22,[1]Transport!L$26)*P1606*(P$34+P$582)/(P$34+P$582+P$38)</f>
        <v>1.0586709434435413</v>
      </c>
      <c r="Q1609" s="1">
        <f>[1]Transport!M$26/SUM([1]Transport!M$22,[1]Transport!M$26)*Q1606*(Q$34+Q$582)/(Q$34+Q$582+Q$38)</f>
        <v>1.1596567692610207</v>
      </c>
      <c r="S1609" s="3"/>
    </row>
    <row r="1610" spans="2:19" x14ac:dyDescent="0.5">
      <c r="B1610" t="str">
        <f t="shared" si="1791"/>
        <v>SPS1</v>
      </c>
      <c r="C1610" t="str">
        <f t="shared" si="1792"/>
        <v>CH</v>
      </c>
      <c r="D1610" t="s">
        <v>1613</v>
      </c>
      <c r="E1610" t="str">
        <f t="shared" si="1799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(J$38+J$718)/([1]Transport!F$22+[1]Transport!F$26)*J1606</f>
        <v>0</v>
      </c>
      <c r="K1610" s="1">
        <f>(K$38+K$718)/([1]Transport!G$22+[1]Transport!G$26)*K1606</f>
        <v>0</v>
      </c>
      <c r="L1610" s="1">
        <f>(L$38+L$718)/([1]Transport!H$22+[1]Transport!H$26)*L1606</f>
        <v>0</v>
      </c>
      <c r="M1610" s="1">
        <f>(M$38+M$718)/([1]Transport!I$22+[1]Transport!I$26)*M1606</f>
        <v>0</v>
      </c>
      <c r="N1610" s="1">
        <f>(N$38+N$718)/([1]Transport!J$22+[1]Transport!J$26)*N1606</f>
        <v>0</v>
      </c>
      <c r="O1610" s="1">
        <f>(O$38+O$718)/([1]Transport!K$22+[1]Transport!K$26)*O1606</f>
        <v>0</v>
      </c>
      <c r="P1610" s="1">
        <f>(P$38+P$718)/([1]Transport!L$22+[1]Transport!L$26)*P1606</f>
        <v>0</v>
      </c>
      <c r="Q1610" s="1">
        <f>(Q$38+Q$718)/([1]Transport!M$22+[1]Transport!M$26)*Q1606</f>
        <v>0</v>
      </c>
      <c r="S1610" s="3"/>
    </row>
    <row r="1611" spans="2:19" x14ac:dyDescent="0.5">
      <c r="B1611" t="str">
        <f t="shared" si="1791"/>
        <v>SPS1</v>
      </c>
      <c r="C1611" t="str">
        <f t="shared" si="1792"/>
        <v>CH</v>
      </c>
      <c r="D1611" t="s">
        <v>1614</v>
      </c>
      <c r="E1611" t="str">
        <f t="shared" si="1799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19.234456754549349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11.808015520066256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11.493854047098164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4.9494339724090386</v>
      </c>
      <c r="J1611" s="1" cm="1">
        <f t="array" ref="J1611">SUMPRODUCT(("TFHGV-ICEdslExt"=[1]OUT_TransportEnergyCons!$A$3:$A$1000)*1,("Var_Fin"=[1]OUT_TransportEnergyCons!$B$3:$B$1000)*1,ISNUMBER(SEARCH("dsl",[1]OUT_TransportEnergyCons!$C$3:$C$1000))*1,[1]OUT_TransportEnergyCons!H$3:H$1000)</f>
        <v>0</v>
      </c>
      <c r="K1611" s="1" cm="1">
        <f t="array" ref="K1611">SUMPRODUCT(("TFHGV-ICEdslExt"=[1]OUT_TransportEnergyCons!$A$3:$A$1000)*1,("Var_Fin"=[1]OUT_TransportEnergyCons!$B$3:$B$1000)*1,ISNUMBER(SEARCH("dsl",[1]OUT_TransportEnergyCons!$C$3:$C$1000))*1,[1]OUT_TransportEnergyCons!I$3:I$1000)</f>
        <v>0</v>
      </c>
      <c r="L1611" s="1" cm="1">
        <f t="array" ref="L1611">SUMPRODUCT(("TFHGV-ICEdslExt"=[1]OUT_TransportEnergyCons!$A$3:$A$1000)*1,("Var_Fin"=[1]OUT_TransportEnergyCons!$B$3:$B$1000)*1,ISNUMBER(SEARCH("dsl",[1]OUT_TransportEnergyCons!$C$3:$C$1000))*1,[1]OUT_TransportEnergyCons!J$3:J$1000)</f>
        <v>0</v>
      </c>
      <c r="M1611" s="1" cm="1">
        <f t="array" ref="M1611">SUMPRODUCT(("TFHGV-ICEdslExt"=[1]OUT_TransportEnergyCons!$A$3:$A$1000)*1,("Var_Fin"=[1]OUT_TransportEnergyCons!$B$3:$B$1000)*1,ISNUMBER(SEARCH("dsl",[1]OUT_TransportEnergyCons!$C$3:$C$1000))*1,[1]OUT_TransportEnergyCons!K$3:K$1000)</f>
        <v>0</v>
      </c>
      <c r="N1611" s="1" cm="1">
        <f t="array" ref="N1611">SUMPRODUCT(("TFHGV-ICEdslExt"=[1]OUT_TransportEnergyCons!$A$3:$A$1000)*1,("Var_Fin"=[1]OUT_TransportEnergyCons!$B$3:$B$1000)*1,ISNUMBER(SEARCH("dsl",[1]OUT_TransportEnergyCons!$C$3:$C$1000))*1,[1]OUT_TransportEnergyCons!L$3:L$1000)</f>
        <v>0</v>
      </c>
      <c r="O1611" s="1" cm="1">
        <f t="array" ref="O1611">SUMPRODUCT(("TFHGV-ICEdslExt"=[1]OUT_TransportEnergyCons!$A$3:$A$1000)*1,("Var_Fin"=[1]OUT_TransportEnergyCons!$B$3:$B$1000)*1,ISNUMBER(SEARCH("dsl",[1]OUT_TransportEnergyCons!$C$3:$C$1000))*1,[1]OUT_TransportEnergyCons!M$3:M$1000)</f>
        <v>0</v>
      </c>
      <c r="P1611" s="1" cm="1">
        <f t="array" ref="P1611">SUMPRODUCT(("TFHGV-ICEdslExt"=[1]OUT_TransportEnergyCons!$A$3:$A$1000)*1,("Var_Fin"=[1]OUT_TransportEnergyCons!$B$3:$B$1000)*1,ISNUMBER(SEARCH("dsl",[1]OUT_TransportEnergyCons!$C$3:$C$1000))*1,[1]OUT_TransportEnergyCons!N$3:N$1000)</f>
        <v>0</v>
      </c>
      <c r="Q1611" s="1" cm="1">
        <f t="array" ref="Q1611">SUMPRODUCT(("TFHGV-ICEdslExt"=[1]OUT_TransportEnergyCons!$A$3:$A$1000)*1,("Var_Fin"=[1]OUT_TransportEnergyCons!$B$3:$B$1000)*1,ISNUMBER(SEARCH("dsl",[1]OUT_TransportEnergyCons!$C$3:$C$1000))*1,[1]OUT_TransportEnergyCons!O$3:O$1000)</f>
        <v>0</v>
      </c>
      <c r="S1611" s="3"/>
    </row>
    <row r="1612" spans="2:19" x14ac:dyDescent="0.5">
      <c r="B1612" t="str">
        <f t="shared" si="1791"/>
        <v>SPS1</v>
      </c>
      <c r="C1612" t="str">
        <f t="shared" si="1792"/>
        <v>CH</v>
      </c>
      <c r="D1612" t="s">
        <v>1615</v>
      </c>
      <c r="E1612" t="str">
        <f t="shared" si="1799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5.2183392085944975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6.1188323656784993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4.7939580207245127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0.45003996093652215</v>
      </c>
      <c r="J1612" s="1" cm="1">
        <f t="array" ref="J1612">SUMPRODUCT(("TFHGV-ICEdsl"=[1]OUT_TransportEnergyCons!$A$3:$A$1000)*1,("Var_Fin"=[1]OUT_TransportEnergyCons!$B$3:$B$1000)*1,ISNUMBER(SEARCH("dsl",[1]OUT_TransportEnergyCons!$C$3:$C$1000))*1,[1]OUT_TransportEnergyCons!H$3:H$1000)</f>
        <v>9.1321249073910375E-3</v>
      </c>
      <c r="K1612" s="1" cm="1">
        <f t="array" ref="K1612">SUMPRODUCT(("TFHGV-ICEdsl"=[1]OUT_TransportEnergyCons!$A$3:$A$1000)*1,("Var_Fin"=[1]OUT_TransportEnergyCons!$B$3:$B$1000)*1,ISNUMBER(SEARCH("dsl",[1]OUT_TransportEnergyCons!$C$3:$C$1000))*1,[1]OUT_TransportEnergyCons!I$3:I$1000)</f>
        <v>1.2959494453885625E-2</v>
      </c>
      <c r="L1612" s="1" cm="1">
        <f t="array" ref="L1612">SUMPRODUCT(("TFHGV-ICEdsl"=[1]OUT_TransportEnergyCons!$A$3:$A$1000)*1,("Var_Fin"=[1]OUT_TransportEnergyCons!$B$3:$B$1000)*1,ISNUMBER(SEARCH("dsl",[1]OUT_TransportEnergyCons!$C$3:$C$1000))*1,[1]OUT_TransportEnergyCons!J$3:J$1000)</f>
        <v>1.1082387467955743E-2</v>
      </c>
      <c r="M1612" s="1" cm="1">
        <f t="array" ref="M1612">SUMPRODUCT(("TFHGV-ICEdsl"=[1]OUT_TransportEnergyCons!$A$3:$A$1000)*1,("Var_Fin"=[1]OUT_TransportEnergyCons!$B$3:$B$1000)*1,ISNUMBER(SEARCH("dsl",[1]OUT_TransportEnergyCons!$C$3:$C$1000))*1,[1]OUT_TransportEnergyCons!K$3:K$1000)</f>
        <v>1.320110593814074E-2</v>
      </c>
      <c r="N1612" s="1" cm="1">
        <f t="array" ref="N1612">SUMPRODUCT(("TFHGV-ICEdsl"=[1]OUT_TransportEnergyCons!$A$3:$A$1000)*1,("Var_Fin"=[1]OUT_TransportEnergyCons!$B$3:$B$1000)*1,ISNUMBER(SEARCH("dsl",[1]OUT_TransportEnergyCons!$C$3:$C$1000))*1,[1]OUT_TransportEnergyCons!L$3:L$1000)</f>
        <v>1.3987058715261924E-2</v>
      </c>
      <c r="O1612" s="1" cm="1">
        <f t="array" ref="O1612">SUMPRODUCT(("TFHGV-ICEdsl"=[1]OUT_TransportEnergyCons!$A$3:$A$1000)*1,("Var_Fin"=[1]OUT_TransportEnergyCons!$B$3:$B$1000)*1,ISNUMBER(SEARCH("dsl",[1]OUT_TransportEnergyCons!$C$3:$C$1000))*1,[1]OUT_TransportEnergyCons!M$3:M$1000)</f>
        <v>1.246609664091965E-2</v>
      </c>
      <c r="P1612" s="1" cm="1">
        <f t="array" ref="P1612">SUMPRODUCT(("TFHGV-ICEdsl"=[1]OUT_TransportEnergyCons!$A$3:$A$1000)*1,("Var_Fin"=[1]OUT_TransportEnergyCons!$B$3:$B$1000)*1,ISNUMBER(SEARCH("dsl",[1]OUT_TransportEnergyCons!$C$3:$C$1000))*1,[1]OUT_TransportEnergyCons!N$3:N$1000)</f>
        <v>1.7366052145749711E-2</v>
      </c>
      <c r="Q1612" s="1" cm="1">
        <f t="array" ref="Q1612">SUMPRODUCT(("TFHGV-ICEdsl"=[1]OUT_TransportEnergyCons!$A$3:$A$1000)*1,("Var_Fin"=[1]OUT_TransportEnergyCons!$B$3:$B$1000)*1,ISNUMBER(SEARCH("dsl",[1]OUT_TransportEnergyCons!$C$3:$C$1000))*1,[1]OUT_TransportEnergyCons!O$3:O$1000)</f>
        <v>2.3084449184308721E-2</v>
      </c>
      <c r="S1612" s="3"/>
    </row>
    <row r="1613" spans="2:19" x14ac:dyDescent="0.5">
      <c r="B1613" t="str">
        <f t="shared" si="1791"/>
        <v>SPS1</v>
      </c>
      <c r="C1613" t="str">
        <f t="shared" si="1792"/>
        <v>CH</v>
      </c>
      <c r="D1613" t="s">
        <v>1616</v>
      </c>
      <c r="E1613" t="str">
        <f t="shared" si="1799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3.0894648161178218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4.2058900381548296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11.206283870649095</v>
      </c>
      <c r="J1613" s="1" cm="1">
        <f t="array" ref="J1613">SUMPRODUCT(("TFHGV-HYBDSL"=[1]OUT_TransportEnergyCons!$A$3:$A$1000)*1,("Var_Fin"=[1]OUT_TransportEnergyCons!$B$3:$B$1000)*1,ISNUMBER(SEARCH("dsl",[1]OUT_TransportEnergyCons!$C$3:$C$1000))*1,[1]OUT_TransportEnergyCons!H$3:H$1000)</f>
        <v>14.782166772736392</v>
      </c>
      <c r="K1613" s="1" cm="1">
        <f t="array" ref="K1613">SUMPRODUCT(("TFHGV-HYBDSL"=[1]OUT_TransportEnergyCons!$A$3:$A$1000)*1,("Var_Fin"=[1]OUT_TransportEnergyCons!$B$3:$B$1000)*1,ISNUMBER(SEARCH("dsl",[1]OUT_TransportEnergyCons!$C$3:$C$1000))*1,[1]OUT_TransportEnergyCons!I$3:I$1000)</f>
        <v>15.394964168440135</v>
      </c>
      <c r="L1613" s="1" cm="1">
        <f t="array" ref="L1613">SUMPRODUCT(("TFHGV-HYBDSL"=[1]OUT_TransportEnergyCons!$A$3:$A$1000)*1,("Var_Fin"=[1]OUT_TransportEnergyCons!$B$3:$B$1000)*1,ISNUMBER(SEARCH("dsl",[1]OUT_TransportEnergyCons!$C$3:$C$1000))*1,[1]OUT_TransportEnergyCons!J$3:J$1000)</f>
        <v>16.018434478877936</v>
      </c>
      <c r="M1613" s="1" cm="1">
        <f t="array" ref="M1613">SUMPRODUCT(("TFHGV-HYBDSL"=[1]OUT_TransportEnergyCons!$A$3:$A$1000)*1,("Var_Fin"=[1]OUT_TransportEnergyCons!$B$3:$B$1000)*1,ISNUMBER(SEARCH("dsl",[1]OUT_TransportEnergyCons!$C$3:$C$1000))*1,[1]OUT_TransportEnergyCons!K$3:K$1000)</f>
        <v>16.633341814698074</v>
      </c>
      <c r="N1613" s="1" cm="1">
        <f t="array" ref="N1613">SUMPRODUCT(("TFHGV-HYBDSL"=[1]OUT_TransportEnergyCons!$A$3:$A$1000)*1,("Var_Fin"=[1]OUT_TransportEnergyCons!$B$3:$B$1000)*1,ISNUMBER(SEARCH("dsl",[1]OUT_TransportEnergyCons!$C$3:$C$1000))*1,[1]OUT_TransportEnergyCons!L$3:L$1000)</f>
        <v>17.164025433673391</v>
      </c>
      <c r="O1613" s="1" cm="1">
        <f t="array" ref="O1613">SUMPRODUCT(("TFHGV-HYBDSL"=[1]OUT_TransportEnergyCons!$A$3:$A$1000)*1,("Var_Fin"=[1]OUT_TransportEnergyCons!$B$3:$B$1000)*1,ISNUMBER(SEARCH("dsl",[1]OUT_TransportEnergyCons!$C$3:$C$1000))*1,[1]OUT_TransportEnergyCons!M$3:M$1000)</f>
        <v>17.758123121956167</v>
      </c>
      <c r="P1613" s="1" cm="1">
        <f t="array" ref="P1613">SUMPRODUCT(("TFHGV-HYBDSL"=[1]OUT_TransportEnergyCons!$A$3:$A$1000)*1,("Var_Fin"=[1]OUT_TransportEnergyCons!$B$3:$B$1000)*1,ISNUMBER(SEARCH("dsl",[1]OUT_TransportEnergyCons!$C$3:$C$1000))*1,[1]OUT_TransportEnergyCons!N$3:N$1000)</f>
        <v>18.358857512858325</v>
      </c>
      <c r="Q1613" s="1" cm="1">
        <f t="array" ref="Q1613">SUMPRODUCT(("TFHGV-HYBDSL"=[1]OUT_TransportEnergyCons!$A$3:$A$1000)*1,("Var_Fin"=[1]OUT_TransportEnergyCons!$B$3:$B$1000)*1,ISNUMBER(SEARCH("dsl",[1]OUT_TransportEnergyCons!$C$3:$C$1000))*1,[1]OUT_TransportEnergyCons!O$3:O$1000)</f>
        <v>18.960547822364088</v>
      </c>
      <c r="S1613" s="3"/>
    </row>
    <row r="1614" spans="2:19" x14ac:dyDescent="0.5">
      <c r="B1614" t="str">
        <f t="shared" si="1791"/>
        <v>SPS1</v>
      </c>
      <c r="C1614" t="str">
        <f t="shared" si="1792"/>
        <v>CH</v>
      </c>
      <c r="D1614" t="s">
        <v>1617</v>
      </c>
      <c r="E1614" t="str">
        <f t="shared" si="1799"/>
        <v>PJ/yr.</v>
      </c>
      <c r="F1614" s="1">
        <f>F1619</f>
        <v>5.2956040148093034E-2</v>
      </c>
      <c r="G1614" s="1">
        <f t="shared" ref="G1614:K1614" si="1817">G1619</f>
        <v>5.841159519285947E-3</v>
      </c>
      <c r="H1614" s="1">
        <f t="shared" si="1817"/>
        <v>7.4257167428770122E-3</v>
      </c>
      <c r="I1614" s="1">
        <f t="shared" si="1817"/>
        <v>7.3505929224811049E-3</v>
      </c>
      <c r="J1614" s="1">
        <f t="shared" si="1817"/>
        <v>6.822750239299776E-3</v>
      </c>
      <c r="K1614" s="1">
        <f t="shared" si="1817"/>
        <v>6.641950509605977E-3</v>
      </c>
      <c r="L1614" s="1">
        <f t="shared" ref="L1614:O1614" si="1818">L1619</f>
        <v>6.3445516355568037E-3</v>
      </c>
      <c r="M1614" s="1">
        <f t="shared" si="1818"/>
        <v>6.0154246721002731E-3</v>
      </c>
      <c r="N1614" s="1">
        <f t="shared" si="1818"/>
        <v>5.8533741361627908E-3</v>
      </c>
      <c r="O1614" s="1">
        <f t="shared" si="1818"/>
        <v>5.8334776314428469E-3</v>
      </c>
      <c r="P1614" s="1">
        <f>P1619</f>
        <v>5.8562630176340552E-3</v>
      </c>
      <c r="Q1614" s="1">
        <f>Q1619</f>
        <v>5.8140175246239887E-3</v>
      </c>
      <c r="S1614" s="3"/>
    </row>
    <row r="1615" spans="2:19" x14ac:dyDescent="0.5">
      <c r="B1615" t="str">
        <f t="shared" si="1791"/>
        <v>SPS1</v>
      </c>
      <c r="C1615" t="str">
        <f t="shared" si="1792"/>
        <v>CH</v>
      </c>
      <c r="D1615" t="s">
        <v>1618</v>
      </c>
      <c r="E1615" t="str">
        <f t="shared" si="1799"/>
        <v>PJ/yr.</v>
      </c>
      <c r="F1615" s="1">
        <f>IF(F1614-F1616&lt;0,0,F1614-F1616)</f>
        <v>4.8887909993960588E-2</v>
      </c>
      <c r="G1615" s="1">
        <f t="shared" ref="G1615:K1615" si="1819">IF(G1614-G1616&lt;0,0,G1614-G1616)</f>
        <v>5.1230818426718297E-3</v>
      </c>
      <c r="H1615" s="1">
        <f t="shared" si="1819"/>
        <v>7.0822695031165749E-3</v>
      </c>
      <c r="I1615" s="1">
        <f t="shared" si="1819"/>
        <v>5.0058045488878917E-3</v>
      </c>
      <c r="J1615" s="1">
        <f t="shared" si="1819"/>
        <v>0</v>
      </c>
      <c r="K1615" s="1">
        <f t="shared" si="1819"/>
        <v>0</v>
      </c>
      <c r="L1615" s="1">
        <f t="shared" ref="L1615:O1615" si="1820">IF(L1614-L1616&lt;0,0,L1614-L1616)</f>
        <v>0</v>
      </c>
      <c r="M1615" s="1">
        <f t="shared" si="1820"/>
        <v>0</v>
      </c>
      <c r="N1615" s="1">
        <f t="shared" si="1820"/>
        <v>0</v>
      </c>
      <c r="O1615" s="1">
        <f t="shared" si="1820"/>
        <v>0</v>
      </c>
      <c r="P1615" s="1">
        <f>IF(P1614-P1616&lt;0,0,P1614-P1616)</f>
        <v>0</v>
      </c>
      <c r="Q1615" s="1">
        <f>IF(Q1614-Q1616&lt;0,0,Q1614-Q1616)</f>
        <v>0</v>
      </c>
      <c r="S1615" s="3"/>
    </row>
    <row r="1616" spans="2:19" x14ac:dyDescent="0.5">
      <c r="B1616" t="str">
        <f t="shared" si="1791"/>
        <v>SPS1</v>
      </c>
      <c r="C1616" t="str">
        <f t="shared" si="1792"/>
        <v>CH</v>
      </c>
      <c r="D1616" t="s">
        <v>1619</v>
      </c>
      <c r="E1616" t="str">
        <f t="shared" si="1799"/>
        <v>PJ/yr.</v>
      </c>
      <c r="F1616" s="1">
        <f>SUM(F1617:F1618)</f>
        <v>4.0681301541324452E-3</v>
      </c>
      <c r="G1616" s="1">
        <f t="shared" ref="G1616:K1616" si="1821">SUM(G1617:G1618)</f>
        <v>7.1807767661411686E-4</v>
      </c>
      <c r="H1616" s="1">
        <f t="shared" si="1821"/>
        <v>3.4344723976043729E-4</v>
      </c>
      <c r="I1616" s="1">
        <f t="shared" si="1821"/>
        <v>2.3447883735932132E-3</v>
      </c>
      <c r="J1616" s="1">
        <f t="shared" si="1821"/>
        <v>8.8772571190185411E-3</v>
      </c>
      <c r="K1616" s="1">
        <f t="shared" si="1821"/>
        <v>6.8842808395934603E-3</v>
      </c>
      <c r="L1616" s="1">
        <f t="shared" ref="L1616:O1616" si="1822">SUM(L1617:L1618)</f>
        <v>6.6643189551579959E-3</v>
      </c>
      <c r="M1616" s="1">
        <f t="shared" si="1822"/>
        <v>6.6061044806546036E-3</v>
      </c>
      <c r="N1616" s="1">
        <f t="shared" si="1822"/>
        <v>6.2399360342092593E-3</v>
      </c>
      <c r="O1616" s="1">
        <f t="shared" si="1822"/>
        <v>6.4593423992907366E-3</v>
      </c>
      <c r="P1616" s="1">
        <f>SUM(P1617:P1618)</f>
        <v>6.3600037851254659E-3</v>
      </c>
      <c r="Q1616" s="1">
        <f>SUM(Q1617:Q1618)</f>
        <v>6.7549901434066119E-3</v>
      </c>
      <c r="S1616" s="3"/>
    </row>
    <row r="1617" spans="2:19" x14ac:dyDescent="0.5">
      <c r="B1617" t="str">
        <f t="shared" si="1791"/>
        <v>SPS1</v>
      </c>
      <c r="C1617" t="str">
        <f t="shared" si="1792"/>
        <v>CH</v>
      </c>
      <c r="D1617" t="s">
        <v>1620</v>
      </c>
      <c r="E1617" t="str">
        <f t="shared" si="1799"/>
        <v>PJ/yr.</v>
      </c>
      <c r="F1617" s="1">
        <f>IF(SUM([1]Transport!B$24,[1]Transport!B$27)=0,0,[1]Transport!B$27/SUM([1]Transport!B$24,[1]Transport!B$27)*F1614*(F$47+F$614)/(F$47+F$614+F$49))</f>
        <v>4.0681301541324452E-3</v>
      </c>
      <c r="G1617" s="1">
        <f>IF(SUM([1]Transport!C$24,[1]Transport!C$27)=0,0,[1]Transport!C$27/SUM([1]Transport!C$24,[1]Transport!C$27)*G1614*(G$47+G$614)/(G$47+G$614+G$49))</f>
        <v>7.1807767661411686E-4</v>
      </c>
      <c r="H1617" s="1">
        <f>IF(SUM([1]Transport!D$24,[1]Transport!D$27)=0,0,[1]Transport!D$27/SUM([1]Transport!D$24,[1]Transport!D$27)*H1614*(H$47+H$614)/(H$47+H$614+H$49))</f>
        <v>3.4344723976043729E-4</v>
      </c>
      <c r="I1617" s="1">
        <f>IF(SUM([1]Transport!E$24,[1]Transport!E$27)=0,0,[1]Transport!E$27/SUM([1]Transport!E$24,[1]Transport!E$27)*I1614*(I$47+I$614)/(I$47+I$614+I$49))</f>
        <v>2.3447883735932132E-3</v>
      </c>
      <c r="J1617" s="1">
        <f>IF(SUM([1]Transport!F$24,[1]Transport!F$27)=0,0,[1]Transport!F$27/SUM([1]Transport!F$24,[1]Transport!F$27)*J1614*(J$47+J$614)/(J$47+J$614+J$49))</f>
        <v>2.0545068797187646E-3</v>
      </c>
      <c r="K1617" s="1">
        <f>IF(SUM([1]Transport!G$24,[1]Transport!G$27)=0,0,[1]Transport!G$27/SUM([1]Transport!G$24,[1]Transport!G$27)*K1614*(K$47+K$614)/(K$47+K$614+K$49))</f>
        <v>2.4233032998748367E-4</v>
      </c>
      <c r="L1617" s="1">
        <f>IF(SUM([1]Transport!H$24,[1]Transport!H$27)=0,0,[1]Transport!H$27/SUM([1]Transport!H$24,[1]Transport!H$27)*L1614*(L$47+L$614)/(L$47+L$614+L$49))</f>
        <v>3.197673196011918E-4</v>
      </c>
      <c r="M1617" s="1">
        <f>IF(SUM([1]Transport!I$24,[1]Transport!I$27)=0,0,[1]Transport!I$27/SUM([1]Transport!I$24,[1]Transport!I$27)*M1614*(M$47+M$614)/(M$47+M$614+M$49))</f>
        <v>5.9067980855433046E-4</v>
      </c>
      <c r="N1617" s="1">
        <f>IF(SUM([1]Transport!J$24,[1]Transport!J$27)=0,0,[1]Transport!J$27/SUM([1]Transport!J$24,[1]Transport!J$27)*N1614*(N$47+N$614)/(N$47+N$614+N$49))</f>
        <v>3.8656189804646841E-4</v>
      </c>
      <c r="O1617" s="1">
        <f>IF(SUM([1]Transport!K$24,[1]Transport!K$27)=0,0,[1]Transport!K$27/SUM([1]Transport!K$24,[1]Transport!K$27)*O1614*(O$47+O$614)/(O$47+O$614+O$49))</f>
        <v>6.2586476784788994E-4</v>
      </c>
      <c r="P1617" s="1">
        <f>IF(SUM([1]Transport!L$24,[1]Transport!L$27)=0,0,[1]Transport!L$27/SUM([1]Transport!L$24,[1]Transport!L$27)*P1614*(P$47+P$614)/(P$47+P$614+P$49))</f>
        <v>5.0374076749141062E-4</v>
      </c>
      <c r="Q1617" s="1">
        <f>IF(SUM([1]Transport!M$24,[1]Transport!M$27)=0,0,[1]Transport!M$27/SUM([1]Transport!M$24,[1]Transport!M$27)*Q1614*(Q$47+Q$614)/(Q$47+Q$614+Q$49))</f>
        <v>9.4097261878262279E-4</v>
      </c>
      <c r="S1617" s="3"/>
    </row>
    <row r="1618" spans="2:19" x14ac:dyDescent="0.5">
      <c r="B1618" t="str">
        <f t="shared" si="1791"/>
        <v>SPS1</v>
      </c>
      <c r="C1618" t="str">
        <f t="shared" si="1792"/>
        <v>CH</v>
      </c>
      <c r="D1618" t="s">
        <v>1621</v>
      </c>
      <c r="E1618" t="str">
        <f t="shared" si="1799"/>
        <v>PJ/yr.</v>
      </c>
      <c r="F1618" s="1">
        <f>IF(([1]Transport!B$24+[1]Transport!B$27)=0,0,IF((F$49+F$716)/([1]Transport!B$24+[1]Transport!B$27)*F1614&gt;F1614,F1614,(F$49+F$716)/([1]Transport!B$24+[1]Transport!B$27)*F1614))</f>
        <v>0</v>
      </c>
      <c r="G1618" s="1">
        <f>IF(([1]Transport!C$24+[1]Transport!C$27)=0,0,IF((G$49+G$716)/([1]Transport!C$24+[1]Transport!C$27)*G1614&gt;G1614,G1614,(G$49+G$716)/([1]Transport!C$24+[1]Transport!C$27)*G1614))</f>
        <v>0</v>
      </c>
      <c r="H1618" s="1">
        <f>IF(([1]Transport!D$24+[1]Transport!D$27)=0,0,IF((H$49+H$716)/([1]Transport!D$24+[1]Transport!D$27)*H1614&gt;H1614,H1614,(H$49+H$716)/([1]Transport!D$24+[1]Transport!D$27)*H1614))</f>
        <v>0</v>
      </c>
      <c r="I1618" s="1">
        <f>IF(([1]Transport!E$24+[1]Transport!E$27)=0,0,IF((I$49+I$716)/([1]Transport!E$24+[1]Transport!E$27)*I1614&gt;I1614,I1614,(I$49+I$716)/([1]Transport!E$24+[1]Transport!E$27)*I1614))</f>
        <v>0</v>
      </c>
      <c r="J1618" s="1">
        <f>IF(([1]Transport!F$24+[1]Transport!F$27)=0,0,IF((J$49+J$716)/([1]Transport!F$24+[1]Transport!F$27)*J1614&gt;J1614,J1614,(J$49+J$716)/([1]Transport!F$24+[1]Transport!F$27)*J1614))</f>
        <v>6.822750239299776E-3</v>
      </c>
      <c r="K1618" s="1">
        <f>IF(([1]Transport!G$24+[1]Transport!G$27)=0,0,IF((K$49+K$716)/([1]Transport!G$24+[1]Transport!G$27)*K1614&gt;K1614,K1614,(K$49+K$716)/([1]Transport!G$24+[1]Transport!G$27)*K1614))</f>
        <v>6.641950509605977E-3</v>
      </c>
      <c r="L1618" s="1">
        <f>IF(([1]Transport!H$24+[1]Transport!H$27)=0,0,IF((L$49+L$716)/([1]Transport!H$24+[1]Transport!H$27)*L1614&gt;L1614,L1614,(L$49+L$716)/([1]Transport!H$24+[1]Transport!H$27)*L1614))</f>
        <v>6.3445516355568037E-3</v>
      </c>
      <c r="M1618" s="1">
        <f>IF(([1]Transport!I$24+[1]Transport!I$27)=0,0,IF((M$49+M$716)/([1]Transport!I$24+[1]Transport!I$27)*M1614&gt;M1614,M1614,(M$49+M$716)/([1]Transport!I$24+[1]Transport!I$27)*M1614))</f>
        <v>6.0154246721002731E-3</v>
      </c>
      <c r="N1618" s="1">
        <f>IF(([1]Transport!J$24+[1]Transport!J$27)=0,0,IF((N$49+N$716)/([1]Transport!J$24+[1]Transport!J$27)*N1614&gt;N1614,N1614,(N$49+N$716)/([1]Transport!J$24+[1]Transport!J$27)*N1614))</f>
        <v>5.8533741361627908E-3</v>
      </c>
      <c r="O1618" s="1">
        <f>IF(([1]Transport!K$24+[1]Transport!K$27)=0,0,IF((O$49+O$716)/([1]Transport!K$24+[1]Transport!K$27)*O1614&gt;O1614,O1614,(O$49+O$716)/([1]Transport!K$24+[1]Transport!K$27)*O1614))</f>
        <v>5.8334776314428469E-3</v>
      </c>
      <c r="P1618" s="1">
        <f>IF(([1]Transport!L$24+[1]Transport!L$27)=0,0,IF((P$49+P$716)/([1]Transport!L$24+[1]Transport!L$27)*P1614&gt;P1614,P1614,(P$49+P$716)/([1]Transport!L$24+[1]Transport!L$27)*P1614))</f>
        <v>5.8562630176340552E-3</v>
      </c>
      <c r="Q1618" s="1">
        <f>IF(([1]Transport!M$24+[1]Transport!M$27)=0,0,IF((Q$49+Q$716)/([1]Transport!M$24+[1]Transport!M$27)*Q1614&gt;Q1614,Q1614,(Q$49+Q$716)/([1]Transport!M$24+[1]Transport!M$27)*Q1614))</f>
        <v>5.8140175246239887E-3</v>
      </c>
      <c r="S1618" s="3"/>
    </row>
    <row r="1619" spans="2:19" x14ac:dyDescent="0.5">
      <c r="B1619" t="str">
        <f t="shared" si="1791"/>
        <v>SPS1</v>
      </c>
      <c r="C1619" t="str">
        <f t="shared" si="1792"/>
        <v>CH</v>
      </c>
      <c r="D1619" t="s">
        <v>1622</v>
      </c>
      <c r="E1619" t="str">
        <f t="shared" si="1799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5.2956040148093034E-2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5.841159519285947E-3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7.4257167428770122E-3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7.3505929224811049E-3</v>
      </c>
      <c r="J1619" s="1" cm="1">
        <f t="array" ref="J1619">SUMPRODUCT(("TFHGV-ICENGA"=[1]OUT_TransportEnergyCons!$A$3:$A$1000)*1,("Var_Fin"=[1]OUT_TransportEnergyCons!$B$3:$B$1000)*1,ISNUMBER(SEARCH("nga",[1]OUT_TransportEnergyCons!$C$3:$C$1000))*1,[1]OUT_TransportEnergyCons!H$3:H$1000)</f>
        <v>6.822750239299776E-3</v>
      </c>
      <c r="K1619" s="1" cm="1">
        <f t="array" ref="K1619">SUMPRODUCT(("TFHGV-ICENGA"=[1]OUT_TransportEnergyCons!$A$3:$A$1000)*1,("Var_Fin"=[1]OUT_TransportEnergyCons!$B$3:$B$1000)*1,ISNUMBER(SEARCH("nga",[1]OUT_TransportEnergyCons!$C$3:$C$1000))*1,[1]OUT_TransportEnergyCons!I$3:I$1000)</f>
        <v>6.641950509605977E-3</v>
      </c>
      <c r="L1619" s="1" cm="1">
        <f t="array" ref="L1619">SUMPRODUCT(("TFHGV-ICENGA"=[1]OUT_TransportEnergyCons!$A$3:$A$1000)*1,("Var_Fin"=[1]OUT_TransportEnergyCons!$B$3:$B$1000)*1,ISNUMBER(SEARCH("nga",[1]OUT_TransportEnergyCons!$C$3:$C$1000))*1,[1]OUT_TransportEnergyCons!J$3:J$1000)</f>
        <v>6.3445516355568037E-3</v>
      </c>
      <c r="M1619" s="1" cm="1">
        <f t="array" ref="M1619">SUMPRODUCT(("TFHGV-ICENGA"=[1]OUT_TransportEnergyCons!$A$3:$A$1000)*1,("Var_Fin"=[1]OUT_TransportEnergyCons!$B$3:$B$1000)*1,ISNUMBER(SEARCH("nga",[1]OUT_TransportEnergyCons!$C$3:$C$1000))*1,[1]OUT_TransportEnergyCons!K$3:K$1000)</f>
        <v>6.0154246721002731E-3</v>
      </c>
      <c r="N1619" s="1" cm="1">
        <f t="array" ref="N1619">SUMPRODUCT(("TFHGV-ICENGA"=[1]OUT_TransportEnergyCons!$A$3:$A$1000)*1,("Var_Fin"=[1]OUT_TransportEnergyCons!$B$3:$B$1000)*1,ISNUMBER(SEARCH("nga",[1]OUT_TransportEnergyCons!$C$3:$C$1000))*1,[1]OUT_TransportEnergyCons!L$3:L$1000)</f>
        <v>5.8533741361627908E-3</v>
      </c>
      <c r="O1619" s="1" cm="1">
        <f t="array" ref="O1619">SUMPRODUCT(("TFHGV-ICENGA"=[1]OUT_TransportEnergyCons!$A$3:$A$1000)*1,("Var_Fin"=[1]OUT_TransportEnergyCons!$B$3:$B$1000)*1,ISNUMBER(SEARCH("nga",[1]OUT_TransportEnergyCons!$C$3:$C$1000))*1,[1]OUT_TransportEnergyCons!M$3:M$1000)</f>
        <v>5.8334776314428469E-3</v>
      </c>
      <c r="P1619" s="1" cm="1">
        <f t="array" ref="P1619">SUMPRODUCT(("TFHGV-ICENGA"=[1]OUT_TransportEnergyCons!$A$3:$A$1000)*1,("Var_Fin"=[1]OUT_TransportEnergyCons!$B$3:$B$1000)*1,ISNUMBER(SEARCH("nga",[1]OUT_TransportEnergyCons!$C$3:$C$1000))*1,[1]OUT_TransportEnergyCons!N$3:N$1000)</f>
        <v>5.8562630176340552E-3</v>
      </c>
      <c r="Q1619" s="1" cm="1">
        <f t="array" ref="Q1619">SUMPRODUCT(("TFHGV-ICENGA"=[1]OUT_TransportEnergyCons!$A$3:$A$1000)*1,("Var_Fin"=[1]OUT_TransportEnergyCons!$B$3:$B$1000)*1,ISNUMBER(SEARCH("nga",[1]OUT_TransportEnergyCons!$C$3:$C$1000))*1,[1]OUT_TransportEnergyCons!O$3:O$1000)</f>
        <v>5.8140175246239887E-3</v>
      </c>
      <c r="S1619" s="3"/>
    </row>
    <row r="1620" spans="2:19" x14ac:dyDescent="0.5">
      <c r="B1620" s="2" t="str">
        <f t="shared" si="1791"/>
        <v>SPS1</v>
      </c>
      <c r="C1620" s="2" t="str">
        <f t="shared" si="1792"/>
        <v>CH</v>
      </c>
      <c r="D1620" s="2" t="s">
        <v>1623</v>
      </c>
      <c r="E1620" s="2" t="s">
        <v>1517</v>
      </c>
      <c r="F1620" s="3">
        <f>SUM(F1621:F1629)</f>
        <v>2.2034243349748719</v>
      </c>
      <c r="G1620" s="3">
        <f t="shared" ref="G1620" si="1823">SUM(G1621:G1629)</f>
        <v>2.2263490966562807</v>
      </c>
      <c r="H1620" s="3">
        <f t="shared" ref="H1620" si="1824">SUM(H1621:H1629)</f>
        <v>2.2607582734596998</v>
      </c>
      <c r="I1620" s="3">
        <f t="shared" ref="I1620" si="1825">SUM(I1621:I1629)</f>
        <v>2.3180973233091784</v>
      </c>
      <c r="J1620" s="3">
        <f t="shared" ref="J1620" si="1826">SUM(J1621:J1629)</f>
        <v>2.4189048589400084</v>
      </c>
      <c r="K1620" s="3">
        <f t="shared" ref="K1620" si="1827">SUM(K1621:K1629)</f>
        <v>2.5201036678378754</v>
      </c>
      <c r="L1620" s="3">
        <f t="shared" ref="L1620:O1620" si="1828">SUM(L1621:L1629)</f>
        <v>2.6223392017736575</v>
      </c>
      <c r="M1620" s="3">
        <f t="shared" si="1828"/>
        <v>2.7245757542949276</v>
      </c>
      <c r="N1620" s="3">
        <f t="shared" si="1828"/>
        <v>2.8129689467711643</v>
      </c>
      <c r="O1620" s="3">
        <f t="shared" si="1828"/>
        <v>2.9109960629417384</v>
      </c>
      <c r="P1620" s="3">
        <f>SUM(P1621:P1629)</f>
        <v>3.0146673261914385</v>
      </c>
      <c r="Q1620" s="3">
        <f>SUM(Q1621:Q1629)</f>
        <v>3.1326916841853487</v>
      </c>
      <c r="S1620" s="3"/>
    </row>
    <row r="1621" spans="2:19" x14ac:dyDescent="0.5">
      <c r="B1621" t="str">
        <f t="shared" si="1791"/>
        <v>SPS1</v>
      </c>
      <c r="C1621" t="str">
        <f t="shared" si="1792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SUMPRODUCT(("TFHGV-BeVELCExt"=[1]OUT_TransportEnergyCons!$A$3:$A$1000)*1,("var_fout"=[1]OUT_TransportEnergyCons!$B$3:$B$1000)*1,ISNUMBER(SEARCH("TFHGV",[1]OUT_TransportEnergyCons!$C$3:$C$1000))*1,[1]OUT_TransportEnergyCons!H$3:H$1000)</f>
        <v>0</v>
      </c>
      <c r="K1621" s="1" cm="1">
        <f t="array" ref="K1621">SUMPRODUCT(("TFHGV-BeVELCExt"=[1]OUT_TransportEnergyCons!$A$3:$A$1000)*1,("var_fout"=[1]OUT_TransportEnergyCons!$B$3:$B$1000)*1,ISNUMBER(SEARCH("TFHGV",[1]OUT_TransportEnergyCons!$C$3:$C$1000))*1,[1]OUT_TransportEnergyCons!I$3:I$1000)</f>
        <v>0</v>
      </c>
      <c r="L1621" s="1" cm="1">
        <f t="array" ref="L1621">SUMPRODUCT(("TFHGV-BeVELCExt"=[1]OUT_TransportEnergyCons!$A$3:$A$1000)*1,("var_fout"=[1]OUT_TransportEnergyCons!$B$3:$B$1000)*1,ISNUMBER(SEARCH("TFHGV",[1]OUT_TransportEnergyCons!$C$3:$C$1000))*1,[1]OUT_TransportEnergyCons!J$3:J$1000)</f>
        <v>0</v>
      </c>
      <c r="M1621" s="1" cm="1">
        <f t="array" ref="M1621">SUMPRODUCT(("TFHGV-BeVELCExt"=[1]OUT_TransportEnergyCons!$A$3:$A$1000)*1,("var_fout"=[1]OUT_TransportEnergyCons!$B$3:$B$1000)*1,ISNUMBER(SEARCH("TFHGV",[1]OUT_TransportEnergyCons!$C$3:$C$1000))*1,[1]OUT_TransportEnergyCons!K$3:K$1000)</f>
        <v>0</v>
      </c>
      <c r="N1621" s="1" cm="1">
        <f t="array" ref="N1621">SUMPRODUCT(("TFHGV-BeVELCExt"=[1]OUT_TransportEnergyCons!$A$3:$A$1000)*1,("var_fout"=[1]OUT_TransportEnergyCons!$B$3:$B$1000)*1,ISNUMBER(SEARCH("TFHGV",[1]OUT_TransportEnergyCons!$C$3:$C$1000))*1,[1]OUT_TransportEnergyCons!L$3:L$1000)</f>
        <v>0</v>
      </c>
      <c r="O1621" s="1" cm="1">
        <f t="array" ref="O1621">SUMPRODUCT(("TFHGV-BeVELCExt"=[1]OUT_TransportEnergyCons!$A$3:$A$1000)*1,("var_fout"=[1]OUT_TransportEnergyCons!$B$3:$B$1000)*1,ISNUMBER(SEARCH("TFHGV",[1]OUT_TransportEnergyCons!$C$3:$C$1000))*1,[1]OUT_TransportEnergyCons!M$3:M$1000)</f>
        <v>0</v>
      </c>
      <c r="P1621" s="1" cm="1">
        <f t="array" ref="P1621">SUMPRODUCT(("TFHGV-BeVELCExt"=[1]OUT_TransportEnergyCons!$A$3:$A$1000)*1,("var_fout"=[1]OUT_TransportEnergyCons!$B$3:$B$1000)*1,ISNUMBER(SEARCH("TFHGV",[1]OUT_TransportEnergyCons!$C$3:$C$1000))*1,[1]OUT_TransportEnergyCons!N$3:N$1000)</f>
        <v>0</v>
      </c>
      <c r="Q1621" s="1" cm="1">
        <f t="array" ref="Q1621">SUMPRODUCT(("TFHGV-BeVELCExt"=[1]OUT_TransportEnergyCons!$A$3:$A$1000)*1,("var_fout"=[1]OUT_TransportEnergyCons!$B$3:$B$1000)*1,ISNUMBER(SEARCH("TFHGV",[1]OUT_TransportEnergyCons!$C$3:$C$1000))*1,[1]OUT_TransportEnergyCons!O$3:O$1000)</f>
        <v>0</v>
      </c>
      <c r="S1621" s="3"/>
    </row>
    <row r="1622" spans="2:19" x14ac:dyDescent="0.5">
      <c r="B1622" t="str">
        <f t="shared" si="1791"/>
        <v>SPS1</v>
      </c>
      <c r="C1622" t="str">
        <f t="shared" si="1792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1.6347097634425128E-3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2.2321867902306324E-3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2.4217305176071052E-3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1.0890819365911328E-3</v>
      </c>
      <c r="J1622" s="1" cm="1">
        <f t="array" ref="J1622">SUMPRODUCT(("TFHGV-BEVELC"=[1]OUT_TransportEnergyCons!$A$3:$A$1000)*1,("var_fout"=[1]OUT_TransportEnergyCons!$B$3:$B$1000)*1,ISNUMBER(SEARCH("TFHGV",[1]OUT_TransportEnergyCons!$C$3:$C$1000))*1,[1]OUT_TransportEnergyCons!H$3:H$1000)</f>
        <v>6.1539502327611479E-4</v>
      </c>
      <c r="K1622" s="1" cm="1">
        <f t="array" ref="K1622">SUMPRODUCT(("TFHGV-BEVELC"=[1]OUT_TransportEnergyCons!$A$3:$A$1000)*1,("var_fout"=[1]OUT_TransportEnergyCons!$B$3:$B$1000)*1,ISNUMBER(SEARCH("TFHGV",[1]OUT_TransportEnergyCons!$C$3:$C$1000))*1,[1]OUT_TransportEnergyCons!I$3:I$1000)</f>
        <v>1.1924917177701278E-3</v>
      </c>
      <c r="L1622" s="1" cm="1">
        <f t="array" ref="L1622">SUMPRODUCT(("TFHGV-BEVELC"=[1]OUT_TransportEnergyCons!$A$3:$A$1000)*1,("var_fout"=[1]OUT_TransportEnergyCons!$B$3:$B$1000)*1,ISNUMBER(SEARCH("TFHGV",[1]OUT_TransportEnergyCons!$C$3:$C$1000))*1,[1]OUT_TransportEnergyCons!J$3:J$1000)</f>
        <v>1.7282013905516433E-3</v>
      </c>
      <c r="M1622" s="1" cm="1">
        <f t="array" ref="M1622">SUMPRODUCT(("TFHGV-BEVELC"=[1]OUT_TransportEnergyCons!$A$3:$A$1000)*1,("var_fout"=[1]OUT_TransportEnergyCons!$B$3:$B$1000)*1,ISNUMBER(SEARCH("TFHGV",[1]OUT_TransportEnergyCons!$C$3:$C$1000))*1,[1]OUT_TransportEnergyCons!K$3:K$1000)</f>
        <v>3.2228357978822688E-3</v>
      </c>
      <c r="N1622" s="1" cm="1">
        <f t="array" ref="N1622">SUMPRODUCT(("TFHGV-BEVELC"=[1]OUT_TransportEnergyCons!$A$3:$A$1000)*1,("var_fout"=[1]OUT_TransportEnergyCons!$B$3:$B$1000)*1,ISNUMBER(SEARCH("TFHGV",[1]OUT_TransportEnergyCons!$C$3:$C$1000))*1,[1]OUT_TransportEnergyCons!L$3:L$1000)</f>
        <v>4.7814260756725343E-3</v>
      </c>
      <c r="O1622" s="1" cm="1">
        <f t="array" ref="O1622">SUMPRODUCT(("TFHGV-BEVELC"=[1]OUT_TransportEnergyCons!$A$3:$A$1000)*1,("var_fout"=[1]OUT_TransportEnergyCons!$B$3:$B$1000)*1,ISNUMBER(SEARCH("TFHGV",[1]OUT_TransportEnergyCons!$C$3:$C$1000))*1,[1]OUT_TransportEnergyCons!M$3:M$1000)</f>
        <v>5.8781052237039128E-3</v>
      </c>
      <c r="P1622" s="1" cm="1">
        <f t="array" ref="P1622">SUMPRODUCT(("TFHGV-BEVELC"=[1]OUT_TransportEnergyCons!$A$3:$A$1000)*1,("var_fout"=[1]OUT_TransportEnergyCons!$B$3:$B$1000)*1,ISNUMBER(SEARCH("TFHGV",[1]OUT_TransportEnergyCons!$C$3:$C$1000))*1,[1]OUT_TransportEnergyCons!N$3:N$1000)</f>
        <v>1.0763291633450918E-2</v>
      </c>
      <c r="Q1622" s="1" cm="1">
        <f t="array" ref="Q1622">SUMPRODUCT(("TFHGV-BEVELC"=[1]OUT_TransportEnergyCons!$A$3:$A$1000)*1,("var_fout"=[1]OUT_TransportEnergyCons!$B$3:$B$1000)*1,ISNUMBER(SEARCH("TFHGV",[1]OUT_TransportEnergyCons!$C$3:$C$1000))*1,[1]OUT_TransportEnergyCons!O$3:O$1000)</f>
        <v>2.9743351252104866E-2</v>
      </c>
      <c r="S1622" s="3"/>
    </row>
    <row r="1623" spans="2:19" x14ac:dyDescent="0.5">
      <c r="B1623" t="str">
        <f t="shared" si="1791"/>
        <v>SPS1</v>
      </c>
      <c r="C1623" t="str">
        <f t="shared" si="1792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5.5393780366773718E-4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3.3113297933579273E-4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3.2428364587245759E-4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2.5154163182704484E-5</v>
      </c>
      <c r="J1623" s="1" cm="1">
        <f t="array" ref="J1623">SUMPRODUCT(("TFHGV-FCLH2O"=[1]OUT_TransportEnergyCons!$A$3:$A$1000)*1,("var_fout"=[1]OUT_TransportEnergyCons!$B$3:$B$1000)*1,ISNUMBER(SEARCH("TFHGV",[1]OUT_TransportEnergyCons!$C$3:$C$1000))*1,[1]OUT_TransportEnergyCons!H$3:H$1000)</f>
        <v>2.3979170887442677E-5</v>
      </c>
      <c r="K1623" s="1" cm="1">
        <f t="array" ref="K1623">SUMPRODUCT(("TFHGV-FCLH2O"=[1]OUT_TransportEnergyCons!$A$3:$A$1000)*1,("var_fout"=[1]OUT_TransportEnergyCons!$B$3:$B$1000)*1,ISNUMBER(SEARCH("TFHGV",[1]OUT_TransportEnergyCons!$C$3:$C$1000))*1,[1]OUT_TransportEnergyCons!I$3:I$1000)</f>
        <v>2.3569567993395421E-5</v>
      </c>
      <c r="L1623" s="1" cm="1">
        <f t="array" ref="L1623">SUMPRODUCT(("TFHGV-FCLH2O"=[1]OUT_TransportEnergyCons!$A$3:$A$1000)*1,("var_fout"=[1]OUT_TransportEnergyCons!$B$3:$B$1000)*1,ISNUMBER(SEARCH("TFHGV",[1]OUT_TransportEnergyCons!$C$3:$C$1000))*1,[1]OUT_TransportEnergyCons!J$3:J$1000)</f>
        <v>2.2665592009591842E-5</v>
      </c>
      <c r="M1623" s="1" cm="1">
        <f t="array" ref="M1623">SUMPRODUCT(("TFHGV-FCLH2O"=[1]OUT_TransportEnergyCons!$A$3:$A$1000)*1,("var_fout"=[1]OUT_TransportEnergyCons!$B$3:$B$1000)*1,ISNUMBER(SEARCH("TFHGV",[1]OUT_TransportEnergyCons!$C$3:$C$1000))*1,[1]OUT_TransportEnergyCons!K$3:K$1000)</f>
        <v>2.1656369482315709E-5</v>
      </c>
      <c r="N1623" s="1" cm="1">
        <f t="array" ref="N1623">SUMPRODUCT(("TFHGV-FCLH2O"=[1]OUT_TransportEnergyCons!$A$3:$A$1000)*1,("var_fout"=[1]OUT_TransportEnergyCons!$B$3:$B$1000)*1,ISNUMBER(SEARCH("TFHGV",[1]OUT_TransportEnergyCons!$C$3:$C$1000))*1,[1]OUT_TransportEnergyCons!L$3:L$1000)</f>
        <v>2.0646590695864704E-5</v>
      </c>
      <c r="O1623" s="1" cm="1">
        <f t="array" ref="O1623">SUMPRODUCT(("TFHGV-FCLH2O"=[1]OUT_TransportEnergyCons!$A$3:$A$1000)*1,("var_fout"=[1]OUT_TransportEnergyCons!$B$3:$B$1000)*1,ISNUMBER(SEARCH("TFHGV",[1]OUT_TransportEnergyCons!$C$3:$C$1000))*1,[1]OUT_TransportEnergyCons!M$3:M$1000)</f>
        <v>1.8922577336332969E-5</v>
      </c>
      <c r="P1623" s="1" cm="1">
        <f t="array" ref="P1623">SUMPRODUCT(("TFHGV-FCLH2O"=[1]OUT_TransportEnergyCons!$A$3:$A$1000)*1,("var_fout"=[1]OUT_TransportEnergyCons!$B$3:$B$1000)*1,ISNUMBER(SEARCH("TFHGV",[1]OUT_TransportEnergyCons!$C$3:$C$1000))*1,[1]OUT_TransportEnergyCons!N$3:N$1000)</f>
        <v>2.0249501899332759E-5</v>
      </c>
      <c r="Q1623" s="1" cm="1">
        <f t="array" ref="Q1623">SUMPRODUCT(("TFHGV-FCLH2O"=[1]OUT_TransportEnergyCons!$A$3:$A$1000)*1,("var_fout"=[1]OUT_TransportEnergyCons!$B$3:$B$1000)*1,ISNUMBER(SEARCH("TFHGV",[1]OUT_TransportEnergyCons!$C$3:$C$1000))*1,[1]OUT_TransportEnergyCons!O$3:O$1000)</f>
        <v>3.4799260292407755E-5</v>
      </c>
      <c r="S1623" s="3"/>
    </row>
    <row r="1624" spans="2:19" x14ac:dyDescent="0.5">
      <c r="B1624" t="str">
        <f t="shared" si="1791"/>
        <v>SPS1</v>
      </c>
      <c r="C1624" t="str">
        <f t="shared" si="1792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SUMPRODUCT(("TFHGV-ICEGSLExt"=[1]OUT_TransportEnergyCons!$A$3:$A$1000)*1,("var_fout"=[1]OUT_TransportEnergyCons!$B$3:$B$1000)*1,ISNUMBER(SEARCH("TFHGV",[1]OUT_TransportEnergyCons!$C$3:$C$1000))*1,[1]OUT_TransportEnergyCons!H$3:H$1000)</f>
        <v>0</v>
      </c>
      <c r="K1624" s="1" cm="1">
        <f t="array" ref="K1624">SUMPRODUCT(("TFHGV-ICEGSLExt"=[1]OUT_TransportEnergyCons!$A$3:$A$1000)*1,("var_fout"=[1]OUT_TransportEnergyCons!$B$3:$B$1000)*1,ISNUMBER(SEARCH("TFHGV",[1]OUT_TransportEnergyCons!$C$3:$C$1000))*1,[1]OUT_TransportEnergyCons!I$3:I$1000)</f>
        <v>0</v>
      </c>
      <c r="L1624" s="1" cm="1">
        <f t="array" ref="L1624">SUMPRODUCT(("TFHGV-ICEGSLExt"=[1]OUT_TransportEnergyCons!$A$3:$A$1000)*1,("var_fout"=[1]OUT_TransportEnergyCons!$B$3:$B$1000)*1,ISNUMBER(SEARCH("TFHGV",[1]OUT_TransportEnergyCons!$C$3:$C$1000))*1,[1]OUT_TransportEnergyCons!J$3:J$1000)</f>
        <v>0</v>
      </c>
      <c r="M1624" s="1" cm="1">
        <f t="array" ref="M1624">SUMPRODUCT(("TFHGV-ICEGSLExt"=[1]OUT_TransportEnergyCons!$A$3:$A$1000)*1,("var_fout"=[1]OUT_TransportEnergyCons!$B$3:$B$1000)*1,ISNUMBER(SEARCH("TFHGV",[1]OUT_TransportEnergyCons!$C$3:$C$1000))*1,[1]OUT_TransportEnergyCons!K$3:K$1000)</f>
        <v>0</v>
      </c>
      <c r="N1624" s="1" cm="1">
        <f t="array" ref="N1624">SUMPRODUCT(("TFHGV-ICEGSLExt"=[1]OUT_TransportEnergyCons!$A$3:$A$1000)*1,("var_fout"=[1]OUT_TransportEnergyCons!$B$3:$B$1000)*1,ISNUMBER(SEARCH("TFHGV",[1]OUT_TransportEnergyCons!$C$3:$C$1000))*1,[1]OUT_TransportEnergyCons!L$3:L$1000)</f>
        <v>0</v>
      </c>
      <c r="O1624" s="1" cm="1">
        <f t="array" ref="O1624">SUMPRODUCT(("TFHGV-ICEGSLExt"=[1]OUT_TransportEnergyCons!$A$3:$A$1000)*1,("var_fout"=[1]OUT_TransportEnergyCons!$B$3:$B$1000)*1,ISNUMBER(SEARCH("TFHGV",[1]OUT_TransportEnergyCons!$C$3:$C$1000))*1,[1]OUT_TransportEnergyCons!M$3:M$1000)</f>
        <v>0</v>
      </c>
      <c r="P1624" s="1" cm="1">
        <f t="array" ref="P1624">SUMPRODUCT(("TFHGV-ICEGSLExt"=[1]OUT_TransportEnergyCons!$A$3:$A$1000)*1,("var_fout"=[1]OUT_TransportEnergyCons!$B$3:$B$1000)*1,ISNUMBER(SEARCH("TFHGV",[1]OUT_TransportEnergyCons!$C$3:$C$1000))*1,[1]OUT_TransportEnergyCons!N$3:N$1000)</f>
        <v>0</v>
      </c>
      <c r="Q1624" s="1" cm="1">
        <f t="array" ref="Q1624">SUMPRODUCT(("TFHGV-ICEGSLExt"=[1]OUT_TransportEnergyCons!$A$3:$A$1000)*1,("var_fout"=[1]OUT_TransportEnergyCons!$B$3:$B$1000)*1,ISNUMBER(SEARCH("TFHGV",[1]OUT_TransportEnergyCons!$C$3:$C$1000))*1,[1]OUT_TransportEnergyCons!O$3:O$1000)</f>
        <v>0</v>
      </c>
      <c r="S1624" s="3"/>
    </row>
    <row r="1625" spans="2:19" x14ac:dyDescent="0.5">
      <c r="B1625" t="str">
        <f t="shared" si="1791"/>
        <v>SPS1</v>
      </c>
      <c r="C1625" t="str">
        <f t="shared" si="1792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SUMPRODUCT(("TFHGV-ICEGSL"=[1]OUT_TransportEnergyCons!$A$3:$A$1000)*1,("var_fout"=[1]OUT_TransportEnergyCons!$B$3:$B$1000)*1,ISNUMBER(SEARCH("TFHGV",[1]OUT_TransportEnergyCons!$C$3:$C$1000))*1,[1]OUT_TransportEnergyCons!H$3:H$1000)</f>
        <v>0</v>
      </c>
      <c r="K1625" s="1" cm="1">
        <f t="array" ref="K1625">SUMPRODUCT(("TFHGV-ICEGSL"=[1]OUT_TransportEnergyCons!$A$3:$A$1000)*1,("var_fout"=[1]OUT_TransportEnergyCons!$B$3:$B$1000)*1,ISNUMBER(SEARCH("TFHGV",[1]OUT_TransportEnergyCons!$C$3:$C$1000))*1,[1]OUT_TransportEnergyCons!I$3:I$1000)</f>
        <v>0</v>
      </c>
      <c r="L1625" s="1" cm="1">
        <f t="array" ref="L1625">SUMPRODUCT(("TFHGV-ICEGSL"=[1]OUT_TransportEnergyCons!$A$3:$A$1000)*1,("var_fout"=[1]OUT_TransportEnergyCons!$B$3:$B$1000)*1,ISNUMBER(SEARCH("TFHGV",[1]OUT_TransportEnergyCons!$C$3:$C$1000))*1,[1]OUT_TransportEnergyCons!J$3:J$1000)</f>
        <v>0</v>
      </c>
      <c r="M1625" s="1" cm="1">
        <f t="array" ref="M1625">SUMPRODUCT(("TFHGV-ICEGSL"=[1]OUT_TransportEnergyCons!$A$3:$A$1000)*1,("var_fout"=[1]OUT_TransportEnergyCons!$B$3:$B$1000)*1,ISNUMBER(SEARCH("TFHGV",[1]OUT_TransportEnergyCons!$C$3:$C$1000))*1,[1]OUT_TransportEnergyCons!K$3:K$1000)</f>
        <v>0</v>
      </c>
      <c r="N1625" s="1" cm="1">
        <f t="array" ref="N1625">SUMPRODUCT(("TFHGV-ICEGSL"=[1]OUT_TransportEnergyCons!$A$3:$A$1000)*1,("var_fout"=[1]OUT_TransportEnergyCons!$B$3:$B$1000)*1,ISNUMBER(SEARCH("TFHGV",[1]OUT_TransportEnergyCons!$C$3:$C$1000))*1,[1]OUT_TransportEnergyCons!L$3:L$1000)</f>
        <v>0</v>
      </c>
      <c r="O1625" s="1" cm="1">
        <f t="array" ref="O1625">SUMPRODUCT(("TFHGV-ICEGSL"=[1]OUT_TransportEnergyCons!$A$3:$A$1000)*1,("var_fout"=[1]OUT_TransportEnergyCons!$B$3:$B$1000)*1,ISNUMBER(SEARCH("TFHGV",[1]OUT_TransportEnergyCons!$C$3:$C$1000))*1,[1]OUT_TransportEnergyCons!M$3:M$1000)</f>
        <v>0</v>
      </c>
      <c r="P1625" s="1" cm="1">
        <f t="array" ref="P1625">SUMPRODUCT(("TFHGV-ICEGSL"=[1]OUT_TransportEnergyCons!$A$3:$A$1000)*1,("var_fout"=[1]OUT_TransportEnergyCons!$B$3:$B$1000)*1,ISNUMBER(SEARCH("TFHGV",[1]OUT_TransportEnergyCons!$C$3:$C$1000))*1,[1]OUT_TransportEnergyCons!N$3:N$1000)</f>
        <v>0</v>
      </c>
      <c r="Q1625" s="1" cm="1">
        <f t="array" ref="Q1625">SUMPRODUCT(("TFHGV-ICEGSL"=[1]OUT_TransportEnergyCons!$A$3:$A$1000)*1,("var_fout"=[1]OUT_TransportEnergyCons!$B$3:$B$1000)*1,ISNUMBER(SEARCH("TFHGV",[1]OUT_TransportEnergyCons!$C$3:$C$1000))*1,[1]OUT_TransportEnergyCons!O$3:O$1000)</f>
        <v>0</v>
      </c>
      <c r="S1625" s="3"/>
    </row>
    <row r="1626" spans="2:19" x14ac:dyDescent="0.5">
      <c r="B1626" t="str">
        <f t="shared" si="1791"/>
        <v>SPS1</v>
      </c>
      <c r="C1626" t="str">
        <f t="shared" si="1792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1.5763341651475933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0.99182855857647134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1.0006553210469828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0.43089788859048545</v>
      </c>
      <c r="J1626" s="1" cm="1">
        <f t="array" ref="J1626">SUMPRODUCT(("TFHGV-ICEdslExt"=[1]OUT_TransportEnergyCons!$A$3:$A$1000)*1,("var_fout"=[1]OUT_TransportEnergyCons!$B$3:$B$1000)*1,ISNUMBER(SEARCH("TFHGV",[1]OUT_TransportEnergyCons!$C$3:$C$1000))*1,[1]OUT_TransportEnergyCons!H$3:H$1000)</f>
        <v>0</v>
      </c>
      <c r="K1626" s="1" cm="1">
        <f t="array" ref="K1626">SUMPRODUCT(("TFHGV-ICEdslExt"=[1]OUT_TransportEnergyCons!$A$3:$A$1000)*1,("var_fout"=[1]OUT_TransportEnergyCons!$B$3:$B$1000)*1,ISNUMBER(SEARCH("TFHGV",[1]OUT_TransportEnergyCons!$C$3:$C$1000))*1,[1]OUT_TransportEnergyCons!I$3:I$1000)</f>
        <v>0</v>
      </c>
      <c r="L1626" s="1" cm="1">
        <f t="array" ref="L1626">SUMPRODUCT(("TFHGV-ICEdslExt"=[1]OUT_TransportEnergyCons!$A$3:$A$1000)*1,("var_fout"=[1]OUT_TransportEnergyCons!$B$3:$B$1000)*1,ISNUMBER(SEARCH("TFHGV",[1]OUT_TransportEnergyCons!$C$3:$C$1000))*1,[1]OUT_TransportEnergyCons!J$3:J$1000)</f>
        <v>0</v>
      </c>
      <c r="M1626" s="1" cm="1">
        <f t="array" ref="M1626">SUMPRODUCT(("TFHGV-ICEdslExt"=[1]OUT_TransportEnergyCons!$A$3:$A$1000)*1,("var_fout"=[1]OUT_TransportEnergyCons!$B$3:$B$1000)*1,ISNUMBER(SEARCH("TFHGV",[1]OUT_TransportEnergyCons!$C$3:$C$1000))*1,[1]OUT_TransportEnergyCons!K$3:K$1000)</f>
        <v>0</v>
      </c>
      <c r="N1626" s="1" cm="1">
        <f t="array" ref="N1626">SUMPRODUCT(("TFHGV-ICEdslExt"=[1]OUT_TransportEnergyCons!$A$3:$A$1000)*1,("var_fout"=[1]OUT_TransportEnergyCons!$B$3:$B$1000)*1,ISNUMBER(SEARCH("TFHGV",[1]OUT_TransportEnergyCons!$C$3:$C$1000))*1,[1]OUT_TransportEnergyCons!L$3:L$1000)</f>
        <v>0</v>
      </c>
      <c r="O1626" s="1" cm="1">
        <f t="array" ref="O1626">SUMPRODUCT(("TFHGV-ICEdslExt"=[1]OUT_TransportEnergyCons!$A$3:$A$1000)*1,("var_fout"=[1]OUT_TransportEnergyCons!$B$3:$B$1000)*1,ISNUMBER(SEARCH("TFHGV",[1]OUT_TransportEnergyCons!$C$3:$C$1000))*1,[1]OUT_TransportEnergyCons!M$3:M$1000)</f>
        <v>0</v>
      </c>
      <c r="P1626" s="1" cm="1">
        <f t="array" ref="P1626">SUMPRODUCT(("TFHGV-ICEdslExt"=[1]OUT_TransportEnergyCons!$A$3:$A$1000)*1,("var_fout"=[1]OUT_TransportEnergyCons!$B$3:$B$1000)*1,ISNUMBER(SEARCH("TFHGV",[1]OUT_TransportEnergyCons!$C$3:$C$1000))*1,[1]OUT_TransportEnergyCons!N$3:N$1000)</f>
        <v>0</v>
      </c>
      <c r="Q1626" s="1" cm="1">
        <f t="array" ref="Q1626">SUMPRODUCT(("TFHGV-ICEdslExt"=[1]OUT_TransportEnergyCons!$A$3:$A$1000)*1,("var_fout"=[1]OUT_TransportEnergyCons!$B$3:$B$1000)*1,ISNUMBER(SEARCH("TFHGV",[1]OUT_TransportEnergyCons!$C$3:$C$1000))*1,[1]OUT_TransportEnergyCons!O$3:O$1000)</f>
        <v>0</v>
      </c>
      <c r="S1626" s="3"/>
    </row>
    <row r="1627" spans="2:19" x14ac:dyDescent="0.5">
      <c r="B1627" t="str">
        <f t="shared" si="1791"/>
        <v>SPS1</v>
      </c>
      <c r="C1627" t="str">
        <f t="shared" si="1792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0.61943520631654247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0.72632690926032462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0.56905966763324811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5.342132523586704E-2</v>
      </c>
      <c r="J1627" s="1" cm="1">
        <f t="array" ref="J1627">SUMPRODUCT(("TFHGV-ICEdsl"=[1]OUT_TransportEnergyCons!$A$3:$A$1000)*1,("var_fout"=[1]OUT_TransportEnergyCons!$B$3:$B$1000)*1,ISNUMBER(SEARCH("TFHGV",[1]OUT_TransportEnergyCons!$C$3:$C$1000))*1,[1]OUT_TransportEnergyCons!H$3:H$1000)</f>
        <v>1.084015325565967E-3</v>
      </c>
      <c r="K1627" s="1" cm="1">
        <f t="array" ref="K1627">SUMPRODUCT(("TFHGV-ICEdsl"=[1]OUT_TransportEnergyCons!$A$3:$A$1000)*1,("var_fout"=[1]OUT_TransportEnergyCons!$B$3:$B$1000)*1,ISNUMBER(SEARCH("TFHGV",[1]OUT_TransportEnergyCons!$C$3:$C$1000))*1,[1]OUT_TransportEnergyCons!I$3:I$1000)</f>
        <v>1.5383375437877829E-3</v>
      </c>
      <c r="L1627" s="1" cm="1">
        <f t="array" ref="L1627">SUMPRODUCT(("TFHGV-ICEdsl"=[1]OUT_TransportEnergyCons!$A$3:$A$1000)*1,("var_fout"=[1]OUT_TransportEnergyCons!$B$3:$B$1000)*1,ISNUMBER(SEARCH("TFHGV",[1]OUT_TransportEnergyCons!$C$3:$C$1000))*1,[1]OUT_TransportEnergyCons!J$3:J$1000)</f>
        <v>1.3155183466009293E-3</v>
      </c>
      <c r="M1627" s="1" cm="1">
        <f t="array" ref="M1627">SUMPRODUCT(("TFHGV-ICEdsl"=[1]OUT_TransportEnergyCons!$A$3:$A$1000)*1,("var_fout"=[1]OUT_TransportEnergyCons!$B$3:$B$1000)*1,ISNUMBER(SEARCH("TFHGV",[1]OUT_TransportEnergyCons!$C$3:$C$1000))*1,[1]OUT_TransportEnergyCons!K$3:K$1000)</f>
        <v>1.5670176762236981E-3</v>
      </c>
      <c r="N1627" s="1" cm="1">
        <f t="array" ref="N1627">SUMPRODUCT(("TFHGV-ICEdsl"=[1]OUT_TransportEnergyCons!$A$3:$A$1000)*1,("var_fout"=[1]OUT_TransportEnergyCons!$B$3:$B$1000)*1,ISNUMBER(SEARCH("TFHGV",[1]OUT_TransportEnergyCons!$C$3:$C$1000))*1,[1]OUT_TransportEnergyCons!L$3:L$1000)</f>
        <v>1.6603130334609775E-3</v>
      </c>
      <c r="O1627" s="1" cm="1">
        <f t="array" ref="O1627">SUMPRODUCT(("TFHGV-ICEdsl"=[1]OUT_TransportEnergyCons!$A$3:$A$1000)*1,("var_fout"=[1]OUT_TransportEnergyCons!$B$3:$B$1000)*1,ISNUMBER(SEARCH("TFHGV",[1]OUT_TransportEnergyCons!$C$3:$C$1000))*1,[1]OUT_TransportEnergyCons!M$3:M$1000)</f>
        <v>1.4797694891148809E-3</v>
      </c>
      <c r="P1627" s="1" cm="1">
        <f t="array" ref="P1627">SUMPRODUCT(("TFHGV-ICEdsl"=[1]OUT_TransportEnergyCons!$A$3:$A$1000)*1,("var_fout"=[1]OUT_TransportEnergyCons!$B$3:$B$1000)*1,ISNUMBER(SEARCH("TFHGV",[1]OUT_TransportEnergyCons!$C$3:$C$1000))*1,[1]OUT_TransportEnergyCons!N$3:N$1000)</f>
        <v>2.0614114306884319E-3</v>
      </c>
      <c r="Q1627" s="1" cm="1">
        <f t="array" ref="Q1627">SUMPRODUCT(("TFHGV-ICEdsl"=[1]OUT_TransportEnergyCons!$A$3:$A$1000)*1,("var_fout"=[1]OUT_TransportEnergyCons!$B$3:$B$1000)*1,ISNUMBER(SEARCH("TFHGV",[1]OUT_TransportEnergyCons!$C$3:$C$1000))*1,[1]OUT_TransportEnergyCons!O$3:O$1000)</f>
        <v>2.7402052591053005E-3</v>
      </c>
      <c r="S1627" s="3"/>
    </row>
    <row r="1628" spans="2:19" x14ac:dyDescent="0.5">
      <c r="B1628" t="str">
        <f t="shared" si="1791"/>
        <v>SPS1</v>
      </c>
      <c r="C1628" t="str">
        <f t="shared" si="1792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0.50502508815446945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0.68752360480228303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1.8318559480376804</v>
      </c>
      <c r="J1628" s="1" cm="1">
        <f t="array" ref="J1628">SUMPRODUCT(("TFHGV-HYBDSL"=[1]OUT_TransportEnergyCons!$A$3:$A$1000)*1,("var_fout"=[1]OUT_TransportEnergyCons!$B$3:$B$1000)*1,ISNUMBER(SEARCH("TFHGV",[1]OUT_TransportEnergyCons!$C$3:$C$1000))*1,[1]OUT_TransportEnergyCons!H$3:H$1000)</f>
        <v>2.4163942695085106</v>
      </c>
      <c r="K1628" s="1" cm="1">
        <f t="array" ref="K1628">SUMPRODUCT(("TFHGV-HYBDSL"=[1]OUT_TransportEnergyCons!$A$3:$A$1000)*1,("var_fout"=[1]OUT_TransportEnergyCons!$B$3:$B$1000)*1,ISNUMBER(SEARCH("TFHGV",[1]OUT_TransportEnergyCons!$C$3:$C$1000))*1,[1]OUT_TransportEnergyCons!I$3:I$1000)</f>
        <v>2.5165663307572923</v>
      </c>
      <c r="L1628" s="1" cm="1">
        <f t="array" ref="L1628">SUMPRODUCT(("TFHGV-HYBDSL"=[1]OUT_TransportEnergyCons!$A$3:$A$1000)*1,("var_fout"=[1]OUT_TransportEnergyCons!$B$3:$B$1000)*1,ISNUMBER(SEARCH("TFHGV",[1]OUT_TransportEnergyCons!$C$3:$C$1000))*1,[1]OUT_TransportEnergyCons!J$3:J$1000)</f>
        <v>2.6184830597803468</v>
      </c>
      <c r="M1628" s="1" cm="1">
        <f t="array" ref="M1628">SUMPRODUCT(("TFHGV-HYBDSL"=[1]OUT_TransportEnergyCons!$A$3:$A$1000)*1,("var_fout"=[1]OUT_TransportEnergyCons!$B$3:$B$1000)*1,ISNUMBER(SEARCH("TFHGV",[1]OUT_TransportEnergyCons!$C$3:$C$1000))*1,[1]OUT_TransportEnergyCons!K$3:K$1000)</f>
        <v>2.7190000262980658</v>
      </c>
      <c r="N1628" s="1" cm="1">
        <f t="array" ref="N1628">SUMPRODUCT(("TFHGV-HYBDSL"=[1]OUT_TransportEnergyCons!$A$3:$A$1000)*1,("var_fout"=[1]OUT_TransportEnergyCons!$B$3:$B$1000)*1,ISNUMBER(SEARCH("TFHGV",[1]OUT_TransportEnergyCons!$C$3:$C$1000))*1,[1]OUT_TransportEnergyCons!L$3:L$1000)</f>
        <v>2.8057492069512819</v>
      </c>
      <c r="O1628" s="1" cm="1">
        <f t="array" ref="O1628">SUMPRODUCT(("TFHGV-HYBDSL"=[1]OUT_TransportEnergyCons!$A$3:$A$1000)*1,("var_fout"=[1]OUT_TransportEnergyCons!$B$3:$B$1000)*1,ISNUMBER(SEARCH("TFHGV",[1]OUT_TransportEnergyCons!$C$3:$C$1000))*1,[1]OUT_TransportEnergyCons!M$3:M$1000)</f>
        <v>2.9028644858928261</v>
      </c>
      <c r="P1628" s="1" cm="1">
        <f t="array" ref="P1628">SUMPRODUCT(("TFHGV-HYBDSL"=[1]OUT_TransportEnergyCons!$A$3:$A$1000)*1,("var_fout"=[1]OUT_TransportEnergyCons!$B$3:$B$1000)*1,ISNUMBER(SEARCH("TFHGV",[1]OUT_TransportEnergyCons!$C$3:$C$1000))*1,[1]OUT_TransportEnergyCons!N$3:N$1000)</f>
        <v>3.0010646457198629</v>
      </c>
      <c r="Q1628" s="1" cm="1">
        <f t="array" ref="Q1628">SUMPRODUCT(("TFHGV-HYBDSL"=[1]OUT_TransportEnergyCons!$A$3:$A$1000)*1,("var_fout"=[1]OUT_TransportEnergyCons!$B$3:$B$1000)*1,ISNUMBER(SEARCH("TFHGV",[1]OUT_TransportEnergyCons!$C$3:$C$1000))*1,[1]OUT_TransportEnergyCons!O$3:O$1000)</f>
        <v>3.0994210665519004</v>
      </c>
      <c r="S1628" s="3"/>
    </row>
    <row r="1629" spans="2:19" x14ac:dyDescent="0.5">
      <c r="B1629" t="str">
        <f t="shared" si="1791"/>
        <v>SPS1</v>
      </c>
      <c r="C1629" t="str">
        <f t="shared" si="1792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5.4663159436262624E-3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6.0522089544899963E-4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7.7366581370599276E-4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8.0792534537199633E-4</v>
      </c>
      <c r="J1629" s="1" cm="1">
        <f t="array" ref="J1629">SUMPRODUCT(("TFHGV-ICENGA"=[1]OUT_TransportEnergyCons!$A$3:$A$1000)*1,("var_fout"=[1]OUT_TransportEnergyCons!$B$3:$B$1000)*1,ISNUMBER(SEARCH("TFHGV",[1]OUT_TransportEnergyCons!$C$3:$C$1000))*1,[1]OUT_TransportEnergyCons!H$3:H$1000)</f>
        <v>7.871999117681377E-4</v>
      </c>
      <c r="K1629" s="1" cm="1">
        <f t="array" ref="K1629">SUMPRODUCT(("TFHGV-ICENGA"=[1]OUT_TransportEnergyCons!$A$3:$A$1000)*1,("var_fout"=[1]OUT_TransportEnergyCons!$B$3:$B$1000)*1,ISNUMBER(SEARCH("TFHGV",[1]OUT_TransportEnergyCons!$C$3:$C$1000))*1,[1]OUT_TransportEnergyCons!I$3:I$1000)</f>
        <v>7.8293825103184316E-4</v>
      </c>
      <c r="L1629" s="1" cm="1">
        <f t="array" ref="L1629">SUMPRODUCT(("TFHGV-ICENGA"=[1]OUT_TransportEnergyCons!$A$3:$A$1000)*1,("var_fout"=[1]OUT_TransportEnergyCons!$B$3:$B$1000)*1,ISNUMBER(SEARCH("TFHGV",[1]OUT_TransportEnergyCons!$C$3:$C$1000))*1,[1]OUT_TransportEnergyCons!J$3:J$1000)</f>
        <v>7.8975666414816373E-4</v>
      </c>
      <c r="M1629" s="1" cm="1">
        <f t="array" ref="M1629">SUMPRODUCT(("TFHGV-ICENGA"=[1]OUT_TransportEnergyCons!$A$3:$A$1000)*1,("var_fout"=[1]OUT_TransportEnergyCons!$B$3:$B$1000)*1,ISNUMBER(SEARCH("TFHGV",[1]OUT_TransportEnergyCons!$C$3:$C$1000))*1,[1]OUT_TransportEnergyCons!K$3:K$1000)</f>
        <v>7.6421815327350391E-4</v>
      </c>
      <c r="N1629" s="1" cm="1">
        <f t="array" ref="N1629">SUMPRODUCT(("TFHGV-ICENGA"=[1]OUT_TransportEnergyCons!$A$3:$A$1000)*1,("var_fout"=[1]OUT_TransportEnergyCons!$B$3:$B$1000)*1,ISNUMBER(SEARCH("TFHGV",[1]OUT_TransportEnergyCons!$C$3:$C$1000))*1,[1]OUT_TransportEnergyCons!L$3:L$1000)</f>
        <v>7.5735412005290079E-4</v>
      </c>
      <c r="O1629" s="1" cm="1">
        <f t="array" ref="O1629">SUMPRODUCT(("TFHGV-ICENGA"=[1]OUT_TransportEnergyCons!$A$3:$A$1000)*1,("var_fout"=[1]OUT_TransportEnergyCons!$B$3:$B$1000)*1,ISNUMBER(SEARCH("TFHGV",[1]OUT_TransportEnergyCons!$C$3:$C$1000))*1,[1]OUT_TransportEnergyCons!M$3:M$1000)</f>
        <v>7.5477975875738593E-4</v>
      </c>
      <c r="P1629" s="1" cm="1">
        <f t="array" ref="P1629">SUMPRODUCT(("TFHGV-ICENGA"=[1]OUT_TransportEnergyCons!$A$3:$A$1000)*1,("var_fout"=[1]OUT_TransportEnergyCons!$B$3:$B$1000)*1,ISNUMBER(SEARCH("TFHGV",[1]OUT_TransportEnergyCons!$C$3:$C$1000))*1,[1]OUT_TransportEnergyCons!N$3:N$1000)</f>
        <v>7.577279055369161E-4</v>
      </c>
      <c r="Q1629" s="1" cm="1">
        <f t="array" ref="Q1629">SUMPRODUCT(("TFHGV-ICENGA"=[1]OUT_TransportEnergyCons!$A$3:$A$1000)*1,("var_fout"=[1]OUT_TransportEnergyCons!$B$3:$B$1000)*1,ISNUMBER(SEARCH("TFHGV",[1]OUT_TransportEnergyCons!$C$3:$C$1000))*1,[1]OUT_TransportEnergyCons!O$3:O$1000)</f>
        <v>7.5226186194554939E-4</v>
      </c>
      <c r="S1629" s="3"/>
    </row>
    <row r="1630" spans="2:19" x14ac:dyDescent="0.5">
      <c r="B1630" s="2" t="str">
        <f t="shared" si="1791"/>
        <v>SPS1</v>
      </c>
      <c r="C1630" s="2" t="str">
        <f t="shared" si="1792"/>
        <v>CH</v>
      </c>
      <c r="D1630" s="2" t="s">
        <v>1633</v>
      </c>
      <c r="E1630" s="2" t="s">
        <v>1229</v>
      </c>
      <c r="F1630" s="22" t="s">
        <v>292</v>
      </c>
      <c r="G1630" s="22" t="s">
        <v>292</v>
      </c>
      <c r="H1630" s="22" t="s">
        <v>292</v>
      </c>
      <c r="I1630" s="22" t="s">
        <v>292</v>
      </c>
      <c r="J1630" s="22" t="s">
        <v>292</v>
      </c>
      <c r="K1630" s="22" t="s">
        <v>292</v>
      </c>
      <c r="L1630" s="22" t="s">
        <v>292</v>
      </c>
      <c r="M1630" s="22" t="s">
        <v>292</v>
      </c>
      <c r="N1630" s="22" t="s">
        <v>292</v>
      </c>
      <c r="O1630" s="22" t="s">
        <v>292</v>
      </c>
      <c r="P1630" s="22" t="s">
        <v>292</v>
      </c>
      <c r="Q1630" s="22" t="s">
        <v>292</v>
      </c>
      <c r="S1630" s="3"/>
    </row>
    <row r="1631" spans="2:19" x14ac:dyDescent="0.5">
      <c r="B1631" t="str">
        <f t="shared" si="1791"/>
        <v>SPS1</v>
      </c>
      <c r="C1631" t="str">
        <f t="shared" si="1792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829">IFERROR(G1621/G1595,"-")</f>
        <v>-</v>
      </c>
      <c r="H1631" s="1" t="str">
        <f t="shared" si="1829"/>
        <v>-</v>
      </c>
      <c r="I1631" s="1" t="str">
        <f t="shared" si="1829"/>
        <v>-</v>
      </c>
      <c r="J1631" s="1" t="str">
        <f t="shared" si="1829"/>
        <v>-</v>
      </c>
      <c r="K1631" s="1" t="str">
        <f t="shared" si="1829"/>
        <v>-</v>
      </c>
      <c r="L1631" s="1" t="str">
        <f t="shared" ref="L1631:O1631" si="1830">IFERROR(L1621/L1595,"-")</f>
        <v>-</v>
      </c>
      <c r="M1631" s="1" t="str">
        <f t="shared" si="1830"/>
        <v>-</v>
      </c>
      <c r="N1631" s="1" t="str">
        <f t="shared" si="1830"/>
        <v>-</v>
      </c>
      <c r="O1631" s="1" t="str">
        <f t="shared" si="1830"/>
        <v>-</v>
      </c>
      <c r="P1631" s="1" t="str">
        <f>IFERROR(P1621/P1595,"-")</f>
        <v>-</v>
      </c>
      <c r="Q1631" s="1" t="str">
        <f>IFERROR(Q1621/Q1595,"-")</f>
        <v>-</v>
      </c>
      <c r="S1631" s="3"/>
    </row>
    <row r="1632" spans="2:19" x14ac:dyDescent="0.5">
      <c r="B1632" t="str">
        <f t="shared" si="1791"/>
        <v>SPS1</v>
      </c>
      <c r="C1632" t="str">
        <f t="shared" si="1792"/>
        <v>CH</v>
      </c>
      <c r="D1632" t="s">
        <v>1635</v>
      </c>
      <c r="E1632" t="str">
        <f t="shared" ref="E1632:E1639" si="1831">E1631</f>
        <v>km/MJ</v>
      </c>
      <c r="F1632" s="1">
        <f>IFERROR(F1622/F1596,"-")</f>
        <v>0.268727764165409</v>
      </c>
      <c r="G1632" s="1">
        <f t="shared" ref="G1632:K1632" si="1832">IFERROR(G1622/G1596,"-")</f>
        <v>0.27051408612700212</v>
      </c>
      <c r="H1632" s="1">
        <f t="shared" si="1832"/>
        <v>0.27178565237549412</v>
      </c>
      <c r="I1632" s="1">
        <f t="shared" si="1832"/>
        <v>0.28024519506080098</v>
      </c>
      <c r="J1632" s="1">
        <f t="shared" si="1832"/>
        <v>0.30305455790089214</v>
      </c>
      <c r="K1632" s="1">
        <f t="shared" si="1832"/>
        <v>0.31274808181309588</v>
      </c>
      <c r="L1632" s="1">
        <f t="shared" ref="L1632:O1632" si="1833">IFERROR(L1622/L1596,"-")</f>
        <v>0.32570636426516675</v>
      </c>
      <c r="M1632" s="1">
        <f t="shared" si="1833"/>
        <v>0.33632420937429264</v>
      </c>
      <c r="N1632" s="1">
        <f t="shared" si="1833"/>
        <v>0.33941433665773896</v>
      </c>
      <c r="O1632" s="1">
        <f t="shared" si="1833"/>
        <v>0.33941433665773896</v>
      </c>
      <c r="P1632" s="1">
        <f>IFERROR(P1622/P1596,"-")</f>
        <v>0.33941433665773885</v>
      </c>
      <c r="Q1632" s="1">
        <f>IFERROR(Q1622/Q1596,"-")</f>
        <v>0.33941433665773918</v>
      </c>
      <c r="S1632" s="3"/>
    </row>
    <row r="1633" spans="2:19" x14ac:dyDescent="0.5">
      <c r="B1633" t="str">
        <f t="shared" si="1791"/>
        <v>SPS1</v>
      </c>
      <c r="C1633" t="str">
        <f t="shared" si="1792"/>
        <v>CH</v>
      </c>
      <c r="D1633" t="s">
        <v>1636</v>
      </c>
      <c r="E1633" t="str">
        <f t="shared" si="1831"/>
        <v>km/MJ</v>
      </c>
      <c r="F1633" s="1">
        <f>IFERROR(F1623/F1598,"-")</f>
        <v>0.17445873125089917</v>
      </c>
      <c r="G1633" s="1">
        <f t="shared" ref="G1633:K1633" si="1834">IFERROR(G1623/G1598,"-")</f>
        <v>0.17515595080589788</v>
      </c>
      <c r="H1633" s="1">
        <f t="shared" si="1834"/>
        <v>0.17537051415680877</v>
      </c>
      <c r="I1633" s="1">
        <f t="shared" si="1834"/>
        <v>0.18013507987054753</v>
      </c>
      <c r="J1633" s="1">
        <f t="shared" si="1834"/>
        <v>0.19415410349199047</v>
      </c>
      <c r="K1633" s="1">
        <f t="shared" si="1834"/>
        <v>0.19949587382463904</v>
      </c>
      <c r="L1633" s="1">
        <f t="shared" ref="L1633:O1633" si="1835">IFERROR(L1623/L1598,"-")</f>
        <v>0.20866433316020813</v>
      </c>
      <c r="M1633" s="1">
        <f t="shared" si="1835"/>
        <v>0.21503111902095667</v>
      </c>
      <c r="N1633" s="1">
        <f t="shared" si="1835"/>
        <v>0.21890981102623222</v>
      </c>
      <c r="O1633" s="1">
        <f t="shared" si="1835"/>
        <v>0.21890981102623203</v>
      </c>
      <c r="P1633" s="1">
        <f>IFERROR(P1623/P1598,"-")</f>
        <v>0.21890981102623194</v>
      </c>
      <c r="Q1633" s="1">
        <f>IFERROR(Q1623/Q1598,"-")</f>
        <v>0.218909811026232</v>
      </c>
      <c r="S1633" s="3"/>
    </row>
    <row r="1634" spans="2:19" x14ac:dyDescent="0.5">
      <c r="B1634" t="str">
        <f t="shared" si="1791"/>
        <v>SPS1</v>
      </c>
      <c r="C1634" t="str">
        <f t="shared" si="1792"/>
        <v>CH</v>
      </c>
      <c r="D1634" t="s">
        <v>1637</v>
      </c>
      <c r="E1634" t="str">
        <f t="shared" si="1831"/>
        <v>km/MJ</v>
      </c>
      <c r="F1634" s="1" t="str">
        <f>IFERROR(F1624/F1604,"-")</f>
        <v>-</v>
      </c>
      <c r="G1634" s="1" t="str">
        <f t="shared" ref="G1634:K1634" si="1836">IFERROR(G1624/G1604,"-")</f>
        <v>-</v>
      </c>
      <c r="H1634" s="1" t="str">
        <f t="shared" si="1836"/>
        <v>-</v>
      </c>
      <c r="I1634" s="1" t="str">
        <f t="shared" si="1836"/>
        <v>-</v>
      </c>
      <c r="J1634" s="1" t="str">
        <f t="shared" si="1836"/>
        <v>-</v>
      </c>
      <c r="K1634" s="1" t="str">
        <f t="shared" si="1836"/>
        <v>-</v>
      </c>
      <c r="L1634" s="1" t="str">
        <f t="shared" ref="L1634:O1634" si="1837">IFERROR(L1624/L1604,"-")</f>
        <v>-</v>
      </c>
      <c r="M1634" s="1" t="str">
        <f t="shared" si="1837"/>
        <v>-</v>
      </c>
      <c r="N1634" s="1" t="str">
        <f t="shared" si="1837"/>
        <v>-</v>
      </c>
      <c r="O1634" s="1" t="str">
        <f t="shared" si="1837"/>
        <v>-</v>
      </c>
      <c r="P1634" s="1" t="str">
        <f>IFERROR(P1624/P1604,"-")</f>
        <v>-</v>
      </c>
      <c r="Q1634" s="1" t="str">
        <f>IFERROR(Q1624/Q1604,"-")</f>
        <v>-</v>
      </c>
      <c r="S1634" s="3"/>
    </row>
    <row r="1635" spans="2:19" x14ac:dyDescent="0.5">
      <c r="B1635" t="str">
        <f t="shared" si="1791"/>
        <v>SPS1</v>
      </c>
      <c r="C1635" t="str">
        <f t="shared" si="1792"/>
        <v>CH</v>
      </c>
      <c r="D1635" t="s">
        <v>1638</v>
      </c>
      <c r="E1635" t="str">
        <f t="shared" si="1831"/>
        <v>km/MJ</v>
      </c>
      <c r="F1635" s="1" t="str">
        <f>IFERROR(F1625/F1605,"-")</f>
        <v>-</v>
      </c>
      <c r="G1635" s="1" t="str">
        <f t="shared" ref="G1635:K1635" si="1838">IFERROR(G1625/G1605,"-")</f>
        <v>-</v>
      </c>
      <c r="H1635" s="1" t="str">
        <f t="shared" si="1838"/>
        <v>-</v>
      </c>
      <c r="I1635" s="1" t="str">
        <f t="shared" si="1838"/>
        <v>-</v>
      </c>
      <c r="J1635" s="1" t="str">
        <f t="shared" si="1838"/>
        <v>-</v>
      </c>
      <c r="K1635" s="1" t="str">
        <f t="shared" si="1838"/>
        <v>-</v>
      </c>
      <c r="L1635" s="1" t="str">
        <f t="shared" ref="L1635:O1635" si="1839">IFERROR(L1625/L1605,"-")</f>
        <v>-</v>
      </c>
      <c r="M1635" s="1" t="str">
        <f t="shared" si="1839"/>
        <v>-</v>
      </c>
      <c r="N1635" s="1" t="str">
        <f t="shared" si="1839"/>
        <v>-</v>
      </c>
      <c r="O1635" s="1" t="str">
        <f t="shared" si="1839"/>
        <v>-</v>
      </c>
      <c r="P1635" s="1" t="str">
        <f>IFERROR(P1625/P1605,"-")</f>
        <v>-</v>
      </c>
      <c r="Q1635" s="1" t="str">
        <f>IFERROR(Q1625/Q1605,"-")</f>
        <v>-</v>
      </c>
      <c r="S1635" s="3"/>
    </row>
    <row r="1636" spans="2:19" x14ac:dyDescent="0.5">
      <c r="B1636" t="str">
        <f t="shared" si="1791"/>
        <v>SPS1</v>
      </c>
      <c r="C1636" t="str">
        <f t="shared" si="1792"/>
        <v>CH</v>
      </c>
      <c r="D1636" t="s">
        <v>1639</v>
      </c>
      <c r="E1636" t="str">
        <f t="shared" si="1831"/>
        <v>km/MJ</v>
      </c>
      <c r="F1636" s="1">
        <f>IFERROR(F1626/F1611,"-")</f>
        <v>8.1953661871669831E-2</v>
      </c>
      <c r="G1636" s="1">
        <f t="shared" ref="G1636:K1636" si="1840">IFERROR(G1626/G1611,"-")</f>
        <v>8.3996210615660344E-2</v>
      </c>
      <c r="H1636" s="1">
        <f t="shared" si="1840"/>
        <v>8.7060033731646072E-2</v>
      </c>
      <c r="I1636" s="1">
        <f t="shared" si="1840"/>
        <v>8.7060033731645975E-2</v>
      </c>
      <c r="J1636" s="1" t="str">
        <f t="shared" si="1840"/>
        <v>-</v>
      </c>
      <c r="K1636" s="1" t="str">
        <f t="shared" si="1840"/>
        <v>-</v>
      </c>
      <c r="L1636" s="1" t="str">
        <f t="shared" ref="L1636:O1636" si="1841">IFERROR(L1626/L1611,"-")</f>
        <v>-</v>
      </c>
      <c r="M1636" s="1" t="str">
        <f t="shared" si="1841"/>
        <v>-</v>
      </c>
      <c r="N1636" s="1" t="str">
        <f t="shared" si="1841"/>
        <v>-</v>
      </c>
      <c r="O1636" s="1" t="str">
        <f t="shared" si="1841"/>
        <v>-</v>
      </c>
      <c r="P1636" s="1" t="str">
        <f t="shared" ref="P1636:Q1638" si="1842">IFERROR(P1626/P1611,"-")</f>
        <v>-</v>
      </c>
      <c r="Q1636" s="1" t="str">
        <f t="shared" si="1842"/>
        <v>-</v>
      </c>
      <c r="S1636" s="3"/>
    </row>
    <row r="1637" spans="2:19" x14ac:dyDescent="0.5">
      <c r="B1637" t="str">
        <f t="shared" si="1791"/>
        <v>SPS1</v>
      </c>
      <c r="C1637" t="str">
        <f t="shared" si="1792"/>
        <v>CH</v>
      </c>
      <c r="D1637" t="s">
        <v>1640</v>
      </c>
      <c r="E1637" t="str">
        <f t="shared" si="1831"/>
        <v>km/MJ</v>
      </c>
      <c r="F1637" s="1">
        <f>IFERROR(F1627/F1612,"-")</f>
        <v>0.11870351496053484</v>
      </c>
      <c r="G1637" s="1">
        <f t="shared" ref="G1637:K1637" si="1843">IFERROR(G1627/G1612,"-")</f>
        <v>0.11870351496053518</v>
      </c>
      <c r="H1637" s="1">
        <f t="shared" si="1843"/>
        <v>0.11870351496053483</v>
      </c>
      <c r="I1637" s="1">
        <f t="shared" si="1843"/>
        <v>0.11870351496053499</v>
      </c>
      <c r="J1637" s="1">
        <f t="shared" si="1843"/>
        <v>0.11870351496053508</v>
      </c>
      <c r="K1637" s="1">
        <f t="shared" si="1843"/>
        <v>0.11870351496053501</v>
      </c>
      <c r="L1637" s="1">
        <f t="shared" ref="L1637:O1637" si="1844">IFERROR(L1627/L1612,"-")</f>
        <v>0.11870351496053493</v>
      </c>
      <c r="M1637" s="1">
        <f t="shared" si="1844"/>
        <v>0.11870351496053511</v>
      </c>
      <c r="N1637" s="1">
        <f t="shared" si="1844"/>
        <v>0.11870351496053516</v>
      </c>
      <c r="O1637" s="1">
        <f t="shared" si="1844"/>
        <v>0.11870351496053501</v>
      </c>
      <c r="P1637" s="1">
        <f t="shared" si="1842"/>
        <v>0.11870351496053501</v>
      </c>
      <c r="Q1637" s="1">
        <f t="shared" si="1842"/>
        <v>0.11870351496053501</v>
      </c>
      <c r="S1637" s="3"/>
    </row>
    <row r="1638" spans="2:19" x14ac:dyDescent="0.5">
      <c r="B1638" t="str">
        <f t="shared" si="1791"/>
        <v>SPS1</v>
      </c>
      <c r="C1638" t="str">
        <f t="shared" si="1792"/>
        <v>CH</v>
      </c>
      <c r="D1638" t="s">
        <v>1641</v>
      </c>
      <c r="E1638" t="str">
        <f t="shared" si="1831"/>
        <v>km/MJ</v>
      </c>
      <c r="F1638" s="1" t="str">
        <f>IFERROR(F1628/F1613,"-")</f>
        <v>-</v>
      </c>
      <c r="G1638" s="1">
        <f t="shared" ref="G1638:K1638" si="1845">IFERROR(G1628/G1613,"-")</f>
        <v>0.16346685209675793</v>
      </c>
      <c r="H1638" s="1">
        <f t="shared" si="1845"/>
        <v>0.1634668520967579</v>
      </c>
      <c r="I1638" s="1">
        <f t="shared" si="1845"/>
        <v>0.16346685209675799</v>
      </c>
      <c r="J1638" s="1">
        <f t="shared" si="1845"/>
        <v>0.16346685209675801</v>
      </c>
      <c r="K1638" s="1">
        <f t="shared" si="1845"/>
        <v>0.16346685209675799</v>
      </c>
      <c r="L1638" s="1">
        <f t="shared" ref="L1638:O1638" si="1846">IFERROR(L1628/L1613,"-")</f>
        <v>0.1634668520967579</v>
      </c>
      <c r="M1638" s="1">
        <f t="shared" si="1846"/>
        <v>0.16346685209675774</v>
      </c>
      <c r="N1638" s="1">
        <f t="shared" si="1846"/>
        <v>0.16346685209675807</v>
      </c>
      <c r="O1638" s="1">
        <f t="shared" si="1846"/>
        <v>0.16346685209675793</v>
      </c>
      <c r="P1638" s="1">
        <f t="shared" si="1842"/>
        <v>0.16346685209675782</v>
      </c>
      <c r="Q1638" s="1">
        <f t="shared" si="1842"/>
        <v>0.16346685209675815</v>
      </c>
      <c r="S1638" s="3"/>
    </row>
    <row r="1639" spans="2:19" x14ac:dyDescent="0.5">
      <c r="B1639" t="str">
        <f t="shared" si="1791"/>
        <v>SPS1</v>
      </c>
      <c r="C1639" t="str">
        <f t="shared" si="1792"/>
        <v>CH</v>
      </c>
      <c r="D1639" t="s">
        <v>1642</v>
      </c>
      <c r="E1639" t="str">
        <f t="shared" si="1831"/>
        <v>km/MJ</v>
      </c>
      <c r="F1639" s="1">
        <f>IFERROR(F1629/F1619,"-")</f>
        <v>0.10322365358775994</v>
      </c>
      <c r="G1639" s="1">
        <f t="shared" ref="G1639:K1639" si="1847">IFERROR(G1629/G1619,"-")</f>
        <v>0.10361314281021124</v>
      </c>
      <c r="H1639" s="1">
        <f t="shared" si="1847"/>
        <v>0.10418735867458424</v>
      </c>
      <c r="I1639" s="1">
        <f t="shared" si="1847"/>
        <v>0.10991294904946128</v>
      </c>
      <c r="J1639" s="1">
        <f t="shared" si="1847"/>
        <v>0.11537867929471922</v>
      </c>
      <c r="K1639" s="1">
        <f t="shared" si="1847"/>
        <v>0.11787776044092953</v>
      </c>
      <c r="L1639" s="1">
        <f t="shared" ref="L1639:O1639" si="1848">IFERROR(L1629/L1619,"-")</f>
        <v>0.12447793154083991</v>
      </c>
      <c r="M1639" s="1">
        <f t="shared" si="1848"/>
        <v>0.12704309253808321</v>
      </c>
      <c r="N1639" s="1">
        <f t="shared" si="1848"/>
        <v>0.12938761514899305</v>
      </c>
      <c r="O1639" s="1">
        <f t="shared" si="1848"/>
        <v>0.12938761514899294</v>
      </c>
      <c r="P1639" s="1">
        <f>IFERROR(P1629/P1619,"-")</f>
        <v>0.12938761514899311</v>
      </c>
      <c r="Q1639" s="1">
        <f>IFERROR(Q1629/Q1619,"-")</f>
        <v>0.12938761514899297</v>
      </c>
      <c r="S1639" s="3"/>
    </row>
    <row r="1640" spans="2:19" x14ac:dyDescent="0.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10.966836576586427</v>
      </c>
      <c r="G1640" s="1">
        <f t="shared" ref="G1640:K1640" si="1849">G1641+G1645+G1649+G1655</f>
        <v>10.359216241263615</v>
      </c>
      <c r="H1640" s="1">
        <f t="shared" si="1849"/>
        <v>11.550252067479096</v>
      </c>
      <c r="I1640" s="1">
        <f t="shared" si="1849"/>
        <v>12.70829147982732</v>
      </c>
      <c r="J1640" s="1">
        <f t="shared" si="1849"/>
        <v>14.049505838778479</v>
      </c>
      <c r="K1640" s="1">
        <f t="shared" si="1849"/>
        <v>14.326060218405672</v>
      </c>
      <c r="L1640" s="1">
        <f t="shared" ref="L1640:O1640" si="1850">L1641+L1645+L1649+L1655</f>
        <v>14.964557441282194</v>
      </c>
      <c r="M1640" s="1">
        <f t="shared" si="1850"/>
        <v>14.990799698828592</v>
      </c>
      <c r="N1640" s="1">
        <f t="shared" si="1850"/>
        <v>15.596103778492903</v>
      </c>
      <c r="O1640" s="1">
        <f t="shared" si="1850"/>
        <v>18.899394716000067</v>
      </c>
      <c r="P1640" s="1">
        <f>P1641+P1645+P1649+P1655</f>
        <v>20.883097211388478</v>
      </c>
      <c r="Q1640" s="1">
        <f>Q1641+Q1645+Q1649+Q1655</f>
        <v>21.416204897575181</v>
      </c>
      <c r="S1640" s="3"/>
    </row>
    <row r="1641" spans="2:19" x14ac:dyDescent="0.5">
      <c r="B1641" t="str">
        <f t="shared" ref="B1641:B1662" si="1851">B1640</f>
        <v>SPS1</v>
      </c>
      <c r="C1641" t="str">
        <f t="shared" ref="C1641:C1687" si="1852">C1640</f>
        <v>CH</v>
      </c>
      <c r="D1641" t="s">
        <v>1652</v>
      </c>
      <c r="E1641" t="s">
        <v>8</v>
      </c>
      <c r="F1641" s="1">
        <f>SUM(F1642:F1644)</f>
        <v>9.20702881285807</v>
      </c>
      <c r="G1641" s="1">
        <f t="shared" ref="G1641:K1641" si="1853">SUM(G1642:G1644)</f>
        <v>9.5629224904304824</v>
      </c>
      <c r="H1641" s="1">
        <f t="shared" si="1853"/>
        <v>9.9537246238767949</v>
      </c>
      <c r="I1641" s="1">
        <f t="shared" si="1853"/>
        <v>10.605653330946788</v>
      </c>
      <c r="J1641" s="1">
        <f t="shared" si="1853"/>
        <v>11.359448615891113</v>
      </c>
      <c r="K1641" s="1">
        <f t="shared" si="1853"/>
        <v>12.664280872202378</v>
      </c>
      <c r="L1641" s="1">
        <f t="shared" ref="L1641:O1641" si="1854">SUM(L1642:L1644)</f>
        <v>14.141165945927565</v>
      </c>
      <c r="M1641" s="1">
        <f t="shared" si="1854"/>
        <v>14.987650786554646</v>
      </c>
      <c r="N1641" s="1">
        <f t="shared" si="1854"/>
        <v>15.59283369584282</v>
      </c>
      <c r="O1641" s="1">
        <f t="shared" si="1854"/>
        <v>18.89503056343495</v>
      </c>
      <c r="P1641" s="1">
        <f>SUM(P1642:P1644)</f>
        <v>20.878824303664711</v>
      </c>
      <c r="Q1641" s="1">
        <f>SUM(Q1642:Q1644)</f>
        <v>21.408241592349082</v>
      </c>
      <c r="S1641" s="3"/>
    </row>
    <row r="1642" spans="2:19" x14ac:dyDescent="0.5">
      <c r="B1642" t="str">
        <f t="shared" si="1851"/>
        <v>SPS1</v>
      </c>
      <c r="C1642" t="str">
        <f t="shared" si="1852"/>
        <v>CH</v>
      </c>
      <c r="D1642" t="s">
        <v>1653</v>
      </c>
      <c r="E1642" t="str">
        <f t="shared" ref="E1642:E1644" si="185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SUMPRODUCT(("TPRLPELCEXT"=[1]OUT_TransportEnergyCons!$A$3:$A$1000)*1,("Var_Fin"=[1]OUT_TransportEnergyCons!$B$3:$B$1000)*1,ISNUMBER(SEARCH("ELC",[1]OUT_TransportEnergyCons!$C$3:$C$1000))*1,[1]OUT_TransportEnergyCons!H$3:H$1000)</f>
        <v>9.2102053769306007</v>
      </c>
      <c r="K1642" s="1" cm="1">
        <f t="array" ref="K1642">SUMPRODUCT(("TPRLPELCEXT"=[1]OUT_TransportEnergyCons!$A$3:$A$1000)*1,("Var_Fin"=[1]OUT_TransportEnergyCons!$B$3:$B$1000)*1,ISNUMBER(SEARCH("ELC",[1]OUT_TransportEnergyCons!$C$3:$C$1000))*1,[1]OUT_TransportEnergyCons!I$3:I$1000)</f>
        <v>9.7088461022456318</v>
      </c>
      <c r="L1642" s="1" cm="1">
        <f t="array" ref="L1642">SUMPRODUCT(("TPRLPELCEXT"=[1]OUT_TransportEnergyCons!$A$3:$A$1000)*1,("Var_Fin"=[1]OUT_TransportEnergyCons!$B$3:$B$1000)*1,ISNUMBER(SEARCH("ELC",[1]OUT_TransportEnergyCons!$C$3:$C$1000))*1,[1]OUT_TransportEnergyCons!J$3:J$1000)</f>
        <v>10.080164192554417</v>
      </c>
      <c r="M1642" s="1" cm="1">
        <f t="array" ref="M1642">SUMPRODUCT(("TPRLPELCEXT"=[1]OUT_TransportEnergyCons!$A$3:$A$1000)*1,("Var_Fin"=[1]OUT_TransportEnergyCons!$B$3:$B$1000)*1,ISNUMBER(SEARCH("ELC",[1]OUT_TransportEnergyCons!$C$3:$C$1000))*1,[1]OUT_TransportEnergyCons!K$3:K$1000)</f>
        <v>10.451723865936831</v>
      </c>
      <c r="N1642" s="1" cm="1">
        <f t="array" ref="N1642">SUMPRODUCT(("TPRLPELCEXT"=[1]OUT_TransportEnergyCons!$A$3:$A$1000)*1,("Var_Fin"=[1]OUT_TransportEnergyCons!$B$3:$B$1000)*1,ISNUMBER(SEARCH("ELC",[1]OUT_TransportEnergyCons!$C$3:$C$1000))*1,[1]OUT_TransportEnergyCons!L$3:L$1000)</f>
        <v>10.945205732772358</v>
      </c>
      <c r="O1642" s="1" cm="1">
        <f t="array" ref="O1642">SUMPRODUCT(("TPRLPELCEXT"=[1]OUT_TransportEnergyCons!$A$3:$A$1000)*1,("Var_Fin"=[1]OUT_TransportEnergyCons!$B$3:$B$1000)*1,ISNUMBER(SEARCH("ELC",[1]OUT_TransportEnergyCons!$C$3:$C$1000))*1,[1]OUT_TransportEnergyCons!M$3:M$1000)</f>
        <v>11.437215376155624</v>
      </c>
      <c r="P1642" s="1" cm="1">
        <f t="array" ref="P1642">SUMPRODUCT(("TPRLPELCEXT"=[1]OUT_TransportEnergyCons!$A$3:$A$1000)*1,("Var_Fin"=[1]OUT_TransportEnergyCons!$B$3:$B$1000)*1,ISNUMBER(SEARCH("ELC",[1]OUT_TransportEnergyCons!$C$3:$C$1000))*1,[1]OUT_TransportEnergyCons!N$3:N$1000)</f>
        <v>11.928372170861293</v>
      </c>
      <c r="Q1642" s="1" cm="1">
        <f t="array" ref="Q1642">SUMPRODUCT(("TPRLPELCEXT"=[1]OUT_TransportEnergyCons!$A$3:$A$1000)*1,("Var_Fin"=[1]OUT_TransportEnergyCons!$B$3:$B$1000)*1,ISNUMBER(SEARCH("ELC",[1]OUT_TransportEnergyCons!$C$3:$C$1000))*1,[1]OUT_TransportEnergyCons!O$3:O$1000)</f>
        <v>12.417146636477227</v>
      </c>
      <c r="S1642" s="3"/>
    </row>
    <row r="1643" spans="2:19" x14ac:dyDescent="0.5">
      <c r="B1643" t="str">
        <f t="shared" si="1851"/>
        <v>SPS1</v>
      </c>
      <c r="C1643" t="str">
        <f t="shared" si="1852"/>
        <v>CH</v>
      </c>
      <c r="D1643" t="s">
        <v>1654</v>
      </c>
      <c r="E1643" t="str">
        <f t="shared" si="185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1.5023087997571232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1.6570133100541962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1.74580995570527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1.8938178675473234</v>
      </c>
      <c r="J1643" s="1" cm="1">
        <f t="array" ref="J1643">SUMPRODUCT(("TFRLFELCEXT"=[1]OUT_TransportEnergyCons!$A$3:$A$1000)*1,("Var_Fin"=[1]OUT_TransportEnergyCons!$B$3:$B$1000)*1,ISNUMBER(SEARCH("ELC",[1]OUT_TransportEnergyCons!$C$3:$C$1000))*1,[1]OUT_TransportEnergyCons!H$3:H$1000)</f>
        <v>1.9808767250642898</v>
      </c>
      <c r="K1643" s="1" cm="1">
        <f t="array" ref="K1643">SUMPRODUCT(("TFRLFELCEXT"=[1]OUT_TransportEnergyCons!$A$3:$A$1000)*1,("Var_Fin"=[1]OUT_TransportEnergyCons!$B$3:$B$1000)*1,ISNUMBER(SEARCH("ELC",[1]OUT_TransportEnergyCons!$C$3:$C$1000))*1,[1]OUT_TransportEnergyCons!I$3:I$1000)</f>
        <v>2.0273724424096033</v>
      </c>
      <c r="L1643" s="1" cm="1">
        <f t="array" ref="L1643">SUMPRODUCT(("TFRLFELCEXT"=[1]OUT_TransportEnergyCons!$A$3:$A$1000)*1,("Var_Fin"=[1]OUT_TransportEnergyCons!$B$3:$B$1000)*1,ISNUMBER(SEARCH("ELC",[1]OUT_TransportEnergyCons!$C$3:$C$1000))*1,[1]OUT_TransportEnergyCons!J$3:J$1000)</f>
        <v>2.1034424904950568</v>
      </c>
      <c r="M1643" s="1" cm="1">
        <f t="array" ref="M1643">SUMPRODUCT(("TFRLFELCEXT"=[1]OUT_TransportEnergyCons!$A$3:$A$1000)*1,("Var_Fin"=[1]OUT_TransportEnergyCons!$B$3:$B$1000)*1,ISNUMBER(SEARCH("ELC",[1]OUT_TransportEnergyCons!$C$3:$C$1000))*1,[1]OUT_TransportEnergyCons!K$3:K$1000)</f>
        <v>2.1793649686182994</v>
      </c>
      <c r="N1643" s="1" cm="1">
        <f t="array" ref="N1643">SUMPRODUCT(("TFRLFELCEXT"=[1]OUT_TransportEnergyCons!$A$3:$A$1000)*1,("Var_Fin"=[1]OUT_TransportEnergyCons!$B$3:$B$1000)*1,ISNUMBER(SEARCH("ELC",[1]OUT_TransportEnergyCons!$C$3:$C$1000))*1,[1]OUT_TransportEnergyCons!L$3:L$1000)</f>
        <v>2.2141034414046517</v>
      </c>
      <c r="O1643" s="1" cm="1">
        <f t="array" ref="O1643">SUMPRODUCT(("TFRLFELCEXT"=[1]OUT_TransportEnergyCons!$A$3:$A$1000)*1,("Var_Fin"=[1]OUT_TransportEnergyCons!$B$3:$B$1000)*1,ISNUMBER(SEARCH("ELC",[1]OUT_TransportEnergyCons!$C$3:$C$1000))*1,[1]OUT_TransportEnergyCons!M$3:M$1000)</f>
        <v>2.2660533913955723</v>
      </c>
      <c r="P1643" s="1" cm="1">
        <f t="array" ref="P1643">SUMPRODUCT(("TFRLFELCEXT"=[1]OUT_TransportEnergyCons!$A$3:$A$1000)*1,("Var_Fin"=[1]OUT_TransportEnergyCons!$B$3:$B$1000)*1,ISNUMBER(SEARCH("ELC",[1]OUT_TransportEnergyCons!$C$3:$C$1000))*1,[1]OUT_TransportEnergyCons!N$3:N$1000)</f>
        <v>2.2809851926295499</v>
      </c>
      <c r="Q1643" s="1" cm="1">
        <f t="array" ref="Q1643">SUMPRODUCT(("TFRLFELCEXT"=[1]OUT_TransportEnergyCons!$A$3:$A$1000)*1,("Var_Fin"=[1]OUT_TransportEnergyCons!$B$3:$B$1000)*1,ISNUMBER(SEARCH("ELC",[1]OUT_TransportEnergyCons!$C$3:$C$1000))*1,[1]OUT_TransportEnergyCons!O$3:O$1000)</f>
        <v>2.3093445610602261</v>
      </c>
      <c r="S1643" s="3"/>
    </row>
    <row r="1644" spans="2:19" x14ac:dyDescent="0.5">
      <c r="B1644" t="str">
        <f t="shared" si="1851"/>
        <v>SPS1</v>
      </c>
      <c r="C1644" t="str">
        <f t="shared" si="1852"/>
        <v>CH</v>
      </c>
      <c r="D1644" t="s">
        <v>1655</v>
      </c>
      <c r="E1644" t="str">
        <f t="shared" si="185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3.7435253640493824E-6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1.3215867170575151E-5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2.5466223385103048E-5</v>
      </c>
      <c r="J1644" s="1" cm="1">
        <f t="array" ref="J1644">SUMPRODUCT(("TPSHPELCEXT"=[1]OUT_TransportEnergyCons!$A$3:$A$1000)*1,("Var_Fin"=[1]OUT_TransportEnergyCons!$B$3:$B$1000)*1,ISNUMBER(SEARCH("ELC",[1]OUT_TransportEnergyCons!$C$3:$C$1000))*1,[1]OUT_TransportEnergyCons!H$3:H$1000)+[1]Transport_Aviation_Intl!F$13</f>
        <v>0.16836651389622276</v>
      </c>
      <c r="K1644" s="1" cm="1">
        <f t="array" ref="K1644">SUMPRODUCT(("TPSHPELCEXT"=[1]OUT_TransportEnergyCons!$A$3:$A$1000)*1,("Var_Fin"=[1]OUT_TransportEnergyCons!$B$3:$B$1000)*1,ISNUMBER(SEARCH("ELC",[1]OUT_TransportEnergyCons!$C$3:$C$1000))*1,[1]OUT_TransportEnergyCons!I$3:I$1000)+[1]Transport_Aviation_Intl!G$13</f>
        <v>0.92806232754714202</v>
      </c>
      <c r="L1644" s="1" cm="1">
        <f t="array" ref="L1644">SUMPRODUCT(("TPSHPELCEXT"=[1]OUT_TransportEnergyCons!$A$3:$A$1000)*1,("Var_Fin"=[1]OUT_TransportEnergyCons!$B$3:$B$1000)*1,ISNUMBER(SEARCH("ELC",[1]OUT_TransportEnergyCons!$C$3:$C$1000))*1,[1]OUT_TransportEnergyCons!J$3:J$1000)+[1]Transport_Aviation_Intl!H$13</f>
        <v>1.9575592628780907</v>
      </c>
      <c r="M1644" s="1" cm="1">
        <f t="array" ref="M1644">SUMPRODUCT(("TPSHPELCEXT"=[1]OUT_TransportEnergyCons!$A$3:$A$1000)*1,("Var_Fin"=[1]OUT_TransportEnergyCons!$B$3:$B$1000)*1,ISNUMBER(SEARCH("ELC",[1]OUT_TransportEnergyCons!$C$3:$C$1000))*1,[1]OUT_TransportEnergyCons!K$3:K$1000)+[1]Transport_Aviation_Intl!I$13</f>
        <v>2.3565619519995145</v>
      </c>
      <c r="N1644" s="1" cm="1">
        <f t="array" ref="N1644">SUMPRODUCT(("TPSHPELCEXT"=[1]OUT_TransportEnergyCons!$A$3:$A$1000)*1,("Var_Fin"=[1]OUT_TransportEnergyCons!$B$3:$B$1000)*1,ISNUMBER(SEARCH("ELC",[1]OUT_TransportEnergyCons!$C$3:$C$1000))*1,[1]OUT_TransportEnergyCons!L$3:L$1000)+[1]Transport_Aviation_Intl!J$13</f>
        <v>2.4335245216658121</v>
      </c>
      <c r="O1644" s="1" cm="1">
        <f t="array" ref="O1644">SUMPRODUCT(("TPSHPELCEXT"=[1]OUT_TransportEnergyCons!$A$3:$A$1000)*1,("Var_Fin"=[1]OUT_TransportEnergyCons!$B$3:$B$1000)*1,ISNUMBER(SEARCH("ELC",[1]OUT_TransportEnergyCons!$C$3:$C$1000))*1,[1]OUT_TransportEnergyCons!M$3:M$1000)+[1]Transport_Aviation_Intl!K$13</f>
        <v>5.1917617958837541</v>
      </c>
      <c r="P1644" s="1" cm="1">
        <f t="array" ref="P1644">SUMPRODUCT(("TPSHPELCEXT"=[1]OUT_TransportEnergyCons!$A$3:$A$1000)*1,("Var_Fin"=[1]OUT_TransportEnergyCons!$B$3:$B$1000)*1,ISNUMBER(SEARCH("ELC",[1]OUT_TransportEnergyCons!$C$3:$C$1000))*1,[1]OUT_TransportEnergyCons!N$3:N$1000)+[1]Transport_Aviation_Intl!L$13</f>
        <v>6.6694669401738684</v>
      </c>
      <c r="Q1644" s="1" cm="1">
        <f t="array" ref="Q1644">SUMPRODUCT(("TPSHPELCEXT"=[1]OUT_TransportEnergyCons!$A$3:$A$1000)*1,("Var_Fin"=[1]OUT_TransportEnergyCons!$B$3:$B$1000)*1,ISNUMBER(SEARCH("ELC",[1]OUT_TransportEnergyCons!$C$3:$C$1000))*1,[1]OUT_TransportEnergyCons!O$3:O$1000)+[1]Transport_Aviation_Intl!M$13</f>
        <v>6.6817503948116288</v>
      </c>
      <c r="S1644" s="3"/>
    </row>
    <row r="1645" spans="2:19" x14ac:dyDescent="0.5">
      <c r="B1645" t="str">
        <f t="shared" si="1851"/>
        <v>SPS1</v>
      </c>
      <c r="C1645" t="str">
        <f t="shared" si="185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856">SUM(G1646:G1648)</f>
        <v>0</v>
      </c>
      <c r="H1645" s="1">
        <f t="shared" si="1856"/>
        <v>0</v>
      </c>
      <c r="I1645" s="1">
        <f t="shared" si="1856"/>
        <v>0</v>
      </c>
      <c r="J1645" s="1">
        <f t="shared" si="1856"/>
        <v>8.2029712659742292E-5</v>
      </c>
      <c r="K1645" s="1">
        <f t="shared" si="1856"/>
        <v>1.295773537849389E-3</v>
      </c>
      <c r="L1645" s="1">
        <f t="shared" ref="L1645:O1645" si="1857">SUM(L1646:L1648)</f>
        <v>1.7376375850200456E-3</v>
      </c>
      <c r="M1645" s="1">
        <f t="shared" si="1857"/>
        <v>3.148912273945711E-3</v>
      </c>
      <c r="N1645" s="1">
        <f t="shared" si="1857"/>
        <v>3.270082650083635E-3</v>
      </c>
      <c r="O1645" s="1">
        <f t="shared" si="1857"/>
        <v>4.364152565115088E-3</v>
      </c>
      <c r="P1645" s="1">
        <f>SUM(P1646:P1648)</f>
        <v>4.2729077237660344E-3</v>
      </c>
      <c r="Q1645" s="1">
        <f>SUM(Q1646:Q1648)</f>
        <v>7.963305226100446E-3</v>
      </c>
      <c r="S1645" s="3"/>
    </row>
    <row r="1646" spans="2:19" x14ac:dyDescent="0.5">
      <c r="B1646" t="str">
        <f t="shared" si="1851"/>
        <v>SPS1</v>
      </c>
      <c r="C1646" t="str">
        <f t="shared" si="1852"/>
        <v>CH</v>
      </c>
      <c r="D1646" t="s">
        <v>1657</v>
      </c>
      <c r="E1646" t="str">
        <f t="shared" ref="E1646:E1648" si="185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SUMPRODUCT(("TPRLPH2OFCL"=[1]OUT_TransportEnergyCons!$A$3:$A$1000)*1,("Var_Fin"=[1]OUT_TransportEnergyCons!$B$3:$B$1000)*1,ISNUMBER(SEARCH("h2",[1]OUT_TransportEnergyCons!$C$3:$C$1000))*1,[1]OUT_TransportEnergyCons!H$3:H$1000)</f>
        <v>0</v>
      </c>
      <c r="K1646" s="1" cm="1">
        <f t="array" ref="K1646">SUMPRODUCT(("TPRLPH2OFCL"=[1]OUT_TransportEnergyCons!$A$3:$A$1000)*1,("Var_Fin"=[1]OUT_TransportEnergyCons!$B$3:$B$1000)*1,ISNUMBER(SEARCH("h2",[1]OUT_TransportEnergyCons!$C$3:$C$1000))*1,[1]OUT_TransportEnergyCons!I$3:I$1000)</f>
        <v>6.5962474643703744E-4</v>
      </c>
      <c r="L1646" s="1" cm="1">
        <f t="array" ref="L1646">SUMPRODUCT(("TPRLPH2OFCL"=[1]OUT_TransportEnergyCons!$A$3:$A$1000)*1,("Var_Fin"=[1]OUT_TransportEnergyCons!$B$3:$B$1000)*1,ISNUMBER(SEARCH("h2",[1]OUT_TransportEnergyCons!$C$3:$C$1000))*1,[1]OUT_TransportEnergyCons!J$3:J$1000)</f>
        <v>7.0145421869606127E-4</v>
      </c>
      <c r="M1646" s="1" cm="1">
        <f t="array" ref="M1646">SUMPRODUCT(("TPRLPH2OFCL"=[1]OUT_TransportEnergyCons!$A$3:$A$1000)*1,("Var_Fin"=[1]OUT_TransportEnergyCons!$B$3:$B$1000)*1,ISNUMBER(SEARCH("h2",[1]OUT_TransportEnergyCons!$C$3:$C$1000))*1,[1]OUT_TransportEnergyCons!K$3:K$1000)</f>
        <v>1.1205094638515149E-3</v>
      </c>
      <c r="N1646" s="1" cm="1">
        <f t="array" ref="N1646">SUMPRODUCT(("TPRLPH2OFCL"=[1]OUT_TransportEnergyCons!$A$3:$A$1000)*1,("Var_Fin"=[1]OUT_TransportEnergyCons!$B$3:$B$1000)*1,ISNUMBER(SEARCH("h2",[1]OUT_TransportEnergyCons!$C$3:$C$1000))*1,[1]OUT_TransportEnergyCons!L$3:L$1000)</f>
        <v>1.1543924022885785E-3</v>
      </c>
      <c r="O1646" s="1" cm="1">
        <f t="array" ref="O1646">SUMPRODUCT(("TPRLPH2OFCL"=[1]OUT_TransportEnergyCons!$A$3:$A$1000)*1,("Var_Fin"=[1]OUT_TransportEnergyCons!$B$3:$B$1000)*1,ISNUMBER(SEARCH("h2",[1]OUT_TransportEnergyCons!$C$3:$C$1000))*1,[1]OUT_TransportEnergyCons!M$3:M$1000)</f>
        <v>1.5441102969377472E-3</v>
      </c>
      <c r="P1646" s="1" cm="1">
        <f t="array" ref="P1646">SUMPRODUCT(("TPRLPH2OFCL"=[1]OUT_TransportEnergyCons!$A$3:$A$1000)*1,("Var_Fin"=[1]OUT_TransportEnergyCons!$B$3:$B$1000)*1,ISNUMBER(SEARCH("h2",[1]OUT_TransportEnergyCons!$C$3:$C$1000))*1,[1]OUT_TransportEnergyCons!N$3:N$1000)</f>
        <v>1.4903877446851965E-3</v>
      </c>
      <c r="Q1646" s="1" cm="1">
        <f t="array" ref="Q1646">SUMPRODUCT(("TPRLPH2OFCL"=[1]OUT_TransportEnergyCons!$A$3:$A$1000)*1,("Var_Fin"=[1]OUT_TransportEnergyCons!$B$3:$B$1000)*1,ISNUMBER(SEARCH("h2",[1]OUT_TransportEnergyCons!$C$3:$C$1000))*1,[1]OUT_TransportEnergyCons!O$3:O$1000)</f>
        <v>2.9996793856668607E-3</v>
      </c>
      <c r="S1646" s="3"/>
    </row>
    <row r="1647" spans="2:19" x14ac:dyDescent="0.5">
      <c r="B1647" t="str">
        <f t="shared" si="1851"/>
        <v>SPS1</v>
      </c>
      <c r="C1647" t="str">
        <f t="shared" si="1852"/>
        <v>CH</v>
      </c>
      <c r="D1647" t="s">
        <v>1658</v>
      </c>
      <c r="E1647" t="str">
        <f t="shared" si="185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SUMPRODUCT(("TFRLFH2OFCL"=[1]OUT_TransportEnergyCons!$A$3:$A$1000)*1,("Var_Fin"=[1]OUT_TransportEnergyCons!$B$3:$B$1000)*1,ISNUMBER(SEARCH("h2",[1]OUT_TransportEnergyCons!$C$3:$C$1000))*1,[1]OUT_TransportEnergyCons!H$3:H$1000)</f>
        <v>0</v>
      </c>
      <c r="K1647" s="1" cm="1">
        <f t="array" ref="K1647">SUMPRODUCT(("TFRLFH2OFCL"=[1]OUT_TransportEnergyCons!$A$3:$A$1000)*1,("Var_Fin"=[1]OUT_TransportEnergyCons!$B$3:$B$1000)*1,ISNUMBER(SEARCH("h2",[1]OUT_TransportEnergyCons!$C$3:$C$1000))*1,[1]OUT_TransportEnergyCons!I$3:I$1000)</f>
        <v>5.4394039076749131E-4</v>
      </c>
      <c r="L1647" s="1" cm="1">
        <f t="array" ref="L1647">SUMPRODUCT(("TFRLFH2OFCL"=[1]OUT_TransportEnergyCons!$A$3:$A$1000)*1,("Var_Fin"=[1]OUT_TransportEnergyCons!$B$3:$B$1000)*1,ISNUMBER(SEARCH("h2",[1]OUT_TransportEnergyCons!$C$3:$C$1000))*1,[1]OUT_TransportEnergyCons!J$3:J$1000)</f>
        <v>9.1116390588956279E-4</v>
      </c>
      <c r="M1647" s="1" cm="1">
        <f t="array" ref="M1647">SUMPRODUCT(("TFRLFH2OFCL"=[1]OUT_TransportEnergyCons!$A$3:$A$1000)*1,("Var_Fin"=[1]OUT_TransportEnergyCons!$B$3:$B$1000)*1,ISNUMBER(SEARCH("h2",[1]OUT_TransportEnergyCons!$C$3:$C$1000))*1,[1]OUT_TransportEnergyCons!K$3:K$1000)</f>
        <v>1.8235362474633833E-3</v>
      </c>
      <c r="N1647" s="1" cm="1">
        <f t="array" ref="N1647">SUMPRODUCT(("TFRLFH2OFCL"=[1]OUT_TransportEnergyCons!$A$3:$A$1000)*1,("Var_Fin"=[1]OUT_TransportEnergyCons!$B$3:$B$1000)*1,ISNUMBER(SEARCH("h2",[1]OUT_TransportEnergyCons!$C$3:$C$1000))*1,[1]OUT_TransportEnergyCons!L$3:L$1000)</f>
        <v>1.8760244358295734E-3</v>
      </c>
      <c r="O1647" s="1" cm="1">
        <f t="array" ref="O1647">SUMPRODUCT(("TFRLFH2OFCL"=[1]OUT_TransportEnergyCons!$A$3:$A$1000)*1,("Var_Fin"=[1]OUT_TransportEnergyCons!$B$3:$B$1000)*1,ISNUMBER(SEARCH("h2",[1]OUT_TransportEnergyCons!$C$3:$C$1000))*1,[1]OUT_TransportEnergyCons!M$3:M$1000)</f>
        <v>2.5042793378240742E-3</v>
      </c>
      <c r="P1647" s="1" cm="1">
        <f t="array" ref="P1647">SUMPRODUCT(("TFRLFH2OFCL"=[1]OUT_TransportEnergyCons!$A$3:$A$1000)*1,("Var_Fin"=[1]OUT_TransportEnergyCons!$B$3:$B$1000)*1,ISNUMBER(SEARCH("h2",[1]OUT_TransportEnergyCons!$C$3:$C$1000))*1,[1]OUT_TransportEnergyCons!N$3:N$1000)</f>
        <v>2.4407761635453396E-3</v>
      </c>
      <c r="Q1647" s="1" cm="1">
        <f t="array" ref="Q1647">SUMPRODUCT(("TFRLFH2OFCL"=[1]OUT_TransportEnergyCons!$A$3:$A$1000)*1,("Var_Fin"=[1]OUT_TransportEnergyCons!$B$3:$B$1000)*1,ISNUMBER(SEARCH("h2",[1]OUT_TransportEnergyCons!$C$3:$C$1000))*1,[1]OUT_TransportEnergyCons!O$3:O$1000)</f>
        <v>4.5977681731983414E-3</v>
      </c>
      <c r="S1647" s="3"/>
    </row>
    <row r="1648" spans="2:19" x14ac:dyDescent="0.5">
      <c r="B1648" t="str">
        <f t="shared" si="1851"/>
        <v>SPS1</v>
      </c>
      <c r="C1648" t="str">
        <f t="shared" si="1852"/>
        <v>CH</v>
      </c>
      <c r="D1648" t="s">
        <v>1659</v>
      </c>
      <c r="E1648" t="str">
        <f t="shared" si="185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SUMPRODUCT(("TPSHPH2OEXT"=[1]OUT_TransportEnergyCons!$A$3:$A$1000)*1,("Var_Fin"=[1]OUT_TransportEnergyCons!$B$3:$B$1000)*1,ISNUMBER(SEARCH("h2",[1]OUT_TransportEnergyCons!$C$3:$C$1000))*1,[1]OUT_TransportEnergyCons!H$3:H$1000)+[1]Transport_Aviation_Intl!F$14</f>
        <v>8.2029712659742292E-5</v>
      </c>
      <c r="K1648" s="1" cm="1">
        <f t="array" ref="K1648">SUMPRODUCT(("TPSHPH2OEXT"=[1]OUT_TransportEnergyCons!$A$3:$A$1000)*1,("Var_Fin"=[1]OUT_TransportEnergyCons!$B$3:$B$1000)*1,ISNUMBER(SEARCH("h2",[1]OUT_TransportEnergyCons!$C$3:$C$1000))*1,[1]OUT_TransportEnergyCons!I$3:I$1000)+[1]Transport_Aviation_Intl!G$14</f>
        <v>9.2208400644860314E-5</v>
      </c>
      <c r="L1648" s="1" cm="1">
        <f t="array" ref="L1648">SUMPRODUCT(("TPSHPH2OEXT"=[1]OUT_TransportEnergyCons!$A$3:$A$1000)*1,("Var_Fin"=[1]OUT_TransportEnergyCons!$B$3:$B$1000)*1,ISNUMBER(SEARCH("h2",[1]OUT_TransportEnergyCons!$C$3:$C$1000))*1,[1]OUT_TransportEnergyCons!J$3:J$1000)+[1]Transport_Aviation_Intl!H$14</f>
        <v>1.250194604344216E-4</v>
      </c>
      <c r="M1648" s="1" cm="1">
        <f t="array" ref="M1648">SUMPRODUCT(("TPSHPH2OEXT"=[1]OUT_TransportEnergyCons!$A$3:$A$1000)*1,("Var_Fin"=[1]OUT_TransportEnergyCons!$B$3:$B$1000)*1,ISNUMBER(SEARCH("h2",[1]OUT_TransportEnergyCons!$C$3:$C$1000))*1,[1]OUT_TransportEnergyCons!K$3:K$1000)+[1]Transport_Aviation_Intl!I$14</f>
        <v>2.0486656263081271E-4</v>
      </c>
      <c r="N1648" s="1" cm="1">
        <f t="array" ref="N1648">SUMPRODUCT(("TPSHPH2OEXT"=[1]OUT_TransportEnergyCons!$A$3:$A$1000)*1,("Var_Fin"=[1]OUT_TransportEnergyCons!$B$3:$B$1000)*1,ISNUMBER(SEARCH("h2",[1]OUT_TransportEnergyCons!$C$3:$C$1000))*1,[1]OUT_TransportEnergyCons!L$3:L$1000)+[1]Transport_Aviation_Intl!J$14</f>
        <v>2.3966581196548326E-4</v>
      </c>
      <c r="O1648" s="1" cm="1">
        <f t="array" ref="O1648">SUMPRODUCT(("TPSHPH2OEXT"=[1]OUT_TransportEnergyCons!$A$3:$A$1000)*1,("Var_Fin"=[1]OUT_TransportEnergyCons!$B$3:$B$1000)*1,ISNUMBER(SEARCH("h2",[1]OUT_TransportEnergyCons!$C$3:$C$1000))*1,[1]OUT_TransportEnergyCons!M$3:M$1000)+[1]Transport_Aviation_Intl!K$14</f>
        <v>3.1576293035326603E-4</v>
      </c>
      <c r="P1648" s="1" cm="1">
        <f t="array" ref="P1648">SUMPRODUCT(("TPSHPH2OEXT"=[1]OUT_TransportEnergyCons!$A$3:$A$1000)*1,("Var_Fin"=[1]OUT_TransportEnergyCons!$B$3:$B$1000)*1,ISNUMBER(SEARCH("h2",[1]OUT_TransportEnergyCons!$C$3:$C$1000))*1,[1]OUT_TransportEnergyCons!N$3:N$1000)+[1]Transport_Aviation_Intl!L$14</f>
        <v>3.4174381553549909E-4</v>
      </c>
      <c r="Q1648" s="1" cm="1">
        <f t="array" ref="Q1648">SUMPRODUCT(("TPSHPH2OEXT"=[1]OUT_TransportEnergyCons!$A$3:$A$1000)*1,("Var_Fin"=[1]OUT_TransportEnergyCons!$B$3:$B$1000)*1,ISNUMBER(SEARCH("h2",[1]OUT_TransportEnergyCons!$C$3:$C$1000))*1,[1]OUT_TransportEnergyCons!O$3:O$1000)+[1]Transport_Aviation_Intl!M$14</f>
        <v>3.6585766723524354E-4</v>
      </c>
      <c r="S1648" s="3"/>
    </row>
    <row r="1649" spans="2:19" x14ac:dyDescent="0.5">
      <c r="B1649" t="str">
        <f t="shared" si="1851"/>
        <v>SPS1</v>
      </c>
      <c r="C1649" t="str">
        <f t="shared" si="185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859">G1654</f>
        <v>0.79629375083313325</v>
      </c>
      <c r="H1649" s="1">
        <f t="shared" si="1859"/>
        <v>1.5965274436023007</v>
      </c>
      <c r="I1649" s="1">
        <f t="shared" si="1859"/>
        <v>2.1026381488805317</v>
      </c>
      <c r="J1649" s="1">
        <f t="shared" si="1859"/>
        <v>2.6899751931747065</v>
      </c>
      <c r="K1649" s="1">
        <f t="shared" si="1859"/>
        <v>1.6604835726654452</v>
      </c>
      <c r="L1649" s="1">
        <f t="shared" ref="L1649:O1649" si="1860">L1654</f>
        <v>0.82165385776960875</v>
      </c>
      <c r="M1649" s="1">
        <f t="shared" si="1860"/>
        <v>0</v>
      </c>
      <c r="N1649" s="1">
        <f t="shared" si="1860"/>
        <v>0</v>
      </c>
      <c r="O1649" s="1">
        <f t="shared" si="1860"/>
        <v>0</v>
      </c>
      <c r="P1649" s="1">
        <f>P1654</f>
        <v>0</v>
      </c>
      <c r="Q1649" s="1">
        <f>Q1654</f>
        <v>0</v>
      </c>
      <c r="S1649" s="3"/>
    </row>
    <row r="1650" spans="2:19" x14ac:dyDescent="0.5">
      <c r="B1650" t="str">
        <f t="shared" si="1851"/>
        <v>SPS1</v>
      </c>
      <c r="C1650" t="str">
        <f t="shared" si="1852"/>
        <v>CH</v>
      </c>
      <c r="D1650" t="s">
        <v>1661</v>
      </c>
      <c r="E1650" t="str">
        <f t="shared" ref="E1650:E1662" si="1861">E1649</f>
        <v>PJ/yr.</v>
      </c>
      <c r="F1650" s="1">
        <f>F1649-F1651</f>
        <v>1.6634706977574854</v>
      </c>
      <c r="G1650" s="1">
        <f t="shared" ref="G1650:K1650" si="1862">G1649-G1651</f>
        <v>0.7527033571511641</v>
      </c>
      <c r="H1650" s="1">
        <f t="shared" si="1862"/>
        <v>1.509126973932343</v>
      </c>
      <c r="I1650" s="1">
        <f t="shared" si="1862"/>
        <v>1.9640833805605236</v>
      </c>
      <c r="J1650" s="1">
        <f t="shared" si="1862"/>
        <v>2.5266691590593355</v>
      </c>
      <c r="K1650" s="1">
        <f t="shared" si="1862"/>
        <v>1.5695332824553991</v>
      </c>
      <c r="L1650" s="1">
        <f t="shared" ref="L1650:O1650" si="1863">L1649-L1651</f>
        <v>0.77664460173076622</v>
      </c>
      <c r="M1650" s="1">
        <f t="shared" si="1863"/>
        <v>0</v>
      </c>
      <c r="N1650" s="1">
        <f t="shared" si="1863"/>
        <v>0</v>
      </c>
      <c r="O1650" s="1">
        <f t="shared" si="1863"/>
        <v>0</v>
      </c>
      <c r="P1650" s="1">
        <f>P1649-P1651</f>
        <v>0</v>
      </c>
      <c r="Q1650" s="1">
        <f>Q1649-Q1651</f>
        <v>0</v>
      </c>
      <c r="S1650" s="3"/>
    </row>
    <row r="1651" spans="2:19" x14ac:dyDescent="0.5">
      <c r="B1651" t="str">
        <f t="shared" si="1851"/>
        <v>SPS1</v>
      </c>
      <c r="C1651" t="str">
        <f t="shared" si="1852"/>
        <v>CH</v>
      </c>
      <c r="D1651" t="s">
        <v>1662</v>
      </c>
      <c r="E1651" t="str">
        <f t="shared" si="1861"/>
        <v>PJ/yr.</v>
      </c>
      <c r="F1651" s="1">
        <f>SUM(F1652:F1653)</f>
        <v>9.6337065970872646E-2</v>
      </c>
      <c r="G1651" s="1">
        <f t="shared" ref="G1651:K1651" si="1864">SUM(G1652:G1653)</f>
        <v>4.3590393681969201E-2</v>
      </c>
      <c r="H1651" s="1">
        <f t="shared" si="1864"/>
        <v>8.7400469669957723E-2</v>
      </c>
      <c r="I1651" s="1">
        <f t="shared" si="1864"/>
        <v>0.13855476832000818</v>
      </c>
      <c r="J1651" s="1">
        <f t="shared" si="1864"/>
        <v>0.16330603411537103</v>
      </c>
      <c r="K1651" s="1">
        <f t="shared" si="1864"/>
        <v>9.0950290210046136E-2</v>
      </c>
      <c r="L1651" s="1">
        <f t="shared" ref="L1651:O1651" si="1865">SUM(L1652:L1653)</f>
        <v>4.5009256038842531E-2</v>
      </c>
      <c r="M1651" s="1">
        <f t="shared" si="1865"/>
        <v>0</v>
      </c>
      <c r="N1651" s="1">
        <f t="shared" si="1865"/>
        <v>0</v>
      </c>
      <c r="O1651" s="1">
        <f t="shared" si="1865"/>
        <v>0</v>
      </c>
      <c r="P1651" s="1">
        <f>SUM(P1652:P1653)</f>
        <v>0</v>
      </c>
      <c r="Q1651" s="1">
        <f>SUM(Q1652:Q1653)</f>
        <v>0</v>
      </c>
      <c r="S1651" s="3"/>
    </row>
    <row r="1652" spans="2:19" x14ac:dyDescent="0.5">
      <c r="B1652" t="str">
        <f t="shared" si="1851"/>
        <v>SPS1</v>
      </c>
      <c r="C1652" t="str">
        <f t="shared" si="1852"/>
        <v>CH</v>
      </c>
      <c r="D1652" t="s">
        <v>1663</v>
      </c>
      <c r="E1652" t="str">
        <f t="shared" si="1861"/>
        <v>PJ/yr.</v>
      </c>
      <c r="F1652" s="1">
        <f>[1]Transport!B$25/SUM([1]Transport!B$21,[1]Transport!B$25)*F1649*(F$35+F$600)/(F$35+F$600+F$39)</f>
        <v>9.6337065970872646E-2</v>
      </c>
      <c r="G1652" s="1">
        <f>[1]Transport!C$25/SUM([1]Transport!C$21,[1]Transport!C$25)*G1649*(G$35+G$600)/(G$35+G$600+G$39)</f>
        <v>4.3590393681969201E-2</v>
      </c>
      <c r="H1652" s="1">
        <f>[1]Transport!D$25/SUM([1]Transport!D$21,[1]Transport!D$25)*H1649*(H$35+H$600)/(H$35+H$600+H$39)</f>
        <v>8.7400469669957723E-2</v>
      </c>
      <c r="I1652" s="1">
        <f>[1]Transport!E$25/SUM([1]Transport!E$21,[1]Transport!E$25)*I1649*(I$35+I$600)/(I$35+I$600+I$39)</f>
        <v>0.13855476832000818</v>
      </c>
      <c r="J1652" s="1">
        <f>[1]Transport!F$25/SUM([1]Transport!F$21,[1]Transport!F$25)*J1649*(J$35+J$600)/(J$35+J$600+J$39)</f>
        <v>0.16330603411537103</v>
      </c>
      <c r="K1652" s="1">
        <f>[1]Transport!G$25/SUM([1]Transport!G$21,[1]Transport!G$25)*K1649*(K$35+K$600)/(K$35+K$600+K$39)</f>
        <v>9.0950290210046136E-2</v>
      </c>
      <c r="L1652" s="1">
        <f>[1]Transport!H$25/SUM([1]Transport!H$21,[1]Transport!H$25)*L1649*(L$35+L$600)/(L$35+L$600+L$39)</f>
        <v>4.5009256038842531E-2</v>
      </c>
      <c r="M1652" s="1">
        <f>[1]Transport!I$25/SUM([1]Transport!I$21,[1]Transport!I$25)*M1649*(M$35+M$600)/(M$35+M$600+M$39)</f>
        <v>0</v>
      </c>
      <c r="N1652" s="1">
        <f>[1]Transport!J$25/SUM([1]Transport!J$21,[1]Transport!J$25)*N1649*(N$35+N$600)/(N$35+N$600+N$39)</f>
        <v>0</v>
      </c>
      <c r="O1652" s="1">
        <f>[1]Transport!K$25/SUM([1]Transport!K$21,[1]Transport!K$25)*O1649*(O$35+O$600)/(O$35+O$600+O$39)</f>
        <v>0</v>
      </c>
      <c r="P1652" s="1">
        <f>[1]Transport!L$25/SUM([1]Transport!L$21,[1]Transport!L$25)*P1649*(P$35+P$600)/(P$35+P$600+P$39)</f>
        <v>0</v>
      </c>
      <c r="Q1652" s="1">
        <f>[1]Transport!M$25/SUM([1]Transport!M$21,[1]Transport!M$25)*Q1649*(Q$35+Q$600)/(Q$35+Q$600+Q$39)</f>
        <v>0</v>
      </c>
      <c r="S1652" s="3"/>
    </row>
    <row r="1653" spans="2:19" x14ac:dyDescent="0.5">
      <c r="B1653" t="str">
        <f t="shared" si="1851"/>
        <v>SPS1</v>
      </c>
      <c r="C1653" t="str">
        <f t="shared" si="1852"/>
        <v>CH</v>
      </c>
      <c r="D1653" t="s">
        <v>1664</v>
      </c>
      <c r="E1653" t="str">
        <f t="shared" si="186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(J$39+J$719)/([1]Transport!F$21+[1]Transport!F$25)*J1649</f>
        <v>0</v>
      </c>
      <c r="K1653" s="1">
        <f>(K$39+K$719)/([1]Transport!G$21+[1]Transport!G$25)*K1649</f>
        <v>0</v>
      </c>
      <c r="L1653" s="1">
        <f>(L$39+L$719)/([1]Transport!H$21+[1]Transport!H$25)*L1649</f>
        <v>0</v>
      </c>
      <c r="M1653" s="1">
        <f>(M$39+M$719)/([1]Transport!I$21+[1]Transport!I$25)*M1649</f>
        <v>0</v>
      </c>
      <c r="N1653" s="1">
        <f>(N$39+N$719)/([1]Transport!J$21+[1]Transport!J$25)*N1649</f>
        <v>0</v>
      </c>
      <c r="O1653" s="1">
        <f>(O$39+O$719)/([1]Transport!K$21+[1]Transport!K$25)*O1649</f>
        <v>0</v>
      </c>
      <c r="P1653" s="1">
        <f>(P$39+P$719)/([1]Transport!L$21+[1]Transport!L$25)*P1649</f>
        <v>0</v>
      </c>
      <c r="Q1653" s="1">
        <f>(Q$39+Q$719)/([1]Transport!M$21+[1]Transport!M$25)*Q1649</f>
        <v>0</v>
      </c>
      <c r="S1653" s="3"/>
    </row>
    <row r="1654" spans="2:19" x14ac:dyDescent="0.5">
      <c r="B1654" t="str">
        <f t="shared" si="1851"/>
        <v>SPS1</v>
      </c>
      <c r="C1654" t="str">
        <f t="shared" si="1852"/>
        <v>CH</v>
      </c>
      <c r="D1654" t="s">
        <v>1665</v>
      </c>
      <c r="E1654" t="str">
        <f t="shared" si="186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0.79629375083313325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1.5965274436023007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2.1026381488805317</v>
      </c>
      <c r="J1654" s="1" cm="1">
        <f t="array" ref="J1654">SUMPRODUCT(("TPSHPGSLEXT"=[1]OUT_TransportEnergyCons!$A$3:$A$1000)*1,("Var_Fin"=[1]OUT_TransportEnergyCons!$B$3:$B$1000)*1,ISNUMBER(SEARCH("GSL",[1]OUT_TransportEnergyCons!$C$3:$C$1000))*1,[1]OUT_TransportEnergyCons!H$3:H$1000)</f>
        <v>2.6899751931747065</v>
      </c>
      <c r="K1654" s="1" cm="1">
        <f t="array" ref="K1654">SUMPRODUCT(("TPSHPGSLEXT"=[1]OUT_TransportEnergyCons!$A$3:$A$1000)*1,("Var_Fin"=[1]OUT_TransportEnergyCons!$B$3:$B$1000)*1,ISNUMBER(SEARCH("GSL",[1]OUT_TransportEnergyCons!$C$3:$C$1000))*1,[1]OUT_TransportEnergyCons!I$3:I$1000)</f>
        <v>1.6604835726654452</v>
      </c>
      <c r="L1654" s="1" cm="1">
        <f t="array" ref="L1654">SUMPRODUCT(("TPSHPGSLEXT"=[1]OUT_TransportEnergyCons!$A$3:$A$1000)*1,("Var_Fin"=[1]OUT_TransportEnergyCons!$B$3:$B$1000)*1,ISNUMBER(SEARCH("GSL",[1]OUT_TransportEnergyCons!$C$3:$C$1000))*1,[1]OUT_TransportEnergyCons!J$3:J$1000)</f>
        <v>0.82165385776960875</v>
      </c>
      <c r="M1654" s="1" cm="1">
        <f t="array" ref="M1654">SUMPRODUCT(("TPSHPGSLEXT"=[1]OUT_TransportEnergyCons!$A$3:$A$1000)*1,("Var_Fin"=[1]OUT_TransportEnergyCons!$B$3:$B$1000)*1,ISNUMBER(SEARCH("GSL",[1]OUT_TransportEnergyCons!$C$3:$C$1000))*1,[1]OUT_TransportEnergyCons!K$3:K$1000)</f>
        <v>0</v>
      </c>
      <c r="N1654" s="1" cm="1">
        <f t="array" ref="N1654">SUMPRODUCT(("TPSHPGSLEXT"=[1]OUT_TransportEnergyCons!$A$3:$A$1000)*1,("Var_Fin"=[1]OUT_TransportEnergyCons!$B$3:$B$1000)*1,ISNUMBER(SEARCH("GSL",[1]OUT_TransportEnergyCons!$C$3:$C$1000))*1,[1]OUT_TransportEnergyCons!L$3:L$1000)</f>
        <v>0</v>
      </c>
      <c r="O1654" s="1" cm="1">
        <f t="array" ref="O1654">SUMPRODUCT(("TPSHPGSLEXT"=[1]OUT_TransportEnergyCons!$A$3:$A$1000)*1,("Var_Fin"=[1]OUT_TransportEnergyCons!$B$3:$B$1000)*1,ISNUMBER(SEARCH("GSL",[1]OUT_TransportEnergyCons!$C$3:$C$1000))*1,[1]OUT_TransportEnergyCons!M$3:M$1000)</f>
        <v>0</v>
      </c>
      <c r="P1654" s="1" cm="1">
        <f t="array" ref="P1654">SUMPRODUCT(("TPSHPGSLEXT"=[1]OUT_TransportEnergyCons!$A$3:$A$1000)*1,("Var_Fin"=[1]OUT_TransportEnergyCons!$B$3:$B$1000)*1,ISNUMBER(SEARCH("GSL",[1]OUT_TransportEnergyCons!$C$3:$C$1000))*1,[1]OUT_TransportEnergyCons!N$3:N$1000)</f>
        <v>0</v>
      </c>
      <c r="Q1654" s="1" cm="1">
        <f t="array" ref="Q1654">SUMPRODUCT(("TPSHPGSLEXT"=[1]OUT_TransportEnergyCons!$A$3:$A$1000)*1,("Var_Fin"=[1]OUT_TransportEnergyCons!$B$3:$B$1000)*1,ISNUMBER(SEARCH("GSL",[1]OUT_TransportEnergyCons!$C$3:$C$1000))*1,[1]OUT_TransportEnergyCons!O$3:O$1000)</f>
        <v>0</v>
      </c>
      <c r="S1654" s="3"/>
    </row>
    <row r="1655" spans="2:19" x14ac:dyDescent="0.5">
      <c r="B1655" t="str">
        <f t="shared" si="1851"/>
        <v>SPS1</v>
      </c>
      <c r="C1655" t="str">
        <f t="shared" si="1852"/>
        <v>CH</v>
      </c>
      <c r="D1655" t="s">
        <v>1666</v>
      </c>
      <c r="E1655" t="str">
        <f t="shared" si="1861"/>
        <v>PJ/yr.</v>
      </c>
      <c r="F1655" s="1">
        <f>[1]TRA_FuelByFleet!F$99</f>
        <v>0</v>
      </c>
      <c r="G1655" s="1">
        <f>[1]TRA_FuelByFleet!G$99</f>
        <v>0</v>
      </c>
      <c r="H1655" s="1">
        <f>[1]TRA_FuelByFleet!H$99</f>
        <v>0</v>
      </c>
      <c r="I1655" s="1">
        <f>[1]TRA_FuelByFleet!I$99</f>
        <v>0</v>
      </c>
      <c r="J1655" s="1">
        <f>[1]TRA_FuelByFleet!J$99</f>
        <v>0</v>
      </c>
      <c r="K1655" s="1">
        <f>[1]TRA_FuelByFleet!K$99</f>
        <v>0</v>
      </c>
      <c r="L1655" s="1">
        <f>[1]TRA_FuelByFleet!L$99</f>
        <v>0</v>
      </c>
      <c r="M1655" s="1">
        <f>[1]TRA_FuelByFleet!M$99</f>
        <v>0</v>
      </c>
      <c r="N1655" s="1">
        <f>[1]TRA_FuelByFleet!N$99</f>
        <v>0</v>
      </c>
      <c r="O1655" s="1">
        <f>[1]TRA_FuelByFleet!O$99</f>
        <v>0</v>
      </c>
      <c r="P1655" s="1">
        <f>[1]TRA_FuelByFleet!P$99</f>
        <v>0</v>
      </c>
      <c r="Q1655" s="1">
        <f>[1]TRA_FuelByFleet!Q$99</f>
        <v>0</v>
      </c>
      <c r="S1655" s="3"/>
    </row>
    <row r="1656" spans="2:19" x14ac:dyDescent="0.5">
      <c r="B1656" t="str">
        <f t="shared" si="1851"/>
        <v>SPS1</v>
      </c>
      <c r="C1656" t="str">
        <f t="shared" si="1852"/>
        <v>CH</v>
      </c>
      <c r="D1656" t="s">
        <v>1667</v>
      </c>
      <c r="E1656" t="str">
        <f t="shared" si="1861"/>
        <v>PJ/yr.</v>
      </c>
      <c r="F1656" s="1">
        <f>F1655-F1657</f>
        <v>0</v>
      </c>
      <c r="G1656" s="1">
        <f t="shared" ref="G1656:K1656" si="1866">G1655-G1657</f>
        <v>0</v>
      </c>
      <c r="H1656" s="1">
        <f t="shared" si="1866"/>
        <v>0</v>
      </c>
      <c r="I1656" s="1">
        <f t="shared" si="1866"/>
        <v>0</v>
      </c>
      <c r="J1656" s="1">
        <f t="shared" si="1866"/>
        <v>0</v>
      </c>
      <c r="K1656" s="1">
        <f t="shared" si="1866"/>
        <v>0</v>
      </c>
      <c r="L1656" s="1">
        <f t="shared" ref="L1656:O1656" si="1867">L1655-L1657</f>
        <v>0</v>
      </c>
      <c r="M1656" s="1">
        <f t="shared" si="1867"/>
        <v>0</v>
      </c>
      <c r="N1656" s="1">
        <f t="shared" si="1867"/>
        <v>0</v>
      </c>
      <c r="O1656" s="1">
        <f t="shared" si="1867"/>
        <v>0</v>
      </c>
      <c r="P1656" s="1">
        <f>P1655-P1657</f>
        <v>0</v>
      </c>
      <c r="Q1656" s="1">
        <f>Q1655-Q1657</f>
        <v>0</v>
      </c>
      <c r="S1656" s="3"/>
    </row>
    <row r="1657" spans="2:19" x14ac:dyDescent="0.5">
      <c r="B1657" t="str">
        <f t="shared" si="1851"/>
        <v>SPS1</v>
      </c>
      <c r="C1657" t="str">
        <f t="shared" si="1852"/>
        <v>CH</v>
      </c>
      <c r="D1657" t="s">
        <v>1668</v>
      </c>
      <c r="E1657" t="str">
        <f t="shared" si="1861"/>
        <v>PJ/yr.</v>
      </c>
      <c r="F1657" s="1">
        <f>SUM(F1658:F1659)</f>
        <v>0</v>
      </c>
      <c r="G1657" s="1">
        <f t="shared" ref="G1657:K1657" si="1868">SUM(G1658:G1659)</f>
        <v>0</v>
      </c>
      <c r="H1657" s="1">
        <f t="shared" si="1868"/>
        <v>0</v>
      </c>
      <c r="I1657" s="1">
        <f t="shared" si="1868"/>
        <v>0</v>
      </c>
      <c r="J1657" s="1">
        <f t="shared" si="1868"/>
        <v>0</v>
      </c>
      <c r="K1657" s="1">
        <f t="shared" si="1868"/>
        <v>0</v>
      </c>
      <c r="L1657" s="1">
        <f t="shared" ref="L1657:O1657" si="1869">SUM(L1658:L1659)</f>
        <v>0</v>
      </c>
      <c r="M1657" s="1">
        <f t="shared" si="1869"/>
        <v>0</v>
      </c>
      <c r="N1657" s="1">
        <f t="shared" si="1869"/>
        <v>0</v>
      </c>
      <c r="O1657" s="1">
        <f t="shared" si="1869"/>
        <v>0</v>
      </c>
      <c r="P1657" s="1">
        <f>SUM(P1658:P1659)</f>
        <v>0</v>
      </c>
      <c r="Q1657" s="1">
        <f>SUM(Q1658:Q1659)</f>
        <v>0</v>
      </c>
      <c r="S1657" s="3"/>
    </row>
    <row r="1658" spans="2:19" x14ac:dyDescent="0.5">
      <c r="B1658" t="str">
        <f t="shared" si="1851"/>
        <v>SPS1</v>
      </c>
      <c r="C1658" t="str">
        <f t="shared" si="1852"/>
        <v>CH</v>
      </c>
      <c r="D1658" t="s">
        <v>1669</v>
      </c>
      <c r="E1658" t="str">
        <f t="shared" si="1861"/>
        <v>PJ/yr.</v>
      </c>
      <c r="F1658" s="1">
        <f>[1]Transport!B$26/SUM([1]Transport!B$22,[1]Transport!B$26)*F1655*(F$34+F$582)/(F$34+F$582+F$38)</f>
        <v>0</v>
      </c>
      <c r="G1658" s="1">
        <f>[1]Transport!C$26/SUM([1]Transport!C$22,[1]Transport!C$26)*G1655*(G$34+G$582)/(G$34+G$582+G$38)</f>
        <v>0</v>
      </c>
      <c r="H1658" s="1">
        <f>[1]Transport!D$26/SUM([1]Transport!D$22,[1]Transport!D$26)*H1655*(H$34+H$582)/(H$34+H$582+H$38)</f>
        <v>0</v>
      </c>
      <c r="I1658" s="1">
        <f>[1]Transport!E$26/SUM([1]Transport!E$22,[1]Transport!E$26)*I1655*(I$34+I$582)/(I$34+I$582+I$38)</f>
        <v>0</v>
      </c>
      <c r="J1658" s="1">
        <f>[1]Transport!F$26/SUM([1]Transport!F$22,[1]Transport!F$26)*J1655*(J$34+J$582)/(J$34+J$582+J$38)</f>
        <v>0</v>
      </c>
      <c r="K1658" s="1">
        <f>[1]Transport!G$26/SUM([1]Transport!G$22,[1]Transport!G$26)*K1655*(K$34+K$582)/(K$34+K$582+K$38)</f>
        <v>0</v>
      </c>
      <c r="L1658" s="1">
        <f>[1]Transport!H$26/SUM([1]Transport!H$22,[1]Transport!H$26)*L1655*(L$34+L$582)/(L$34+L$582+L$38)</f>
        <v>0</v>
      </c>
      <c r="M1658" s="1">
        <f>[1]Transport!I$26/SUM([1]Transport!I$22,[1]Transport!I$26)*M1655*(M$34+M$582)/(M$34+M$582+M$38)</f>
        <v>0</v>
      </c>
      <c r="N1658" s="1">
        <f>[1]Transport!J$26/SUM([1]Transport!J$22,[1]Transport!J$26)*N1655*(N$34+N$582)/(N$34+N$582+N$38)</f>
        <v>0</v>
      </c>
      <c r="O1658" s="1">
        <f>[1]Transport!K$26/SUM([1]Transport!K$22,[1]Transport!K$26)*O1655*(O$34+O$582)/(O$34+O$582+O$38)</f>
        <v>0</v>
      </c>
      <c r="P1658" s="1">
        <f>[1]Transport!L$26/SUM([1]Transport!L$22,[1]Transport!L$26)*P1655*(P$34+P$582)/(P$34+P$582+P$38)</f>
        <v>0</v>
      </c>
      <c r="Q1658" s="1">
        <f>[1]Transport!M$26/SUM([1]Transport!M$22,[1]Transport!M$26)*Q1655*(Q$34+Q$582)/(Q$34+Q$582+Q$38)</f>
        <v>0</v>
      </c>
      <c r="S1658" s="3"/>
    </row>
    <row r="1659" spans="2:19" x14ac:dyDescent="0.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[1]Transport!F$26/SUM([1]Transport!F$22,[1]Transport!F$26)*J1655-J1658</f>
        <v>0</v>
      </c>
      <c r="K1659" s="1">
        <f>[1]Transport!G$26/SUM([1]Transport!G$22,[1]Transport!G$26)*K1655-K1658</f>
        <v>0</v>
      </c>
      <c r="L1659" s="1">
        <f>[1]Transport!H$26/SUM([1]Transport!H$22,[1]Transport!H$26)*L1655-L1658</f>
        <v>0</v>
      </c>
      <c r="M1659" s="1">
        <f>[1]Transport!I$26/SUM([1]Transport!I$22,[1]Transport!I$26)*M1655-M1658</f>
        <v>0</v>
      </c>
      <c r="N1659" s="1">
        <f>[1]Transport!J$26/SUM([1]Transport!J$22,[1]Transport!J$26)*N1655-N1658</f>
        <v>0</v>
      </c>
      <c r="O1659" s="1">
        <f>[1]Transport!K$26/SUM([1]Transport!K$22,[1]Transport!K$26)*O1655-O1658</f>
        <v>0</v>
      </c>
      <c r="P1659" s="1">
        <f>[1]Transport!L$26/SUM([1]Transport!L$22,[1]Transport!L$26)*P1655-P1658</f>
        <v>0</v>
      </c>
      <c r="Q1659" s="1">
        <f>[1]Transport!M$26/SUM([1]Transport!M$22,[1]Transport!M$26)*Q1655-Q1658</f>
        <v>0</v>
      </c>
      <c r="S1659" s="3"/>
    </row>
    <row r="1660" spans="2:19" x14ac:dyDescent="0.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SUMPRODUCT(("TPRLPDSLEXT"=[1]OUT_TransportEnergyCons!$A$3:$A$1000)*1,("Var_Fin"=[1]OUT_TransportEnergyCons!$B$3:$B$1000)*1,ISNUMBER(SEARCH("DSL",[1]OUT_TransportEnergyCons!$C$3:$C$1000))*1,[1]OUT_TransportEnergyCons!H$3:H$1000)</f>
        <v>0</v>
      </c>
      <c r="K1660" s="1" cm="1">
        <f t="array" ref="K1660">SUMPRODUCT(("TPRLPDSLEXT"=[1]OUT_TransportEnergyCons!$A$3:$A$1000)*1,("Var_Fin"=[1]OUT_TransportEnergyCons!$B$3:$B$1000)*1,ISNUMBER(SEARCH("DSL",[1]OUT_TransportEnergyCons!$C$3:$C$1000))*1,[1]OUT_TransportEnergyCons!I$3:I$1000)</f>
        <v>0</v>
      </c>
      <c r="L1660" s="1" cm="1">
        <f t="array" ref="L1660">SUMPRODUCT(("TPRLPDSLEXT"=[1]OUT_TransportEnergyCons!$A$3:$A$1000)*1,("Var_Fin"=[1]OUT_TransportEnergyCons!$B$3:$B$1000)*1,ISNUMBER(SEARCH("DSL",[1]OUT_TransportEnergyCons!$C$3:$C$1000))*1,[1]OUT_TransportEnergyCons!J$3:J$1000)</f>
        <v>0</v>
      </c>
      <c r="M1660" s="1" cm="1">
        <f t="array" ref="M1660">SUMPRODUCT(("TPRLPDSLEXT"=[1]OUT_TransportEnergyCons!$A$3:$A$1000)*1,("Var_Fin"=[1]OUT_TransportEnergyCons!$B$3:$B$1000)*1,ISNUMBER(SEARCH("DSL",[1]OUT_TransportEnergyCons!$C$3:$C$1000))*1,[1]OUT_TransportEnergyCons!K$3:K$1000)</f>
        <v>0</v>
      </c>
      <c r="N1660" s="1" cm="1">
        <f t="array" ref="N1660">SUMPRODUCT(("TPRLPDSLEXT"=[1]OUT_TransportEnergyCons!$A$3:$A$1000)*1,("Var_Fin"=[1]OUT_TransportEnergyCons!$B$3:$B$1000)*1,ISNUMBER(SEARCH("DSL",[1]OUT_TransportEnergyCons!$C$3:$C$1000))*1,[1]OUT_TransportEnergyCons!L$3:L$1000)</f>
        <v>0</v>
      </c>
      <c r="O1660" s="1" cm="1">
        <f t="array" ref="O1660">SUMPRODUCT(("TPRLPDSLEXT"=[1]OUT_TransportEnergyCons!$A$3:$A$1000)*1,("Var_Fin"=[1]OUT_TransportEnergyCons!$B$3:$B$1000)*1,ISNUMBER(SEARCH("DSL",[1]OUT_TransportEnergyCons!$C$3:$C$1000))*1,[1]OUT_TransportEnergyCons!M$3:M$1000)</f>
        <v>0</v>
      </c>
      <c r="P1660" s="1" cm="1">
        <f t="array" ref="P1660">SUMPRODUCT(("TPRLPDSLEXT"=[1]OUT_TransportEnergyCons!$A$3:$A$1000)*1,("Var_Fin"=[1]OUT_TransportEnergyCons!$B$3:$B$1000)*1,ISNUMBER(SEARCH("DSL",[1]OUT_TransportEnergyCons!$C$3:$C$1000))*1,[1]OUT_TransportEnergyCons!N$3:N$1000)</f>
        <v>0</v>
      </c>
      <c r="Q1660" s="1" cm="1">
        <f t="array" ref="Q1660">SUMPRODUCT(("TPRLPDSLEXT"=[1]OUT_TransportEnergyCons!$A$3:$A$1000)*1,("Var_Fin"=[1]OUT_TransportEnergyCons!$B$3:$B$1000)*1,ISNUMBER(SEARCH("DSL",[1]OUT_TransportEnergyCons!$C$3:$C$1000))*1,[1]OUT_TransportEnergyCons!O$3:O$1000)</f>
        <v>0</v>
      </c>
      <c r="S1660" s="3"/>
    </row>
    <row r="1661" spans="2:19" x14ac:dyDescent="0.5">
      <c r="B1661" t="str">
        <f t="shared" si="1851"/>
        <v>SPS1</v>
      </c>
      <c r="C1661" t="str">
        <f t="shared" si="1852"/>
        <v>CH</v>
      </c>
      <c r="D1661" t="s">
        <v>1672</v>
      </c>
      <c r="E1661" t="str">
        <f t="shared" si="186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0.39609083135667739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2.5419700386885365E-3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2.6401023060021573E-3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2.7480082173324681E-3</v>
      </c>
      <c r="J1661" s="1" cm="1">
        <f t="array" ref="J1661">SUMPRODUCT(("TFRLFDSLEXT"=[1]OUT_TransportEnergyCons!$A$3:$A$1000)*1,("Var_Fin"=[1]OUT_TransportEnergyCons!$B$3:$B$1000)*1,ISNUMBER(SEARCH("DSL",[1]OUT_TransportEnergyCons!$C$3:$C$1000))*1,[1]OUT_TransportEnergyCons!H$3:H$1000)</f>
        <v>2.6776008030787953E-3</v>
      </c>
      <c r="K1661" s="1" cm="1">
        <f t="array" ref="K1661">SUMPRODUCT(("TFRLFDSLEXT"=[1]OUT_TransportEnergyCons!$A$3:$A$1000)*1,("Var_Fin"=[1]OUT_TransportEnergyCons!$B$3:$B$1000)*1,ISNUMBER(SEARCH("DSL",[1]OUT_TransportEnergyCons!$C$3:$C$1000))*1,[1]OUT_TransportEnergyCons!I$3:I$1000)</f>
        <v>2.6713839742689522E-3</v>
      </c>
      <c r="L1661" s="1" cm="1">
        <f t="array" ref="L1661">SUMPRODUCT(("TFRLFDSLEXT"=[1]OUT_TransportEnergyCons!$A$3:$A$1000)*1,("Var_Fin"=[1]OUT_TransportEnergyCons!$B$3:$B$1000)*1,ISNUMBER(SEARCH("DSL",[1]OUT_TransportEnergyCons!$C$3:$C$1000))*1,[1]OUT_TransportEnergyCons!J$3:J$1000)</f>
        <v>2.6786683722313841E-3</v>
      </c>
      <c r="M1661" s="1" cm="1">
        <f t="array" ref="M1661">SUMPRODUCT(("TFRLFDSLEXT"=[1]OUT_TransportEnergyCons!$A$3:$A$1000)*1,("Var_Fin"=[1]OUT_TransportEnergyCons!$B$3:$B$1000)*1,ISNUMBER(SEARCH("DSL",[1]OUT_TransportEnergyCons!$C$3:$C$1000))*1,[1]OUT_TransportEnergyCons!K$3:K$1000)</f>
        <v>2.2380850423309876E-3</v>
      </c>
      <c r="N1661" s="1" cm="1">
        <f t="array" ref="N1661">SUMPRODUCT(("TFRLFDSLEXT"=[1]OUT_TransportEnergyCons!$A$3:$A$1000)*1,("Var_Fin"=[1]OUT_TransportEnergyCons!$B$3:$B$1000)*1,ISNUMBER(SEARCH("DSL",[1]OUT_TransportEnergyCons!$C$3:$C$1000))*1,[1]OUT_TransportEnergyCons!L$3:L$1000)</f>
        <v>1.1678323342243417E-3</v>
      </c>
      <c r="O1661" s="1" cm="1">
        <f t="array" ref="O1661">SUMPRODUCT(("TFRLFDSLEXT"=[1]OUT_TransportEnergyCons!$A$3:$A$1000)*1,("Var_Fin"=[1]OUT_TransportEnergyCons!$B$3:$B$1000)*1,ISNUMBER(SEARCH("DSL",[1]OUT_TransportEnergyCons!$C$3:$C$1000))*1,[1]OUT_TransportEnergyCons!M$3:M$1000)</f>
        <v>2.2766148816004963E-3</v>
      </c>
      <c r="P1661" s="1" cm="1">
        <f t="array" ref="P1661">SUMPRODUCT(("TFRLFDSLEXT"=[1]OUT_TransportEnergyCons!$A$3:$A$1000)*1,("Var_Fin"=[1]OUT_TransportEnergyCons!$B$3:$B$1000)*1,ISNUMBER(SEARCH("DSL",[1]OUT_TransportEnergyCons!$C$3:$C$1000))*1,[1]OUT_TransportEnergyCons!N$3:N$1000)</f>
        <v>2.3176814695480379E-3</v>
      </c>
      <c r="Q1661" s="1" cm="1">
        <f t="array" ref="Q1661">SUMPRODUCT(("TFRLFDSLEXT"=[1]OUT_TransportEnergyCons!$A$3:$A$1000)*1,("Var_Fin"=[1]OUT_TransportEnergyCons!$B$3:$B$1000)*1,ISNUMBER(SEARCH("DSL",[1]OUT_TransportEnergyCons!$C$3:$C$1000))*1,[1]OUT_TransportEnergyCons!O$3:O$1000)</f>
        <v>4.3608155267079694E-3</v>
      </c>
      <c r="S1661" s="3"/>
    </row>
    <row r="1662" spans="2:19" x14ac:dyDescent="0.5">
      <c r="B1662" t="str">
        <f t="shared" si="1851"/>
        <v>SPS1</v>
      </c>
      <c r="C1662" t="str">
        <f t="shared" si="1852"/>
        <v>CH</v>
      </c>
      <c r="D1662" t="s">
        <v>1673</v>
      </c>
      <c r="E1662" t="str">
        <f t="shared" si="186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17.380436752915653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15.762754153089015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14.414816480540271</v>
      </c>
      <c r="J1662" s="1" cm="1">
        <f t="array" ref="J1662">SUMPRODUCT(("TPSHPDSLEXT"=[1]OUT_TransportEnergyCons!$A$3:$A$1000)*1,("Var_Fin"=[1]OUT_TransportEnergyCons!$B$3:$B$1000)*1,ISNUMBER(SEARCH("DSL",[1]OUT_TransportEnergyCons!$C$3:$C$1000))*1,[1]OUT_TransportEnergyCons!H$3:H$1000)</f>
        <v>13.875464762542808</v>
      </c>
      <c r="K1662" s="1" cm="1">
        <f t="array" ref="K1662">SUMPRODUCT(("TPSHPDSLEXT"=[1]OUT_TransportEnergyCons!$A$3:$A$1000)*1,("Var_Fin"=[1]OUT_TransportEnergyCons!$B$3:$B$1000)*1,ISNUMBER(SEARCH("DSL",[1]OUT_TransportEnergyCons!$C$3:$C$1000))*1,[1]OUT_TransportEnergyCons!I$3:I$1000)</f>
        <v>13.336155609158252</v>
      </c>
      <c r="L1662" s="1" cm="1">
        <f t="array" ref="L1662">SUMPRODUCT(("TPSHPDSLEXT"=[1]OUT_TransportEnergyCons!$A$3:$A$1000)*1,("Var_Fin"=[1]OUT_TransportEnergyCons!$B$3:$B$1000)*1,ISNUMBER(SEARCH("DSL",[1]OUT_TransportEnergyCons!$C$3:$C$1000))*1,[1]OUT_TransportEnergyCons!J$3:J$1000)</f>
        <v>12.25605561827685</v>
      </c>
      <c r="M1662" s="1" cm="1">
        <f t="array" ref="M1662">SUMPRODUCT(("TPSHPDSLEXT"=[1]OUT_TransportEnergyCons!$A$3:$A$1000)*1,("Var_Fin"=[1]OUT_TransportEnergyCons!$B$3:$B$1000)*1,ISNUMBER(SEARCH("DSL",[1]OUT_TransportEnergyCons!$C$3:$C$1000))*1,[1]OUT_TransportEnergyCons!K$3:K$1000)</f>
        <v>12.255830922324501</v>
      </c>
      <c r="N1662" s="1" cm="1">
        <f t="array" ref="N1662">SUMPRODUCT(("TPSHPDSLEXT"=[1]OUT_TransportEnergyCons!$A$3:$A$1000)*1,("Var_Fin"=[1]OUT_TransportEnergyCons!$B$3:$B$1000)*1,ISNUMBER(SEARCH("DSL",[1]OUT_TransportEnergyCons!$C$3:$C$1000))*1,[1]OUT_TransportEnergyCons!L$3:L$1000)</f>
        <v>12.255141417816656</v>
      </c>
      <c r="O1662" s="1" cm="1">
        <f t="array" ref="O1662">SUMPRODUCT(("TPSHPDSLEXT"=[1]OUT_TransportEnergyCons!$A$3:$A$1000)*1,("Var_Fin"=[1]OUT_TransportEnergyCons!$B$3:$B$1000)*1,ISNUMBER(SEARCH("DSL",[1]OUT_TransportEnergyCons!$C$3:$C$1000))*1,[1]OUT_TransportEnergyCons!M$3:M$1000)</f>
        <v>5.6845924150714735</v>
      </c>
      <c r="P1662" s="1" cm="1">
        <f t="array" ref="P1662">SUMPRODUCT(("TPSHPDSLEXT"=[1]OUT_TransportEnergyCons!$A$3:$A$1000)*1,("Var_Fin"=[1]OUT_TransportEnergyCons!$B$3:$B$1000)*1,ISNUMBER(SEARCH("DSL",[1]OUT_TransportEnergyCons!$C$3:$C$1000))*1,[1]OUT_TransportEnergyCons!N$3:N$1000)</f>
        <v>2.0431937028271721</v>
      </c>
      <c r="Q1662" s="1" cm="1">
        <f t="array" ref="Q1662">SUMPRODUCT(("TPSHPDSLEXT"=[1]OUT_TransportEnergyCons!$A$3:$A$1000)*1,("Var_Fin"=[1]OUT_TransportEnergyCons!$B$3:$B$1000)*1,ISNUMBER(SEARCH("DSL",[1]OUT_TransportEnergyCons!$C$3:$C$1000))*1,[1]OUT_TransportEnergyCons!O$3:O$1000)</f>
        <v>2.0430890528201435</v>
      </c>
      <c r="S1662" s="3"/>
    </row>
    <row r="1663" spans="2:19" x14ac:dyDescent="0.5">
      <c r="B1663" t="str">
        <f t="shared" ref="B1663:C1665" si="1870">B1657</f>
        <v>SPS1</v>
      </c>
      <c r="C1663" t="str">
        <f t="shared" si="1870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30.626565602994102</v>
      </c>
      <c r="G1663" s="1">
        <f>IF([1]Transport!C$23+[1]Transport_Aviation_Intl!C$11&lt;0,0,[1]Transport!C$23+[1]Transport_Aviation_Intl!C$11)</f>
        <v>59.879952957887994</v>
      </c>
      <c r="H1663" s="1">
        <f>IF([1]Transport!D$23+[1]Transport_Aviation_Intl!D$11&lt;0,0,[1]Transport!D$23+[1]Transport_Aviation_Intl!D$11)</f>
        <v>86.117864331136118</v>
      </c>
      <c r="I1663" s="1">
        <f>IF([1]Transport!E$23+[1]Transport_Aviation_Intl!E$11&lt;0,0,[1]Transport!E$23+[1]Transport_Aviation_Intl!E$11)</f>
        <v>86.930362738316077</v>
      </c>
      <c r="J1663" s="1">
        <f>IF([1]Transport!F$23+[1]Transport_Aviation_Intl!F$11&lt;0,0,[1]Transport!F$23+[1]Transport_Aviation_Intl!F$11)</f>
        <v>91.104865284283406</v>
      </c>
      <c r="K1663" s="1">
        <f>IF([1]Transport!G$23+[1]Transport_Aviation_Intl!G$11&lt;0,0,[1]Transport!G$23+[1]Transport_Aviation_Intl!G$11)</f>
        <v>94.054822098104324</v>
      </c>
      <c r="L1663" s="1">
        <f>IF([1]Transport!H$23+[1]Transport_Aviation_Intl!H$11&lt;0,0,[1]Transport!H$23+[1]Transport_Aviation_Intl!H$11)</f>
        <v>95.930554817501047</v>
      </c>
      <c r="M1663" s="1">
        <f>IF([1]Transport!I$23+[1]Transport_Aviation_Intl!I$11&lt;0,0,[1]Transport!I$23+[1]Transport_Aviation_Intl!I$11)</f>
        <v>97.566303868995561</v>
      </c>
      <c r="N1663" s="1">
        <f>IF([1]Transport!J$23+[1]Transport_Aviation_Intl!J$11&lt;0,0,[1]Transport!J$23+[1]Transport_Aviation_Intl!J$11)</f>
        <v>95.316957179240291</v>
      </c>
      <c r="O1663" s="1">
        <f>IF([1]Transport!K$23+[1]Transport_Aviation_Intl!K$11&lt;0,0,[1]Transport!K$23+[1]Transport_Aviation_Intl!K$11)</f>
        <v>95.634109113289952</v>
      </c>
      <c r="P1663" s="1">
        <f>IF([1]Transport!L$23+[1]Transport_Aviation_Intl!L$11&lt;0,0,[1]Transport!L$23+[1]Transport_Aviation_Intl!L$11)</f>
        <v>97.1900628701041</v>
      </c>
      <c r="Q1663" s="1">
        <f>IF([1]Transport!M$23+[1]Transport_Aviation_Intl!M$11&lt;0,0,[1]Transport!M$23+[1]Transport_Aviation_Intl!M$11)</f>
        <v>98.857063674983465</v>
      </c>
      <c r="S1663" s="3"/>
    </row>
    <row r="1664" spans="2:19" x14ac:dyDescent="0.5">
      <c r="B1664" t="str">
        <f t="shared" si="1870"/>
        <v>SPS1</v>
      </c>
      <c r="C1664" t="str">
        <f t="shared" si="1870"/>
        <v>CH</v>
      </c>
      <c r="D1664" t="s">
        <v>2480</v>
      </c>
      <c r="E1664" t="str">
        <f>E1658</f>
        <v>PJ/yr.</v>
      </c>
      <c r="F1664" s="1">
        <f t="shared" ref="F1664:K1664" si="1871">F36</f>
        <v>3.4344208278865398E-3</v>
      </c>
      <c r="G1664" s="1">
        <f t="shared" si="1871"/>
        <v>4.7058561587977702E-5</v>
      </c>
      <c r="H1664" s="1">
        <f t="shared" si="1871"/>
        <v>5.7154662581354798E-3</v>
      </c>
      <c r="I1664" s="1">
        <f t="shared" si="1871"/>
        <v>6.3642948069011407</v>
      </c>
      <c r="J1664" s="1">
        <f t="shared" si="1871"/>
        <v>6.3642948069011407</v>
      </c>
      <c r="K1664" s="1">
        <f t="shared" si="1871"/>
        <v>6.934336819922537</v>
      </c>
      <c r="L1664" s="1">
        <f t="shared" ref="L1664:O1664" si="1872">L36</f>
        <v>7.0927247961881275</v>
      </c>
      <c r="M1664" s="1">
        <f t="shared" si="1872"/>
        <v>7.3613119627372186</v>
      </c>
      <c r="N1664" s="1">
        <f t="shared" si="1872"/>
        <v>7.519904205351799</v>
      </c>
      <c r="O1664" s="1">
        <f t="shared" si="1872"/>
        <v>7.5235105490846363</v>
      </c>
      <c r="P1664" s="1">
        <f>P36</f>
        <v>7.4072668238661707</v>
      </c>
      <c r="Q1664" s="1">
        <f>Q36</f>
        <v>7.3845233229030596</v>
      </c>
      <c r="S1664" s="3"/>
    </row>
    <row r="1665" spans="2:19" x14ac:dyDescent="0.5">
      <c r="B1665" t="str">
        <f t="shared" si="1870"/>
        <v>SPS1</v>
      </c>
      <c r="C1665" t="str">
        <f t="shared" si="1870"/>
        <v>CH</v>
      </c>
      <c r="D1665" t="s">
        <v>2481</v>
      </c>
      <c r="E1665" t="str">
        <f>E1659</f>
        <v>PJ/yr.</v>
      </c>
      <c r="F1665" s="1">
        <f t="shared" ref="F1665:K1665" si="1873">F40</f>
        <v>0</v>
      </c>
      <c r="G1665" s="1">
        <f t="shared" si="1873"/>
        <v>0</v>
      </c>
      <c r="H1665" s="1">
        <f t="shared" si="1873"/>
        <v>0</v>
      </c>
      <c r="I1665" s="1">
        <f t="shared" si="1873"/>
        <v>0</v>
      </c>
      <c r="J1665" s="1">
        <f t="shared" si="1873"/>
        <v>0.57004201302139634</v>
      </c>
      <c r="K1665" s="1">
        <f t="shared" si="1873"/>
        <v>0.15838797626559042</v>
      </c>
      <c r="L1665" s="1">
        <f t="shared" ref="L1665:O1665" si="1874">L40</f>
        <v>0.26858716654909109</v>
      </c>
      <c r="M1665" s="1">
        <f t="shared" si="1874"/>
        <v>0.15859224261458049</v>
      </c>
      <c r="N1665" s="1">
        <f t="shared" si="1874"/>
        <v>3.6063437328373027E-3</v>
      </c>
      <c r="O1665" s="1">
        <f t="shared" si="1874"/>
        <v>2.801289401047935E-2</v>
      </c>
      <c r="P1665" s="1">
        <f>P40</f>
        <v>0</v>
      </c>
      <c r="Q1665" s="1">
        <f>Q40</f>
        <v>0</v>
      </c>
      <c r="S1665" s="3"/>
    </row>
    <row r="1666" spans="2:19" x14ac:dyDescent="0.5">
      <c r="B1666" s="2" t="str">
        <f>B1662</f>
        <v>SPS1</v>
      </c>
      <c r="C1666" s="2" t="str">
        <f>C1662</f>
        <v>CH</v>
      </c>
      <c r="D1666" s="2" t="s">
        <v>1674</v>
      </c>
      <c r="E1666" s="19" t="s">
        <v>292</v>
      </c>
      <c r="F1666" s="19" t="s">
        <v>292</v>
      </c>
      <c r="G1666" s="19" t="s">
        <v>292</v>
      </c>
      <c r="H1666" s="19" t="s">
        <v>292</v>
      </c>
      <c r="I1666" s="19" t="s">
        <v>292</v>
      </c>
      <c r="J1666" s="19" t="s">
        <v>292</v>
      </c>
      <c r="K1666" s="19" t="s">
        <v>292</v>
      </c>
      <c r="L1666" s="19" t="s">
        <v>292</v>
      </c>
      <c r="M1666" s="19" t="s">
        <v>292</v>
      </c>
      <c r="N1666" s="19" t="s">
        <v>292</v>
      </c>
      <c r="O1666" s="19" t="s">
        <v>292</v>
      </c>
      <c r="P1666" s="19" t="s">
        <v>292</v>
      </c>
      <c r="Q1666" s="19" t="s">
        <v>292</v>
      </c>
      <c r="S1666" s="3"/>
    </row>
    <row r="1667" spans="2:19" x14ac:dyDescent="0.5">
      <c r="B1667" t="str">
        <f t="shared" ref="B1667:B1687" si="1875">B1666</f>
        <v>SPS1</v>
      </c>
      <c r="C1667" t="str">
        <f t="shared" si="185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SUMPRODUCT(("TPRLPELCEXT"=[1]OUT_TransportEnergyCons!$A$3:$A$1000)*1,("var_fout"=[1]OUT_TransportEnergyCons!$B$3:$B$1000)*1,ISNUMBER(SEARCH("TPRLP",[1]OUT_TransportEnergyCons!$C$3:$C$1000))*1,[1]OUT_TransportEnergyCons!H$3:H$1000)</f>
        <v>0.23259804492562927</v>
      </c>
      <c r="K1667" s="1" cm="1">
        <f t="array" ref="K1667">SUMPRODUCT(("TPRLPELCEXT"=[1]OUT_TransportEnergyCons!$A$3:$A$1000)*1,("var_fout"=[1]OUT_TransportEnergyCons!$B$3:$B$1000)*1,ISNUMBER(SEARCH("TPRLP",[1]OUT_TransportEnergyCons!$C$3:$C$1000))*1,[1]OUT_TransportEnergyCons!I$3:I$1000)</f>
        <v>0.24501362769942422</v>
      </c>
      <c r="L1667" s="1" cm="1">
        <f t="array" ref="L1667">SUMPRODUCT(("TPRLPELCEXT"=[1]OUT_TransportEnergyCons!$A$3:$A$1000)*1,("var_fout"=[1]OUT_TransportEnergyCons!$B$3:$B$1000)*1,ISNUMBER(SEARCH("TPRLP",[1]OUT_TransportEnergyCons!$C$3:$C$1000))*1,[1]OUT_TransportEnergyCons!J$3:J$1000)</f>
        <v>0.25420019569950481</v>
      </c>
      <c r="M1667" s="1" cm="1">
        <f t="array" ref="M1667">SUMPRODUCT(("TPRLPELCEXT"=[1]OUT_TransportEnergyCons!$A$3:$A$1000)*1,("var_fout"=[1]OUT_TransportEnergyCons!$B$3:$B$1000)*1,ISNUMBER(SEARCH("TPRLP",[1]OUT_TransportEnergyCons!$C$3:$C$1000))*1,[1]OUT_TransportEnergyCons!K$3:K$1000)</f>
        <v>0.26337929118561842</v>
      </c>
      <c r="N1667" s="1" cm="1">
        <f t="array" ref="N1667">SUMPRODUCT(("TPRLPELCEXT"=[1]OUT_TransportEnergyCons!$A$3:$A$1000)*1,("var_fout"=[1]OUT_TransportEnergyCons!$B$3:$B$1000)*1,ISNUMBER(SEARCH("TPRLP",[1]OUT_TransportEnergyCons!$C$3:$C$1000))*1,[1]OUT_TransportEnergyCons!L$3:L$1000)</f>
        <v>0.27581483827500253</v>
      </c>
      <c r="O1667" s="1" cm="1">
        <f t="array" ref="O1667">SUMPRODUCT(("TPRLPELCEXT"=[1]OUT_TransportEnergyCons!$A$3:$A$1000)*1,("var_fout"=[1]OUT_TransportEnergyCons!$B$3:$B$1000)*1,ISNUMBER(SEARCH("TPRLP",[1]OUT_TransportEnergyCons!$C$3:$C$1000))*1,[1]OUT_TransportEnergyCons!M$3:M$1000)</f>
        <v>0.28821328591798928</v>
      </c>
      <c r="P1667" s="1" cm="1">
        <f t="array" ref="P1667">SUMPRODUCT(("TPRLPELCEXT"=[1]OUT_TransportEnergyCons!$A$3:$A$1000)*1,("var_fout"=[1]OUT_TransportEnergyCons!$B$3:$B$1000)*1,ISNUMBER(SEARCH("TPRLP",[1]OUT_TransportEnergyCons!$C$3:$C$1000))*1,[1]OUT_TransportEnergyCons!N$3:N$1000)</f>
        <v>0.30059024211295537</v>
      </c>
      <c r="Q1667" s="1" cm="1">
        <f t="array" ref="Q1667">SUMPRODUCT(("TPRLPELCEXT"=[1]OUT_TransportEnergyCons!$A$3:$A$1000)*1,("var_fout"=[1]OUT_TransportEnergyCons!$B$3:$B$1000)*1,ISNUMBER(SEARCH("TPRLP",[1]OUT_TransportEnergyCons!$C$3:$C$1000))*1,[1]OUT_TransportEnergyCons!O$3:O$1000)</f>
        <v>0.31290716456085033</v>
      </c>
      <c r="S1667" s="3"/>
    </row>
    <row r="1668" spans="2:19" x14ac:dyDescent="0.5">
      <c r="B1668" t="str">
        <f t="shared" si="1875"/>
        <v>SPS1</v>
      </c>
      <c r="C1668" t="str">
        <f t="shared" si="1852"/>
        <v>CH</v>
      </c>
      <c r="D1668" t="s">
        <v>1676</v>
      </c>
      <c r="E1668" t="str">
        <f t="shared" ref="E1668:E1671" si="1876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2.5094614594633073E-2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2.7678803719122107E-2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2.9162065749052404E-2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3.1634394677188336E-2</v>
      </c>
      <c r="J1668" s="1" cm="1">
        <f t="array" ref="J1668">SUMPRODUCT(("TFRLFELCEXT"=[1]OUT_TransportEnergyCons!$A$3:$A$1000)*1,("var_fout"=[1]OUT_TransportEnergyCons!$B$3:$B$1000)*1,ISNUMBER(SEARCH("TfRLf",[1]OUT_TransportEnergyCons!$C$3:$C$1000))*1,[1]OUT_TransportEnergyCons!H$3:H$1000)</f>
        <v>3.3088628638136011E-2</v>
      </c>
      <c r="K1668" s="1" cm="1">
        <f t="array" ref="K1668">SUMPRODUCT(("TFRLFELCEXT"=[1]OUT_TransportEnergyCons!$A$3:$A$1000)*1,("var_fout"=[1]OUT_TransportEnergyCons!$B$3:$B$1000)*1,ISNUMBER(SEARCH("TfRLf",[1]OUT_TransportEnergyCons!$C$3:$C$1000))*1,[1]OUT_TransportEnergyCons!I$3:I$1000)</f>
        <v>3.3865294598736322E-2</v>
      </c>
      <c r="L1668" s="1" cm="1">
        <f t="array" ref="L1668">SUMPRODUCT(("TFRLFELCEXT"=[1]OUT_TransportEnergyCons!$A$3:$A$1000)*1,("var_fout"=[1]OUT_TransportEnergyCons!$B$3:$B$1000)*1,ISNUMBER(SEARCH("TfRLf",[1]OUT_TransportEnergyCons!$C$3:$C$1000))*1,[1]OUT_TransportEnergyCons!J$3:J$1000)</f>
        <v>3.5135971132887127E-2</v>
      </c>
      <c r="M1668" s="1" cm="1">
        <f t="array" ref="M1668">SUMPRODUCT(("TFRLFELCEXT"=[1]OUT_TransportEnergyCons!$A$3:$A$1000)*1,("var_fout"=[1]OUT_TransportEnergyCons!$B$3:$B$1000)*1,ISNUMBER(SEARCH("TfRLf",[1]OUT_TransportEnergyCons!$C$3:$C$1000))*1,[1]OUT_TransportEnergyCons!K$3:K$1000)</f>
        <v>3.6404182653634626E-2</v>
      </c>
      <c r="N1668" s="1" cm="1">
        <f t="array" ref="N1668">SUMPRODUCT(("TFRLFELCEXT"=[1]OUT_TransportEnergyCons!$A$3:$A$1000)*1,("var_fout"=[1]OUT_TransportEnergyCons!$B$3:$B$1000)*1,ISNUMBER(SEARCH("TfRLf",[1]OUT_TransportEnergyCons!$C$3:$C$1000))*1,[1]OUT_TransportEnergyCons!L$3:L$1000)</f>
        <v>3.6984455222310593E-2</v>
      </c>
      <c r="O1668" s="1" cm="1">
        <f t="array" ref="O1668">SUMPRODUCT(("TFRLFELCEXT"=[1]OUT_TransportEnergyCons!$A$3:$A$1000)*1,("var_fout"=[1]OUT_TransportEnergyCons!$B$3:$B$1000)*1,ISNUMBER(SEARCH("TfRLf",[1]OUT_TransportEnergyCons!$C$3:$C$1000))*1,[1]OUT_TransportEnergyCons!M$3:M$1000)</f>
        <v>3.785222886075524E-2</v>
      </c>
      <c r="P1668" s="1" cm="1">
        <f t="array" ref="P1668">SUMPRODUCT(("TFRLFELCEXT"=[1]OUT_TransportEnergyCons!$A$3:$A$1000)*1,("var_fout"=[1]OUT_TransportEnergyCons!$B$3:$B$1000)*1,ISNUMBER(SEARCH("TfRLf",[1]OUT_TransportEnergyCons!$C$3:$C$1000))*1,[1]OUT_TransportEnergyCons!N$3:N$1000)</f>
        <v>3.8101650149661298E-2</v>
      </c>
      <c r="Q1668" s="1" cm="1">
        <f t="array" ref="Q1668">SUMPRODUCT(("TFRLFELCEXT"=[1]OUT_TransportEnergyCons!$A$3:$A$1000)*1,("var_fout"=[1]OUT_TransportEnergyCons!$B$3:$B$1000)*1,ISNUMBER(SEARCH("TfRLf",[1]OUT_TransportEnergyCons!$C$3:$C$1000))*1,[1]OUT_TransportEnergyCons!O$3:O$1000)</f>
        <v>3.8575365953649202E-2</v>
      </c>
      <c r="S1668" s="3"/>
    </row>
    <row r="1669" spans="2:19" x14ac:dyDescent="0.5">
      <c r="B1669" t="str">
        <f t="shared" si="1875"/>
        <v>SPS1</v>
      </c>
      <c r="C1669" t="str">
        <f t="shared" si="185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9.2367419308610008E-6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3.2608715736093199E-5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6.2835138134982704E-5</v>
      </c>
      <c r="J1669" s="1" cm="1">
        <f t="array" ref="J1669">SUMPRODUCT(("TPSHPELCEXT"=[1]OUT_TransportEnergyCons!$A$3:$A$1000)*1,("var_fout"=[1]OUT_TransportEnergyCons!$B$3:$B$1000)*1,ISNUMBER(SEARCH("TPSHP",[1]OUT_TransportEnergyCons!$C$3:$C$1000))*1,[1]OUT_TransportEnergyCons!H$3:H$1000)</f>
        <v>5.4317036653062502E-4</v>
      </c>
      <c r="K1669" s="1" cm="1">
        <f t="array" ref="K1669">SUMPRODUCT(("TPSHPELCEXT"=[1]OUT_TransportEnergyCons!$A$3:$A$1000)*1,("var_fout"=[1]OUT_TransportEnergyCons!$B$3:$B$1000)*1,ISNUMBER(SEARCH("TPSHP",[1]OUT_TransportEnergyCons!$C$3:$C$1000))*1,[1]OUT_TransportEnergyCons!I$3:I$1000)</f>
        <v>1.46667163689792</v>
      </c>
      <c r="L1669" s="1" cm="1">
        <f t="array" ref="L1669">SUMPRODUCT(("TPSHPELCEXT"=[1]OUT_TransportEnergyCons!$A$3:$A$1000)*1,("var_fout"=[1]OUT_TransportEnergyCons!$B$3:$B$1000)*1,ISNUMBER(SEARCH("TPSHP",[1]OUT_TransportEnergyCons!$C$3:$C$1000))*1,[1]OUT_TransportEnergyCons!J$3:J$1000)</f>
        <v>3.2943568868447999</v>
      </c>
      <c r="M1669" s="1" cm="1">
        <f t="array" ref="M1669">SUMPRODUCT(("TPSHPELCEXT"=[1]OUT_TransportEnergyCons!$A$3:$A$1000)*1,("var_fout"=[1]OUT_TransportEnergyCons!$B$3:$B$1000)*1,ISNUMBER(SEARCH("TPSHP",[1]OUT_TransportEnergyCons!$C$3:$C$1000))*1,[1]OUT_TransportEnergyCons!K$3:K$1000)</f>
        <v>4.0392293569415401</v>
      </c>
      <c r="N1669" s="1" cm="1">
        <f t="array" ref="N1669">SUMPRODUCT(("TPSHPELCEXT"=[1]OUT_TransportEnergyCons!$A$3:$A$1000)*1,("var_fout"=[1]OUT_TransportEnergyCons!$B$3:$B$1000)*1,ISNUMBER(SEARCH("TPSHP",[1]OUT_TransportEnergyCons!$C$3:$C$1000))*1,[1]OUT_TransportEnergyCons!L$3:L$1000)</f>
        <v>4.03980978764596</v>
      </c>
      <c r="O1669" s="1" cm="1">
        <f t="array" ref="O1669">SUMPRODUCT(("TPSHPELCEXT"=[1]OUT_TransportEnergyCons!$A$3:$A$1000)*1,("var_fout"=[1]OUT_TransportEnergyCons!$B$3:$B$1000)*1,ISNUMBER(SEARCH("TPSHP",[1]OUT_TransportEnergyCons!$C$3:$C$1000))*1,[1]OUT_TransportEnergyCons!M$3:M$1000)</f>
        <v>10.533167529060901</v>
      </c>
      <c r="P1669" s="1" cm="1">
        <f t="array" ref="P1669">SUMPRODUCT(("TPSHPELCEXT"=[1]OUT_TransportEnergyCons!$A$3:$A$1000)*1,("var_fout"=[1]OUT_TransportEnergyCons!$B$3:$B$1000)*1,ISNUMBER(SEARCH("TPSHP",[1]OUT_TransportEnergyCons!$C$3:$C$1000))*1,[1]OUT_TransportEnergyCons!N$3:N$1000)</f>
        <v>14.1318083925623</v>
      </c>
      <c r="Q1669" s="1" cm="1">
        <f t="array" ref="Q1669">SUMPRODUCT(("TPSHPELCEXT"=[1]OUT_TransportEnergyCons!$A$3:$A$1000)*1,("var_fout"=[1]OUT_TransportEnergyCons!$B$3:$B$1000)*1,ISNUMBER(SEARCH("TPSHP",[1]OUT_TransportEnergyCons!$C$3:$C$1000))*1,[1]OUT_TransportEnergyCons!O$3:O$1000)</f>
        <v>14.131813806676799</v>
      </c>
      <c r="S1669" s="3"/>
    </row>
    <row r="1670" spans="2:19" x14ac:dyDescent="0.5">
      <c r="B1670" t="str">
        <f t="shared" si="1875"/>
        <v>SPS1</v>
      </c>
      <c r="C1670" t="str">
        <f t="shared" si="185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SUMPRODUCT(("TPRLPH2OFCL"=[1]OUT_TransportEnergyCons!$A$3:$A$1000)*1,("var_fout"=[1]OUT_TransportEnergyCons!$B$3:$B$1000)*1,ISNUMBER(SEARCH("TPRLP",[1]OUT_TransportEnergyCons!$C$3:$C$1000))*1,[1]OUT_TransportEnergyCons!H$3:H$1000)</f>
        <v>0</v>
      </c>
      <c r="K1670" s="1" cm="1">
        <f t="array" ref="K1670">SUMPRODUCT(("TPRLPH2OFCL"=[1]OUT_TransportEnergyCons!$A$3:$A$1000)*1,("var_fout"=[1]OUT_TransportEnergyCons!$B$3:$B$1000)*1,ISNUMBER(SEARCH("TPRLP",[1]OUT_TransportEnergyCons!$C$3:$C$1000))*1,[1]OUT_TransportEnergyCons!I$3:I$1000)</f>
        <v>1.1834910555576342E-5</v>
      </c>
      <c r="L1670" s="1" cm="1">
        <f t="array" ref="L1670">SUMPRODUCT(("TPRLPH2OFCL"=[1]OUT_TransportEnergyCons!$A$3:$A$1000)*1,("var_fout"=[1]OUT_TransportEnergyCons!$B$3:$B$1000)*1,ISNUMBER(SEARCH("TPRLP",[1]OUT_TransportEnergyCons!$C$3:$C$1000))*1,[1]OUT_TransportEnergyCons!J$3:J$1000)</f>
        <v>1.3068779934883335E-5</v>
      </c>
      <c r="M1670" s="1" cm="1">
        <f t="array" ref="M1670">SUMPRODUCT(("TPRLPH2OFCL"=[1]OUT_TransportEnergyCons!$A$3:$A$1000)*1,("var_fout"=[1]OUT_TransportEnergyCons!$B$3:$B$1000)*1,ISNUMBER(SEARCH("TPRLP",[1]OUT_TransportEnergyCons!$C$3:$C$1000))*1,[1]OUT_TransportEnergyCons!K$3:K$1000)</f>
        <v>2.1648329545919152E-5</v>
      </c>
      <c r="N1670" s="1" cm="1">
        <f t="array" ref="N1670">SUMPRODUCT(("TPRLPH2OFCL"=[1]OUT_TransportEnergyCons!$A$3:$A$1000)*1,("var_fout"=[1]OUT_TransportEnergyCons!$B$3:$B$1000)*1,ISNUMBER(SEARCH("TPRLP",[1]OUT_TransportEnergyCons!$C$3:$C$1000))*1,[1]OUT_TransportEnergyCons!L$3:L$1000)</f>
        <v>2.2302950538363384E-5</v>
      </c>
      <c r="O1670" s="1" cm="1">
        <f t="array" ref="O1670">SUMPRODUCT(("TPRLPH2OFCL"=[1]OUT_TransportEnergyCons!$A$3:$A$1000)*1,("var_fout"=[1]OUT_TransportEnergyCons!$B$3:$B$1000)*1,ISNUMBER(SEARCH("TPRLP",[1]OUT_TransportEnergyCons!$C$3:$C$1000))*1,[1]OUT_TransportEnergyCons!M$3:M$1000)</f>
        <v>2.9832330419107529E-5</v>
      </c>
      <c r="P1670" s="1" cm="1">
        <f t="array" ref="P1670">SUMPRODUCT(("TPRLPH2OFCL"=[1]OUT_TransportEnergyCons!$A$3:$A$1000)*1,("var_fout"=[1]OUT_TransportEnergyCons!$B$3:$B$1000)*1,ISNUMBER(SEARCH("TPRLP",[1]OUT_TransportEnergyCons!$C$3:$C$1000))*1,[1]OUT_TransportEnergyCons!N$3:N$1000)</f>
        <v>2.8794406552571389E-5</v>
      </c>
      <c r="Q1670" s="1" cm="1">
        <f t="array" ref="Q1670">SUMPRODUCT(("TPRLPH2OFCL"=[1]OUT_TransportEnergyCons!$A$3:$A$1000)*1,("var_fout"=[1]OUT_TransportEnergyCons!$B$3:$B$1000)*1,ISNUMBER(SEARCH("TPRLP",[1]OUT_TransportEnergyCons!$C$3:$C$1000))*1,[1]OUT_TransportEnergyCons!O$3:O$1000)</f>
        <v>5.795403784436199E-5</v>
      </c>
      <c r="S1670" s="3"/>
    </row>
    <row r="1671" spans="2:19" x14ac:dyDescent="0.5">
      <c r="B1671" t="str">
        <f t="shared" si="1875"/>
        <v>SPS1</v>
      </c>
      <c r="C1671" t="str">
        <f t="shared" si="1852"/>
        <v>CH</v>
      </c>
      <c r="D1671" t="s">
        <v>1679</v>
      </c>
      <c r="E1671" t="str">
        <f t="shared" si="1876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SUMPRODUCT(("TFRLFH2OFCL"=[1]OUT_TransportEnergyCons!$A$3:$A$1000)*1,("var_fout"=[1]OUT_TransportEnergyCons!$B$3:$B$1000)*1,ISNUMBER(SEARCH("TfRLf",[1]OUT_TransportEnergyCons!$C$3:$C$1000))*1,[1]OUT_TransportEnergyCons!H$3:H$1000)</f>
        <v>0</v>
      </c>
      <c r="K1671" s="1" cm="1">
        <f t="array" ref="K1671">SUMPRODUCT(("TFRLFH2OFCL"=[1]OUT_TransportEnergyCons!$A$3:$A$1000)*1,("var_fout"=[1]OUT_TransportEnergyCons!$B$3:$B$1000)*1,ISNUMBER(SEARCH("TfRLf",[1]OUT_TransportEnergyCons!$C$3:$C$1000))*1,[1]OUT_TransportEnergyCons!I$3:I$1000)</f>
        <v>3.9690639479357465E-6</v>
      </c>
      <c r="L1671" s="1" cm="1">
        <f t="array" ref="L1671">SUMPRODUCT(("TFRLFH2OFCL"=[1]OUT_TransportEnergyCons!$A$3:$A$1000)*1,("var_fout"=[1]OUT_TransportEnergyCons!$B$3:$B$1000)*1,ISNUMBER(SEARCH("TfRLf",[1]OUT_TransportEnergyCons!$C$3:$C$1000))*1,[1]OUT_TransportEnergyCons!J$3:J$1000)</f>
        <v>6.0277924367370807E-6</v>
      </c>
      <c r="M1671" s="1" cm="1">
        <f t="array" ref="M1671">SUMPRODUCT(("TFRLFH2OFCL"=[1]OUT_TransportEnergyCons!$A$3:$A$1000)*1,("var_fout"=[1]OUT_TransportEnergyCons!$B$3:$B$1000)*1,ISNUMBER(SEARCH("TfRLf",[1]OUT_TransportEnergyCons!$C$3:$C$1000))*1,[1]OUT_TransportEnergyCons!K$3:K$1000)</f>
        <v>1.0821046128279985E-5</v>
      </c>
      <c r="N1671" s="1" cm="1">
        <f t="array" ref="N1671">SUMPRODUCT(("TFRLFH2OFCL"=[1]OUT_TransportEnergyCons!$A$3:$A$1000)*1,("var_fout"=[1]OUT_TransportEnergyCons!$B$3:$B$1000)*1,ISNUMBER(SEARCH("TfRLf",[1]OUT_TransportEnergyCons!$C$3:$C$1000))*1,[1]OUT_TransportEnergyCons!L$3:L$1000)</f>
        <v>1.1132516277716541E-5</v>
      </c>
      <c r="O1671" s="1" cm="1">
        <f t="array" ref="O1671">SUMPRODUCT(("TFRLFH2OFCL"=[1]OUT_TransportEnergyCons!$A$3:$A$1000)*1,("var_fout"=[1]OUT_TransportEnergyCons!$B$3:$B$1000)*1,ISNUMBER(SEARCH("TfRLf",[1]OUT_TransportEnergyCons!$C$3:$C$1000))*1,[1]OUT_TransportEnergyCons!M$3:M$1000)</f>
        <v>1.4860643582154476E-5</v>
      </c>
      <c r="P1671" s="1" cm="1">
        <f t="array" ref="P1671">SUMPRODUCT(("TFRLFH2OFCL"=[1]OUT_TransportEnergyCons!$A$3:$A$1000)*1,("var_fout"=[1]OUT_TransportEnergyCons!$B$3:$B$1000)*1,ISNUMBER(SEARCH("TfRLf",[1]OUT_TransportEnergyCons!$C$3:$C$1000))*1,[1]OUT_TransportEnergyCons!N$3:N$1000)</f>
        <v>1.4483809406733888E-5</v>
      </c>
      <c r="Q1671" s="1" cm="1">
        <f t="array" ref="Q1671">SUMPRODUCT(("TFRLFH2OFCL"=[1]OUT_TransportEnergyCons!$A$3:$A$1000)*1,("var_fout"=[1]OUT_TransportEnergyCons!$B$3:$B$1000)*1,ISNUMBER(SEARCH("TfRLf",[1]OUT_TransportEnergyCons!$C$3:$C$1000))*1,[1]OUT_TransportEnergyCons!O$3:O$1000)</f>
        <v>2.7283615315311059E-5</v>
      </c>
      <c r="S1671" s="3"/>
    </row>
    <row r="1672" spans="2:19" x14ac:dyDescent="0.5">
      <c r="B1672" t="str">
        <f t="shared" si="1875"/>
        <v>SPS1</v>
      </c>
      <c r="C1672" t="str">
        <f t="shared" si="185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SUMPRODUCT(("TPSHPH2OEXT"=[1]OUT_TransportEnergyCons!$A$3:$A$1000)*1,("var_fout"=[1]OUT_TransportEnergyCons!$B$3:$B$1000)*1,ISNUMBER(SEARCH("TPSHP",[1]OUT_TransportEnergyCons!$C$3:$C$1000))*1,[1]OUT_TransportEnergyCons!H$3:H$1000)</f>
        <v>1.47118506400625E-4</v>
      </c>
      <c r="K1672" s="1" cm="1">
        <f t="array" ref="K1672">SUMPRODUCT(("TPSHPH2OEXT"=[1]OUT_TransportEnergyCons!$A$3:$A$1000)*1,("var_fout"=[1]OUT_TransportEnergyCons!$B$3:$B$1000)*1,ISNUMBER(SEARCH("TPSHP",[1]OUT_TransportEnergyCons!$C$3:$C$1000))*1,[1]OUT_TransportEnergyCons!I$3:I$1000)</f>
        <v>1.6537376202610901E-4</v>
      </c>
      <c r="L1672" s="1" cm="1">
        <f t="array" ref="L1672">SUMPRODUCT(("TPSHPH2OEXT"=[1]OUT_TransportEnergyCons!$A$3:$A$1000)*1,("var_fout"=[1]OUT_TransportEnergyCons!$B$3:$B$1000)*1,ISNUMBER(SEARCH("TPSHP",[1]OUT_TransportEnergyCons!$C$3:$C$1000))*1,[1]OUT_TransportEnergyCons!J$3:J$1000)</f>
        <v>2.2421968447477799E-4</v>
      </c>
      <c r="M1672" s="1" cm="1">
        <f t="array" ref="M1672">SUMPRODUCT(("TPSHPH2OEXT"=[1]OUT_TransportEnergyCons!$A$3:$A$1000)*1,("var_fout"=[1]OUT_TransportEnergyCons!$B$3:$B$1000)*1,ISNUMBER(SEARCH("TPSHP",[1]OUT_TransportEnergyCons!$C$3:$C$1000))*1,[1]OUT_TransportEnergyCons!K$3:K$1000)</f>
        <v>3.6742372645743698E-4</v>
      </c>
      <c r="N1672" s="1" cm="1">
        <f t="array" ref="N1672">SUMPRODUCT(("TPSHPH2OEXT"=[1]OUT_TransportEnergyCons!$A$3:$A$1000)*1,("var_fout"=[1]OUT_TransportEnergyCons!$B$3:$B$1000)*1,ISNUMBER(SEARCH("TPSHP",[1]OUT_TransportEnergyCons!$C$3:$C$1000))*1,[1]OUT_TransportEnergyCons!L$3:L$1000)</f>
        <v>4.29835423633749E-4</v>
      </c>
      <c r="O1672" s="1" cm="1">
        <f t="array" ref="O1672">SUMPRODUCT(("TPSHPH2OEXT"=[1]OUT_TransportEnergyCons!$A$3:$A$1000)*1,("var_fout"=[1]OUT_TransportEnergyCons!$B$3:$B$1000)*1,ISNUMBER(SEARCH("TPSHP",[1]OUT_TransportEnergyCons!$C$3:$C$1000))*1,[1]OUT_TransportEnergyCons!M$3:M$1000)</f>
        <v>5.6631395117705502E-4</v>
      </c>
      <c r="P1672" s="1" cm="1">
        <f t="array" ref="P1672">SUMPRODUCT(("TPSHPH2OEXT"=[1]OUT_TransportEnergyCons!$A$3:$A$1000)*1,("var_fout"=[1]OUT_TransportEnergyCons!$B$3:$B$1000)*1,ISNUMBER(SEARCH("TPSHP",[1]OUT_TransportEnergyCons!$C$3:$C$1000))*1,[1]OUT_TransportEnergyCons!N$3:N$1000)</f>
        <v>6.1291010394953901E-4</v>
      </c>
      <c r="Q1672" s="1" cm="1">
        <f t="array" ref="Q1672">SUMPRODUCT(("TPSHPH2OEXT"=[1]OUT_TransportEnergyCons!$A$3:$A$1000)*1,("var_fout"=[1]OUT_TransportEnergyCons!$B$3:$B$1000)*1,ISNUMBER(SEARCH("TPSHP",[1]OUT_TransportEnergyCons!$C$3:$C$1000))*1,[1]OUT_TransportEnergyCons!O$3:O$1000)</f>
        <v>6.5615777275886101E-4</v>
      </c>
      <c r="S1672" s="3"/>
    </row>
    <row r="1673" spans="2:19" x14ac:dyDescent="0.5">
      <c r="B1673" t="str">
        <f t="shared" si="1875"/>
        <v>SPS1</v>
      </c>
      <c r="C1673" t="str">
        <f t="shared" si="185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0.72177042552496595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1.4471120627601199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1.90585701552311</v>
      </c>
      <c r="J1673" s="1" cm="1">
        <f t="array" ref="J1673">SUMPRODUCT(("TPSHPGSLEXT"=[1]OUT_TransportEnergyCons!$A$3:$A$1000)*1,("var_fout"=[1]OUT_TransportEnergyCons!$B$3:$B$1000)*1,ISNUMBER(SEARCH("TPSHP",[1]OUT_TransportEnergyCons!$C$3:$C$1000))*1,[1]OUT_TransportEnergyCons!H$3:H$1000)</f>
        <v>2.4382265185403602</v>
      </c>
      <c r="K1673" s="1" cm="1">
        <f t="array" ref="K1673">SUMPRODUCT(("TPSHPGSLEXT"=[1]OUT_TransportEnergyCons!$A$3:$A$1000)*1,("var_fout"=[1]OUT_TransportEnergyCons!$B$3:$B$1000)*1,ISNUMBER(SEARCH("TPSHP",[1]OUT_TransportEnergyCons!$C$3:$C$1000))*1,[1]OUT_TransportEnergyCons!I$3:I$1000)</f>
        <v>1.50508268282405</v>
      </c>
      <c r="L1673" s="1" cm="1">
        <f t="array" ref="L1673">SUMPRODUCT(("TPSHPGSLEXT"=[1]OUT_TransportEnergyCons!$A$3:$A$1000)*1,("var_fout"=[1]OUT_TransportEnergyCons!$B$3:$B$1000)*1,ISNUMBER(SEARCH("TPSHP",[1]OUT_TransportEnergyCons!$C$3:$C$1000))*1,[1]OUT_TransportEnergyCons!J$3:J$1000)</f>
        <v>0.74475713759667295</v>
      </c>
      <c r="M1673" s="1" cm="1">
        <f t="array" ref="M1673">SUMPRODUCT(("TPSHPGSLEXT"=[1]OUT_TransportEnergyCons!$A$3:$A$1000)*1,("var_fout"=[1]OUT_TransportEnergyCons!$B$3:$B$1000)*1,ISNUMBER(SEARCH("TPSHP",[1]OUT_TransportEnergyCons!$C$3:$C$1000))*1,[1]OUT_TransportEnergyCons!K$3:K$1000)</f>
        <v>0</v>
      </c>
      <c r="N1673" s="1" cm="1">
        <f t="array" ref="N1673">SUMPRODUCT(("TPSHPGSLEXT"=[1]OUT_TransportEnergyCons!$A$3:$A$1000)*1,("var_fout"=[1]OUT_TransportEnergyCons!$B$3:$B$1000)*1,ISNUMBER(SEARCH("TPSHP",[1]OUT_TransportEnergyCons!$C$3:$C$1000))*1,[1]OUT_TransportEnergyCons!L$3:L$1000)</f>
        <v>0</v>
      </c>
      <c r="O1673" s="1" cm="1">
        <f t="array" ref="O1673">SUMPRODUCT(("TPSHPGSLEXT"=[1]OUT_TransportEnergyCons!$A$3:$A$1000)*1,("var_fout"=[1]OUT_TransportEnergyCons!$B$3:$B$1000)*1,ISNUMBER(SEARCH("TPSHP",[1]OUT_TransportEnergyCons!$C$3:$C$1000))*1,[1]OUT_TransportEnergyCons!M$3:M$1000)</f>
        <v>0</v>
      </c>
      <c r="P1673" s="1" cm="1">
        <f t="array" ref="P1673">SUMPRODUCT(("TPSHPGSLEXT"=[1]OUT_TransportEnergyCons!$A$3:$A$1000)*1,("var_fout"=[1]OUT_TransportEnergyCons!$B$3:$B$1000)*1,ISNUMBER(SEARCH("TPSHP",[1]OUT_TransportEnergyCons!$C$3:$C$1000))*1,[1]OUT_TransportEnergyCons!N$3:N$1000)</f>
        <v>0</v>
      </c>
      <c r="Q1673" s="1" cm="1">
        <f t="array" ref="Q1673">SUMPRODUCT(("TPSHPGSLEXT"=[1]OUT_TransportEnergyCons!$A$3:$A$1000)*1,("var_fout"=[1]OUT_TransportEnergyCons!$B$3:$B$1000)*1,ISNUMBER(SEARCH("TPSHP",[1]OUT_TransportEnergyCons!$C$3:$C$1000))*1,[1]OUT_TransportEnergyCons!O$3:O$1000)</f>
        <v>0</v>
      </c>
      <c r="S1673" s="3"/>
    </row>
    <row r="1674" spans="2:19" x14ac:dyDescent="0.5">
      <c r="B1674" t="str">
        <f t="shared" si="1875"/>
        <v>SPS1</v>
      </c>
      <c r="C1674" t="str">
        <f t="shared" si="185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SUMPRODUCT(("TPRLPDSLEXT"=[1]OUT_TransportEnergyCons!$A$3:$A$1000)*1,("var_fout"=[1]OUT_TransportEnergyCons!$B$3:$B$1000)*1,ISNUMBER(SEARCH("TPRLP",[1]OUT_TransportEnergyCons!$C$3:$C$1000))*1,[1]OUT_TransportEnergyCons!H$3:H$1000)</f>
        <v>0</v>
      </c>
      <c r="K1674" s="1" cm="1">
        <f t="array" ref="K1674">SUMPRODUCT(("TPRLPDSLEXT"=[1]OUT_TransportEnergyCons!$A$3:$A$1000)*1,("var_fout"=[1]OUT_TransportEnergyCons!$B$3:$B$1000)*1,ISNUMBER(SEARCH("TPRLP",[1]OUT_TransportEnergyCons!$C$3:$C$1000))*1,[1]OUT_TransportEnergyCons!I$3:I$1000)</f>
        <v>0</v>
      </c>
      <c r="L1674" s="1" cm="1">
        <f t="array" ref="L1674">SUMPRODUCT(("TPRLPDSLEXT"=[1]OUT_TransportEnergyCons!$A$3:$A$1000)*1,("var_fout"=[1]OUT_TransportEnergyCons!$B$3:$B$1000)*1,ISNUMBER(SEARCH("TPRLP",[1]OUT_TransportEnergyCons!$C$3:$C$1000))*1,[1]OUT_TransportEnergyCons!J$3:J$1000)</f>
        <v>0</v>
      </c>
      <c r="M1674" s="1" cm="1">
        <f t="array" ref="M1674">SUMPRODUCT(("TPRLPDSLEXT"=[1]OUT_TransportEnergyCons!$A$3:$A$1000)*1,("var_fout"=[1]OUT_TransportEnergyCons!$B$3:$B$1000)*1,ISNUMBER(SEARCH("TPRLP",[1]OUT_TransportEnergyCons!$C$3:$C$1000))*1,[1]OUT_TransportEnergyCons!K$3:K$1000)</f>
        <v>0</v>
      </c>
      <c r="N1674" s="1" cm="1">
        <f t="array" ref="N1674">SUMPRODUCT(("TPRLPDSLEXT"=[1]OUT_TransportEnergyCons!$A$3:$A$1000)*1,("var_fout"=[1]OUT_TransportEnergyCons!$B$3:$B$1000)*1,ISNUMBER(SEARCH("TPRLP",[1]OUT_TransportEnergyCons!$C$3:$C$1000))*1,[1]OUT_TransportEnergyCons!L$3:L$1000)</f>
        <v>0</v>
      </c>
      <c r="O1674" s="1" cm="1">
        <f t="array" ref="O1674">SUMPRODUCT(("TPRLPDSLEXT"=[1]OUT_TransportEnergyCons!$A$3:$A$1000)*1,("var_fout"=[1]OUT_TransportEnergyCons!$B$3:$B$1000)*1,ISNUMBER(SEARCH("TPRLP",[1]OUT_TransportEnergyCons!$C$3:$C$1000))*1,[1]OUT_TransportEnergyCons!M$3:M$1000)</f>
        <v>0</v>
      </c>
      <c r="P1674" s="1" cm="1">
        <f t="array" ref="P1674">SUMPRODUCT(("TPRLPDSLEXT"=[1]OUT_TransportEnergyCons!$A$3:$A$1000)*1,("var_fout"=[1]OUT_TransportEnergyCons!$B$3:$B$1000)*1,ISNUMBER(SEARCH("TPRLP",[1]OUT_TransportEnergyCons!$C$3:$C$1000))*1,[1]OUT_TransportEnergyCons!N$3:N$1000)</f>
        <v>0</v>
      </c>
      <c r="Q1674" s="1" cm="1">
        <f t="array" ref="Q1674">SUMPRODUCT(("TPRLPDSLEXT"=[1]OUT_TransportEnergyCons!$A$3:$A$1000)*1,("var_fout"=[1]OUT_TransportEnergyCons!$B$3:$B$1000)*1,ISNUMBER(SEARCH("TPRLP",[1]OUT_TransportEnergyCons!$C$3:$C$1000))*1,[1]OUT_TransportEnergyCons!O$3:O$1000)</f>
        <v>0</v>
      </c>
      <c r="S1674" s="3"/>
    </row>
    <row r="1675" spans="2:19" x14ac:dyDescent="0.5">
      <c r="B1675" t="str">
        <f t="shared" si="1875"/>
        <v>SPS1</v>
      </c>
      <c r="C1675" t="str">
        <f t="shared" si="1852"/>
        <v>CH</v>
      </c>
      <c r="D1675" t="s">
        <v>1683</v>
      </c>
      <c r="E1675" t="str">
        <f t="shared" ref="E1675" si="1877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1.6053854053669132E-3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1.0302792384799665E-5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1.0700529714899558E-5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1.1137880346342237E-5</v>
      </c>
      <c r="J1675" s="1" cm="1">
        <f t="array" ref="J1675">SUMPRODUCT(("TFRLFDSLEXT"=[1]OUT_TransportEnergyCons!$A$3:$A$1000)*1,("var_fout"=[1]OUT_TransportEnergyCons!$B$3:$B$1000)*1,ISNUMBER(SEARCH("TfRLf",[1]OUT_TransportEnergyCons!$C$3:$C$1000))*1,[1]OUT_TransportEnergyCons!H$3:H$1000)</f>
        <v>1.0852513894194577E-5</v>
      </c>
      <c r="K1675" s="1" cm="1">
        <f t="array" ref="K1675">SUMPRODUCT(("TFRLFDSLEXT"=[1]OUT_TransportEnergyCons!$A$3:$A$1000)*1,("var_fout"=[1]OUT_TransportEnergyCons!$B$3:$B$1000)*1,ISNUMBER(SEARCH("TfRLf",[1]OUT_TransportEnergyCons!$C$3:$C$1000))*1,[1]OUT_TransportEnergyCons!I$3:I$1000)</f>
        <v>1.0827316627686782E-5</v>
      </c>
      <c r="L1675" s="1" cm="1">
        <f t="array" ref="L1675">SUMPRODUCT(("TFRLFDSLEXT"=[1]OUT_TransportEnergyCons!$A$3:$A$1000)*1,("var_fout"=[1]OUT_TransportEnergyCons!$B$3:$B$1000)*1,ISNUMBER(SEARCH("TfRLf",[1]OUT_TransportEnergyCons!$C$3:$C$1000))*1,[1]OUT_TransportEnergyCons!J$3:J$1000)</f>
        <v>1.085684083084927E-5</v>
      </c>
      <c r="M1675" s="1" cm="1">
        <f t="array" ref="M1675">SUMPRODUCT(("TFRLFDSLEXT"=[1]OUT_TransportEnergyCons!$A$3:$A$1000)*1,("var_fout"=[1]OUT_TransportEnergyCons!$B$3:$B$1000)*1,ISNUMBER(SEARCH("TfRLf",[1]OUT_TransportEnergyCons!$C$3:$C$1000))*1,[1]OUT_TransportEnergyCons!K$3:K$1000)</f>
        <v>9.0711240414769699E-6</v>
      </c>
      <c r="N1675" s="1" cm="1">
        <f t="array" ref="N1675">SUMPRODUCT(("TFRLFDSLEXT"=[1]OUT_TransportEnergyCons!$A$3:$A$1000)*1,("var_fout"=[1]OUT_TransportEnergyCons!$B$3:$B$1000)*1,ISNUMBER(SEARCH("TfRLf",[1]OUT_TransportEnergyCons!$C$3:$C$1000))*1,[1]OUT_TransportEnergyCons!L$3:L$1000)</f>
        <v>4.7333107379884472E-6</v>
      </c>
      <c r="O1675" s="1" cm="1">
        <f t="array" ref="O1675">SUMPRODUCT(("TFRLFDSLEXT"=[1]OUT_TransportEnergyCons!$A$3:$A$1000)*1,("var_fout"=[1]OUT_TransportEnergyCons!$B$3:$B$1000)*1,ISNUMBER(SEARCH("TfRLf",[1]OUT_TransportEnergyCons!$C$3:$C$1000))*1,[1]OUT_TransportEnergyCons!M$3:M$1000)</f>
        <v>9.22728832688225E-6</v>
      </c>
      <c r="P1675" s="1" cm="1">
        <f t="array" ref="P1675">SUMPRODUCT(("TFRLFDSLEXT"=[1]OUT_TransportEnergyCons!$A$3:$A$1000)*1,("var_fout"=[1]OUT_TransportEnergyCons!$B$3:$B$1000)*1,ISNUMBER(SEARCH("TfRLf",[1]OUT_TransportEnergyCons!$C$3:$C$1000))*1,[1]OUT_TransportEnergyCons!N$3:N$1000)</f>
        <v>9.3937342421118074E-6</v>
      </c>
      <c r="Q1675" s="1" cm="1">
        <f t="array" ref="Q1675">SUMPRODUCT(("TFRLFDSLEXT"=[1]OUT_TransportEnergyCons!$A$3:$A$1000)*1,("var_fout"=[1]OUT_TransportEnergyCons!$B$3:$B$1000)*1,ISNUMBER(SEARCH("TfRLf",[1]OUT_TransportEnergyCons!$C$3:$C$1000))*1,[1]OUT_TransportEnergyCons!O$3:O$1000)</f>
        <v>1.767470753638888E-5</v>
      </c>
      <c r="S1675" s="3"/>
    </row>
    <row r="1676" spans="2:19" x14ac:dyDescent="0.5">
      <c r="B1676" t="str">
        <f t="shared" si="1875"/>
        <v>SPS1</v>
      </c>
      <c r="C1676" t="str">
        <f t="shared" si="185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17.176560408736702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15.5778535814515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14.2457275141441</v>
      </c>
      <c r="J1676" s="1" cm="1">
        <f t="array" ref="J1676">SUMPRODUCT(("TPSHPDSLEXT"=[1]OUT_TransportEnergyCons!$A$3:$A$1000)*1,("var_fout"=[1]OUT_TransportEnergyCons!$B$3:$B$1000)*1,ISNUMBER(SEARCH("TPSHP",[1]OUT_TransportEnergyCons!$C$3:$C$1000))*1,[1]OUT_TransportEnergyCons!H$3:H$1000)</f>
        <v>13.7127025103746</v>
      </c>
      <c r="K1676" s="1" cm="1">
        <f t="array" ref="K1676">SUMPRODUCT(("TPSHPDSLEXT"=[1]OUT_TransportEnergyCons!$A$3:$A$1000)*1,("var_fout"=[1]OUT_TransportEnergyCons!$B$3:$B$1000)*1,ISNUMBER(SEARCH("TPSHP",[1]OUT_TransportEnergyCons!$C$3:$C$1000))*1,[1]OUT_TransportEnergyCons!I$3:I$1000)</f>
        <v>13.179719571925601</v>
      </c>
      <c r="L1676" s="1" cm="1">
        <f t="array" ref="L1676">SUMPRODUCT(("TPSHPDSLEXT"=[1]OUT_TransportEnergyCons!$A$3:$A$1000)*1,("var_fout"=[1]OUT_TransportEnergyCons!$B$3:$B$1000)*1,ISNUMBER(SEARCH("TPSHP",[1]OUT_TransportEnergyCons!$C$3:$C$1000))*1,[1]OUT_TransportEnergyCons!J$3:J$1000)</f>
        <v>12.112289391395899</v>
      </c>
      <c r="M1676" s="1" cm="1">
        <f t="array" ref="M1676">SUMPRODUCT(("TPSHPDSLEXT"=[1]OUT_TransportEnergyCons!$A$3:$A$1000)*1,("var_fout"=[1]OUT_TransportEnergyCons!$B$3:$B$1000)*1,ISNUMBER(SEARCH("TPSHP",[1]OUT_TransportEnergyCons!$C$3:$C$1000))*1,[1]OUT_TransportEnergyCons!K$3:K$1000)</f>
        <v>12.112067331176499</v>
      </c>
      <c r="N1676" s="1" cm="1">
        <f t="array" ref="N1676">SUMPRODUCT(("TPSHPDSLEXT"=[1]OUT_TransportEnergyCons!$A$3:$A$1000)*1,("var_fout"=[1]OUT_TransportEnergyCons!$B$3:$B$1000)*1,ISNUMBER(SEARCH("TPSHP",[1]OUT_TransportEnergyCons!$C$3:$C$1000))*1,[1]OUT_TransportEnergyCons!L$3:L$1000)</f>
        <v>12.1113859147081</v>
      </c>
      <c r="O1676" s="1" cm="1">
        <f t="array" ref="O1676">SUMPRODUCT(("TPSHPDSLEXT"=[1]OUT_TransportEnergyCons!$A$3:$A$1000)*1,("var_fout"=[1]OUT_TransportEnergyCons!$B$3:$B$1000)*1,ISNUMBER(SEARCH("TPSHP",[1]OUT_TransportEnergyCons!$C$3:$C$1000))*1,[1]OUT_TransportEnergyCons!M$3:M$1000)</f>
        <v>5.6179108962921402</v>
      </c>
      <c r="P1676" s="1" cm="1">
        <f t="array" ref="P1676">SUMPRODUCT(("TPSHPDSLEXT"=[1]OUT_TransportEnergyCons!$A$3:$A$1000)*1,("var_fout"=[1]OUT_TransportEnergyCons!$B$3:$B$1000)*1,ISNUMBER(SEARCH("TPSHP",[1]OUT_TransportEnergyCons!$C$3:$C$1000))*1,[1]OUT_TransportEnergyCons!N$3:N$1000)</f>
        <v>2.0192265914994301</v>
      </c>
      <c r="Q1676" s="1" cm="1">
        <f t="array" ref="Q1676">SUMPRODUCT(("TPSHPDSLEXT"=[1]OUT_TransportEnergyCons!$A$3:$A$1000)*1,("var_fout"=[1]OUT_TransportEnergyCons!$B$3:$B$1000)*1,ISNUMBER(SEARCH("TPSHP",[1]OUT_TransportEnergyCons!$C$3:$C$1000))*1,[1]OUT_TransportEnergyCons!O$3:O$1000)</f>
        <v>2.0191231690599798</v>
      </c>
      <c r="S1676" s="3"/>
    </row>
    <row r="1677" spans="2:19" x14ac:dyDescent="0.5">
      <c r="B1677" s="2" t="str">
        <f t="shared" si="1875"/>
        <v>SPS1</v>
      </c>
      <c r="C1677" s="2" t="str">
        <f t="shared" si="1852"/>
        <v>CH</v>
      </c>
      <c r="D1677" s="2" t="s">
        <v>1685</v>
      </c>
      <c r="E1677" s="19" t="s">
        <v>292</v>
      </c>
      <c r="F1677" s="19" t="s">
        <v>292</v>
      </c>
      <c r="G1677" s="19" t="s">
        <v>292</v>
      </c>
      <c r="H1677" s="19" t="s">
        <v>292</v>
      </c>
      <c r="I1677" s="19" t="s">
        <v>292</v>
      </c>
      <c r="J1677" s="19" t="s">
        <v>292</v>
      </c>
      <c r="K1677" s="19" t="s">
        <v>292</v>
      </c>
      <c r="L1677" s="19" t="s">
        <v>292</v>
      </c>
      <c r="M1677" s="19" t="s">
        <v>292</v>
      </c>
      <c r="N1677" s="19" t="s">
        <v>292</v>
      </c>
      <c r="O1677" s="19" t="s">
        <v>292</v>
      </c>
      <c r="P1677" s="19" t="s">
        <v>292</v>
      </c>
      <c r="Q1677" s="19" t="s">
        <v>292</v>
      </c>
      <c r="S1677" s="3"/>
    </row>
    <row r="1678" spans="2:19" x14ac:dyDescent="0.5">
      <c r="B1678" t="str">
        <f t="shared" si="1875"/>
        <v>SPS1</v>
      </c>
      <c r="C1678" t="str">
        <f t="shared" si="1852"/>
        <v>CH</v>
      </c>
      <c r="D1678" t="s">
        <v>1686</v>
      </c>
      <c r="E1678" t="s">
        <v>1229</v>
      </c>
      <c r="F1678" s="7">
        <f t="shared" ref="F1678:K1680" si="1878">IFERROR(F1667/F1642,"-")</f>
        <v>2.5309161094553195E-2</v>
      </c>
      <c r="G1678" s="7">
        <f t="shared" si="1878"/>
        <v>2.5301857215832019E-2</v>
      </c>
      <c r="H1678" s="7">
        <f t="shared" si="1878"/>
        <v>2.5290901397750198E-2</v>
      </c>
      <c r="I1678" s="7">
        <f t="shared" si="1878"/>
        <v>2.5272641700947188E-2</v>
      </c>
      <c r="J1678" s="7">
        <f t="shared" si="1878"/>
        <v>2.5254382004144305E-2</v>
      </c>
      <c r="K1678" s="7">
        <f t="shared" si="1878"/>
        <v>2.523612230734126E-2</v>
      </c>
      <c r="L1678" s="7">
        <f t="shared" ref="L1678:O1678" si="1879">IFERROR(L1667/L1642,"-")</f>
        <v>2.521786261053828E-2</v>
      </c>
      <c r="M1678" s="7">
        <f t="shared" si="1879"/>
        <v>2.519960291373529E-2</v>
      </c>
      <c r="N1678" s="7">
        <f t="shared" si="1879"/>
        <v>2.519960291373529E-2</v>
      </c>
      <c r="O1678" s="7">
        <f t="shared" si="1879"/>
        <v>2.5199602913735287E-2</v>
      </c>
      <c r="P1678" s="7">
        <f t="shared" ref="P1678:Q1680" si="1880">IFERROR(P1667/P1642,"-")</f>
        <v>2.5199602913735308E-2</v>
      </c>
      <c r="Q1678" s="7">
        <f t="shared" si="1880"/>
        <v>2.5199602913735325E-2</v>
      </c>
      <c r="S1678" s="3"/>
    </row>
    <row r="1679" spans="2:19" x14ac:dyDescent="0.5">
      <c r="B1679" t="str">
        <f t="shared" si="1875"/>
        <v>SPS1</v>
      </c>
      <c r="C1679" t="str">
        <f t="shared" si="1852"/>
        <v>CH</v>
      </c>
      <c r="D1679" t="s">
        <v>1687</v>
      </c>
      <c r="E1679" t="s">
        <v>1229</v>
      </c>
      <c r="F1679" s="7">
        <f t="shared" si="1878"/>
        <v>1.6704032219401293E-2</v>
      </c>
      <c r="G1679" s="7">
        <f t="shared" si="1878"/>
        <v>1.670403221940131E-2</v>
      </c>
      <c r="H1679" s="7">
        <f t="shared" si="1878"/>
        <v>1.670403221940131E-2</v>
      </c>
      <c r="I1679" s="7">
        <f t="shared" si="1878"/>
        <v>1.6704032219401289E-2</v>
      </c>
      <c r="J1679" s="7">
        <f t="shared" si="1878"/>
        <v>1.6704032219401293E-2</v>
      </c>
      <c r="K1679" s="7">
        <f t="shared" si="1878"/>
        <v>1.67040322194013E-2</v>
      </c>
      <c r="L1679" s="7">
        <f t="shared" ref="L1679:O1679" si="1881">IFERROR(L1668/L1643,"-")</f>
        <v>1.6704032219401293E-2</v>
      </c>
      <c r="M1679" s="7">
        <f t="shared" si="1881"/>
        <v>1.6704032219401324E-2</v>
      </c>
      <c r="N1679" s="7">
        <f t="shared" si="1881"/>
        <v>1.6704032219401296E-2</v>
      </c>
      <c r="O1679" s="7">
        <f t="shared" si="1881"/>
        <v>1.6704032219401307E-2</v>
      </c>
      <c r="P1679" s="7">
        <f t="shared" si="1880"/>
        <v>1.6704032219401307E-2</v>
      </c>
      <c r="Q1679" s="7">
        <f t="shared" si="1880"/>
        <v>1.6704032219401314E-2</v>
      </c>
      <c r="S1679" s="3"/>
    </row>
    <row r="1680" spans="2:19" x14ac:dyDescent="0.5">
      <c r="B1680" t="str">
        <f t="shared" si="1875"/>
        <v>SPS1</v>
      </c>
      <c r="C1680" t="str">
        <f t="shared" si="1852"/>
        <v>CH</v>
      </c>
      <c r="D1680" t="s">
        <v>1688</v>
      </c>
      <c r="E1680" t="s">
        <v>240</v>
      </c>
      <c r="F1680" t="str">
        <f t="shared" si="1878"/>
        <v>-</v>
      </c>
      <c r="G1680">
        <f t="shared" si="1878"/>
        <v>2.4673913043478328</v>
      </c>
      <c r="H1680">
        <f t="shared" si="1878"/>
        <v>2.4673913043478386</v>
      </c>
      <c r="I1680">
        <f t="shared" si="1878"/>
        <v>2.4673913043478333</v>
      </c>
      <c r="J1680">
        <f t="shared" si="1878"/>
        <v>3.2261187451171121E-3</v>
      </c>
      <c r="K1680">
        <f t="shared" si="1878"/>
        <v>1.5803589838349716</v>
      </c>
      <c r="L1680">
        <f t="shared" ref="L1680:O1680" si="1882">IFERROR(L1669/L1644,"-")</f>
        <v>1.6828899892416487</v>
      </c>
      <c r="M1680">
        <f t="shared" si="1882"/>
        <v>1.7140348691084919</v>
      </c>
      <c r="N1680">
        <f t="shared" si="1882"/>
        <v>1.6600653708969422</v>
      </c>
      <c r="O1680">
        <f t="shared" si="1882"/>
        <v>2.0288233442089036</v>
      </c>
      <c r="P1680">
        <f t="shared" si="1880"/>
        <v>2.1188812418333831</v>
      </c>
      <c r="Q1680">
        <f t="shared" si="1880"/>
        <v>2.1149867881401461</v>
      </c>
      <c r="S1680" s="3"/>
    </row>
    <row r="1681" spans="2:19" x14ac:dyDescent="0.5">
      <c r="B1681" t="str">
        <f t="shared" si="1875"/>
        <v>SPS1</v>
      </c>
      <c r="C1681" t="str">
        <f t="shared" si="1852"/>
        <v>CH</v>
      </c>
      <c r="D1681" t="s">
        <v>1689</v>
      </c>
      <c r="E1681" t="s">
        <v>1229</v>
      </c>
      <c r="F1681" t="str">
        <f t="shared" ref="F1681:K1683" si="1883">IFERROR(F1670/F1646,"-")</f>
        <v>-</v>
      </c>
      <c r="G1681" t="str">
        <f t="shared" si="1883"/>
        <v>-</v>
      </c>
      <c r="H1681" t="str">
        <f t="shared" si="1883"/>
        <v>-</v>
      </c>
      <c r="I1681" t="str">
        <f t="shared" si="1883"/>
        <v>-</v>
      </c>
      <c r="J1681" t="str">
        <f t="shared" si="1883"/>
        <v>-</v>
      </c>
      <c r="K1681">
        <f t="shared" si="1883"/>
        <v>1.7941883805152249E-2</v>
      </c>
      <c r="L1681">
        <f t="shared" ref="L1681:O1681" si="1884">IFERROR(L1670/L1646,"-")</f>
        <v>1.8630980592257314E-2</v>
      </c>
      <c r="M1681">
        <f t="shared" si="1884"/>
        <v>1.9320077379362408E-2</v>
      </c>
      <c r="N1681">
        <f t="shared" si="1884"/>
        <v>1.9320077379362397E-2</v>
      </c>
      <c r="O1681">
        <f t="shared" si="1884"/>
        <v>1.9320077379362401E-2</v>
      </c>
      <c r="P1681">
        <f t="shared" ref="P1681:Q1683" si="1885">IFERROR(P1670/P1646,"-")</f>
        <v>1.9320077379362387E-2</v>
      </c>
      <c r="Q1681">
        <f t="shared" si="1885"/>
        <v>1.932007737936239E-2</v>
      </c>
      <c r="S1681" s="3"/>
    </row>
    <row r="1682" spans="2:19" x14ac:dyDescent="0.5">
      <c r="B1682" t="str">
        <f t="shared" si="1875"/>
        <v>SPS1</v>
      </c>
      <c r="C1682" t="str">
        <f t="shared" si="1852"/>
        <v>CH</v>
      </c>
      <c r="D1682" t="s">
        <v>1690</v>
      </c>
      <c r="E1682" t="s">
        <v>1229</v>
      </c>
      <c r="F1682" t="str">
        <f t="shared" si="1883"/>
        <v>-</v>
      </c>
      <c r="G1682" t="str">
        <f t="shared" si="1883"/>
        <v>-</v>
      </c>
      <c r="H1682" t="str">
        <f t="shared" si="1883"/>
        <v>-</v>
      </c>
      <c r="I1682" t="str">
        <f t="shared" si="1883"/>
        <v>-</v>
      </c>
      <c r="J1682" t="str">
        <f t="shared" si="1883"/>
        <v>-</v>
      </c>
      <c r="K1682">
        <f t="shared" si="1883"/>
        <v>7.2968729943651729E-3</v>
      </c>
      <c r="L1682">
        <f t="shared" ref="L1682:O1682" si="1886">IFERROR(L1671/L1647,"-")</f>
        <v>6.6154864100462698E-3</v>
      </c>
      <c r="M1682">
        <f t="shared" si="1886"/>
        <v>5.9340998257273589E-3</v>
      </c>
      <c r="N1682">
        <f t="shared" si="1886"/>
        <v>5.9340998257273606E-3</v>
      </c>
      <c r="O1682">
        <f t="shared" si="1886"/>
        <v>5.9340998257273641E-3</v>
      </c>
      <c r="P1682">
        <f t="shared" si="1885"/>
        <v>5.9340998257273571E-3</v>
      </c>
      <c r="Q1682">
        <f t="shared" si="1885"/>
        <v>5.9340998257273554E-3</v>
      </c>
      <c r="S1682" s="3"/>
    </row>
    <row r="1683" spans="2:19" x14ac:dyDescent="0.5">
      <c r="B1683" t="str">
        <f t="shared" si="1875"/>
        <v>SPS1</v>
      </c>
      <c r="C1683" t="str">
        <f t="shared" si="1852"/>
        <v>CH</v>
      </c>
      <c r="D1683" t="s">
        <v>1691</v>
      </c>
      <c r="E1683" t="s">
        <v>240</v>
      </c>
      <c r="F1683" t="str">
        <f t="shared" si="1883"/>
        <v>-</v>
      </c>
      <c r="G1683" t="str">
        <f t="shared" si="1883"/>
        <v>-</v>
      </c>
      <c r="H1683" t="str">
        <f t="shared" si="1883"/>
        <v>-</v>
      </c>
      <c r="I1683" t="str">
        <f t="shared" si="1883"/>
        <v>-</v>
      </c>
      <c r="J1683">
        <f t="shared" si="1883"/>
        <v>1.7934782608695681</v>
      </c>
      <c r="K1683">
        <f t="shared" si="1883"/>
        <v>1.7934782608695743</v>
      </c>
      <c r="L1683">
        <f t="shared" ref="L1683:O1683" si="1887">IFERROR(L1672/L1648,"-")</f>
        <v>1.7934782608695661</v>
      </c>
      <c r="M1683">
        <f t="shared" si="1887"/>
        <v>1.7934782608695707</v>
      </c>
      <c r="N1683">
        <f t="shared" si="1887"/>
        <v>1.793478260869573</v>
      </c>
      <c r="O1683">
        <f t="shared" si="1887"/>
        <v>1.793478260869571</v>
      </c>
      <c r="P1683">
        <f t="shared" si="1885"/>
        <v>1.7934782608695727</v>
      </c>
      <c r="Q1683">
        <f t="shared" si="1885"/>
        <v>1.7934782608695661</v>
      </c>
      <c r="S1683" s="3"/>
    </row>
    <row r="1684" spans="2:19" x14ac:dyDescent="0.5">
      <c r="B1684" t="str">
        <f t="shared" si="1875"/>
        <v>SPS1</v>
      </c>
      <c r="C1684" t="str">
        <f t="shared" si="1852"/>
        <v>CH</v>
      </c>
      <c r="D1684" t="s">
        <v>1692</v>
      </c>
      <c r="E1684" t="s">
        <v>240</v>
      </c>
      <c r="F1684" s="4">
        <f t="shared" ref="F1684:K1684" si="1888">IFERROR(F1673/F1654,"-")</f>
        <v>0.90641226905247907</v>
      </c>
      <c r="G1684" s="4">
        <f t="shared" si="1888"/>
        <v>0.90641226905247441</v>
      </c>
      <c r="H1684" s="4">
        <f t="shared" si="1888"/>
        <v>0.90641226905248207</v>
      </c>
      <c r="I1684" s="4">
        <f t="shared" si="1888"/>
        <v>0.90641226905248051</v>
      </c>
      <c r="J1684" s="4">
        <f t="shared" si="1888"/>
        <v>0.90641226905247674</v>
      </c>
      <c r="K1684" s="4">
        <f t="shared" si="1888"/>
        <v>0.90641226905247718</v>
      </c>
      <c r="L1684" s="4">
        <f t="shared" ref="L1684:O1684" si="1889">IFERROR(L1673/L1654,"-")</f>
        <v>0.90641226905247785</v>
      </c>
      <c r="M1684" s="4" t="str">
        <f t="shared" si="1889"/>
        <v>-</v>
      </c>
      <c r="N1684" s="4" t="str">
        <f t="shared" si="1889"/>
        <v>-</v>
      </c>
      <c r="O1684" s="4" t="str">
        <f t="shared" si="1889"/>
        <v>-</v>
      </c>
      <c r="P1684" s="4" t="str">
        <f>IFERROR(P1673/P1654,"-")</f>
        <v>-</v>
      </c>
      <c r="Q1684" s="4" t="str">
        <f>IFERROR(Q1673/Q1654,"-")</f>
        <v>-</v>
      </c>
      <c r="S1684" s="3"/>
    </row>
    <row r="1685" spans="2:19" x14ac:dyDescent="0.5">
      <c r="B1685" t="str">
        <f t="shared" si="1875"/>
        <v>SPS1</v>
      </c>
      <c r="C1685" t="str">
        <f t="shared" si="1852"/>
        <v>CH</v>
      </c>
      <c r="D1685" t="s">
        <v>1693</v>
      </c>
      <c r="E1685" t="s">
        <v>1229</v>
      </c>
      <c r="F1685" t="str">
        <f t="shared" ref="F1685:K1687" si="1890">IFERROR(F1674/F1660,"-")</f>
        <v>-</v>
      </c>
      <c r="G1685" t="str">
        <f t="shared" si="1890"/>
        <v>-</v>
      </c>
      <c r="H1685" t="str">
        <f t="shared" si="1890"/>
        <v>-</v>
      </c>
      <c r="I1685" t="str">
        <f t="shared" si="1890"/>
        <v>-</v>
      </c>
      <c r="J1685" t="str">
        <f t="shared" si="1890"/>
        <v>-</v>
      </c>
      <c r="K1685" t="str">
        <f t="shared" si="1890"/>
        <v>-</v>
      </c>
      <c r="L1685" t="str">
        <f t="shared" ref="L1685:O1685" si="1891">IFERROR(L1674/L1660,"-")</f>
        <v>-</v>
      </c>
      <c r="M1685" t="str">
        <f t="shared" si="1891"/>
        <v>-</v>
      </c>
      <c r="N1685" t="str">
        <f t="shared" si="1891"/>
        <v>-</v>
      </c>
      <c r="O1685" t="str">
        <f t="shared" si="1891"/>
        <v>-</v>
      </c>
      <c r="P1685" t="str">
        <f t="shared" ref="P1685:Q1687" si="1892">IFERROR(P1674/P1660,"-")</f>
        <v>-</v>
      </c>
      <c r="Q1685" t="str">
        <f t="shared" si="1892"/>
        <v>-</v>
      </c>
      <c r="S1685" s="3"/>
    </row>
    <row r="1686" spans="2:19" x14ac:dyDescent="0.5">
      <c r="B1686" t="str">
        <f t="shared" si="1875"/>
        <v>SPS1</v>
      </c>
      <c r="C1686" t="str">
        <f t="shared" si="1852"/>
        <v>CH</v>
      </c>
      <c r="D1686" t="s">
        <v>1694</v>
      </c>
      <c r="E1686" t="s">
        <v>1229</v>
      </c>
      <c r="F1686" s="1">
        <f t="shared" si="1890"/>
        <v>4.0530738867855121E-3</v>
      </c>
      <c r="G1686" s="1">
        <f t="shared" si="1890"/>
        <v>4.0530738867855121E-3</v>
      </c>
      <c r="H1686">
        <f t="shared" si="1890"/>
        <v>4.0530738867855121E-3</v>
      </c>
      <c r="I1686">
        <f t="shared" si="1890"/>
        <v>4.0530738867855139E-3</v>
      </c>
      <c r="J1686">
        <f t="shared" si="1890"/>
        <v>4.0530738867855104E-3</v>
      </c>
      <c r="K1686">
        <f t="shared" si="1890"/>
        <v>4.0530738867855087E-3</v>
      </c>
      <c r="L1686">
        <f t="shared" ref="L1686:O1686" si="1893">IFERROR(L1675/L1661,"-")</f>
        <v>4.0530738867855095E-3</v>
      </c>
      <c r="M1686">
        <f t="shared" si="1893"/>
        <v>4.0530738867855104E-3</v>
      </c>
      <c r="N1686">
        <f t="shared" si="1893"/>
        <v>4.0530738867855095E-3</v>
      </c>
      <c r="O1686">
        <f t="shared" si="1893"/>
        <v>4.0530738867855069E-3</v>
      </c>
      <c r="P1686">
        <f t="shared" si="1892"/>
        <v>4.0530738867855052E-3</v>
      </c>
      <c r="Q1686">
        <f t="shared" si="1892"/>
        <v>4.0530738867855121E-3</v>
      </c>
      <c r="S1686" s="3"/>
    </row>
    <row r="1687" spans="2:19" x14ac:dyDescent="0.5">
      <c r="B1687" t="str">
        <f t="shared" si="1875"/>
        <v>SPS1</v>
      </c>
      <c r="C1687" t="str">
        <f t="shared" si="1852"/>
        <v>CH</v>
      </c>
      <c r="D1687" t="s">
        <v>1695</v>
      </c>
      <c r="E1687" t="s">
        <v>240</v>
      </c>
      <c r="F1687" s="4">
        <f t="shared" si="1890"/>
        <v>0.98826978015125178</v>
      </c>
      <c r="G1687" s="4">
        <f t="shared" si="1890"/>
        <v>0.98826978015125255</v>
      </c>
      <c r="H1687" s="4">
        <f t="shared" si="1890"/>
        <v>0.988269780151251</v>
      </c>
      <c r="I1687" s="4">
        <f t="shared" si="1890"/>
        <v>0.98826978015124667</v>
      </c>
      <c r="J1687" s="4">
        <f t="shared" si="1890"/>
        <v>0.98826978015125011</v>
      </c>
      <c r="K1687" s="4">
        <f t="shared" si="1890"/>
        <v>0.98826978015124367</v>
      </c>
      <c r="L1687" s="4">
        <f t="shared" ref="L1687:O1687" si="1894">IFERROR(L1676/L1662,"-")</f>
        <v>0.98826978015124545</v>
      </c>
      <c r="M1687" s="4">
        <f t="shared" si="1894"/>
        <v>0.98826978015124778</v>
      </c>
      <c r="N1687" s="4">
        <f t="shared" si="1894"/>
        <v>0.98826978015124634</v>
      </c>
      <c r="O1687" s="4">
        <f t="shared" si="1894"/>
        <v>0.98826978015124856</v>
      </c>
      <c r="P1687" s="4">
        <f t="shared" si="1892"/>
        <v>0.98826978015125111</v>
      </c>
      <c r="Q1687" s="4">
        <f t="shared" si="1892"/>
        <v>0.98826978015124556</v>
      </c>
      <c r="S1687" s="3"/>
    </row>
    <row r="1688" spans="2:19" x14ac:dyDescent="0.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34.610053634057721</v>
      </c>
      <c r="G1688" s="3">
        <f t="shared" ref="G1688:K1688" si="1895">SUM(G1689:G1691,G1694:G1696,-G1701)</f>
        <v>32.382608616324461</v>
      </c>
      <c r="H1688" s="3">
        <f t="shared" si="1895"/>
        <v>30.895083978396979</v>
      </c>
      <c r="I1688" s="3">
        <f t="shared" si="1895"/>
        <v>27.327324091694315</v>
      </c>
      <c r="J1688" s="3">
        <f t="shared" si="1895"/>
        <v>23.72699271373099</v>
      </c>
      <c r="K1688" s="3">
        <f t="shared" si="1895"/>
        <v>22.356137760344584</v>
      </c>
      <c r="L1688" s="3">
        <f t="shared" ref="L1688:O1688" si="1896">SUM(L1689:L1691,L1694:L1696,-L1701)</f>
        <v>21.347331998655243</v>
      </c>
      <c r="M1688" s="3">
        <f>SUM(M1689:M1691,M1694:M1696,-M1701)</f>
        <v>20.203769261841252</v>
      </c>
      <c r="N1688" s="3">
        <f t="shared" si="1896"/>
        <v>19.515624772720663</v>
      </c>
      <c r="O1688" s="3">
        <f t="shared" si="1896"/>
        <v>18.212357335257384</v>
      </c>
      <c r="P1688" s="3">
        <f>SUM(P1689:P1691,P1694:P1696,-P1701)</f>
        <v>17.131603392052636</v>
      </c>
      <c r="Q1688" s="3">
        <f>SUM(Q1689:Q1691,Q1694:Q1696,-Q1701)</f>
        <v>15.507200266425349</v>
      </c>
      <c r="S1688" s="3"/>
    </row>
    <row r="1689" spans="2:19" x14ac:dyDescent="0.5">
      <c r="B1689" t="str">
        <f>B1688</f>
        <v>SPS1</v>
      </c>
      <c r="C1689" t="str">
        <f t="shared" ref="C1689" si="1897">C1688</f>
        <v>CH</v>
      </c>
      <c r="D1689" t="s">
        <v>1702</v>
      </c>
      <c r="E1689" t="str">
        <f>E1688</f>
        <v>Mt/yr.</v>
      </c>
      <c r="F1689" s="1">
        <f>[1]Summary!B53+[1]Summary!B59</f>
        <v>2.5937193780736396</v>
      </c>
      <c r="G1689" s="1">
        <f>[1]Summary!C53+[1]Summary!C59</f>
        <v>2.3829233127900262</v>
      </c>
      <c r="H1689" s="1">
        <f>[1]Summary!D53+[1]Summary!D59</f>
        <v>2.3652167055046105</v>
      </c>
      <c r="I1689" s="1">
        <f>[1]Summary!E53+[1]Summary!E59</f>
        <v>2.4109869021387476</v>
      </c>
      <c r="J1689" s="1">
        <f>[1]Summary!F53+[1]Summary!F59</f>
        <v>2.3797750204031209</v>
      </c>
      <c r="K1689" s="1">
        <f>[1]Summary!G53+[1]Summary!G59</f>
        <v>2.5814650875862846</v>
      </c>
      <c r="L1689" s="1">
        <f>[1]Summary!H53+[1]Summary!H59</f>
        <v>3.0358801927141439</v>
      </c>
      <c r="M1689" s="1">
        <f>[1]Summary!I53+[1]Summary!I59</f>
        <v>3.3272840142352993</v>
      </c>
      <c r="N1689" s="1">
        <f>[1]Summary!J53+[1]Summary!J59</f>
        <v>3.3963093201157801</v>
      </c>
      <c r="O1689" s="1">
        <f>[1]Summary!K53+[1]Summary!K59</f>
        <v>3.4664023805877595</v>
      </c>
      <c r="P1689" s="1">
        <f>[1]Summary!L53+[1]Summary!L59</f>
        <v>3.4318002563339052</v>
      </c>
      <c r="Q1689" s="1">
        <f>[1]Summary!M53+[1]Summary!M59</f>
        <v>3.3526577170765903</v>
      </c>
      <c r="S1689" s="3"/>
    </row>
    <row r="1690" spans="2:19" x14ac:dyDescent="0.5">
      <c r="B1690" t="str">
        <f t="shared" ref="B1690:B1701" si="1898">B1689</f>
        <v>SPS1</v>
      </c>
      <c r="C1690" t="str">
        <f t="shared" ref="C1690:C1701" si="1899">C1689</f>
        <v>CH</v>
      </c>
      <c r="D1690" t="s">
        <v>1703</v>
      </c>
      <c r="E1690" t="str">
        <f t="shared" ref="E1690:E1701" si="1900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[1]Summary!F54+[1]Summary!F61</f>
        <v>0</v>
      </c>
      <c r="K1690" s="1">
        <f>[1]Summary!G54+[1]Summary!G61+[1]Summary!G62</f>
        <v>0</v>
      </c>
      <c r="L1690" s="1">
        <f>[1]Summary!H54+[1]Summary!H61+[1]Summary!H62</f>
        <v>0</v>
      </c>
      <c r="M1690" s="1">
        <f>[1]Summary!I54+[1]Summary!I61+[1]Summary!I62</f>
        <v>0</v>
      </c>
      <c r="N1690" s="1">
        <f>[1]Summary!J54+[1]Summary!J61+[1]Summary!J62</f>
        <v>0</v>
      </c>
      <c r="O1690" s="1">
        <f>[1]Summary!K54+[1]Summary!K61+[1]Summary!K62</f>
        <v>0</v>
      </c>
      <c r="P1690" s="1">
        <f>[1]Summary!L54+[1]Summary!L61+[1]Summary!L62</f>
        <v>0</v>
      </c>
      <c r="Q1690" s="1">
        <f>[1]Summary!M54+[1]Summary!M61+[1]Summary!M62</f>
        <v>0</v>
      </c>
      <c r="S1690" s="3"/>
    </row>
    <row r="1691" spans="2:19" x14ac:dyDescent="0.5">
      <c r="B1691" t="str">
        <f t="shared" si="1898"/>
        <v>SPS1</v>
      </c>
      <c r="C1691" t="str">
        <f t="shared" si="1899"/>
        <v>CH</v>
      </c>
      <c r="D1691" t="s">
        <v>1704</v>
      </c>
      <c r="E1691" t="str">
        <f t="shared" si="1900"/>
        <v>Mt/yr.</v>
      </c>
      <c r="F1691" s="1">
        <f>[1]Summary!B55+[1]Summary!B60</f>
        <v>6.4939083130621968</v>
      </c>
      <c r="G1691" s="1">
        <f>[1]Summary!C55+[1]Summary!C60</f>
        <v>6.0788733885074056</v>
      </c>
      <c r="H1691" s="1">
        <f>[1]Summary!D55+[1]Summary!D60</f>
        <v>5.7851756454537844</v>
      </c>
      <c r="I1691" s="1">
        <f>[1]Summary!E55+[1]Summary!E60</f>
        <v>5.2456510793468878</v>
      </c>
      <c r="J1691" s="1">
        <f>[1]Summary!F55+[1]Summary!F60</f>
        <v>4.9309401209424797</v>
      </c>
      <c r="K1691" s="1">
        <f>[1]Summary!G55+[1]Summary!G60</f>
        <v>4.6089345057280608</v>
      </c>
      <c r="L1691" s="1">
        <f>[1]Summary!H55+[1]Summary!H60</f>
        <v>4.2476441663428526</v>
      </c>
      <c r="M1691" s="1">
        <f>[1]Summary!I55+[1]Summary!I60</f>
        <v>4.0032861606855814</v>
      </c>
      <c r="N1691" s="1">
        <f>[1]Summary!J55+[1]Summary!J60</f>
        <v>3.9342598060486096</v>
      </c>
      <c r="O1691" s="1">
        <f>[1]Summary!K55+[1]Summary!K60</f>
        <v>3.8093517761836293</v>
      </c>
      <c r="P1691" s="1">
        <f>[1]Summary!L55+[1]Summary!L60</f>
        <v>3.7354699890060901</v>
      </c>
      <c r="Q1691" s="1">
        <f>[1]Summary!M55+[1]Summary!M60</f>
        <v>3.6547979049942318</v>
      </c>
      <c r="S1691" s="3"/>
    </row>
    <row r="1692" spans="2:19" x14ac:dyDescent="0.5">
      <c r="B1692" t="str">
        <f t="shared" si="1898"/>
        <v>SPS1</v>
      </c>
      <c r="C1692" t="str">
        <f t="shared" si="1899"/>
        <v>CH</v>
      </c>
      <c r="D1692" t="s">
        <v>1714</v>
      </c>
      <c r="E1692" t="str">
        <f t="shared" si="1900"/>
        <v>Mt/yr.</v>
      </c>
      <c r="F1692" s="1">
        <f>F1691-F1693</f>
        <v>4.4045615125775566</v>
      </c>
      <c r="G1692" s="1">
        <f t="shared" ref="G1692:K1692" si="1901">G1691-G1693</f>
        <v>3.9678602186333252</v>
      </c>
      <c r="H1692" s="1">
        <f t="shared" si="1901"/>
        <v>3.6829061743925244</v>
      </c>
      <c r="I1692" s="1">
        <f t="shared" si="1901"/>
        <v>3.151994016934248</v>
      </c>
      <c r="J1692" s="1">
        <f t="shared" si="1901"/>
        <v>2.8454051661729998</v>
      </c>
      <c r="K1692" s="1">
        <f t="shared" si="1901"/>
        <v>2.5315216586017506</v>
      </c>
      <c r="L1692" s="1">
        <f t="shared" ref="L1692:O1692" si="1902">L1691-L1693</f>
        <v>2.1770634646522025</v>
      </c>
      <c r="M1692" s="1">
        <f t="shared" si="1902"/>
        <v>1.9395376044305914</v>
      </c>
      <c r="N1692" s="1">
        <f t="shared" si="1902"/>
        <v>1.8705112497936196</v>
      </c>
      <c r="O1692" s="1">
        <f t="shared" si="1902"/>
        <v>1.7456032199286393</v>
      </c>
      <c r="P1692" s="1">
        <f>P1691-P1693</f>
        <v>1.6717214327511001</v>
      </c>
      <c r="Q1692" s="1">
        <f>Q1691-Q1693</f>
        <v>1.5910493487392419</v>
      </c>
      <c r="S1692" s="3"/>
    </row>
    <row r="1693" spans="2:19" x14ac:dyDescent="0.5">
      <c r="B1693" t="str">
        <f t="shared" si="1898"/>
        <v>SPS1</v>
      </c>
      <c r="C1693" t="str">
        <f t="shared" si="1899"/>
        <v>CH</v>
      </c>
      <c r="D1693" t="s">
        <v>1713</v>
      </c>
      <c r="E1693" t="str">
        <f t="shared" si="1900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2.0936570624126398</v>
      </c>
      <c r="J1693" s="1" cm="1">
        <f t="array" ref="J1693">SUMPRODUCT(ISNUMBER(SEARCH("processco2",[1]OUT_CO2_emissions!$D$3:$D$1000))*1,("var_fout"=[1]OUT_CO2_emissions!$C$3:$C$1000)*1,("CO2"=[1]OUT_CO2_emissions!$B$3:$B$1000)*1,[1]OUT_CO2_emissions!I$3:I$1000)/1000</f>
        <v>2.0855349547694799</v>
      </c>
      <c r="K1693" s="1" cm="1">
        <f t="array" ref="K1693">SUMPRODUCT(ISNUMBER(SEARCH("processco2",[1]OUT_CO2_emissions!$D$3:$D$1000))*1,("var_fout"=[1]OUT_CO2_emissions!$C$3:$C$1000)*1,("CO2"=[1]OUT_CO2_emissions!$B$3:$B$1000)*1,[1]OUT_CO2_emissions!J$3:J$1000)/1000</f>
        <v>2.0774128471263102</v>
      </c>
      <c r="L1693" s="1" cm="1">
        <f t="array" ref="L1693">SUMPRODUCT(ISNUMBER(SEARCH("processco2",[1]OUT_CO2_emissions!$D$3:$D$1000))*1,("var_fout"=[1]OUT_CO2_emissions!$C$3:$C$1000)*1,("CO2"=[1]OUT_CO2_emissions!$B$3:$B$1000)*1,[1]OUT_CO2_emissions!K$3:K$1000)/1000</f>
        <v>2.0705807016906501</v>
      </c>
      <c r="M1693" s="1" cm="1">
        <f t="array" ref="M1693">SUMPRODUCT(ISNUMBER(SEARCH("processco2",[1]OUT_CO2_emissions!$D$3:$D$1000))*1,("var_fout"=[1]OUT_CO2_emissions!$C$3:$C$1000)*1,("CO2"=[1]OUT_CO2_emissions!$B$3:$B$1000)*1,[1]OUT_CO2_emissions!L$3:L$1000)/1000</f>
        <v>2.06374855625499</v>
      </c>
      <c r="N1693" s="1" cm="1">
        <f t="array" ref="N1693">SUMPRODUCT(ISNUMBER(SEARCH("processco2",[1]OUT_CO2_emissions!$D$3:$D$1000))*1,("var_fout"=[1]OUT_CO2_emissions!$C$3:$C$1000)*1,("CO2"=[1]OUT_CO2_emissions!$B$3:$B$1000)*1,[1]OUT_CO2_emissions!M$3:M$1000)/1000</f>
        <v>2.06374855625499</v>
      </c>
      <c r="O1693" s="1" cm="1">
        <f t="array" ref="O1693">SUMPRODUCT(ISNUMBER(SEARCH("processco2",[1]OUT_CO2_emissions!$D$3:$D$1000))*1,("var_fout"=[1]OUT_CO2_emissions!$C$3:$C$1000)*1,("CO2"=[1]OUT_CO2_emissions!$B$3:$B$1000)*1,[1]OUT_CO2_emissions!N$3:N$1000)/1000</f>
        <v>2.06374855625499</v>
      </c>
      <c r="P1693" s="1" cm="1">
        <f t="array" ref="P1693">SUMPRODUCT(ISNUMBER(SEARCH("processco2",[1]OUT_CO2_emissions!$D$3:$D$1000))*1,("var_fout"=[1]OUT_CO2_emissions!$C$3:$C$1000)*1,("CO2"=[1]OUT_CO2_emissions!$B$3:$B$1000)*1,[1]OUT_CO2_emissions!O$3:O$1000)/1000</f>
        <v>2.06374855625499</v>
      </c>
      <c r="Q1693" s="1" cm="1">
        <f t="array" ref="Q1693">SUMPRODUCT(ISNUMBER(SEARCH("processco2",[1]OUT_CO2_emissions!$D$3:$D$1000))*1,("var_fout"=[1]OUT_CO2_emissions!$C$3:$C$1000)*1,("CO2"=[1]OUT_CO2_emissions!$B$3:$B$1000)*1,[1]OUT_CO2_emissions!P$3:P$1000)/1000</f>
        <v>2.06374855625499</v>
      </c>
      <c r="S1693" s="3"/>
    </row>
    <row r="1694" spans="2:19" x14ac:dyDescent="0.5">
      <c r="B1694" t="str">
        <f t="shared" si="1898"/>
        <v>SPS1</v>
      </c>
      <c r="C1694" t="str">
        <f t="shared" si="1899"/>
        <v>CH</v>
      </c>
      <c r="D1694" t="s">
        <v>1705</v>
      </c>
      <c r="E1694" t="str">
        <f t="shared" si="1900"/>
        <v>Mt/yr.</v>
      </c>
      <c r="F1694" s="1">
        <f>[1]Summary!B56</f>
        <v>3.7919479360931398</v>
      </c>
      <c r="G1694" s="1">
        <f>[1]Summary!C56</f>
        <v>3.4469299949788001</v>
      </c>
      <c r="H1694" s="1">
        <f>[1]Summary!D56</f>
        <v>3.42984099581302</v>
      </c>
      <c r="I1694" s="1">
        <f>[1]Summary!E56</f>
        <v>3.4640361968671001</v>
      </c>
      <c r="J1694" s="1">
        <f>[1]Summary!F56</f>
        <v>3.4197926711641804</v>
      </c>
      <c r="K1694" s="1">
        <f>[1]Summary!G56</f>
        <v>3.2046658977636104</v>
      </c>
      <c r="L1694" s="1">
        <f>[1]Summary!H56</f>
        <v>2.9850117059957118</v>
      </c>
      <c r="M1694" s="1">
        <f>[1]Summary!I56</f>
        <v>2.5552342728106368</v>
      </c>
      <c r="N1694" s="1">
        <f>[1]Summary!J56</f>
        <v>2.3849454346409011</v>
      </c>
      <c r="O1694" s="1">
        <f>[1]Summary!K56</f>
        <v>2.250961559925885</v>
      </c>
      <c r="P1694" s="1">
        <f>[1]Summary!L56</f>
        <v>2.0112028540548521</v>
      </c>
      <c r="Q1694" s="1">
        <f>[1]Summary!M56</f>
        <v>1.7834223346017088</v>
      </c>
      <c r="S1694" s="3"/>
    </row>
    <row r="1695" spans="2:19" x14ac:dyDescent="0.5">
      <c r="B1695" t="str">
        <f t="shared" si="1898"/>
        <v>SPS1</v>
      </c>
      <c r="C1695" t="str">
        <f t="shared" si="1899"/>
        <v>CH</v>
      </c>
      <c r="D1695" t="s">
        <v>1706</v>
      </c>
      <c r="E1695" t="str">
        <f t="shared" si="1900"/>
        <v>Mt/yr.</v>
      </c>
      <c r="F1695" s="1">
        <f>[1]Summary!B57</f>
        <v>7.1788177338717363</v>
      </c>
      <c r="G1695" s="1">
        <f>[1]Summary!C57</f>
        <v>6.5874588141809616</v>
      </c>
      <c r="H1695" s="1">
        <f>[1]Summary!D57</f>
        <v>6.2907373824380421</v>
      </c>
      <c r="I1695" s="1">
        <f>[1]Summary!E57</f>
        <v>6.5386958803033179</v>
      </c>
      <c r="J1695" s="1">
        <f>[1]Summary!F57</f>
        <v>5.9800960219108941</v>
      </c>
      <c r="K1695" s="1">
        <f>[1]Summary!G57</f>
        <v>5.7135976579250798</v>
      </c>
      <c r="L1695" s="1">
        <f>[1]Summary!H57</f>
        <v>5.5211058525437089</v>
      </c>
      <c r="M1695" s="1">
        <f>[1]Summary!I57</f>
        <v>5.2201842708895398</v>
      </c>
      <c r="N1695" s="1">
        <f>[1]Summary!J57</f>
        <v>4.9398022316517602</v>
      </c>
      <c r="O1695" s="1">
        <f>[1]Summary!K57</f>
        <v>4.5025893856514996</v>
      </c>
      <c r="P1695" s="1">
        <f>[1]Summary!L57</f>
        <v>4.1751728569468005</v>
      </c>
      <c r="Q1695" s="1">
        <f>[1]Summary!M57</f>
        <v>2.9874457575034965</v>
      </c>
      <c r="S1695" s="3"/>
    </row>
    <row r="1696" spans="2:19" x14ac:dyDescent="0.5">
      <c r="B1696" t="str">
        <f t="shared" si="1898"/>
        <v>SPS1</v>
      </c>
      <c r="C1696" t="str">
        <f t="shared" si="1899"/>
        <v>CH</v>
      </c>
      <c r="D1696" t="s">
        <v>1707</v>
      </c>
      <c r="E1696" t="str">
        <f t="shared" si="1900"/>
        <v>Mt/yr.</v>
      </c>
      <c r="F1696" s="1">
        <f>[1]Summary!B58</f>
        <v>14.551660272957005</v>
      </c>
      <c r="G1696" s="1">
        <f>[1]Summary!C58</f>
        <v>13.886423105867268</v>
      </c>
      <c r="H1696" s="1">
        <f>[1]Summary!D58</f>
        <v>13.024113249187522</v>
      </c>
      <c r="I1696" s="1">
        <f>[1]Summary!E58</f>
        <v>9.6679540330382583</v>
      </c>
      <c r="J1696" s="1">
        <f>[1]Summary!F58</f>
        <v>7.0163888793103153</v>
      </c>
      <c r="K1696" s="1">
        <f>[1]Summary!G58</f>
        <v>6.2474746113415494</v>
      </c>
      <c r="L1696" s="1">
        <f>[1]Summary!H58</f>
        <v>5.5576900810588281</v>
      </c>
      <c r="M1696" s="1">
        <f>[1]Summary!I58</f>
        <v>5.0977805432201944</v>
      </c>
      <c r="N1696" s="1">
        <f>[1]Summary!J58</f>
        <v>4.8603079802636122</v>
      </c>
      <c r="O1696" s="1">
        <f>[1]Summary!K58</f>
        <v>4.1830522329086115</v>
      </c>
      <c r="P1696" s="1">
        <f>[1]Summary!L58</f>
        <v>3.7779574357109893</v>
      </c>
      <c r="Q1696" s="1">
        <f>[1]Summary!M58</f>
        <v>3.7288765522493197</v>
      </c>
      <c r="S1696" s="3"/>
    </row>
    <row r="1697" spans="2:19" x14ac:dyDescent="0.5">
      <c r="B1697" t="str">
        <f t="shared" si="1898"/>
        <v>SPS1</v>
      </c>
      <c r="C1697" t="str">
        <f t="shared" si="1899"/>
        <v>CH</v>
      </c>
      <c r="D1697" t="s">
        <v>1708</v>
      </c>
      <c r="E1697" t="str">
        <f t="shared" si="1900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-[1]Summary!F59</f>
        <v>0</v>
      </c>
      <c r="K1697" s="1">
        <f>-[1]Summary!G59</f>
        <v>0</v>
      </c>
      <c r="L1697" s="1">
        <f>-[1]Summary!H59</f>
        <v>0</v>
      </c>
      <c r="M1697" s="1">
        <f>-[1]Summary!I59</f>
        <v>0</v>
      </c>
      <c r="N1697" s="1">
        <f>-[1]Summary!J59</f>
        <v>0</v>
      </c>
      <c r="O1697" s="1">
        <f>-[1]Summary!K59</f>
        <v>0</v>
      </c>
      <c r="P1697" s="1">
        <f>-[1]Summary!L59</f>
        <v>0</v>
      </c>
      <c r="Q1697" s="1">
        <f>-[1]Summary!M59</f>
        <v>0</v>
      </c>
      <c r="S1697" s="3"/>
    </row>
    <row r="1698" spans="2:19" x14ac:dyDescent="0.5">
      <c r="B1698" t="str">
        <f t="shared" si="1898"/>
        <v>SPS1</v>
      </c>
      <c r="C1698" t="str">
        <f t="shared" si="1899"/>
        <v>CH</v>
      </c>
      <c r="D1698" t="s">
        <v>1709</v>
      </c>
      <c r="E1698" t="str">
        <f t="shared" si="1900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-[1]Summary!F60</f>
        <v>0</v>
      </c>
      <c r="K1698" s="1">
        <f>-[1]Summary!G60</f>
        <v>0</v>
      </c>
      <c r="L1698" s="1">
        <f>-[1]Summary!H60</f>
        <v>0</v>
      </c>
      <c r="M1698" s="1">
        <f>-[1]Summary!I60</f>
        <v>0</v>
      </c>
      <c r="N1698" s="1">
        <f>-[1]Summary!J60</f>
        <v>0</v>
      </c>
      <c r="O1698" s="1">
        <f>-[1]Summary!K60</f>
        <v>0</v>
      </c>
      <c r="P1698" s="1">
        <f>-[1]Summary!L60</f>
        <v>0</v>
      </c>
      <c r="Q1698" s="1">
        <f>-[1]Summary!M60</f>
        <v>0</v>
      </c>
      <c r="S1698" s="3"/>
    </row>
    <row r="1699" spans="2:19" x14ac:dyDescent="0.5">
      <c r="B1699" t="str">
        <f t="shared" si="1898"/>
        <v>SPS1</v>
      </c>
      <c r="C1699" t="str">
        <f t="shared" si="1899"/>
        <v>CH</v>
      </c>
      <c r="D1699" t="s">
        <v>1710</v>
      </c>
      <c r="E1699" t="str">
        <f t="shared" si="1900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-[1]Summary!F61</f>
        <v>0</v>
      </c>
      <c r="K1699" s="1">
        <f>-[1]Summary!G61</f>
        <v>0</v>
      </c>
      <c r="L1699" s="1">
        <f>-[1]Summary!H61</f>
        <v>0</v>
      </c>
      <c r="M1699" s="1">
        <f>-[1]Summary!I61</f>
        <v>0</v>
      </c>
      <c r="N1699" s="1">
        <f>-[1]Summary!J61</f>
        <v>0</v>
      </c>
      <c r="O1699" s="1">
        <f>-[1]Summary!K61</f>
        <v>0</v>
      </c>
      <c r="P1699" s="1">
        <f>-[1]Summary!L61</f>
        <v>0</v>
      </c>
      <c r="Q1699" s="1">
        <f>-[1]Summary!M61</f>
        <v>0</v>
      </c>
      <c r="S1699" s="3"/>
    </row>
    <row r="1700" spans="2:19" x14ac:dyDescent="0.5">
      <c r="B1700" t="str">
        <f t="shared" si="1898"/>
        <v>SPS1</v>
      </c>
      <c r="C1700" t="str">
        <f t="shared" si="1899"/>
        <v>CH</v>
      </c>
      <c r="D1700" t="s">
        <v>1711</v>
      </c>
      <c r="E1700" t="str">
        <f t="shared" si="1900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-[1]Summary!F62</f>
        <v>0</v>
      </c>
      <c r="K1700" s="1">
        <f>-[1]Summary!G62</f>
        <v>0</v>
      </c>
      <c r="L1700" s="1">
        <f>-[1]Summary!H62</f>
        <v>0</v>
      </c>
      <c r="M1700" s="1">
        <f>-[1]Summary!I62</f>
        <v>0</v>
      </c>
      <c r="N1700" s="1">
        <f>-[1]Summary!J62</f>
        <v>0</v>
      </c>
      <c r="O1700" s="1">
        <f>-[1]Summary!K62</f>
        <v>0</v>
      </c>
      <c r="P1700" s="1">
        <f>-[1]Summary!L62</f>
        <v>0</v>
      </c>
      <c r="Q1700" s="1">
        <f>-[1]Summary!M62</f>
        <v>0</v>
      </c>
      <c r="S1700" s="3"/>
    </row>
    <row r="1701" spans="2:19" x14ac:dyDescent="0.5">
      <c r="B1701" t="str">
        <f t="shared" si="1898"/>
        <v>SPS1</v>
      </c>
      <c r="C1701" t="str">
        <f t="shared" si="1899"/>
        <v>CH</v>
      </c>
      <c r="D1701" t="s">
        <v>1712</v>
      </c>
      <c r="E1701" t="str">
        <f t="shared" si="1900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-[1]Summary!F63</f>
        <v>0</v>
      </c>
      <c r="K1701" s="1">
        <f>-[1]Summary!G63</f>
        <v>0</v>
      </c>
      <c r="L1701" s="1">
        <f>-[1]Summary!H63</f>
        <v>0</v>
      </c>
      <c r="M1701" s="1">
        <f>-[1]Summary!I63</f>
        <v>0</v>
      </c>
      <c r="N1701" s="1">
        <f>-[1]Summary!J63</f>
        <v>0</v>
      </c>
      <c r="O1701" s="1">
        <f>-[1]Summary!K63</f>
        <v>0</v>
      </c>
      <c r="P1701" s="1">
        <f>-[1]Summary!L63</f>
        <v>0</v>
      </c>
      <c r="Q1701" s="1">
        <f>-[1]Summary!M63</f>
        <v>0</v>
      </c>
      <c r="S1701" s="3"/>
    </row>
    <row r="1702" spans="2:19" x14ac:dyDescent="0.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903">SUM(G1703:G1705)</f>
        <v>0</v>
      </c>
      <c r="H1702" s="3">
        <f t="shared" si="1903"/>
        <v>0</v>
      </c>
      <c r="I1702" s="3">
        <f t="shared" si="1903"/>
        <v>0</v>
      </c>
      <c r="J1702" s="3">
        <f t="shared" si="1903"/>
        <v>0</v>
      </c>
      <c r="K1702" s="3">
        <f t="shared" si="1903"/>
        <v>0</v>
      </c>
      <c r="L1702" s="3">
        <f t="shared" ref="L1702:O1702" si="1904">SUM(L1703:L1705)</f>
        <v>0</v>
      </c>
      <c r="M1702" s="3">
        <f t="shared" si="1904"/>
        <v>0</v>
      </c>
      <c r="N1702" s="3">
        <f t="shared" si="1904"/>
        <v>0</v>
      </c>
      <c r="O1702" s="3">
        <f t="shared" si="1904"/>
        <v>0</v>
      </c>
      <c r="P1702" s="3">
        <f>SUM(P1703:P1705)</f>
        <v>0</v>
      </c>
      <c r="Q1702" s="3">
        <f>SUM(Q1703:Q1705)</f>
        <v>0</v>
      </c>
      <c r="S1702" s="3"/>
    </row>
    <row r="1703" spans="2:19" x14ac:dyDescent="0.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[1]Summary!B$77</f>
        <v>0</v>
      </c>
      <c r="K1703" s="1">
        <f>[1]Summary!B$77</f>
        <v>0</v>
      </c>
      <c r="L1703" s="1">
        <f>[1]Summary!C$77</f>
        <v>0</v>
      </c>
      <c r="M1703" s="1">
        <f>[1]Summary!D$77</f>
        <v>0</v>
      </c>
      <c r="N1703" s="1">
        <f>[1]Summary!E$77</f>
        <v>0</v>
      </c>
      <c r="O1703" s="1">
        <f>[1]Summary!F$77</f>
        <v>0</v>
      </c>
      <c r="P1703" s="1">
        <f>[1]Summary!G$77</f>
        <v>0</v>
      </c>
      <c r="Q1703" s="1">
        <f>[1]Summary!H$77</f>
        <v>0</v>
      </c>
      <c r="S1703" s="3"/>
    </row>
    <row r="1704" spans="2:19" x14ac:dyDescent="0.5">
      <c r="B1704" t="str">
        <f t="shared" ref="B1704:B1705" si="1905">B1703</f>
        <v>SPS1</v>
      </c>
      <c r="C1704" t="str">
        <f t="shared" ref="C1704:C1705" si="1906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[1]Summary!B$78</f>
        <v>0</v>
      </c>
      <c r="K1704" s="1">
        <f>[1]Summary!B$78</f>
        <v>0</v>
      </c>
      <c r="L1704" s="1">
        <f>[1]Summary!C$78</f>
        <v>0</v>
      </c>
      <c r="M1704" s="1">
        <f>[1]Summary!D$78</f>
        <v>0</v>
      </c>
      <c r="N1704" s="1">
        <f>[1]Summary!E$78</f>
        <v>0</v>
      </c>
      <c r="O1704" s="1">
        <f>[1]Summary!F$78</f>
        <v>0</v>
      </c>
      <c r="P1704" s="1">
        <f>[1]Summary!G$78</f>
        <v>0</v>
      </c>
      <c r="Q1704" s="1">
        <f>[1]Summary!H$78</f>
        <v>0</v>
      </c>
      <c r="S1704" s="3"/>
    </row>
    <row r="1705" spans="2:19" x14ac:dyDescent="0.5">
      <c r="B1705" t="str">
        <f t="shared" si="1905"/>
        <v>SPS1</v>
      </c>
      <c r="C1705" t="str">
        <f t="shared" si="1906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[1]Summary!B$79</f>
        <v>0</v>
      </c>
      <c r="K1705" s="1">
        <f>[1]Summary!B$79</f>
        <v>0</v>
      </c>
      <c r="L1705" s="1">
        <f>[1]Summary!C$79</f>
        <v>0</v>
      </c>
      <c r="M1705" s="1">
        <f>[1]Summary!D$79</f>
        <v>0</v>
      </c>
      <c r="N1705" s="1">
        <f>[1]Summary!E$79</f>
        <v>0</v>
      </c>
      <c r="O1705" s="1">
        <f>[1]Summary!F$79</f>
        <v>0</v>
      </c>
      <c r="P1705" s="1">
        <f>[1]Summary!G$79</f>
        <v>0</v>
      </c>
      <c r="Q1705" s="1">
        <f>[1]Summary!H$79</f>
        <v>0</v>
      </c>
      <c r="S1705" s="3"/>
    </row>
    <row r="1706" spans="2:19" x14ac:dyDescent="0.5">
      <c r="B1706" s="2" t="str">
        <f t="shared" ref="B1706:C1711" si="1907">B1705</f>
        <v>SPS1</v>
      </c>
      <c r="C1706" s="2" t="str">
        <f t="shared" si="1907"/>
        <v>CH</v>
      </c>
      <c r="D1706" s="2" t="s">
        <v>1720</v>
      </c>
      <c r="E1706" s="19" t="s">
        <v>292</v>
      </c>
      <c r="F1706" s="19" t="s">
        <v>292</v>
      </c>
      <c r="G1706" s="19" t="s">
        <v>292</v>
      </c>
      <c r="H1706" s="19" t="s">
        <v>292</v>
      </c>
      <c r="I1706" s="19" t="s">
        <v>292</v>
      </c>
      <c r="J1706" s="19" t="s">
        <v>292</v>
      </c>
      <c r="K1706" s="19" t="s">
        <v>292</v>
      </c>
      <c r="L1706" s="19" t="s">
        <v>292</v>
      </c>
      <c r="M1706" s="19" t="s">
        <v>292</v>
      </c>
      <c r="N1706" s="19" t="s">
        <v>292</v>
      </c>
      <c r="O1706" s="19" t="s">
        <v>292</v>
      </c>
      <c r="P1706" s="19" t="s">
        <v>292</v>
      </c>
      <c r="Q1706" s="19" t="s">
        <v>292</v>
      </c>
      <c r="S1706" s="3"/>
    </row>
    <row r="1707" spans="2:19" x14ac:dyDescent="0.5">
      <c r="B1707" t="str">
        <f t="shared" si="1907"/>
        <v>SPS1</v>
      </c>
      <c r="C1707" t="str">
        <f t="shared" si="1907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908">SUM(G1708:G1709)</f>
        <v>0</v>
      </c>
      <c r="H1707" s="1">
        <f t="shared" si="1908"/>
        <v>0</v>
      </c>
      <c r="I1707" s="1">
        <f t="shared" si="1908"/>
        <v>0</v>
      </c>
      <c r="J1707" s="1">
        <f t="shared" si="1908"/>
        <v>0</v>
      </c>
      <c r="K1707" s="1">
        <f t="shared" si="1908"/>
        <v>0</v>
      </c>
      <c r="L1707" s="1">
        <f t="shared" ref="L1707:O1707" si="1909">SUM(L1708:L1709)</f>
        <v>0</v>
      </c>
      <c r="M1707" s="1">
        <f t="shared" si="1909"/>
        <v>0</v>
      </c>
      <c r="N1707" s="1">
        <f t="shared" si="1909"/>
        <v>0</v>
      </c>
      <c r="O1707" s="1">
        <f t="shared" si="1909"/>
        <v>0</v>
      </c>
      <c r="P1707" s="1">
        <f>SUM(P1708:P1709)</f>
        <v>0</v>
      </c>
      <c r="Q1707" s="1">
        <f>SUM(Q1708:Q1709)</f>
        <v>0</v>
      </c>
      <c r="S1707" s="3"/>
    </row>
    <row r="1708" spans="2:19" x14ac:dyDescent="0.5">
      <c r="B1708" t="str">
        <f t="shared" si="1907"/>
        <v>SPS1</v>
      </c>
      <c r="C1708" t="str">
        <f t="shared" si="1907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SUMPRODUCT(("SUP_DAC"=[1]OUT_SyntheticFuels!$C$1:$C$1000)*1,("Var_Fin"=[1]OUT_SyntheticFuels!$B$1:$B$1000)*1,ISNUMBER(SEARCH("ELC",[1]OUT_SyntheticFuels!$A$1:$A$1000))*1,[1]OUT_SyntheticFuels!I$1:I$1000)</f>
        <v>0</v>
      </c>
      <c r="K1708" s="1" cm="1">
        <f t="array" ref="K1708">SUMPRODUCT(("SUP_DAC"=[1]OUT_SyntheticFuels!$C$1:$C$1000)*1,("Var_Fin"=[1]OUT_SyntheticFuels!$B$1:$B$1000)*1,ISNUMBER(SEARCH("ELC",[1]OUT_SyntheticFuels!$A$1:$A$1000))*1,[1]OUT_SyntheticFuels!J$1:J$1000)</f>
        <v>0</v>
      </c>
      <c r="L1708" s="1" cm="1">
        <f t="array" ref="L1708">SUMPRODUCT(("SUP_DAC"=[1]OUT_SyntheticFuels!$C$1:$C$1000)*1,("Var_Fin"=[1]OUT_SyntheticFuels!$B$1:$B$1000)*1,ISNUMBER(SEARCH("ELC",[1]OUT_SyntheticFuels!$A$1:$A$1000))*1,[1]OUT_SyntheticFuels!K$1:K$1000)</f>
        <v>0</v>
      </c>
      <c r="M1708" s="1" cm="1">
        <f t="array" ref="M1708">SUMPRODUCT(("SUP_DAC"=[1]OUT_SyntheticFuels!$C$1:$C$1000)*1,("Var_Fin"=[1]OUT_SyntheticFuels!$B$1:$B$1000)*1,ISNUMBER(SEARCH("ELC",[1]OUT_SyntheticFuels!$A$1:$A$1000))*1,[1]OUT_SyntheticFuels!L$1:L$1000)</f>
        <v>0</v>
      </c>
      <c r="N1708" s="1" cm="1">
        <f t="array" ref="N1708">SUMPRODUCT(("SUP_DAC"=[1]OUT_SyntheticFuels!$C$1:$C$1000)*1,("Var_Fin"=[1]OUT_SyntheticFuels!$B$1:$B$1000)*1,ISNUMBER(SEARCH("ELC",[1]OUT_SyntheticFuels!$A$1:$A$1000))*1,[1]OUT_SyntheticFuels!M$1:M$1000)</f>
        <v>0</v>
      </c>
      <c r="O1708" s="1" cm="1">
        <f t="array" ref="O1708">SUMPRODUCT(("SUP_DAC"=[1]OUT_SyntheticFuels!$C$1:$C$1000)*1,("Var_Fin"=[1]OUT_SyntheticFuels!$B$1:$B$1000)*1,ISNUMBER(SEARCH("ELC",[1]OUT_SyntheticFuels!$A$1:$A$1000))*1,[1]OUT_SyntheticFuels!N$1:N$1000)</f>
        <v>0</v>
      </c>
      <c r="P1708" s="1" cm="1">
        <f t="array" ref="P1708">SUMPRODUCT(("SUP_DAC"=[1]OUT_SyntheticFuels!$C$1:$C$1000)*1,("Var_Fin"=[1]OUT_SyntheticFuels!$B$1:$B$1000)*1,ISNUMBER(SEARCH("ELC",[1]OUT_SyntheticFuels!$A$1:$A$1000))*1,[1]OUT_SyntheticFuels!O$1:O$1000)</f>
        <v>0</v>
      </c>
      <c r="Q1708" s="1" cm="1">
        <f t="array" ref="Q1708">SUMPRODUCT(("SUP_DAC"=[1]OUT_SyntheticFuels!$C$1:$C$1000)*1,("Var_Fin"=[1]OUT_SyntheticFuels!$B$1:$B$1000)*1,ISNUMBER(SEARCH("ELC",[1]OUT_SyntheticFuels!$A$1:$A$1000))*1,[1]OUT_SyntheticFuels!P$1:P$1000)</f>
        <v>0</v>
      </c>
      <c r="S1708" s="3"/>
    </row>
    <row r="1709" spans="2:19" x14ac:dyDescent="0.5">
      <c r="B1709" t="str">
        <f t="shared" si="1907"/>
        <v>SPS1</v>
      </c>
      <c r="C1709" t="str">
        <f t="shared" si="1907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SUMPRODUCT(("SUP_DAC"=[1]OUT_SyntheticFuels!$C$1:$C$1000)*1,("Var_Fin"=[1]OUT_SyntheticFuels!$B$1:$B$1000)*1,ISNUMBER(SEARCH("HEAT",[1]OUT_SyntheticFuels!$A$1:$A$1000))*1,[1]OUT_SyntheticFuels!I$1:I$1000)</f>
        <v>0</v>
      </c>
      <c r="K1709" s="1" cm="1">
        <f t="array" ref="K1709">SUMPRODUCT(("SUP_DAC"=[1]OUT_SyntheticFuels!$C$1:$C$1000)*1,("Var_Fin"=[1]OUT_SyntheticFuels!$B$1:$B$1000)*1,ISNUMBER(SEARCH("HEAT",[1]OUT_SyntheticFuels!$A$1:$A$1000))*1,[1]OUT_SyntheticFuels!J$1:J$1000)</f>
        <v>0</v>
      </c>
      <c r="L1709" s="1" cm="1">
        <f t="array" ref="L1709">SUMPRODUCT(("SUP_DAC"=[1]OUT_SyntheticFuels!$C$1:$C$1000)*1,("Var_Fin"=[1]OUT_SyntheticFuels!$B$1:$B$1000)*1,ISNUMBER(SEARCH("HEAT",[1]OUT_SyntheticFuels!$A$1:$A$1000))*1,[1]OUT_SyntheticFuels!K$1:K$1000)</f>
        <v>0</v>
      </c>
      <c r="M1709" s="1" cm="1">
        <f t="array" ref="M1709">SUMPRODUCT(("SUP_DAC"=[1]OUT_SyntheticFuels!$C$1:$C$1000)*1,("Var_Fin"=[1]OUT_SyntheticFuels!$B$1:$B$1000)*1,ISNUMBER(SEARCH("HEAT",[1]OUT_SyntheticFuels!$A$1:$A$1000))*1,[1]OUT_SyntheticFuels!L$1:L$1000)</f>
        <v>0</v>
      </c>
      <c r="N1709" s="1" cm="1">
        <f t="array" ref="N1709">SUMPRODUCT(("SUP_DAC"=[1]OUT_SyntheticFuels!$C$1:$C$1000)*1,("Var_Fin"=[1]OUT_SyntheticFuels!$B$1:$B$1000)*1,ISNUMBER(SEARCH("HEAT",[1]OUT_SyntheticFuels!$A$1:$A$1000))*1,[1]OUT_SyntheticFuels!M$1:M$1000)</f>
        <v>0</v>
      </c>
      <c r="O1709" s="1" cm="1">
        <f t="array" ref="O1709">SUMPRODUCT(("SUP_DAC"=[1]OUT_SyntheticFuels!$C$1:$C$1000)*1,("Var_Fin"=[1]OUT_SyntheticFuels!$B$1:$B$1000)*1,ISNUMBER(SEARCH("HEAT",[1]OUT_SyntheticFuels!$A$1:$A$1000))*1,[1]OUT_SyntheticFuels!N$1:N$1000)</f>
        <v>0</v>
      </c>
      <c r="P1709" s="1" cm="1">
        <f t="array" ref="P1709">SUMPRODUCT(("SUP_DAC"=[1]OUT_SyntheticFuels!$C$1:$C$1000)*1,("Var_Fin"=[1]OUT_SyntheticFuels!$B$1:$B$1000)*1,ISNUMBER(SEARCH("HEAT",[1]OUT_SyntheticFuels!$A$1:$A$1000))*1,[1]OUT_SyntheticFuels!O$1:O$1000)</f>
        <v>0</v>
      </c>
      <c r="Q1709" s="1" cm="1">
        <f t="array" ref="Q1709">SUMPRODUCT(("SUP_DAC"=[1]OUT_SyntheticFuels!$C$1:$C$1000)*1,("Var_Fin"=[1]OUT_SyntheticFuels!$B$1:$B$1000)*1,ISNUMBER(SEARCH("HEAT",[1]OUT_SyntheticFuels!$A$1:$A$1000))*1,[1]OUT_SyntheticFuels!P$1:P$1000)</f>
        <v>0</v>
      </c>
      <c r="S1709" s="3"/>
    </row>
    <row r="1710" spans="2:19" x14ac:dyDescent="0.5">
      <c r="B1710" t="str">
        <f t="shared" si="1907"/>
        <v>SPS1</v>
      </c>
      <c r="C1710" t="str">
        <f t="shared" si="1907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910">G1701</f>
        <v>0</v>
      </c>
      <c r="H1710" s="1">
        <f t="shared" si="1910"/>
        <v>0</v>
      </c>
      <c r="I1710" s="1">
        <f t="shared" si="1910"/>
        <v>0</v>
      </c>
      <c r="J1710" s="1">
        <f t="shared" si="1910"/>
        <v>0</v>
      </c>
      <c r="K1710" s="1">
        <f t="shared" si="1910"/>
        <v>0</v>
      </c>
      <c r="L1710" s="1">
        <f t="shared" ref="L1710:O1710" si="1911">L1701</f>
        <v>0</v>
      </c>
      <c r="M1710" s="1">
        <f t="shared" si="1911"/>
        <v>0</v>
      </c>
      <c r="N1710" s="1">
        <f t="shared" si="1911"/>
        <v>0</v>
      </c>
      <c r="O1710" s="1">
        <f t="shared" si="1911"/>
        <v>0</v>
      </c>
      <c r="P1710" s="1">
        <f>P1701</f>
        <v>0</v>
      </c>
      <c r="Q1710" s="1">
        <f>Q1701</f>
        <v>0</v>
      </c>
      <c r="S1710" s="3"/>
    </row>
    <row r="1711" spans="2:19" x14ac:dyDescent="0.5">
      <c r="B1711" s="2" t="str">
        <f t="shared" si="1907"/>
        <v>SPS1</v>
      </c>
      <c r="C1711" s="2" t="str">
        <f t="shared" si="1907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962.49685584910162</v>
      </c>
      <c r="G1711" s="3">
        <f t="shared" ref="G1711:K1711" si="1912">SUM(G1712:G1713,G1730,G1739:G1740,G1741,G1742,G1747,G1750,,G1755:G1758,G1751)</f>
        <v>962.40308444361722</v>
      </c>
      <c r="H1711" s="3">
        <f t="shared" si="1912"/>
        <v>924.19450289329961</v>
      </c>
      <c r="I1711" s="3">
        <f t="shared" si="1912"/>
        <v>897.9317421206008</v>
      </c>
      <c r="J1711" s="3">
        <f t="shared" si="1912"/>
        <v>835.88268056191612</v>
      </c>
      <c r="K1711" s="3">
        <f t="shared" si="1912"/>
        <v>775.7193183822119</v>
      </c>
      <c r="L1711" s="3">
        <f t="shared" ref="L1711:O1711" si="1913">SUM(L1712:L1713,L1730,L1739:L1740,L1741,L1742,L1747,L1750,,L1755:L1758,L1751)</f>
        <v>696.13723406043721</v>
      </c>
      <c r="M1711" s="3">
        <f t="shared" si="1913"/>
        <v>685.72490168553531</v>
      </c>
      <c r="N1711" s="3">
        <f t="shared" si="1913"/>
        <v>679.47795520945988</v>
      </c>
      <c r="O1711" s="3">
        <f t="shared" si="1913"/>
        <v>672.71529088517605</v>
      </c>
      <c r="P1711" s="3">
        <f>SUM(P1712:P1713,P1730,P1739:P1740,P1741,P1742,P1747,P1750,,P1755:P1758,P1751)</f>
        <v>665.16654503082032</v>
      </c>
      <c r="Q1711" s="3">
        <f>SUM(Q1712:Q1713,Q1730,Q1739:Q1740,Q1741,Q1742,Q1747,Q1750,,Q1755:Q1758,Q1751)</f>
        <v>653.61409621710914</v>
      </c>
      <c r="S1711" s="3"/>
    </row>
    <row r="1712" spans="2:19" x14ac:dyDescent="0.5">
      <c r="B1712" t="str">
        <f>B1711</f>
        <v>SPS1</v>
      </c>
      <c r="C1712" t="str">
        <f t="shared" ref="C1712" si="1914">C1711</f>
        <v>CH</v>
      </c>
      <c r="D1712" t="s">
        <v>1738</v>
      </c>
      <c r="E1712" t="str">
        <f>E1711</f>
        <v>PJ/yr.</v>
      </c>
      <c r="F1712" s="1">
        <f t="shared" ref="F1712:K1722" si="1915">F21</f>
        <v>3.6600056918946295</v>
      </c>
      <c r="G1712" s="1">
        <f t="shared" si="1915"/>
        <v>3.5647176151899118</v>
      </c>
      <c r="H1712" s="1">
        <f t="shared" si="1915"/>
        <v>3.239459991172021</v>
      </c>
      <c r="I1712" s="1">
        <f t="shared" si="1915"/>
        <v>8.4020002276593599E-3</v>
      </c>
      <c r="J1712" s="1">
        <f t="shared" si="1915"/>
        <v>5.8522519927613125E-3</v>
      </c>
      <c r="K1712" s="1">
        <f t="shared" si="1915"/>
        <v>3.6506334394136881E-3</v>
      </c>
      <c r="L1712" s="1">
        <f t="shared" ref="L1712:O1712" si="1916">L21</f>
        <v>5.6072647622365124E-3</v>
      </c>
      <c r="M1712" s="1">
        <f t="shared" si="1916"/>
        <v>1.2070446445515892E-2</v>
      </c>
      <c r="N1712" s="1">
        <f t="shared" si="1916"/>
        <v>7.5510906371049312E-3</v>
      </c>
      <c r="O1712" s="1">
        <f t="shared" si="1916"/>
        <v>1.1397405697162728E-2</v>
      </c>
      <c r="P1712" s="1">
        <f t="shared" ref="P1712:Q1722" si="1917">P21</f>
        <v>6.4781681295358901E-3</v>
      </c>
      <c r="Q1712" s="1">
        <f t="shared" si="1917"/>
        <v>1.2024115243862548E-2</v>
      </c>
      <c r="S1712" s="3"/>
    </row>
    <row r="1713" spans="2:19" x14ac:dyDescent="0.5">
      <c r="B1713" t="str">
        <f t="shared" ref="B1713:B1765" si="1918">B1712</f>
        <v>SPS1</v>
      </c>
      <c r="C1713" t="str">
        <f t="shared" ref="C1713:C1765" si="1919">C1712</f>
        <v>CH</v>
      </c>
      <c r="D1713" t="s">
        <v>1739</v>
      </c>
      <c r="E1713" t="str">
        <f t="shared" ref="E1713:E1741" si="1920">E1712</f>
        <v>PJ/yr.</v>
      </c>
      <c r="F1713" s="1">
        <f t="shared" si="1915"/>
        <v>310.81808240741674</v>
      </c>
      <c r="G1713" s="1">
        <f t="shared" si="1915"/>
        <v>287.32895449747451</v>
      </c>
      <c r="H1713" s="1">
        <f t="shared" si="1915"/>
        <v>266.74879433885036</v>
      </c>
      <c r="I1713" s="1">
        <f t="shared" si="1915"/>
        <v>220.22988197026663</v>
      </c>
      <c r="J1713" s="1">
        <f t="shared" si="1915"/>
        <v>167.24518653384385</v>
      </c>
      <c r="K1713" s="1">
        <f t="shared" si="1915"/>
        <v>148.45728112138048</v>
      </c>
      <c r="L1713" s="1">
        <f t="shared" ref="L1713:O1713" si="1921">L22</f>
        <v>134.07641522413144</v>
      </c>
      <c r="M1713" s="1">
        <f t="shared" si="1921"/>
        <v>119.60970873851846</v>
      </c>
      <c r="N1713" s="1">
        <f t="shared" si="1921"/>
        <v>112.1345644552519</v>
      </c>
      <c r="O1713" s="1">
        <f t="shared" si="1921"/>
        <v>97.356440380900295</v>
      </c>
      <c r="P1713" s="1">
        <f t="shared" si="1917"/>
        <v>82.070649027818376</v>
      </c>
      <c r="Q1713" s="1">
        <f t="shared" si="1917"/>
        <v>68.399911833145637</v>
      </c>
      <c r="S1713" s="3"/>
    </row>
    <row r="1714" spans="2:19" x14ac:dyDescent="0.5">
      <c r="B1714" t="str">
        <f t="shared" si="1918"/>
        <v>SPS1</v>
      </c>
      <c r="C1714" t="str">
        <f t="shared" si="1919"/>
        <v>CH</v>
      </c>
      <c r="D1714" t="s">
        <v>1740</v>
      </c>
      <c r="E1714" t="str">
        <f t="shared" si="1920"/>
        <v>PJ/yr.</v>
      </c>
      <c r="F1714" s="1">
        <f t="shared" si="1915"/>
        <v>303.94834952584131</v>
      </c>
      <c r="G1714" s="1">
        <f t="shared" si="1915"/>
        <v>280.55232591303366</v>
      </c>
      <c r="H1714" s="1">
        <f t="shared" si="1915"/>
        <v>258.20710611628397</v>
      </c>
      <c r="I1714" s="1">
        <f t="shared" si="1915"/>
        <v>207.30781792074248</v>
      </c>
      <c r="J1714" s="1">
        <f t="shared" si="1915"/>
        <v>155.58927773734638</v>
      </c>
      <c r="K1714" s="1">
        <f t="shared" si="1915"/>
        <v>137.26777675942731</v>
      </c>
      <c r="L1714" s="1">
        <f t="shared" ref="L1714:O1714" si="1922">L23</f>
        <v>123.05793440966704</v>
      </c>
      <c r="M1714" s="1">
        <f t="shared" si="1922"/>
        <v>108.76036688251884</v>
      </c>
      <c r="N1714" s="1">
        <f t="shared" si="1922"/>
        <v>101.67524839324685</v>
      </c>
      <c r="O1714" s="1">
        <f t="shared" si="1922"/>
        <v>87.188775510207563</v>
      </c>
      <c r="P1714" s="1">
        <f t="shared" si="1917"/>
        <v>72.911484009900093</v>
      </c>
      <c r="Q1714" s="1">
        <f t="shared" si="1917"/>
        <v>59.393375755625378</v>
      </c>
      <c r="S1714" s="3"/>
    </row>
    <row r="1715" spans="2:19" x14ac:dyDescent="0.5">
      <c r="B1715" t="str">
        <f t="shared" si="1918"/>
        <v>SPS1</v>
      </c>
      <c r="C1715" t="str">
        <f t="shared" si="1919"/>
        <v>CH</v>
      </c>
      <c r="D1715" t="s">
        <v>1741</v>
      </c>
      <c r="E1715" t="str">
        <f t="shared" si="1920"/>
        <v>PJ/yr.</v>
      </c>
      <c r="F1715" s="1">
        <f t="shared" si="1915"/>
        <v>101.78072347848034</v>
      </c>
      <c r="G1715" s="1">
        <f t="shared" si="1915"/>
        <v>88.695389719360605</v>
      </c>
      <c r="H1715" s="1">
        <f t="shared" si="1915"/>
        <v>79.742793180810452</v>
      </c>
      <c r="I1715" s="1">
        <f t="shared" si="1915"/>
        <v>75.80045194321616</v>
      </c>
      <c r="J1715" s="1">
        <f t="shared" si="1915"/>
        <v>60.164892039956094</v>
      </c>
      <c r="K1715" s="1">
        <f t="shared" si="1915"/>
        <v>52.293807743328493</v>
      </c>
      <c r="L1715" s="1">
        <f t="shared" ref="L1715:O1715" si="1923">L24</f>
        <v>47.458859689750227</v>
      </c>
      <c r="M1715" s="1">
        <f t="shared" si="1923"/>
        <v>39.410997828981863</v>
      </c>
      <c r="N1715" s="1">
        <f t="shared" si="1923"/>
        <v>35.550050237663612</v>
      </c>
      <c r="O1715" s="1">
        <f t="shared" si="1923"/>
        <v>30.287956322524227</v>
      </c>
      <c r="P1715" s="1">
        <f t="shared" si="1917"/>
        <v>21.524983267137593</v>
      </c>
      <c r="Q1715" s="1">
        <f t="shared" si="1917"/>
        <v>8.6696159812564488</v>
      </c>
      <c r="S1715" s="3"/>
    </row>
    <row r="1716" spans="2:19" x14ac:dyDescent="0.5">
      <c r="B1716" t="str">
        <f t="shared" si="1918"/>
        <v>SPS1</v>
      </c>
      <c r="C1716" t="str">
        <f t="shared" si="1919"/>
        <v>CH</v>
      </c>
      <c r="D1716" t="s">
        <v>1742</v>
      </c>
      <c r="E1716" t="str">
        <f t="shared" si="1920"/>
        <v>PJ/yr.</v>
      </c>
      <c r="F1716" s="1">
        <f t="shared" si="1915"/>
        <v>2.7763727848970223</v>
      </c>
      <c r="G1716" s="1">
        <f t="shared" si="1915"/>
        <v>2.284176847351322</v>
      </c>
      <c r="H1716" s="1">
        <f t="shared" si="1915"/>
        <v>8.7967650553530084E-3</v>
      </c>
      <c r="I1716" s="1">
        <f t="shared" si="1915"/>
        <v>2.5836860907276415E-3</v>
      </c>
      <c r="J1716" s="1">
        <f t="shared" si="1915"/>
        <v>3.8281284608845684E-3</v>
      </c>
      <c r="K1716" s="1">
        <f t="shared" si="1915"/>
        <v>3.5893947234516134E-3</v>
      </c>
      <c r="L1716" s="1">
        <f t="shared" ref="L1716:O1716" si="1924">L25</f>
        <v>4.4725597537534313E-3</v>
      </c>
      <c r="M1716" s="1">
        <f t="shared" si="1924"/>
        <v>0</v>
      </c>
      <c r="N1716" s="1">
        <f t="shared" si="1924"/>
        <v>0</v>
      </c>
      <c r="O1716" s="1">
        <f t="shared" si="1924"/>
        <v>0</v>
      </c>
      <c r="P1716" s="1">
        <f t="shared" si="1917"/>
        <v>0</v>
      </c>
      <c r="Q1716" s="1">
        <f t="shared" si="1917"/>
        <v>0</v>
      </c>
      <c r="S1716" s="3"/>
    </row>
    <row r="1717" spans="2:19" x14ac:dyDescent="0.5">
      <c r="B1717" t="str">
        <f t="shared" si="1918"/>
        <v>SPS1</v>
      </c>
      <c r="C1717" t="str">
        <f t="shared" si="1919"/>
        <v>CH</v>
      </c>
      <c r="D1717" t="s">
        <v>1743</v>
      </c>
      <c r="E1717" t="str">
        <f t="shared" si="1920"/>
        <v>PJ/yr.</v>
      </c>
      <c r="F1717" s="1">
        <f t="shared" si="1915"/>
        <v>118.42678865524093</v>
      </c>
      <c r="G1717" s="1">
        <f t="shared" si="1915"/>
        <v>112.2121540226951</v>
      </c>
      <c r="H1717" s="1">
        <f t="shared" si="1915"/>
        <v>96.708034746286827</v>
      </c>
      <c r="I1717" s="1">
        <f t="shared" si="1915"/>
        <v>71.523091344316398</v>
      </c>
      <c r="J1717" s="1">
        <f t="shared" si="1915"/>
        <v>49.532908980525754</v>
      </c>
      <c r="K1717" s="1">
        <f t="shared" si="1915"/>
        <v>45.497699672357761</v>
      </c>
      <c r="L1717" s="1">
        <f t="shared" ref="L1717:O1717" si="1925">L26</f>
        <v>41.854428594151969</v>
      </c>
      <c r="M1717" s="1">
        <f t="shared" si="1925"/>
        <v>40.314666435896534</v>
      </c>
      <c r="N1717" s="1">
        <f t="shared" si="1925"/>
        <v>39.750115622559747</v>
      </c>
      <c r="O1717" s="1">
        <f t="shared" si="1925"/>
        <v>33.094065045702585</v>
      </c>
      <c r="P1717" s="1">
        <f t="shared" si="1917"/>
        <v>29.383891232750869</v>
      </c>
      <c r="Q1717" s="1">
        <f t="shared" si="1917"/>
        <v>29.67018580849383</v>
      </c>
      <c r="S1717" s="3"/>
    </row>
    <row r="1718" spans="2:19" x14ac:dyDescent="0.5">
      <c r="B1718" t="str">
        <f t="shared" si="1918"/>
        <v>SPS1</v>
      </c>
      <c r="C1718" t="str">
        <f t="shared" si="1919"/>
        <v>CH</v>
      </c>
      <c r="D1718" t="s">
        <v>1744</v>
      </c>
      <c r="E1718" t="str">
        <f t="shared" si="1920"/>
        <v>PJ/yr.</v>
      </c>
      <c r="F1718" s="1">
        <f t="shared" si="1915"/>
        <v>79.858562959800452</v>
      </c>
      <c r="G1718" s="1">
        <f t="shared" si="1915"/>
        <v>75.955437364796921</v>
      </c>
      <c r="H1718" s="1">
        <f t="shared" si="1915"/>
        <v>79.904321862133671</v>
      </c>
      <c r="I1718" s="1">
        <f t="shared" si="1915"/>
        <v>58.326489701799971</v>
      </c>
      <c r="J1718" s="1">
        <f t="shared" si="1915"/>
        <v>44.727129483207371</v>
      </c>
      <c r="K1718" s="1">
        <f t="shared" si="1915"/>
        <v>38.488674095112096</v>
      </c>
      <c r="L1718" s="1">
        <f t="shared" ref="L1718:O1718" si="1926">L27</f>
        <v>33.103231435703201</v>
      </c>
      <c r="M1718" s="1">
        <f t="shared" si="1926"/>
        <v>28.65449389197704</v>
      </c>
      <c r="N1718" s="1">
        <f t="shared" si="1926"/>
        <v>26.182295920162538</v>
      </c>
      <c r="O1718" s="1">
        <f t="shared" si="1926"/>
        <v>23.806463420684633</v>
      </c>
      <c r="P1718" s="1">
        <f t="shared" si="1917"/>
        <v>22.002425314891092</v>
      </c>
      <c r="Q1718" s="1">
        <f t="shared" si="1917"/>
        <v>21.053256831990549</v>
      </c>
      <c r="S1718" s="3"/>
    </row>
    <row r="1719" spans="2:19" x14ac:dyDescent="0.5">
      <c r="B1719" t="str">
        <f t="shared" si="1918"/>
        <v>SPS1</v>
      </c>
      <c r="C1719" t="str">
        <f t="shared" si="1919"/>
        <v>CH</v>
      </c>
      <c r="D1719" t="s">
        <v>1745</v>
      </c>
      <c r="E1719" t="str">
        <f t="shared" si="1920"/>
        <v>PJ/yr.</v>
      </c>
      <c r="F1719" s="1">
        <f t="shared" si="1915"/>
        <v>1.1059016474225796</v>
      </c>
      <c r="G1719" s="1">
        <f t="shared" si="1915"/>
        <v>1.4051679588296668</v>
      </c>
      <c r="H1719" s="1">
        <f t="shared" si="1915"/>
        <v>1.8431595619976713</v>
      </c>
      <c r="I1719" s="1">
        <f t="shared" si="1915"/>
        <v>1.65520124531923</v>
      </c>
      <c r="J1719" s="1">
        <f t="shared" si="1915"/>
        <v>1.1605191051962853</v>
      </c>
      <c r="K1719" s="1">
        <f t="shared" si="1915"/>
        <v>0.98400585390549367</v>
      </c>
      <c r="L1719" s="1">
        <f t="shared" ref="L1719:O1719" si="1927">L28</f>
        <v>0.63694213030789115</v>
      </c>
      <c r="M1719" s="1">
        <f t="shared" si="1927"/>
        <v>0.3802087256634113</v>
      </c>
      <c r="N1719" s="1">
        <f t="shared" si="1927"/>
        <v>0.1927866128609487</v>
      </c>
      <c r="O1719" s="1">
        <f t="shared" si="1927"/>
        <v>2.9072129611231373E-4</v>
      </c>
      <c r="P1719" s="1">
        <f t="shared" si="1917"/>
        <v>1.8419512053458476E-4</v>
      </c>
      <c r="Q1719" s="1">
        <f t="shared" si="1917"/>
        <v>3.1713388454159491E-4</v>
      </c>
      <c r="S1719" s="3"/>
    </row>
    <row r="1720" spans="2:19" x14ac:dyDescent="0.5">
      <c r="B1720" t="str">
        <f t="shared" si="1918"/>
        <v>SPS1</v>
      </c>
      <c r="C1720" t="str">
        <f t="shared" si="1919"/>
        <v>CH</v>
      </c>
      <c r="D1720" t="s">
        <v>1746</v>
      </c>
      <c r="E1720" t="str">
        <f t="shared" si="1920"/>
        <v>PJ/yr.</v>
      </c>
      <c r="F1720" s="1">
        <f t="shared" si="1915"/>
        <v>6.8697328815754037</v>
      </c>
      <c r="G1720" s="1">
        <f t="shared" si="1915"/>
        <v>6.7766285844408527</v>
      </c>
      <c r="H1720" s="1">
        <f t="shared" si="1915"/>
        <v>8.5416882225663766</v>
      </c>
      <c r="I1720" s="1">
        <f t="shared" si="1915"/>
        <v>12.922064049524149</v>
      </c>
      <c r="J1720" s="1">
        <f t="shared" si="1915"/>
        <v>11.65590879649746</v>
      </c>
      <c r="K1720" s="1">
        <f t="shared" si="1915"/>
        <v>11.189504361953162</v>
      </c>
      <c r="L1720" s="1">
        <f t="shared" ref="L1720:O1720" si="1928">L29</f>
        <v>11.018480814464402</v>
      </c>
      <c r="M1720" s="1">
        <f t="shared" si="1928"/>
        <v>10.849341855999619</v>
      </c>
      <c r="N1720" s="1">
        <f t="shared" si="1928"/>
        <v>10.459316062005062</v>
      </c>
      <c r="O1720" s="1">
        <f t="shared" si="1928"/>
        <v>10.167664870692739</v>
      </c>
      <c r="P1720" s="1">
        <f t="shared" si="1917"/>
        <v>9.1591650179182871</v>
      </c>
      <c r="Q1720" s="1">
        <f t="shared" si="1917"/>
        <v>9.0065360775202628</v>
      </c>
      <c r="S1720" s="3"/>
    </row>
    <row r="1721" spans="2:19" x14ac:dyDescent="0.5">
      <c r="B1721" t="str">
        <f t="shared" si="1918"/>
        <v>SPS1</v>
      </c>
      <c r="C1721" t="str">
        <f t="shared" si="1919"/>
        <v>CH</v>
      </c>
      <c r="D1721" t="s">
        <v>1747</v>
      </c>
      <c r="E1721" t="str">
        <f t="shared" si="1920"/>
        <v>PJ/yr.</v>
      </c>
      <c r="F1721" s="1">
        <f t="shared" si="1915"/>
        <v>2.4321475931778349</v>
      </c>
      <c r="G1721" s="1">
        <f t="shared" si="1915"/>
        <v>2.3779654622046786</v>
      </c>
      <c r="H1721" s="1">
        <f t="shared" si="1915"/>
        <v>3.9100845676063631</v>
      </c>
      <c r="I1721" s="1">
        <f t="shared" si="1915"/>
        <v>2.4433763321666948</v>
      </c>
      <c r="J1721" s="1">
        <f t="shared" si="1915"/>
        <v>1.8310136150623766</v>
      </c>
      <c r="K1721" s="1">
        <f t="shared" si="1915"/>
        <v>1.866801705418295</v>
      </c>
      <c r="L1721" s="1">
        <f t="shared" ref="L1721:O1721" si="1929">L30</f>
        <v>1.7391241452577049</v>
      </c>
      <c r="M1721" s="1">
        <f t="shared" si="1929"/>
        <v>1.6682607369572517</v>
      </c>
      <c r="N1721" s="1">
        <f t="shared" si="1929"/>
        <v>1.4189308128041818</v>
      </c>
      <c r="O1721" s="1">
        <f t="shared" si="1929"/>
        <v>1.2359661382332288</v>
      </c>
      <c r="P1721" s="1">
        <f t="shared" si="1917"/>
        <v>0.47696236058312014</v>
      </c>
      <c r="Q1721" s="1">
        <f t="shared" si="1917"/>
        <v>0.40056871304837571</v>
      </c>
      <c r="S1721" s="3"/>
    </row>
    <row r="1722" spans="2:19" x14ac:dyDescent="0.5">
      <c r="B1722" t="str">
        <f t="shared" si="1918"/>
        <v>SPS1</v>
      </c>
      <c r="C1722" t="str">
        <f t="shared" si="1919"/>
        <v>CH</v>
      </c>
      <c r="D1722" t="s">
        <v>1748</v>
      </c>
      <c r="E1722" t="str">
        <f t="shared" si="1920"/>
        <v>PJ/yr.</v>
      </c>
      <c r="F1722" s="1">
        <f t="shared" si="1915"/>
        <v>4.4341508675696826</v>
      </c>
      <c r="G1722" s="1">
        <f t="shared" si="1915"/>
        <v>4.3986160636745861</v>
      </c>
      <c r="H1722" s="1">
        <f t="shared" si="1915"/>
        <v>4.6258881887018788</v>
      </c>
      <c r="I1722" s="1">
        <f t="shared" si="1915"/>
        <v>4.1143929104563126</v>
      </c>
      <c r="J1722" s="1">
        <f t="shared" si="1915"/>
        <v>2.8905583615125456</v>
      </c>
      <c r="K1722" s="1">
        <f t="shared" si="1915"/>
        <v>2.2299778603467404</v>
      </c>
      <c r="L1722" s="1">
        <f t="shared" ref="L1722:O1722" si="1930">L31</f>
        <v>1.9180447064694783</v>
      </c>
      <c r="M1722" s="1">
        <f t="shared" si="1930"/>
        <v>1.6611769136905679</v>
      </c>
      <c r="N1722" s="1">
        <f t="shared" si="1930"/>
        <v>1.5168747001162441</v>
      </c>
      <c r="O1722" s="1">
        <f t="shared" si="1930"/>
        <v>1.3801752893643946</v>
      </c>
      <c r="P1722" s="1">
        <f t="shared" si="1917"/>
        <v>1.2749358334689969</v>
      </c>
      <c r="Q1722" s="1">
        <f t="shared" si="1917"/>
        <v>1.2214440415688272</v>
      </c>
      <c r="S1722" s="3"/>
    </row>
    <row r="1723" spans="2:19" x14ac:dyDescent="0.5">
      <c r="B1723" t="str">
        <f t="shared" si="1918"/>
        <v>SPS1</v>
      </c>
      <c r="C1723" t="str">
        <f t="shared" si="1919"/>
        <v>CH</v>
      </c>
      <c r="D1723" t="s">
        <v>1749</v>
      </c>
      <c r="E1723" t="str">
        <f t="shared" si="1920"/>
        <v>PJ/yr.</v>
      </c>
      <c r="F1723" s="1">
        <f t="shared" ref="F1723:K1725" si="1931">F33</f>
        <v>6.8697328815754037</v>
      </c>
      <c r="G1723" s="1">
        <f t="shared" si="1931"/>
        <v>6.7766285844408527</v>
      </c>
      <c r="H1723" s="1">
        <f t="shared" si="1931"/>
        <v>8.5416882225663766</v>
      </c>
      <c r="I1723" s="1">
        <f t="shared" si="1931"/>
        <v>12.922064049524149</v>
      </c>
      <c r="J1723" s="1">
        <f t="shared" si="1931"/>
        <v>11.085866783476064</v>
      </c>
      <c r="K1723" s="1">
        <f t="shared" si="1931"/>
        <v>11.031116385687572</v>
      </c>
      <c r="L1723" s="1">
        <f t="shared" ref="L1723:O1723" si="1932">L33</f>
        <v>10.749893647915311</v>
      </c>
      <c r="M1723" s="1">
        <f t="shared" si="1932"/>
        <v>10.690749613385037</v>
      </c>
      <c r="N1723" s="1">
        <f t="shared" si="1932"/>
        <v>10.455709718272225</v>
      </c>
      <c r="O1723" s="1">
        <f t="shared" si="1932"/>
        <v>10.139651976682259</v>
      </c>
      <c r="P1723" s="1">
        <f t="shared" ref="P1723:Q1725" si="1933">P33</f>
        <v>9.1591650179182871</v>
      </c>
      <c r="Q1723" s="1">
        <f t="shared" si="1933"/>
        <v>9.0065360775202628</v>
      </c>
      <c r="S1723" s="3"/>
    </row>
    <row r="1724" spans="2:19" x14ac:dyDescent="0.5">
      <c r="B1724" t="str">
        <f t="shared" si="1918"/>
        <v>SPS1</v>
      </c>
      <c r="C1724" t="str">
        <f t="shared" si="1919"/>
        <v>CH</v>
      </c>
      <c r="D1724" t="s">
        <v>1750</v>
      </c>
      <c r="E1724" t="str">
        <f t="shared" si="1920"/>
        <v>PJ/yr.</v>
      </c>
      <c r="F1724" s="1">
        <f t="shared" si="1931"/>
        <v>2.4321475931778349</v>
      </c>
      <c r="G1724" s="1">
        <f t="shared" si="1931"/>
        <v>2.3779654622046786</v>
      </c>
      <c r="H1724" s="1">
        <f t="shared" si="1931"/>
        <v>3.9100845676063631</v>
      </c>
      <c r="I1724" s="1">
        <f t="shared" si="1931"/>
        <v>2.4433763321666948</v>
      </c>
      <c r="J1724" s="1">
        <f t="shared" si="1931"/>
        <v>1.8310136150623766</v>
      </c>
      <c r="K1724" s="1">
        <f t="shared" si="1931"/>
        <v>1.866801705418295</v>
      </c>
      <c r="L1724" s="1">
        <f t="shared" ref="L1724:O1724" si="1934">L34</f>
        <v>1.7391241452577049</v>
      </c>
      <c r="M1724" s="1">
        <f t="shared" si="1934"/>
        <v>1.6682607369572517</v>
      </c>
      <c r="N1724" s="1">
        <f t="shared" si="1934"/>
        <v>1.4189308128041818</v>
      </c>
      <c r="O1724" s="1">
        <f t="shared" si="1934"/>
        <v>1.2359661382332288</v>
      </c>
      <c r="P1724" s="1">
        <f t="shared" si="1933"/>
        <v>0.47696236058312014</v>
      </c>
      <c r="Q1724" s="1">
        <f t="shared" si="1933"/>
        <v>0.40056871304837571</v>
      </c>
      <c r="S1724" s="3"/>
    </row>
    <row r="1725" spans="2:19" x14ac:dyDescent="0.5">
      <c r="B1725" t="str">
        <f t="shared" si="1918"/>
        <v>SPS1</v>
      </c>
      <c r="C1725" t="str">
        <f t="shared" si="1919"/>
        <v>CH</v>
      </c>
      <c r="D1725" t="s">
        <v>1751</v>
      </c>
      <c r="E1725" t="str">
        <f t="shared" si="1920"/>
        <v>PJ/yr.</v>
      </c>
      <c r="F1725" s="1">
        <f t="shared" si="1931"/>
        <v>4.4341508675696826</v>
      </c>
      <c r="G1725" s="1">
        <f t="shared" si="1931"/>
        <v>4.3986160636745861</v>
      </c>
      <c r="H1725" s="1">
        <f t="shared" si="1931"/>
        <v>4.6258881887018788</v>
      </c>
      <c r="I1725" s="1">
        <f t="shared" si="1931"/>
        <v>4.1143929104563126</v>
      </c>
      <c r="J1725" s="1">
        <f t="shared" si="1931"/>
        <v>2.8905583615125456</v>
      </c>
      <c r="K1725" s="1">
        <f t="shared" si="1931"/>
        <v>2.2299778603467404</v>
      </c>
      <c r="L1725" s="1">
        <f t="shared" ref="L1725:O1725" si="1935">L35</f>
        <v>1.9180447064694783</v>
      </c>
      <c r="M1725" s="1">
        <f t="shared" si="1935"/>
        <v>1.6611769136905679</v>
      </c>
      <c r="N1725" s="1">
        <f t="shared" si="1935"/>
        <v>1.5168747001162441</v>
      </c>
      <c r="O1725" s="1">
        <f t="shared" si="1935"/>
        <v>1.3801752893643946</v>
      </c>
      <c r="P1725" s="1">
        <f t="shared" si="1933"/>
        <v>1.2749358334689969</v>
      </c>
      <c r="Q1725" s="1">
        <f t="shared" si="1933"/>
        <v>1.2214440415688272</v>
      </c>
      <c r="S1725" s="3"/>
    </row>
    <row r="1726" spans="2:19" x14ac:dyDescent="0.5">
      <c r="B1726" t="str">
        <f t="shared" si="1918"/>
        <v>SPS1</v>
      </c>
      <c r="C1726" t="str">
        <f t="shared" si="1919"/>
        <v>CH</v>
      </c>
      <c r="D1726" t="s">
        <v>1752</v>
      </c>
      <c r="E1726" t="str">
        <f t="shared" si="1920"/>
        <v>PJ/yr.</v>
      </c>
      <c r="F1726" s="1">
        <f t="shared" ref="F1726:K1739" si="1936">F37</f>
        <v>0</v>
      </c>
      <c r="G1726" s="1">
        <f t="shared" si="1936"/>
        <v>0</v>
      </c>
      <c r="H1726" s="1">
        <f t="shared" si="1936"/>
        <v>0</v>
      </c>
      <c r="I1726" s="1">
        <f t="shared" si="1936"/>
        <v>0</v>
      </c>
      <c r="J1726" s="1">
        <f t="shared" si="1936"/>
        <v>0.57004201302139634</v>
      </c>
      <c r="K1726" s="1">
        <f t="shared" si="1936"/>
        <v>0.15838797626559042</v>
      </c>
      <c r="L1726" s="1">
        <f t="shared" ref="L1726:O1726" si="1937">L37</f>
        <v>0.26858716654909109</v>
      </c>
      <c r="M1726" s="1">
        <f t="shared" si="1937"/>
        <v>0.15859224261458049</v>
      </c>
      <c r="N1726" s="1">
        <f t="shared" si="1937"/>
        <v>3.6063437328373027E-3</v>
      </c>
      <c r="O1726" s="1">
        <f t="shared" si="1937"/>
        <v>2.801289401047935E-2</v>
      </c>
      <c r="P1726" s="1">
        <f t="shared" ref="P1726:Q1739" si="1938">P37</f>
        <v>0</v>
      </c>
      <c r="Q1726" s="1">
        <f t="shared" si="1938"/>
        <v>0</v>
      </c>
      <c r="S1726" s="3"/>
    </row>
    <row r="1727" spans="2:19" x14ac:dyDescent="0.5">
      <c r="B1727" t="str">
        <f t="shared" si="1918"/>
        <v>SPS1</v>
      </c>
      <c r="C1727" t="str">
        <f t="shared" si="1919"/>
        <v>CH</v>
      </c>
      <c r="D1727" t="s">
        <v>1753</v>
      </c>
      <c r="E1727" t="str">
        <f t="shared" si="1920"/>
        <v>PJ/yr.</v>
      </c>
      <c r="F1727" s="1">
        <f t="shared" si="1936"/>
        <v>0</v>
      </c>
      <c r="G1727" s="1">
        <f t="shared" si="1936"/>
        <v>0</v>
      </c>
      <c r="H1727" s="1">
        <f t="shared" si="1936"/>
        <v>0</v>
      </c>
      <c r="I1727" s="1">
        <f t="shared" si="1936"/>
        <v>0</v>
      </c>
      <c r="J1727" s="1">
        <f t="shared" si="1936"/>
        <v>0</v>
      </c>
      <c r="K1727" s="1">
        <f t="shared" si="1936"/>
        <v>0</v>
      </c>
      <c r="L1727" s="1">
        <f t="shared" ref="L1727:O1727" si="1939">L38</f>
        <v>0</v>
      </c>
      <c r="M1727" s="1">
        <f t="shared" si="1939"/>
        <v>0</v>
      </c>
      <c r="N1727" s="1">
        <f t="shared" si="1939"/>
        <v>0</v>
      </c>
      <c r="O1727" s="1">
        <f t="shared" si="1939"/>
        <v>0</v>
      </c>
      <c r="P1727" s="1">
        <f t="shared" si="1938"/>
        <v>0</v>
      </c>
      <c r="Q1727" s="1">
        <f t="shared" si="1938"/>
        <v>0</v>
      </c>
      <c r="S1727" s="3"/>
    </row>
    <row r="1728" spans="2:19" x14ac:dyDescent="0.5">
      <c r="B1728" t="str">
        <f t="shared" si="1918"/>
        <v>SPS1</v>
      </c>
      <c r="C1728" t="str">
        <f t="shared" si="1919"/>
        <v>CH</v>
      </c>
      <c r="D1728" t="s">
        <v>1754</v>
      </c>
      <c r="E1728" t="str">
        <f t="shared" si="1920"/>
        <v>PJ/yr.</v>
      </c>
      <c r="F1728" s="1">
        <f t="shared" si="1936"/>
        <v>0</v>
      </c>
      <c r="G1728" s="1">
        <f t="shared" si="1936"/>
        <v>0</v>
      </c>
      <c r="H1728" s="1">
        <f t="shared" si="1936"/>
        <v>0</v>
      </c>
      <c r="I1728" s="1">
        <f t="shared" si="1936"/>
        <v>0</v>
      </c>
      <c r="J1728" s="1">
        <f t="shared" si="1936"/>
        <v>0</v>
      </c>
      <c r="K1728" s="1">
        <f t="shared" si="1936"/>
        <v>0</v>
      </c>
      <c r="L1728" s="1">
        <f t="shared" ref="L1728:O1728" si="1940">L39</f>
        <v>0</v>
      </c>
      <c r="M1728" s="1">
        <f t="shared" si="1940"/>
        <v>0</v>
      </c>
      <c r="N1728" s="1">
        <f t="shared" si="1940"/>
        <v>0</v>
      </c>
      <c r="O1728" s="1">
        <f t="shared" si="1940"/>
        <v>0</v>
      </c>
      <c r="P1728" s="1">
        <f t="shared" si="1938"/>
        <v>0</v>
      </c>
      <c r="Q1728" s="1">
        <f t="shared" si="1938"/>
        <v>0</v>
      </c>
      <c r="S1728" s="3"/>
    </row>
    <row r="1729" spans="2:19" x14ac:dyDescent="0.5">
      <c r="B1729" t="str">
        <f t="shared" si="1918"/>
        <v>SPS1</v>
      </c>
      <c r="C1729" t="str">
        <f t="shared" si="1919"/>
        <v>CH</v>
      </c>
      <c r="D1729" t="s">
        <v>1755</v>
      </c>
      <c r="E1729" t="str">
        <f t="shared" si="1920"/>
        <v>PJ/yr.</v>
      </c>
      <c r="F1729" s="1">
        <f t="shared" si="1936"/>
        <v>0</v>
      </c>
      <c r="G1729" s="1">
        <f t="shared" si="1936"/>
        <v>0</v>
      </c>
      <c r="H1729" s="1">
        <f t="shared" si="1936"/>
        <v>0</v>
      </c>
      <c r="I1729" s="1">
        <f t="shared" si="1936"/>
        <v>0</v>
      </c>
      <c r="J1729" s="1">
        <f t="shared" si="1936"/>
        <v>0.57004201302139634</v>
      </c>
      <c r="K1729" s="1">
        <f t="shared" si="1936"/>
        <v>0.15838797626559042</v>
      </c>
      <c r="L1729" s="1">
        <f t="shared" ref="L1729:O1729" si="1941">L40</f>
        <v>0.26858716654909109</v>
      </c>
      <c r="M1729" s="1">
        <f t="shared" si="1941"/>
        <v>0.15859224261458049</v>
      </c>
      <c r="N1729" s="1">
        <f t="shared" si="1941"/>
        <v>3.6063437328373027E-3</v>
      </c>
      <c r="O1729" s="1">
        <f t="shared" si="1941"/>
        <v>2.801289401047935E-2</v>
      </c>
      <c r="P1729" s="1">
        <f t="shared" si="1938"/>
        <v>0</v>
      </c>
      <c r="Q1729" s="1">
        <f t="shared" si="1938"/>
        <v>0</v>
      </c>
      <c r="S1729" s="3"/>
    </row>
    <row r="1730" spans="2:19" x14ac:dyDescent="0.5">
      <c r="B1730" t="str">
        <f t="shared" si="1918"/>
        <v>SPS1</v>
      </c>
      <c r="C1730" t="str">
        <f t="shared" si="1919"/>
        <v>CH</v>
      </c>
      <c r="D1730" t="s">
        <v>1756</v>
      </c>
      <c r="E1730" t="str">
        <f t="shared" si="1920"/>
        <v>PJ/yr.</v>
      </c>
      <c r="F1730" s="1">
        <f t="shared" si="1936"/>
        <v>117.179992358166</v>
      </c>
      <c r="G1730" s="1">
        <f t="shared" si="1936"/>
        <v>107.23650028651454</v>
      </c>
      <c r="H1730" s="1">
        <f t="shared" si="1936"/>
        <v>113.02250335022491</v>
      </c>
      <c r="I1730" s="1">
        <f t="shared" si="1936"/>
        <v>121.53155706643041</v>
      </c>
      <c r="J1730" s="1">
        <f t="shared" si="1936"/>
        <v>127.06256761897647</v>
      </c>
      <c r="K1730" s="1">
        <f t="shared" si="1936"/>
        <v>128.76082660577518</v>
      </c>
      <c r="L1730" s="1">
        <f t="shared" ref="L1730:O1730" si="1942">L41</f>
        <v>129.44741307375963</v>
      </c>
      <c r="M1730" s="1">
        <f t="shared" si="1942"/>
        <v>127.90314773701063</v>
      </c>
      <c r="N1730" s="1">
        <f t="shared" si="1942"/>
        <v>125.34270655387624</v>
      </c>
      <c r="O1730" s="1">
        <f t="shared" si="1942"/>
        <v>121.42290120206074</v>
      </c>
      <c r="P1730" s="1">
        <f t="shared" si="1938"/>
        <v>121.90786480040046</v>
      </c>
      <c r="Q1730" s="1">
        <f t="shared" si="1938"/>
        <v>111.06989054948407</v>
      </c>
      <c r="S1730" s="3"/>
    </row>
    <row r="1731" spans="2:19" x14ac:dyDescent="0.5">
      <c r="B1731" t="str">
        <f t="shared" si="1918"/>
        <v>SPS1</v>
      </c>
      <c r="C1731" t="str">
        <f t="shared" si="1919"/>
        <v>CH</v>
      </c>
      <c r="D1731" t="s">
        <v>1757</v>
      </c>
      <c r="E1731" t="str">
        <f t="shared" si="1920"/>
        <v>PJ/yr.</v>
      </c>
      <c r="F1731" s="1">
        <f t="shared" si="1936"/>
        <v>117.179992358166</v>
      </c>
      <c r="G1731" s="1">
        <f t="shared" si="1936"/>
        <v>106.719999710191</v>
      </c>
      <c r="H1731" s="1">
        <f t="shared" si="1936"/>
        <v>111.85536341757711</v>
      </c>
      <c r="I1731" s="1">
        <f t="shared" si="1936"/>
        <v>119.29480957895446</v>
      </c>
      <c r="J1731" s="1">
        <f t="shared" si="1936"/>
        <v>123.21342903358065</v>
      </c>
      <c r="K1731" s="1">
        <f t="shared" si="1936"/>
        <v>122.61626740605678</v>
      </c>
      <c r="L1731" s="1">
        <f t="shared" ref="L1731:O1731" si="1943">L42</f>
        <v>123.03128318719953</v>
      </c>
      <c r="M1731" s="1">
        <f t="shared" si="1943"/>
        <v>121.18939842293126</v>
      </c>
      <c r="N1731" s="1">
        <f t="shared" si="1943"/>
        <v>118.24533230937786</v>
      </c>
      <c r="O1731" s="1">
        <f t="shared" si="1943"/>
        <v>114.0237505416936</v>
      </c>
      <c r="P1731" s="1">
        <f t="shared" si="1938"/>
        <v>113.50308052009295</v>
      </c>
      <c r="Q1731" s="1">
        <f t="shared" si="1938"/>
        <v>102.39372158974508</v>
      </c>
      <c r="S1731" s="3"/>
    </row>
    <row r="1732" spans="2:19" x14ac:dyDescent="0.5">
      <c r="B1732" t="str">
        <f t="shared" si="1918"/>
        <v>SPS1</v>
      </c>
      <c r="C1732" t="str">
        <f t="shared" si="1919"/>
        <v>CH</v>
      </c>
      <c r="D1732" t="s">
        <v>1758</v>
      </c>
      <c r="E1732" t="str">
        <f t="shared" si="1920"/>
        <v>PJ/yr.</v>
      </c>
      <c r="F1732" s="1">
        <f t="shared" si="1936"/>
        <v>117.179992358166</v>
      </c>
      <c r="G1732" s="1">
        <f t="shared" si="1936"/>
        <v>106.719999710191</v>
      </c>
      <c r="H1732" s="1">
        <f t="shared" si="1936"/>
        <v>111.85536341757711</v>
      </c>
      <c r="I1732" s="1">
        <f t="shared" si="1936"/>
        <v>119.29208139967406</v>
      </c>
      <c r="J1732" s="1">
        <f t="shared" si="1936"/>
        <v>123.20896460662078</v>
      </c>
      <c r="K1732" s="1">
        <f t="shared" si="1936"/>
        <v>122.61194421280297</v>
      </c>
      <c r="L1732" s="1">
        <f t="shared" ref="L1732:O1732" si="1944">L43</f>
        <v>123.02643399797783</v>
      </c>
      <c r="M1732" s="1">
        <f t="shared" si="1944"/>
        <v>121.17909050598756</v>
      </c>
      <c r="N1732" s="1">
        <f t="shared" si="1944"/>
        <v>118.24002020276643</v>
      </c>
      <c r="O1732" s="1">
        <f t="shared" si="1944"/>
        <v>114.01370809971212</v>
      </c>
      <c r="P1732" s="1">
        <f t="shared" si="1938"/>
        <v>113.49503984898517</v>
      </c>
      <c r="Q1732" s="1">
        <f t="shared" si="1938"/>
        <v>102.37659024411514</v>
      </c>
      <c r="S1732" s="3"/>
    </row>
    <row r="1733" spans="2:19" x14ac:dyDescent="0.5">
      <c r="B1733" t="str">
        <f t="shared" si="1918"/>
        <v>SPS1</v>
      </c>
      <c r="C1733" t="str">
        <f t="shared" si="1919"/>
        <v>CH</v>
      </c>
      <c r="D1733" t="s">
        <v>1759</v>
      </c>
      <c r="E1733" t="str">
        <f t="shared" si="1920"/>
        <v>PJ/yr.</v>
      </c>
      <c r="F1733" s="1">
        <f t="shared" si="1936"/>
        <v>0</v>
      </c>
      <c r="G1733" s="1">
        <f t="shared" si="1936"/>
        <v>0</v>
      </c>
      <c r="H1733" s="1">
        <f t="shared" si="1936"/>
        <v>0</v>
      </c>
      <c r="I1733" s="1">
        <f t="shared" si="1936"/>
        <v>2.7281792803958752E-3</v>
      </c>
      <c r="J1733" s="1">
        <f t="shared" si="1936"/>
        <v>4.4644269598669954E-3</v>
      </c>
      <c r="K1733" s="1">
        <f t="shared" si="1936"/>
        <v>4.3231932538101208E-3</v>
      </c>
      <c r="L1733" s="1">
        <f t="shared" ref="L1733:O1733" si="1945">L44</f>
        <v>4.8491892217044121E-3</v>
      </c>
      <c r="M1733" s="1">
        <f t="shared" si="1945"/>
        <v>1.0307916943695703E-2</v>
      </c>
      <c r="N1733" s="1">
        <f t="shared" si="1945"/>
        <v>5.3121066114248721E-3</v>
      </c>
      <c r="O1733" s="1">
        <f t="shared" si="1945"/>
        <v>1.0042441981479333E-2</v>
      </c>
      <c r="P1733" s="1">
        <f t="shared" si="1938"/>
        <v>8.0406711077735914E-3</v>
      </c>
      <c r="Q1733" s="1">
        <f t="shared" si="1938"/>
        <v>1.7131345629944773E-2</v>
      </c>
      <c r="S1733" s="3"/>
    </row>
    <row r="1734" spans="2:19" x14ac:dyDescent="0.5">
      <c r="B1734" t="str">
        <f t="shared" si="1918"/>
        <v>SPS1</v>
      </c>
      <c r="C1734" t="str">
        <f t="shared" si="1919"/>
        <v>CH</v>
      </c>
      <c r="D1734" t="s">
        <v>1760</v>
      </c>
      <c r="E1734" t="str">
        <f t="shared" si="1920"/>
        <v>PJ/yr.</v>
      </c>
      <c r="F1734" s="1">
        <f t="shared" si="1936"/>
        <v>0</v>
      </c>
      <c r="G1734" s="1">
        <f t="shared" si="1936"/>
        <v>0.51650057632353596</v>
      </c>
      <c r="H1734" s="1">
        <f t="shared" si="1936"/>
        <v>1.1671399326477991</v>
      </c>
      <c r="I1734" s="1">
        <f t="shared" si="1936"/>
        <v>2.2367474874759528</v>
      </c>
      <c r="J1734" s="1">
        <f t="shared" si="1936"/>
        <v>3.8491385853958233</v>
      </c>
      <c r="K1734" s="1">
        <f t="shared" si="1936"/>
        <v>6.1445591997183886</v>
      </c>
      <c r="L1734" s="1">
        <f t="shared" ref="L1734:O1734" si="1946">L45</f>
        <v>6.4161298865601033</v>
      </c>
      <c r="M1734" s="1">
        <f t="shared" si="1946"/>
        <v>6.7137493140793625</v>
      </c>
      <c r="N1734" s="1">
        <f t="shared" si="1946"/>
        <v>7.0973742444983801</v>
      </c>
      <c r="O1734" s="1">
        <f t="shared" si="1946"/>
        <v>7.3991506603671375</v>
      </c>
      <c r="P1734" s="1">
        <f t="shared" si="1938"/>
        <v>8.4047842803075099</v>
      </c>
      <c r="Q1734" s="1">
        <f t="shared" si="1938"/>
        <v>8.676168959738991</v>
      </c>
      <c r="S1734" s="3"/>
    </row>
    <row r="1735" spans="2:19" x14ac:dyDescent="0.5">
      <c r="B1735" t="str">
        <f t="shared" si="1918"/>
        <v>SPS1</v>
      </c>
      <c r="C1735" t="str">
        <f t="shared" si="1919"/>
        <v>CH</v>
      </c>
      <c r="D1735" t="s">
        <v>1761</v>
      </c>
      <c r="E1735" t="str">
        <f t="shared" si="1920"/>
        <v>PJ/yr.</v>
      </c>
      <c r="F1735" s="1">
        <f t="shared" si="1936"/>
        <v>0</v>
      </c>
      <c r="G1735" s="1">
        <f t="shared" si="1936"/>
        <v>0.51650057632353596</v>
      </c>
      <c r="H1735" s="1">
        <f t="shared" si="1936"/>
        <v>1.1671399326477991</v>
      </c>
      <c r="I1735" s="1">
        <f t="shared" si="1936"/>
        <v>2.2367474874759528</v>
      </c>
      <c r="J1735" s="1">
        <f t="shared" si="1936"/>
        <v>2.2367474874759528</v>
      </c>
      <c r="K1735" s="1">
        <f t="shared" si="1936"/>
        <v>3.8491385853958233</v>
      </c>
      <c r="L1735" s="1">
        <f t="shared" ref="L1735:O1735" si="1947">L46</f>
        <v>6.1445591997183886</v>
      </c>
      <c r="M1735" s="1">
        <f t="shared" si="1947"/>
        <v>6.4161298865601033</v>
      </c>
      <c r="N1735" s="1">
        <f t="shared" si="1947"/>
        <v>6.7137493140793625</v>
      </c>
      <c r="O1735" s="1">
        <f t="shared" si="1947"/>
        <v>7.0973742444983801</v>
      </c>
      <c r="P1735" s="1">
        <f t="shared" si="1938"/>
        <v>7.3991506603671375</v>
      </c>
      <c r="Q1735" s="1">
        <f t="shared" si="1938"/>
        <v>8.4047842803075099</v>
      </c>
      <c r="S1735" s="3"/>
    </row>
    <row r="1736" spans="2:19" x14ac:dyDescent="0.5">
      <c r="B1736" t="str">
        <f t="shared" si="1918"/>
        <v>SPS1</v>
      </c>
      <c r="C1736" t="str">
        <f t="shared" si="1919"/>
        <v>CH</v>
      </c>
      <c r="D1736" t="s">
        <v>1762</v>
      </c>
      <c r="E1736" t="str">
        <f t="shared" si="1920"/>
        <v>PJ/yr.</v>
      </c>
      <c r="F1736" s="1">
        <f t="shared" si="1936"/>
        <v>0</v>
      </c>
      <c r="G1736" s="1">
        <f t="shared" si="1936"/>
        <v>0.51650057632353596</v>
      </c>
      <c r="H1736" s="1">
        <f t="shared" si="1936"/>
        <v>1.1671399326477991</v>
      </c>
      <c r="I1736" s="1">
        <f t="shared" si="1936"/>
        <v>2.2367474874759528</v>
      </c>
      <c r="J1736" s="1">
        <f t="shared" si="1936"/>
        <v>2.2367474874759528</v>
      </c>
      <c r="K1736" s="1">
        <f t="shared" si="1936"/>
        <v>3.8491385853958233</v>
      </c>
      <c r="L1736" s="1">
        <f t="shared" ref="L1736:O1736" si="1948">L47</f>
        <v>6.1445591997183886</v>
      </c>
      <c r="M1736" s="1">
        <f t="shared" si="1948"/>
        <v>6.4161298865601033</v>
      </c>
      <c r="N1736" s="1">
        <f t="shared" si="1948"/>
        <v>6.7137493140793625</v>
      </c>
      <c r="O1736" s="1">
        <f t="shared" si="1948"/>
        <v>7.0973742444983801</v>
      </c>
      <c r="P1736" s="1">
        <f t="shared" si="1938"/>
        <v>7.3991506603671375</v>
      </c>
      <c r="Q1736" s="1">
        <f t="shared" si="1938"/>
        <v>8.4047842803075099</v>
      </c>
      <c r="S1736" s="3"/>
    </row>
    <row r="1737" spans="2:19" x14ac:dyDescent="0.5">
      <c r="B1737" t="str">
        <f t="shared" si="1918"/>
        <v>SPS1</v>
      </c>
      <c r="C1737" t="str">
        <f t="shared" si="1919"/>
        <v>CH</v>
      </c>
      <c r="D1737" t="s">
        <v>1763</v>
      </c>
      <c r="E1737" t="str">
        <f t="shared" si="1920"/>
        <v>PJ/yr.</v>
      </c>
      <c r="F1737" s="1">
        <f t="shared" si="1936"/>
        <v>0</v>
      </c>
      <c r="G1737" s="1">
        <f t="shared" si="1936"/>
        <v>0</v>
      </c>
      <c r="H1737" s="1">
        <f t="shared" si="1936"/>
        <v>0</v>
      </c>
      <c r="I1737" s="1">
        <f t="shared" si="1936"/>
        <v>0</v>
      </c>
      <c r="J1737" s="1">
        <f t="shared" si="1936"/>
        <v>1.6123910979198706</v>
      </c>
      <c r="K1737" s="1">
        <f t="shared" si="1936"/>
        <v>2.2954206143225653</v>
      </c>
      <c r="L1737" s="1">
        <f t="shared" ref="L1737:O1737" si="1949">L48</f>
        <v>0.2715706868417147</v>
      </c>
      <c r="M1737" s="1">
        <f t="shared" si="1949"/>
        <v>0.29761942751925918</v>
      </c>
      <c r="N1737" s="1">
        <f t="shared" si="1949"/>
        <v>0.38362493041901757</v>
      </c>
      <c r="O1737" s="1">
        <f t="shared" si="1949"/>
        <v>0.30177641586875747</v>
      </c>
      <c r="P1737" s="1">
        <f t="shared" si="1938"/>
        <v>1.0056336199403724</v>
      </c>
      <c r="Q1737" s="1">
        <f t="shared" si="1938"/>
        <v>0.27138467943148115</v>
      </c>
      <c r="S1737" s="3"/>
    </row>
    <row r="1738" spans="2:19" x14ac:dyDescent="0.5">
      <c r="B1738" t="str">
        <f t="shared" si="1918"/>
        <v>SPS1</v>
      </c>
      <c r="C1738" t="str">
        <f t="shared" si="1919"/>
        <v>CH</v>
      </c>
      <c r="D1738" t="s">
        <v>1764</v>
      </c>
      <c r="E1738" t="str">
        <f t="shared" si="1920"/>
        <v>PJ/yr.</v>
      </c>
      <c r="F1738" s="1">
        <f t="shared" si="1936"/>
        <v>0</v>
      </c>
      <c r="G1738" s="1">
        <f t="shared" si="1936"/>
        <v>0</v>
      </c>
      <c r="H1738" s="1">
        <f t="shared" si="1936"/>
        <v>0</v>
      </c>
      <c r="I1738" s="1">
        <f t="shared" si="1936"/>
        <v>0</v>
      </c>
      <c r="J1738" s="1">
        <f t="shared" si="1936"/>
        <v>1.6123910979198706</v>
      </c>
      <c r="K1738" s="1">
        <f t="shared" si="1936"/>
        <v>2.2954206143225653</v>
      </c>
      <c r="L1738" s="1">
        <f t="shared" ref="L1738:O1738" si="1950">L49</f>
        <v>0.2715706868417147</v>
      </c>
      <c r="M1738" s="1">
        <f t="shared" si="1950"/>
        <v>0.29761942751925918</v>
      </c>
      <c r="N1738" s="1">
        <f t="shared" si="1950"/>
        <v>0.38362493041901757</v>
      </c>
      <c r="O1738" s="1">
        <f t="shared" si="1950"/>
        <v>0.30177641586875747</v>
      </c>
      <c r="P1738" s="1">
        <f t="shared" si="1938"/>
        <v>1.0056336199403724</v>
      </c>
      <c r="Q1738" s="1">
        <f t="shared" si="1938"/>
        <v>0.27138467943148115</v>
      </c>
      <c r="S1738" s="3"/>
    </row>
    <row r="1739" spans="2:19" x14ac:dyDescent="0.5">
      <c r="B1739" t="str">
        <f t="shared" si="1918"/>
        <v>SPS1</v>
      </c>
      <c r="C1739" t="str">
        <f t="shared" si="1919"/>
        <v>CH</v>
      </c>
      <c r="D1739" t="s">
        <v>1765</v>
      </c>
      <c r="E1739" t="str">
        <f t="shared" si="1920"/>
        <v>PJ/yr.</v>
      </c>
      <c r="F1739" s="1">
        <f t="shared" si="1936"/>
        <v>250.94822050099731</v>
      </c>
      <c r="G1739" s="1">
        <f t="shared" si="1936"/>
        <v>254.39227640808039</v>
      </c>
      <c r="H1739" s="1">
        <f t="shared" si="1936"/>
        <v>224.07675972322781</v>
      </c>
      <c r="I1739" s="1">
        <f t="shared" si="1936"/>
        <v>221.50615815365475</v>
      </c>
      <c r="J1739" s="1">
        <f t="shared" si="1936"/>
        <v>174.32481921688765</v>
      </c>
      <c r="K1739" s="1">
        <f t="shared" si="1936"/>
        <v>100.00284405132813</v>
      </c>
      <c r="L1739" s="1">
        <f t="shared" ref="L1739:O1739" si="1951">L50</f>
        <v>10.573387569910054</v>
      </c>
      <c r="M1739" s="1">
        <f t="shared" si="1951"/>
        <v>18.960487767411369</v>
      </c>
      <c r="N1739" s="1">
        <f t="shared" si="1951"/>
        <v>20.834040217021769</v>
      </c>
      <c r="O1739" s="1">
        <f t="shared" si="1951"/>
        <v>20.208293096839316</v>
      </c>
      <c r="P1739" s="1">
        <f t="shared" si="1938"/>
        <v>20.686842005602589</v>
      </c>
      <c r="Q1739" s="1">
        <f t="shared" si="1938"/>
        <v>21.476640339703611</v>
      </c>
      <c r="S1739" s="3"/>
    </row>
    <row r="1740" spans="2:19" x14ac:dyDescent="0.5">
      <c r="B1740" t="str">
        <f t="shared" si="1918"/>
        <v>SPS1</v>
      </c>
      <c r="C1740" t="str">
        <f t="shared" si="1919"/>
        <v>CH</v>
      </c>
      <c r="D1740" t="s">
        <v>1766</v>
      </c>
      <c r="E1740" t="str">
        <f t="shared" si="1920"/>
        <v>PJ/yr.</v>
      </c>
      <c r="F1740" s="1">
        <f>-F58+F51</f>
        <v>-20.010006139418707</v>
      </c>
      <c r="G1740" s="1">
        <f t="shared" ref="G1740:K1740" si="1952">-G58+G51</f>
        <v>14.459816904219913</v>
      </c>
      <c r="H1740" s="1">
        <f t="shared" si="1952"/>
        <v>-13.976958991758053</v>
      </c>
      <c r="I1740" s="1">
        <f t="shared" si="1952"/>
        <v>-30.267316034983175</v>
      </c>
      <c r="J1740" s="1">
        <f t="shared" si="1952"/>
        <v>-8.8323907614326203</v>
      </c>
      <c r="K1740" s="1">
        <f t="shared" si="1952"/>
        <v>16.464525226385163</v>
      </c>
      <c r="L1740" s="1">
        <f t="shared" ref="L1740:O1740" si="1953">-L58+L51</f>
        <v>35.277668179008103</v>
      </c>
      <c r="M1740" s="1">
        <f t="shared" si="1953"/>
        <v>26.067214967628846</v>
      </c>
      <c r="N1740" s="1">
        <f t="shared" si="1953"/>
        <v>23.325477537176731</v>
      </c>
      <c r="O1740" s="1">
        <f t="shared" si="1953"/>
        <v>29.512222991420252</v>
      </c>
      <c r="P1740" s="1">
        <f>-P58+P51</f>
        <v>30.931569053316835</v>
      </c>
      <c r="Q1740" s="1">
        <f>-Q58+Q51</f>
        <v>36.716910549798399</v>
      </c>
      <c r="S1740" s="3"/>
    </row>
    <row r="1741" spans="2:19" x14ac:dyDescent="0.5">
      <c r="B1741" t="str">
        <f t="shared" si="1918"/>
        <v>SPS1</v>
      </c>
      <c r="C1741" t="str">
        <f t="shared" si="1919"/>
        <v>CH</v>
      </c>
      <c r="D1741" t="s">
        <v>1767</v>
      </c>
      <c r="E1741" t="str">
        <f t="shared" si="1920"/>
        <v>PJ/yr.</v>
      </c>
      <c r="F1741" s="1">
        <f t="shared" ref="F1741:K1741" si="1954">F56</f>
        <v>0</v>
      </c>
      <c r="G1741" s="1">
        <f t="shared" si="1954"/>
        <v>0</v>
      </c>
      <c r="H1741" s="1">
        <f t="shared" si="1954"/>
        <v>0</v>
      </c>
      <c r="I1741" s="1">
        <f t="shared" si="1954"/>
        <v>0</v>
      </c>
      <c r="J1741" s="1">
        <f t="shared" si="1954"/>
        <v>0</v>
      </c>
      <c r="K1741" s="1">
        <f t="shared" si="1954"/>
        <v>6.722848364722111E-3</v>
      </c>
      <c r="L1741" s="1">
        <f t="shared" ref="L1741:O1741" si="1955">L56</f>
        <v>6.7417177187377095E-3</v>
      </c>
      <c r="M1741" s="1">
        <f t="shared" si="1955"/>
        <v>3.533835097255072E-3</v>
      </c>
      <c r="N1741" s="1">
        <f t="shared" si="1955"/>
        <v>1.6291161246134197E-3</v>
      </c>
      <c r="O1741" s="1">
        <f t="shared" si="1955"/>
        <v>5.6838985485762068E-3</v>
      </c>
      <c r="P1741" s="1">
        <f>P56</f>
        <v>3.0959858094557558E-3</v>
      </c>
      <c r="Q1741" s="1">
        <f>Q56</f>
        <v>6.8110791386313098E-3</v>
      </c>
      <c r="S1741" s="3"/>
    </row>
    <row r="1742" spans="2:19" x14ac:dyDescent="0.5">
      <c r="B1742" t="str">
        <f t="shared" si="1918"/>
        <v>SPS1</v>
      </c>
      <c r="C1742" t="str">
        <f t="shared" si="1919"/>
        <v>CH</v>
      </c>
      <c r="D1742" t="s">
        <v>1769</v>
      </c>
      <c r="E1742" t="str">
        <f t="shared" ref="E1742:K1751" si="1956">E3</f>
        <v>PJ/yr.</v>
      </c>
      <c r="F1742" s="1">
        <f t="shared" si="1956"/>
        <v>44.97236160567104</v>
      </c>
      <c r="G1742" s="1">
        <f t="shared" si="1956"/>
        <v>48.190466207163354</v>
      </c>
      <c r="H1742" s="1">
        <f t="shared" si="1956"/>
        <v>48.190470725128115</v>
      </c>
      <c r="I1742" s="1">
        <f t="shared" si="1956"/>
        <v>48.190474414963148</v>
      </c>
      <c r="J1742" s="1">
        <f t="shared" si="1956"/>
        <v>48.192772012537262</v>
      </c>
      <c r="K1742" s="1">
        <f t="shared" si="1956"/>
        <v>48.192780055462862</v>
      </c>
      <c r="L1742" s="1">
        <f t="shared" ref="L1742:O1742" si="1957">L3</f>
        <v>48.192788522749424</v>
      </c>
      <c r="M1742" s="1">
        <f t="shared" si="1957"/>
        <v>48.192813171811423</v>
      </c>
      <c r="N1742" s="1">
        <f t="shared" si="1957"/>
        <v>48.192818207939794</v>
      </c>
      <c r="O1742" s="1">
        <f t="shared" si="1957"/>
        <v>48.192863455501552</v>
      </c>
      <c r="P1742" s="1">
        <f t="shared" ref="P1742:Q1758" si="1958">P3</f>
        <v>48.192891559692974</v>
      </c>
      <c r="Q1742" s="1">
        <f t="shared" si="1958"/>
        <v>48.194831756861404</v>
      </c>
      <c r="S1742" s="3"/>
    </row>
    <row r="1743" spans="2:19" x14ac:dyDescent="0.5">
      <c r="B1743" t="str">
        <f t="shared" si="1918"/>
        <v>SPS1</v>
      </c>
      <c r="C1743" t="str">
        <f t="shared" si="1919"/>
        <v>CH</v>
      </c>
      <c r="D1743" t="s">
        <v>1770</v>
      </c>
      <c r="E1743" t="str">
        <f t="shared" si="1956"/>
        <v>PJ/yr.</v>
      </c>
      <c r="F1743" s="1">
        <f t="shared" si="1956"/>
        <v>11.111873819173001</v>
      </c>
      <c r="G1743" s="1">
        <f t="shared" si="1956"/>
        <v>11.952883012199603</v>
      </c>
      <c r="H1743" s="1">
        <f t="shared" si="1956"/>
        <v>13.21439012589563</v>
      </c>
      <c r="I1743" s="1">
        <f t="shared" si="1956"/>
        <v>15.316908235933171</v>
      </c>
      <c r="J1743" s="1">
        <f t="shared" si="1956"/>
        <v>15.849134883536195</v>
      </c>
      <c r="K1743" s="1">
        <f t="shared" si="1956"/>
        <v>16.266392417123207</v>
      </c>
      <c r="L1743" s="1">
        <f t="shared" ref="L1743:O1743" si="1959">L4</f>
        <v>16.611691111431174</v>
      </c>
      <c r="M1743" s="1">
        <f t="shared" si="1959"/>
        <v>16.956985954302212</v>
      </c>
      <c r="N1743" s="1">
        <f t="shared" si="1959"/>
        <v>17.015757068199964</v>
      </c>
      <c r="O1743" s="1">
        <f t="shared" si="1959"/>
        <v>17.074522326313083</v>
      </c>
      <c r="P1743" s="1">
        <f t="shared" si="1958"/>
        <v>17.133289236154226</v>
      </c>
      <c r="Q1743" s="1">
        <f t="shared" si="1958"/>
        <v>17.19205661070885</v>
      </c>
      <c r="S1743" s="3"/>
    </row>
    <row r="1744" spans="2:19" x14ac:dyDescent="0.5">
      <c r="B1744" t="str">
        <f t="shared" si="1918"/>
        <v>SPS1</v>
      </c>
      <c r="C1744" t="str">
        <f t="shared" si="1919"/>
        <v>CH</v>
      </c>
      <c r="D1744" t="s">
        <v>1771</v>
      </c>
      <c r="E1744" t="str">
        <f t="shared" si="1956"/>
        <v>PJ/yr.</v>
      </c>
      <c r="F1744" s="1">
        <f t="shared" si="1956"/>
        <v>7.5116674397237322</v>
      </c>
      <c r="G1744" s="1">
        <f t="shared" si="1956"/>
        <v>7.5431415295452737</v>
      </c>
      <c r="H1744" s="1">
        <f t="shared" si="1956"/>
        <v>7.5903457644886849</v>
      </c>
      <c r="I1744" s="1">
        <f t="shared" si="1956"/>
        <v>7.6690252090328688</v>
      </c>
      <c r="J1744" s="1">
        <f t="shared" si="1956"/>
        <v>7.6690233002367671</v>
      </c>
      <c r="K1744" s="1">
        <f t="shared" si="1956"/>
        <v>7.669024049607529</v>
      </c>
      <c r="L1744" s="1">
        <f t="shared" ref="L1744:O1744" si="1960">L5</f>
        <v>7.6690239719491107</v>
      </c>
      <c r="M1744" s="1">
        <f t="shared" si="1960"/>
        <v>7.6690200253071996</v>
      </c>
      <c r="N1744" s="1">
        <f t="shared" si="1960"/>
        <v>7.6690238861835134</v>
      </c>
      <c r="O1744" s="1">
        <f t="shared" si="1960"/>
        <v>7.6690216363402275</v>
      </c>
      <c r="P1744" s="1">
        <f t="shared" si="1958"/>
        <v>7.6690212220401905</v>
      </c>
      <c r="Q1744" s="1">
        <f t="shared" si="1958"/>
        <v>7.6690146493605535</v>
      </c>
      <c r="S1744" s="3"/>
    </row>
    <row r="1745" spans="2:19" x14ac:dyDescent="0.5">
      <c r="B1745" t="str">
        <f t="shared" si="1918"/>
        <v>SPS1</v>
      </c>
      <c r="C1745" t="str">
        <f t="shared" si="1919"/>
        <v>CH</v>
      </c>
      <c r="D1745" t="s">
        <v>1772</v>
      </c>
      <c r="E1745" t="str">
        <f t="shared" si="1956"/>
        <v>PJ/yr.</v>
      </c>
      <c r="F1745" s="1">
        <f t="shared" si="1956"/>
        <v>3.1682407525374208</v>
      </c>
      <c r="G1745" s="1">
        <f t="shared" si="1956"/>
        <v>3.4956714438972698</v>
      </c>
      <c r="H1745" s="1">
        <f t="shared" si="1956"/>
        <v>3.9868104252320231</v>
      </c>
      <c r="I1745" s="1">
        <f t="shared" si="1956"/>
        <v>4.8053837880577808</v>
      </c>
      <c r="J1745" s="1">
        <f t="shared" si="1956"/>
        <v>4.8053790267796517</v>
      </c>
      <c r="K1745" s="1">
        <f t="shared" si="1956"/>
        <v>4.8053802098959748</v>
      </c>
      <c r="L1745" s="1">
        <f t="shared" ref="L1745:O1745" si="1961">L6</f>
        <v>4.8053802755974333</v>
      </c>
      <c r="M1745" s="1">
        <f t="shared" si="1961"/>
        <v>4.8053709373543247</v>
      </c>
      <c r="N1745" s="1">
        <f t="shared" si="1961"/>
        <v>4.8053800705612515</v>
      </c>
      <c r="O1745" s="1">
        <f t="shared" si="1961"/>
        <v>4.8053741258012552</v>
      </c>
      <c r="P1745" s="1">
        <f t="shared" si="1958"/>
        <v>4.8053765361612752</v>
      </c>
      <c r="Q1745" s="1">
        <f t="shared" si="1958"/>
        <v>4.8053676115719988</v>
      </c>
      <c r="S1745" s="3"/>
    </row>
    <row r="1746" spans="2:19" x14ac:dyDescent="0.5">
      <c r="B1746" t="str">
        <f t="shared" si="1918"/>
        <v>SPS1</v>
      </c>
      <c r="C1746" t="str">
        <f t="shared" si="1919"/>
        <v>CH</v>
      </c>
      <c r="D1746" t="s">
        <v>1773</v>
      </c>
      <c r="E1746" t="str">
        <f t="shared" si="1956"/>
        <v>PJ/yr.</v>
      </c>
      <c r="F1746" s="1">
        <f t="shared" si="1956"/>
        <v>23.180579594236889</v>
      </c>
      <c r="G1746" s="1">
        <f t="shared" si="1956"/>
        <v>25.198770221521208</v>
      </c>
      <c r="H1746" s="1">
        <f t="shared" si="1956"/>
        <v>23.398924409511778</v>
      </c>
      <c r="I1746" s="1">
        <f t="shared" si="1956"/>
        <v>20.399157181939323</v>
      </c>
      <c r="J1746" s="1">
        <f t="shared" si="1956"/>
        <v>19.869234801984646</v>
      </c>
      <c r="K1746" s="1">
        <f t="shared" si="1956"/>
        <v>19.45198337883615</v>
      </c>
      <c r="L1746" s="1">
        <f t="shared" ref="L1746:O1746" si="1962">L7</f>
        <v>19.106693163771705</v>
      </c>
      <c r="M1746" s="1">
        <f t="shared" si="1962"/>
        <v>18.761436254847684</v>
      </c>
      <c r="N1746" s="1">
        <f t="shared" si="1962"/>
        <v>18.702657182995065</v>
      </c>
      <c r="O1746" s="1">
        <f t="shared" si="1962"/>
        <v>18.643945367046982</v>
      </c>
      <c r="P1746" s="1">
        <f t="shared" si="1958"/>
        <v>18.585204565337282</v>
      </c>
      <c r="Q1746" s="1">
        <f t="shared" si="1958"/>
        <v>18.528392885220001</v>
      </c>
      <c r="S1746" s="3"/>
    </row>
    <row r="1747" spans="2:19" x14ac:dyDescent="0.5">
      <c r="B1747" t="str">
        <f t="shared" si="1918"/>
        <v>SPS1</v>
      </c>
      <c r="C1747" t="str">
        <f t="shared" si="1919"/>
        <v>CH</v>
      </c>
      <c r="D1747" t="s">
        <v>1774</v>
      </c>
      <c r="E1747" t="str">
        <f t="shared" si="1956"/>
        <v>PJ/yr.</v>
      </c>
      <c r="F1747" s="1">
        <f t="shared" si="1956"/>
        <v>69.745918844260387</v>
      </c>
      <c r="G1747" s="1">
        <f t="shared" si="1956"/>
        <v>69.840033471815289</v>
      </c>
      <c r="H1747" s="1">
        <f t="shared" si="1956"/>
        <v>69.44709379273678</v>
      </c>
      <c r="I1747" s="1">
        <f t="shared" si="1956"/>
        <v>68.997645274958728</v>
      </c>
      <c r="J1747" s="1">
        <f t="shared" si="1956"/>
        <v>68.895263917770748</v>
      </c>
      <c r="K1747" s="1">
        <f t="shared" si="1956"/>
        <v>69.117135731561433</v>
      </c>
      <c r="L1747" s="1">
        <f t="shared" ref="L1747:O1747" si="1963">L8</f>
        <v>69.339009938978876</v>
      </c>
      <c r="M1747" s="1">
        <f t="shared" si="1963"/>
        <v>69.560896391521212</v>
      </c>
      <c r="N1747" s="1">
        <f t="shared" si="1963"/>
        <v>69.560895000339485</v>
      </c>
      <c r="O1747" s="1">
        <f t="shared" si="1963"/>
        <v>69.560929317439488</v>
      </c>
      <c r="P1747" s="1">
        <f t="shared" si="1958"/>
        <v>69.560931869310195</v>
      </c>
      <c r="Q1747" s="1">
        <f t="shared" si="1958"/>
        <v>69.561318212523901</v>
      </c>
      <c r="S1747" s="3"/>
    </row>
    <row r="1748" spans="2:19" x14ac:dyDescent="0.5">
      <c r="B1748" t="str">
        <f t="shared" si="1918"/>
        <v>SPS1</v>
      </c>
      <c r="C1748" t="str">
        <f t="shared" si="1919"/>
        <v>CH</v>
      </c>
      <c r="D1748" t="s">
        <v>1775</v>
      </c>
      <c r="E1748" t="str">
        <f t="shared" si="1956"/>
        <v>PJ/yr.</v>
      </c>
      <c r="F1748" s="1">
        <f t="shared" si="1956"/>
        <v>35.788278644257723</v>
      </c>
      <c r="G1748" s="1">
        <f t="shared" si="1956"/>
        <v>35.882382643848558</v>
      </c>
      <c r="H1748" s="1">
        <f t="shared" si="1956"/>
        <v>35.489431764203815</v>
      </c>
      <c r="I1748" s="1">
        <f t="shared" si="1956"/>
        <v>35.03997592756361</v>
      </c>
      <c r="J1748" s="1">
        <f t="shared" si="1956"/>
        <v>34.937589383525236</v>
      </c>
      <c r="K1748" s="1">
        <f t="shared" si="1956"/>
        <v>35.159453939381109</v>
      </c>
      <c r="L1748" s="1">
        <f t="shared" ref="L1748:O1748" si="1964">L9</f>
        <v>35.381322027089915</v>
      </c>
      <c r="M1748" s="1">
        <f t="shared" si="1964"/>
        <v>35.603198336294163</v>
      </c>
      <c r="N1748" s="1">
        <f t="shared" si="1964"/>
        <v>35.603189403269894</v>
      </c>
      <c r="O1748" s="1">
        <f t="shared" si="1964"/>
        <v>35.603200300806741</v>
      </c>
      <c r="P1748" s="1">
        <f t="shared" si="1958"/>
        <v>35.603188586028828</v>
      </c>
      <c r="Q1748" s="1">
        <f t="shared" si="1958"/>
        <v>35.603203629852189</v>
      </c>
      <c r="S1748" s="3"/>
    </row>
    <row r="1749" spans="2:19" x14ac:dyDescent="0.5">
      <c r="B1749" t="str">
        <f t="shared" si="1918"/>
        <v>SPS1</v>
      </c>
      <c r="C1749" t="str">
        <f t="shared" si="1919"/>
        <v>CH</v>
      </c>
      <c r="D1749" t="s">
        <v>1776</v>
      </c>
      <c r="E1749" t="str">
        <f t="shared" si="1956"/>
        <v>PJ/yr.</v>
      </c>
      <c r="F1749" s="1">
        <f t="shared" si="1956"/>
        <v>33.957640200002672</v>
      </c>
      <c r="G1749" s="1">
        <f t="shared" si="1956"/>
        <v>33.957650827966731</v>
      </c>
      <c r="H1749" s="1">
        <f t="shared" si="1956"/>
        <v>33.957662028532972</v>
      </c>
      <c r="I1749" s="1">
        <f t="shared" si="1956"/>
        <v>33.957669347395125</v>
      </c>
      <c r="J1749" s="1">
        <f t="shared" si="1956"/>
        <v>33.957674534245513</v>
      </c>
      <c r="K1749" s="1">
        <f t="shared" si="1956"/>
        <v>33.957681792180317</v>
      </c>
      <c r="L1749" s="1">
        <f t="shared" ref="L1749:O1749" si="1965">L10</f>
        <v>33.957687911888954</v>
      </c>
      <c r="M1749" s="1">
        <f t="shared" si="1965"/>
        <v>33.957698055227048</v>
      </c>
      <c r="N1749" s="1">
        <f t="shared" si="1965"/>
        <v>33.957705597069584</v>
      </c>
      <c r="O1749" s="1">
        <f t="shared" si="1965"/>
        <v>33.957729016632747</v>
      </c>
      <c r="P1749" s="1">
        <f t="shared" si="1958"/>
        <v>33.95774328328136</v>
      </c>
      <c r="Q1749" s="1">
        <f t="shared" si="1958"/>
        <v>33.958114582671712</v>
      </c>
      <c r="S1749" s="3"/>
    </row>
    <row r="1750" spans="2:19" x14ac:dyDescent="0.5">
      <c r="B1750" t="str">
        <f t="shared" si="1918"/>
        <v>SPS1</v>
      </c>
      <c r="C1750" t="str">
        <f t="shared" si="1919"/>
        <v>CH</v>
      </c>
      <c r="D1750" t="s">
        <v>1777</v>
      </c>
      <c r="E1750" t="str">
        <f t="shared" si="1956"/>
        <v>PJ/yr.</v>
      </c>
      <c r="F1750" s="1">
        <f t="shared" si="1956"/>
        <v>3.7980888731937248</v>
      </c>
      <c r="G1750" s="1">
        <f t="shared" si="1956"/>
        <v>12.497411645686592</v>
      </c>
      <c r="H1750" s="1">
        <f t="shared" si="1956"/>
        <v>12.540057068460483</v>
      </c>
      <c r="I1750" s="1">
        <f t="shared" si="1956"/>
        <v>12.540417199970127</v>
      </c>
      <c r="J1750" s="1">
        <f t="shared" si="1956"/>
        <v>12.540424281870546</v>
      </c>
      <c r="K1750" s="1">
        <f t="shared" si="1956"/>
        <v>12.541408450430778</v>
      </c>
      <c r="L1750" s="1">
        <f t="shared" ref="L1750:O1750" si="1966">L11</f>
        <v>12.541461200056251</v>
      </c>
      <c r="M1750" s="1">
        <f t="shared" si="1966"/>
        <v>12.5416190587485</v>
      </c>
      <c r="N1750" s="1">
        <f t="shared" si="1966"/>
        <v>12.54166958565447</v>
      </c>
      <c r="O1750" s="1">
        <f t="shared" si="1966"/>
        <v>12.541925651393688</v>
      </c>
      <c r="P1750" s="1">
        <f t="shared" si="1958"/>
        <v>12.542353564765689</v>
      </c>
      <c r="Q1750" s="1">
        <f t="shared" si="1958"/>
        <v>12.543434848576991</v>
      </c>
      <c r="S1750" s="3"/>
    </row>
    <row r="1751" spans="2:19" x14ac:dyDescent="0.5">
      <c r="B1751" t="str">
        <f t="shared" si="1918"/>
        <v>SPS1</v>
      </c>
      <c r="C1751" t="str">
        <f t="shared" si="1919"/>
        <v>CH</v>
      </c>
      <c r="D1751" t="s">
        <v>1778</v>
      </c>
      <c r="E1751" t="str">
        <f t="shared" si="1956"/>
        <v>PJ/yr.</v>
      </c>
      <c r="F1751" s="1">
        <f t="shared" si="1956"/>
        <v>149.43049408962975</v>
      </c>
      <c r="G1751" s="1">
        <f t="shared" si="1956"/>
        <v>125.60983617766803</v>
      </c>
      <c r="H1751" s="1">
        <f t="shared" si="1956"/>
        <v>141.73643864283684</v>
      </c>
      <c r="I1751" s="1">
        <f t="shared" si="1956"/>
        <v>150.00887827178695</v>
      </c>
      <c r="J1751" s="1">
        <f t="shared" si="1956"/>
        <v>150.05520851668723</v>
      </c>
      <c r="K1751" s="1">
        <f t="shared" si="1956"/>
        <v>150.09290652529879</v>
      </c>
      <c r="L1751" s="1">
        <f t="shared" ref="L1751:O1751" si="1967">L12</f>
        <v>150.12988824250587</v>
      </c>
      <c r="M1751" s="1">
        <f t="shared" si="1967"/>
        <v>150.1700696613164</v>
      </c>
      <c r="N1751" s="1">
        <f t="shared" si="1967"/>
        <v>150.20644400184847</v>
      </c>
      <c r="O1751" s="1">
        <f t="shared" si="1967"/>
        <v>150.25193132889035</v>
      </c>
      <c r="P1751" s="1">
        <f t="shared" si="1958"/>
        <v>150.3005417820176</v>
      </c>
      <c r="Q1751" s="1">
        <f t="shared" si="1958"/>
        <v>150.37911560236148</v>
      </c>
      <c r="S1751" s="3"/>
    </row>
    <row r="1752" spans="2:19" x14ac:dyDescent="0.5">
      <c r="B1752" t="str">
        <f t="shared" si="1918"/>
        <v>SPS1</v>
      </c>
      <c r="C1752" t="str">
        <f t="shared" si="1919"/>
        <v>CH</v>
      </c>
      <c r="D1752" t="s">
        <v>1779</v>
      </c>
      <c r="E1752" t="str">
        <f t="shared" ref="E1752:K1758" si="1968">E13</f>
        <v>PJ/yr.</v>
      </c>
      <c r="F1752" s="1">
        <f t="shared" si="1968"/>
        <v>66.745680000022219</v>
      </c>
      <c r="G1752" s="1">
        <f t="shared" si="1968"/>
        <v>49.7987992616575</v>
      </c>
      <c r="H1752" s="1">
        <f t="shared" si="1968"/>
        <v>68.526862096155028</v>
      </c>
      <c r="I1752" s="1">
        <f t="shared" si="1968"/>
        <v>69.613958639460236</v>
      </c>
      <c r="J1752" s="1">
        <f t="shared" si="1968"/>
        <v>70.697304527520572</v>
      </c>
      <c r="K1752" s="1">
        <f t="shared" si="1968"/>
        <v>71.781630460397707</v>
      </c>
      <c r="L1752" s="1">
        <f t="shared" ref="L1752:O1752" si="1969">L13</f>
        <v>72.865010275959506</v>
      </c>
      <c r="M1752" s="1">
        <f t="shared" si="1969"/>
        <v>73.950114967489398</v>
      </c>
      <c r="N1752" s="1">
        <f t="shared" si="1969"/>
        <v>73.950034467134302</v>
      </c>
      <c r="O1752" s="1">
        <f t="shared" si="1969"/>
        <v>73.951165863516977</v>
      </c>
      <c r="P1752" s="1">
        <f t="shared" si="1958"/>
        <v>73.951013813964806</v>
      </c>
      <c r="Q1752" s="1">
        <f t="shared" si="1958"/>
        <v>73.948738328836285</v>
      </c>
      <c r="S1752" s="3"/>
    </row>
    <row r="1753" spans="2:19" x14ac:dyDescent="0.5">
      <c r="B1753" t="str">
        <f t="shared" si="1918"/>
        <v>SPS1</v>
      </c>
      <c r="C1753" t="str">
        <f t="shared" si="1919"/>
        <v>CH</v>
      </c>
      <c r="D1753" t="s">
        <v>1780</v>
      </c>
      <c r="E1753" t="str">
        <f t="shared" si="1968"/>
        <v>PJ/yr.</v>
      </c>
      <c r="F1753" s="1">
        <f t="shared" si="1968"/>
        <v>66.632400407028271</v>
      </c>
      <c r="G1753" s="1">
        <f t="shared" si="1968"/>
        <v>55.764001579115615</v>
      </c>
      <c r="H1753" s="1">
        <f t="shared" si="1968"/>
        <v>65.558562430748694</v>
      </c>
      <c r="I1753" s="1">
        <f t="shared" si="1968"/>
        <v>64.478519889435219</v>
      </c>
      <c r="J1753" s="1">
        <f t="shared" si="1968"/>
        <v>63.395197736717506</v>
      </c>
      <c r="K1753" s="1">
        <f t="shared" si="1968"/>
        <v>62.310875791922619</v>
      </c>
      <c r="L1753" s="1">
        <f t="shared" ref="L1753:O1753" si="1970">L14</f>
        <v>61.227496053006021</v>
      </c>
      <c r="M1753" s="1">
        <f t="shared" si="1970"/>
        <v>60.142394894567914</v>
      </c>
      <c r="N1753" s="1">
        <f t="shared" si="1970"/>
        <v>60.142479872037178</v>
      </c>
      <c r="O1753" s="1">
        <f t="shared" si="1970"/>
        <v>60.141353371012684</v>
      </c>
      <c r="P1753" s="1">
        <f t="shared" si="1958"/>
        <v>60.141520967362759</v>
      </c>
      <c r="Q1753" s="1">
        <f t="shared" si="1958"/>
        <v>60.143859019447433</v>
      </c>
      <c r="S1753" s="3"/>
    </row>
    <row r="1754" spans="2:19" x14ac:dyDescent="0.5">
      <c r="B1754" t="str">
        <f t="shared" si="1918"/>
        <v>SPS1</v>
      </c>
      <c r="C1754" t="str">
        <f t="shared" si="1919"/>
        <v>CH</v>
      </c>
      <c r="D1754" t="s">
        <v>1781</v>
      </c>
      <c r="E1754" t="str">
        <f t="shared" si="1968"/>
        <v>PJ/yr.</v>
      </c>
      <c r="F1754" s="1">
        <f t="shared" si="1968"/>
        <v>16.052413682579232</v>
      </c>
      <c r="G1754" s="1">
        <f t="shared" si="1968"/>
        <v>20.047035336894901</v>
      </c>
      <c r="H1754" s="1">
        <f t="shared" si="1968"/>
        <v>7.6510141159331289</v>
      </c>
      <c r="I1754" s="1">
        <f t="shared" si="1968"/>
        <v>15.916399742891477</v>
      </c>
      <c r="J1754" s="1">
        <f t="shared" si="1968"/>
        <v>15.962706252449165</v>
      </c>
      <c r="K1754" s="1">
        <f t="shared" si="1968"/>
        <v>16.000400272978442</v>
      </c>
      <c r="L1754" s="1">
        <f t="shared" ref="L1754:O1754" si="1971">L15</f>
        <v>16.037381913540347</v>
      </c>
      <c r="M1754" s="1">
        <f t="shared" si="1971"/>
        <v>16.077559799259088</v>
      </c>
      <c r="N1754" s="1">
        <f t="shared" si="1971"/>
        <v>16.113929662676977</v>
      </c>
      <c r="O1754" s="1">
        <f t="shared" si="1971"/>
        <v>16.159412094360672</v>
      </c>
      <c r="P1754" s="1">
        <f t="shared" si="1958"/>
        <v>16.208007000690024</v>
      </c>
      <c r="Q1754" s="1">
        <f t="shared" si="1958"/>
        <v>16.286518254077752</v>
      </c>
      <c r="S1754" s="3"/>
    </row>
    <row r="1755" spans="2:19" x14ac:dyDescent="0.5">
      <c r="B1755" t="str">
        <f t="shared" si="1918"/>
        <v>SPS1</v>
      </c>
      <c r="C1755" t="str">
        <f t="shared" si="1919"/>
        <v>CH</v>
      </c>
      <c r="D1755" t="s">
        <v>1782</v>
      </c>
      <c r="E1755" t="str">
        <f t="shared" si="1968"/>
        <v>PJ/yr.</v>
      </c>
      <c r="F1755" s="1">
        <f t="shared" si="1968"/>
        <v>12.556517729199888</v>
      </c>
      <c r="G1755" s="1">
        <f t="shared" si="1968"/>
        <v>16.52242107868711</v>
      </c>
      <c r="H1755" s="1">
        <f t="shared" si="1968"/>
        <v>32.455732767762228</v>
      </c>
      <c r="I1755" s="1">
        <f t="shared" si="1968"/>
        <v>53.888854564785611</v>
      </c>
      <c r="J1755" s="1">
        <f t="shared" si="1968"/>
        <v>56.808177135153372</v>
      </c>
      <c r="K1755" s="1">
        <f t="shared" si="1968"/>
        <v>59.459850763862534</v>
      </c>
      <c r="L1755" s="1">
        <f t="shared" ref="L1755:O1755" si="1972">L16</f>
        <v>62.100831538746334</v>
      </c>
      <c r="M1755" s="1">
        <f t="shared" si="1972"/>
        <v>64.833566435845597</v>
      </c>
      <c r="N1755" s="1">
        <f t="shared" si="1972"/>
        <v>67.444399171527436</v>
      </c>
      <c r="O1755" s="1">
        <f t="shared" si="1972"/>
        <v>70.592322771547671</v>
      </c>
      <c r="P1755" s="1">
        <f t="shared" si="1958"/>
        <v>74.08394922462476</v>
      </c>
      <c r="Q1755" s="1">
        <f t="shared" si="1958"/>
        <v>78.914459749246106</v>
      </c>
      <c r="S1755" s="3"/>
    </row>
    <row r="1756" spans="2:19" x14ac:dyDescent="0.5">
      <c r="B1756" t="str">
        <f t="shared" si="1918"/>
        <v>SPS1</v>
      </c>
      <c r="C1756" t="str">
        <f t="shared" si="1919"/>
        <v>CH</v>
      </c>
      <c r="D1756" t="s">
        <v>1783</v>
      </c>
      <c r="E1756" t="str">
        <f t="shared" si="1968"/>
        <v>PJ/yr.</v>
      </c>
      <c r="F1756" s="1">
        <f t="shared" si="1968"/>
        <v>0.52403341339389942</v>
      </c>
      <c r="G1756" s="1">
        <f t="shared" si="1968"/>
        <v>0.54529506981271414</v>
      </c>
      <c r="H1756" s="1">
        <f t="shared" si="1968"/>
        <v>0.50316778019983588</v>
      </c>
      <c r="I1756" s="1">
        <f t="shared" si="1968"/>
        <v>0.56392161851426803</v>
      </c>
      <c r="J1756" s="1">
        <f t="shared" si="1968"/>
        <v>0.56616649190489443</v>
      </c>
      <c r="K1756" s="1">
        <f t="shared" si="1968"/>
        <v>0.56873128423292829</v>
      </c>
      <c r="L1756" s="1">
        <f t="shared" ref="L1756:O1756" si="1973">L17</f>
        <v>0.58039145914689594</v>
      </c>
      <c r="M1756" s="1">
        <f t="shared" si="1973"/>
        <v>0.58049239973505162</v>
      </c>
      <c r="N1756" s="1">
        <f t="shared" si="1973"/>
        <v>0.58223313590801795</v>
      </c>
      <c r="O1756" s="1">
        <f t="shared" si="1973"/>
        <v>0.58239217139420485</v>
      </c>
      <c r="P1756" s="1">
        <f t="shared" si="1958"/>
        <v>0.58449074972363713</v>
      </c>
      <c r="Q1756" s="1">
        <f t="shared" si="1958"/>
        <v>0.59689034814206843</v>
      </c>
      <c r="S1756" s="3"/>
    </row>
    <row r="1757" spans="2:19" x14ac:dyDescent="0.5">
      <c r="B1757" t="str">
        <f t="shared" si="1918"/>
        <v>SPS1</v>
      </c>
      <c r="C1757" t="str">
        <f t="shared" si="1919"/>
        <v>CH</v>
      </c>
      <c r="D1757" t="s">
        <v>1784</v>
      </c>
      <c r="E1757" t="str">
        <f t="shared" si="1968"/>
        <v>PJ/yr.</v>
      </c>
      <c r="F1757" s="1">
        <f t="shared" si="1968"/>
        <v>18.873146474697055</v>
      </c>
      <c r="G1757" s="1">
        <f t="shared" si="1968"/>
        <v>22.215355081304814</v>
      </c>
      <c r="H1757" s="1">
        <f t="shared" si="1968"/>
        <v>26.210983704458116</v>
      </c>
      <c r="I1757" s="1">
        <f t="shared" si="1968"/>
        <v>30.732867620025775</v>
      </c>
      <c r="J1757" s="1">
        <f t="shared" si="1968"/>
        <v>39.018633345724005</v>
      </c>
      <c r="K1757" s="1">
        <f t="shared" si="1968"/>
        <v>42.049774711715052</v>
      </c>
      <c r="L1757" s="1">
        <f t="shared" ref="L1757:O1757" si="1974">L18</f>
        <v>43.765156396021382</v>
      </c>
      <c r="M1757" s="1">
        <f t="shared" si="1974"/>
        <v>47.074133219912085</v>
      </c>
      <c r="N1757" s="1">
        <f t="shared" si="1974"/>
        <v>49.303527136153875</v>
      </c>
      <c r="O1757" s="1">
        <f t="shared" si="1974"/>
        <v>52.475987213542787</v>
      </c>
      <c r="P1757" s="1">
        <f t="shared" si="1958"/>
        <v>54.2948872396083</v>
      </c>
      <c r="Q1757" s="1">
        <f t="shared" si="1958"/>
        <v>55.741857232882978</v>
      </c>
      <c r="S1757" s="3"/>
    </row>
    <row r="1758" spans="2:19" x14ac:dyDescent="0.5">
      <c r="B1758" t="str">
        <f t="shared" si="1918"/>
        <v>SPS1</v>
      </c>
      <c r="C1758" t="str">
        <f t="shared" si="1919"/>
        <v>CH</v>
      </c>
      <c r="D1758" t="s">
        <v>1785</v>
      </c>
      <c r="E1758" t="str">
        <f t="shared" si="1968"/>
        <v>PJ/yr.</v>
      </c>
      <c r="F1758" s="1">
        <f t="shared" si="1968"/>
        <v>0</v>
      </c>
      <c r="G1758" s="1">
        <f t="shared" si="1968"/>
        <v>0</v>
      </c>
      <c r="H1758" s="1">
        <f t="shared" si="1968"/>
        <v>0</v>
      </c>
      <c r="I1758" s="1">
        <f t="shared" si="1968"/>
        <v>0</v>
      </c>
      <c r="J1758" s="1">
        <f t="shared" si="1968"/>
        <v>0</v>
      </c>
      <c r="K1758" s="1">
        <f t="shared" si="1968"/>
        <v>8.8037297440942265E-4</v>
      </c>
      <c r="L1758" s="1">
        <f t="shared" ref="L1758:O1758" si="1975">L19</f>
        <v>0.10047373294201802</v>
      </c>
      <c r="M1758" s="1">
        <f t="shared" si="1975"/>
        <v>0.21514785453300361</v>
      </c>
      <c r="N1758" s="1">
        <f t="shared" si="1975"/>
        <v>0</v>
      </c>
      <c r="O1758" s="1">
        <f t="shared" si="1975"/>
        <v>0</v>
      </c>
      <c r="P1758" s="1">
        <f t="shared" si="1958"/>
        <v>0</v>
      </c>
      <c r="Q1758" s="1">
        <f t="shared" si="1958"/>
        <v>0</v>
      </c>
      <c r="S1758" s="3"/>
    </row>
    <row r="1759" spans="2:19" x14ac:dyDescent="0.5">
      <c r="B1759" s="9" t="str">
        <f t="shared" si="1918"/>
        <v>SPS1</v>
      </c>
      <c r="C1759" s="2" t="str">
        <f t="shared" si="1919"/>
        <v>CH</v>
      </c>
      <c r="D1759" s="2" t="s">
        <v>1788</v>
      </c>
      <c r="E1759" s="2" t="s">
        <v>1857</v>
      </c>
      <c r="F1759" s="3">
        <f t="shared" ref="F1759:K1759" si="1976">SUM(F1760,F1762,F1766,F1770,F1786,F1793,F1801,F1803,F1811,F1815,F1809)</f>
        <v>22.392740410978764</v>
      </c>
      <c r="G1759" s="3">
        <f t="shared" si="1976"/>
        <v>24.405433030170162</v>
      </c>
      <c r="H1759" s="3">
        <f t="shared" si="1976"/>
        <v>28.929489667233256</v>
      </c>
      <c r="I1759" s="3">
        <f t="shared" si="1976"/>
        <v>33.136630903501512</v>
      </c>
      <c r="J1759" s="3">
        <f t="shared" si="1976"/>
        <v>33.600762902663895</v>
      </c>
      <c r="K1759" s="3">
        <f t="shared" si="1976"/>
        <v>33.668902910765809</v>
      </c>
      <c r="L1759" s="3">
        <f t="shared" ref="L1759:O1759" si="1977">SUM(L1760,L1762,L1766,L1770,L1786,L1793,L1801,L1803,L1811,L1815,L1809)</f>
        <v>33.674033364081886</v>
      </c>
      <c r="M1759" s="3">
        <f t="shared" si="1977"/>
        <v>34.798276166011611</v>
      </c>
      <c r="N1759" s="3">
        <f t="shared" si="1977"/>
        <v>35.664509789115854</v>
      </c>
      <c r="O1759" s="3">
        <f t="shared" si="1977"/>
        <v>36.511764539827162</v>
      </c>
      <c r="P1759" s="3">
        <f>SUM(P1760,P1762,P1766,P1770,P1786,P1793,P1801,P1803,P1811,P1815,P1809)</f>
        <v>37.459368062140513</v>
      </c>
      <c r="Q1759" s="3">
        <f>SUM(Q1760,Q1762,Q1766,Q1770,Q1786,Q1793,Q1801,Q1803,Q1811,Q1815,Q1809)</f>
        <v>38.812129361540471</v>
      </c>
      <c r="S1759" s="3"/>
    </row>
    <row r="1760" spans="2:19" x14ac:dyDescent="0.5">
      <c r="B1760" s="5" t="str">
        <f t="shared" si="1918"/>
        <v>SPS1</v>
      </c>
      <c r="C1760" s="5" t="str">
        <f t="shared" si="1919"/>
        <v>CH</v>
      </c>
      <c r="D1760" t="s">
        <v>1790</v>
      </c>
      <c r="E1760" t="str">
        <f>E1759</f>
        <v>GWe/yr.</v>
      </c>
      <c r="F1760" s="1">
        <f>+F1761</f>
        <v>3.0935585690705589</v>
      </c>
      <c r="G1760" s="1">
        <f t="shared" ref="G1760:O1760" si="1978">+G1761</f>
        <v>3.0935576460061776</v>
      </c>
      <c r="H1760" s="1">
        <f t="shared" si="1978"/>
        <v>2.9285590994211739</v>
      </c>
      <c r="I1760" s="1">
        <f t="shared" si="1978"/>
        <v>2.7568647997483824</v>
      </c>
      <c r="J1760" s="1">
        <f t="shared" si="1978"/>
        <v>2.1828483368027558</v>
      </c>
      <c r="K1760" s="1">
        <f t="shared" si="1978"/>
        <v>1.3531250392118201</v>
      </c>
      <c r="L1760" s="1">
        <f t="shared" si="1978"/>
        <v>0.23755072835767854</v>
      </c>
      <c r="M1760" s="1">
        <f t="shared" si="1978"/>
        <v>0.33709810173094018</v>
      </c>
      <c r="N1760" s="1">
        <f t="shared" si="1978"/>
        <v>0.31188834042542241</v>
      </c>
      <c r="O1760" s="1">
        <f t="shared" si="1978"/>
        <v>0.23308879853399472</v>
      </c>
      <c r="P1760" s="1">
        <f>+P1761</f>
        <v>0.24260831901583024</v>
      </c>
      <c r="Q1760" s="1">
        <f>+Q1761</f>
        <v>0.26213876771907574</v>
      </c>
      <c r="S1760" s="3"/>
    </row>
    <row r="1761" spans="2:19" x14ac:dyDescent="0.5">
      <c r="B1761" s="5" t="str">
        <f t="shared" si="1918"/>
        <v>SPS1</v>
      </c>
      <c r="C1761" s="5" t="str">
        <f t="shared" si="1919"/>
        <v>CH</v>
      </c>
      <c r="D1761" t="s">
        <v>1791</v>
      </c>
      <c r="E1761" t="str">
        <f t="shared" ref="E1761:E1822" si="1979">E1760</f>
        <v>GWe/yr.</v>
      </c>
      <c r="F1761" s="1">
        <f>'[1]Electricity and CHPs_CAP'!B$14</f>
        <v>3.0935585690705589</v>
      </c>
      <c r="G1761" s="1">
        <f>'[1]Electricity and CHPs_CAP'!C$14</f>
        <v>3.0935576460061776</v>
      </c>
      <c r="H1761" s="1">
        <f>'[1]Electricity and CHPs_CAP'!D$14</f>
        <v>2.9285590994211739</v>
      </c>
      <c r="I1761" s="1">
        <f>'[1]Electricity and CHPs_CAP'!E$14</f>
        <v>2.7568647997483824</v>
      </c>
      <c r="J1761" s="1">
        <f>'[1]Electricity and CHPs_CAP'!F$14</f>
        <v>2.1828483368027558</v>
      </c>
      <c r="K1761" s="1">
        <f>'[1]Electricity and CHPs_CAP'!G$14</f>
        <v>1.3531250392118201</v>
      </c>
      <c r="L1761" s="1">
        <f>'[1]Electricity and CHPs_CAP'!H$14</f>
        <v>0.23755072835767854</v>
      </c>
      <c r="M1761" s="1">
        <f>'[1]Electricity and CHPs_CAP'!I$14</f>
        <v>0.33709810173094018</v>
      </c>
      <c r="N1761" s="1">
        <f>'[1]Electricity and CHPs_CAP'!J$14</f>
        <v>0.31188834042542241</v>
      </c>
      <c r="O1761" s="1">
        <f>'[1]Electricity and CHPs_CAP'!K$14</f>
        <v>0.23308879853399472</v>
      </c>
      <c r="P1761" s="1">
        <f>'[1]Electricity and CHPs_CAP'!L$14</f>
        <v>0.24260831901583024</v>
      </c>
      <c r="Q1761" s="1">
        <f>'[1]Electricity and CHPs_CAP'!M$14</f>
        <v>0.26213876771907574</v>
      </c>
      <c r="S1761" s="3"/>
    </row>
    <row r="1762" spans="2:19" x14ac:dyDescent="0.5">
      <c r="B1762" s="5" t="str">
        <f t="shared" si="1918"/>
        <v>SPS1</v>
      </c>
      <c r="C1762" s="5" t="str">
        <f t="shared" si="1919"/>
        <v>CH</v>
      </c>
      <c r="D1762" t="s">
        <v>1792</v>
      </c>
      <c r="E1762" t="str">
        <f t="shared" si="1979"/>
        <v>GWe/yr.</v>
      </c>
      <c r="F1762" s="1">
        <f>SUM(F1763:F1765)</f>
        <v>15.403610001059999</v>
      </c>
      <c r="G1762" s="1">
        <f t="shared" ref="G1762:K1762" si="1980">SUM(G1763:G1765)</f>
        <v>16.124696103415513</v>
      </c>
      <c r="H1762" s="1">
        <f t="shared" si="1980"/>
        <v>16.576974090865335</v>
      </c>
      <c r="I1762" s="1">
        <f t="shared" si="1980"/>
        <v>16.641006602514185</v>
      </c>
      <c r="J1762" s="1">
        <f t="shared" si="1980"/>
        <v>16.641475704818909</v>
      </c>
      <c r="K1762" s="1">
        <f t="shared" si="1980"/>
        <v>16.641497767052069</v>
      </c>
      <c r="L1762" s="1">
        <f t="shared" ref="L1762:O1762" si="1981">SUM(L1763:L1765)</f>
        <v>16.714976952179999</v>
      </c>
      <c r="M1762" s="1">
        <f t="shared" si="1981"/>
        <v>16.833564268192923</v>
      </c>
      <c r="N1762" s="1">
        <f t="shared" si="1981"/>
        <v>16.833571076729903</v>
      </c>
      <c r="O1762" s="1">
        <f t="shared" si="1981"/>
        <v>16.833811663414789</v>
      </c>
      <c r="P1762" s="1">
        <f>SUM(P1763:P1765)</f>
        <v>16.833851416807164</v>
      </c>
      <c r="Q1762" s="1">
        <f>SUM(Q1763:Q1765)</f>
        <v>16.835991277587379</v>
      </c>
      <c r="S1762" s="3"/>
    </row>
    <row r="1763" spans="2:19" x14ac:dyDescent="0.5">
      <c r="B1763" s="5" t="str">
        <f t="shared" si="1918"/>
        <v>SPS1</v>
      </c>
      <c r="C1763" s="5" t="str">
        <f t="shared" si="1919"/>
        <v>CH</v>
      </c>
      <c r="D1763" t="s">
        <v>1793</v>
      </c>
      <c r="E1763" t="str">
        <f t="shared" si="1979"/>
        <v>GWe/yr.</v>
      </c>
      <c r="F1763" s="1">
        <f>'[1]Electricity and CHPs_CAP'!B$15</f>
        <v>7.3394300010600002</v>
      </c>
      <c r="G1763" s="1">
        <f>'[1]Electricity and CHPs_CAP'!C$15</f>
        <v>7.344849267652136</v>
      </c>
      <c r="H1763" s="1">
        <f>'[1]Electricity and CHPs_CAP'!D$15</f>
        <v>7.3563041983939677</v>
      </c>
      <c r="I1763" s="1">
        <f>'[1]Electricity and CHPs_CAP'!E$15</f>
        <v>7.4162074091185053</v>
      </c>
      <c r="J1763" s="1">
        <f>'[1]Electricity and CHPs_CAP'!F$15</f>
        <v>7.4164920629177367</v>
      </c>
      <c r="K1763" s="1">
        <f>'[1]Electricity and CHPs_CAP'!G$15</f>
        <v>7.416498382525659</v>
      </c>
      <c r="L1763" s="1">
        <f>'[1]Electricity and CHPs_CAP'!H$15</f>
        <v>7.489929350094652</v>
      </c>
      <c r="M1763" s="1">
        <f>'[1]Electricity and CHPs_CAP'!I$15</f>
        <v>7.608307901226822</v>
      </c>
      <c r="N1763" s="1">
        <f>'[1]Electricity and CHPs_CAP'!J$15</f>
        <v>7.6083094440017316</v>
      </c>
      <c r="O1763" s="1">
        <f>'[1]Electricity and CHPs_CAP'!K$15</f>
        <v>7.6083148952131685</v>
      </c>
      <c r="P1763" s="1">
        <f>'[1]Electricity and CHPs_CAP'!L$15</f>
        <v>7.6083185018328248</v>
      </c>
      <c r="Q1763" s="1">
        <f>'[1]Electricity and CHPs_CAP'!M$15</f>
        <v>7.6083359993929154</v>
      </c>
      <c r="S1763" s="3"/>
    </row>
    <row r="1764" spans="2:19" x14ac:dyDescent="0.5">
      <c r="B1764" s="5" t="str">
        <f t="shared" si="1918"/>
        <v>SPS1</v>
      </c>
      <c r="C1764" s="5" t="str">
        <f t="shared" si="1919"/>
        <v>CH</v>
      </c>
      <c r="D1764" t="s">
        <v>1794</v>
      </c>
      <c r="E1764" t="str">
        <f t="shared" si="1979"/>
        <v>GWe/yr.</v>
      </c>
      <c r="F1764" s="1">
        <f>'[1]Electricity and CHPs_CAP'!B$16</f>
        <v>4.7247299999999992</v>
      </c>
      <c r="G1764" s="1">
        <f>'[1]Electricity and CHPs_CAP'!C$16</f>
        <v>4.8082202641829745</v>
      </c>
      <c r="H1764" s="1">
        <f>'[1]Electricity and CHPs_CAP'!D$16</f>
        <v>4.8606222670120136</v>
      </c>
      <c r="I1764" s="1">
        <f>'[1]Electricity and CHPs_CAP'!E$16</f>
        <v>4.8647515679363265</v>
      </c>
      <c r="J1764" s="1">
        <f>'[1]Electricity and CHPs_CAP'!F$16</f>
        <v>4.8649121034859508</v>
      </c>
      <c r="K1764" s="1">
        <f>'[1]Electricity and CHPs_CAP'!G$16</f>
        <v>4.8649171716229702</v>
      </c>
      <c r="L1764" s="1">
        <f>'[1]Electricity and CHPs_CAP'!H$16</f>
        <v>4.8649238882054968</v>
      </c>
      <c r="M1764" s="1">
        <f>'[1]Electricity and CHPs_CAP'!I$16</f>
        <v>4.8649377471126476</v>
      </c>
      <c r="N1764" s="1">
        <f>'[1]Electricity and CHPs_CAP'!J$16</f>
        <v>4.8649418654641998</v>
      </c>
      <c r="O1764" s="1">
        <f>'[1]Electricity and CHPs_CAP'!K$16</f>
        <v>4.8649631159622002</v>
      </c>
      <c r="P1764" s="1">
        <f>'[1]Electricity and CHPs_CAP'!L$16</f>
        <v>4.8649961031694655</v>
      </c>
      <c r="Q1764" s="1">
        <f>'[1]Electricity and CHPs_CAP'!M$16</f>
        <v>4.8661877303338681</v>
      </c>
      <c r="S1764" s="3"/>
    </row>
    <row r="1765" spans="2:19" x14ac:dyDescent="0.5">
      <c r="B1765" s="5" t="str">
        <f t="shared" si="1918"/>
        <v>SPS1</v>
      </c>
      <c r="C1765" s="5" t="str">
        <f t="shared" si="1919"/>
        <v>CH</v>
      </c>
      <c r="D1765" t="s">
        <v>1795</v>
      </c>
      <c r="E1765" t="str">
        <f t="shared" si="1979"/>
        <v>GWe/yr.</v>
      </c>
      <c r="F1765" s="1">
        <f>'[1]Electricity and CHPs_CAP'!B$17</f>
        <v>3.3394499999999998</v>
      </c>
      <c r="G1765" s="1">
        <f>'[1]Electricity and CHPs_CAP'!C$17</f>
        <v>3.9716265715804027</v>
      </c>
      <c r="H1765" s="1">
        <f>'[1]Electricity and CHPs_CAP'!D$17</f>
        <v>4.3600476254593525</v>
      </c>
      <c r="I1765" s="1">
        <f>'[1]Electricity and CHPs_CAP'!E$17</f>
        <v>4.3600476254593525</v>
      </c>
      <c r="J1765" s="1">
        <f>'[1]Electricity and CHPs_CAP'!F$17</f>
        <v>4.3600715384152213</v>
      </c>
      <c r="K1765" s="1">
        <f>'[1]Electricity and CHPs_CAP'!G$17</f>
        <v>4.3600822129034382</v>
      </c>
      <c r="L1765" s="1">
        <f>'[1]Electricity and CHPs_CAP'!H$17</f>
        <v>4.3601237138798519</v>
      </c>
      <c r="M1765" s="1">
        <f>'[1]Electricity and CHPs_CAP'!I$17</f>
        <v>4.3603186198534551</v>
      </c>
      <c r="N1765" s="1">
        <f>'[1]Electricity and CHPs_CAP'!J$17</f>
        <v>4.3603197672639729</v>
      </c>
      <c r="O1765" s="1">
        <f>'[1]Electricity and CHPs_CAP'!K$17</f>
        <v>4.3605336522394209</v>
      </c>
      <c r="P1765" s="1">
        <f>'[1]Electricity and CHPs_CAP'!L$17</f>
        <v>4.360536811804872</v>
      </c>
      <c r="Q1765" s="1">
        <f>'[1]Electricity and CHPs_CAP'!M$17</f>
        <v>4.3614675478605962</v>
      </c>
      <c r="S1765" s="3"/>
    </row>
    <row r="1766" spans="2:19" x14ac:dyDescent="0.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979"/>
        <v>GWe/yr.</v>
      </c>
      <c r="F1766" s="1">
        <f>SUM(F1767:F1769)</f>
        <v>3.7519700868867689E-2</v>
      </c>
      <c r="G1766" s="1">
        <f t="shared" ref="G1766:K1766" si="1982">SUM(G1767:G1769)</f>
        <v>3.1262078495327729E-2</v>
      </c>
      <c r="H1766" s="1">
        <f t="shared" si="1982"/>
        <v>2.0992578950332682E-2</v>
      </c>
      <c r="I1766" s="1">
        <f t="shared" si="1982"/>
        <v>6.0296257230885386E-2</v>
      </c>
      <c r="J1766" s="1">
        <f t="shared" si="1982"/>
        <v>9.9089402548129146E-2</v>
      </c>
      <c r="K1766" s="1">
        <f t="shared" si="1982"/>
        <v>0.11586381811262716</v>
      </c>
      <c r="L1766" s="1">
        <f t="shared" ref="L1766:O1766" si="1983">SUM(L1767:L1769)</f>
        <v>0.11864058928081567</v>
      </c>
      <c r="M1766" s="1">
        <f t="shared" si="1983"/>
        <v>0.12500589373614523</v>
      </c>
      <c r="N1766" s="1">
        <f t="shared" si="1983"/>
        <v>0.12029545944701463</v>
      </c>
      <c r="O1766" s="1">
        <f t="shared" si="1983"/>
        <v>0.10864910977406825</v>
      </c>
      <c r="P1766" s="1">
        <f>SUM(P1767:P1769)</f>
        <v>0.10372037188819107</v>
      </c>
      <c r="Q1766" s="1">
        <f>SUM(Q1767:Q1769)</f>
        <v>0.11911149476566976</v>
      </c>
      <c r="S1766" s="3"/>
    </row>
    <row r="1767" spans="2:19" x14ac:dyDescent="0.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979"/>
        <v>GWe/yr.</v>
      </c>
      <c r="F1767" s="1">
        <f>'[1]Electricity and CHPs_CAP'!B$18</f>
        <v>2.4638656170527705E-2</v>
      </c>
      <c r="G1767" s="1">
        <f>'[1]Electricity and CHPs_CAP'!C$18</f>
        <v>2.2694625746376845E-2</v>
      </c>
      <c r="H1767" s="1">
        <f>'[1]Electricity and CHPs_CAP'!D$18</f>
        <v>1.2623992342681953E-2</v>
      </c>
      <c r="I1767" s="1">
        <f>'[1]Electricity and CHPs_CAP'!E$18</f>
        <v>3.3299897392905169E-2</v>
      </c>
      <c r="J1767" s="1">
        <f>'[1]Electricity and CHPs_CAP'!F$18</f>
        <v>6.0124093103145961E-2</v>
      </c>
      <c r="K1767" s="1">
        <f>'[1]Electricity and CHPs_CAP'!G$18</f>
        <v>6.587483536092692E-2</v>
      </c>
      <c r="L1767" s="1">
        <f>'[1]Electricity and CHPs_CAP'!H$18</f>
        <v>6.033540328710317E-2</v>
      </c>
      <c r="M1767" s="1">
        <f>'[1]Electricity and CHPs_CAP'!I$18</f>
        <v>5.9004468225944226E-2</v>
      </c>
      <c r="N1767" s="1">
        <f>'[1]Electricity and CHPs_CAP'!J$18</f>
        <v>5.3312677457264646E-2</v>
      </c>
      <c r="O1767" s="1">
        <f>'[1]Electricity and CHPs_CAP'!K$18</f>
        <v>4.0587311366025655E-2</v>
      </c>
      <c r="P1767" s="1">
        <f>'[1]Electricity and CHPs_CAP'!L$18</f>
        <v>3.5784257152061669E-2</v>
      </c>
      <c r="Q1767" s="1">
        <f>'[1]Electricity and CHPs_CAP'!M$18</f>
        <v>5.0738221793559843E-2</v>
      </c>
      <c r="S1767" s="3"/>
    </row>
    <row r="1768" spans="2:19" x14ac:dyDescent="0.5">
      <c r="B1768" s="5" t="str">
        <f t="shared" ref="B1768:C1769" si="1984">B1767</f>
        <v>SPS1</v>
      </c>
      <c r="C1768" s="5" t="str">
        <f t="shared" si="1984"/>
        <v>CH</v>
      </c>
      <c r="D1768" t="s">
        <v>1798</v>
      </c>
      <c r="E1768" t="str">
        <f t="shared" si="1979"/>
        <v>GWe/yr.</v>
      </c>
      <c r="F1768" s="1">
        <f>'[1]Electricity and CHPs_CAP'!B$28</f>
        <v>4.5772429844494209E-3</v>
      </c>
      <c r="G1768" s="1">
        <f>'[1]Electricity and CHPs_CAP'!C$28</f>
        <v>2.1357389933681394E-3</v>
      </c>
      <c r="H1768" s="1">
        <f>'[1]Electricity and CHPs_CAP'!D$28</f>
        <v>1.9224539204622682E-3</v>
      </c>
      <c r="I1768" s="1">
        <f>'[1]Electricity and CHPs_CAP'!E$28</f>
        <v>1.3421094967382748E-3</v>
      </c>
      <c r="J1768" s="1">
        <f>'[1]Electricity and CHPs_CAP'!F$28</f>
        <v>1.2663397376013676E-3</v>
      </c>
      <c r="K1768" s="1">
        <f>'[1]Electricity and CHPs_CAP'!G$28</f>
        <v>7.4007275107791301E-4</v>
      </c>
      <c r="L1768" s="1">
        <f>'[1]Electricity and CHPs_CAP'!H$28</f>
        <v>7.6721157760278858E-4</v>
      </c>
      <c r="M1768" s="1">
        <f>'[1]Electricity and CHPs_CAP'!I$28</f>
        <v>1.1489664220106696E-3</v>
      </c>
      <c r="N1768" s="1">
        <f>'[1]Electricity and CHPs_CAP'!J$28</f>
        <v>1.1117138406147714E-3</v>
      </c>
      <c r="O1768" s="1">
        <f>'[1]Electricity and CHPs_CAP'!K$28</f>
        <v>1.4348039962538083E-3</v>
      </c>
      <c r="P1768" s="1">
        <f>'[1]Electricity and CHPs_CAP'!L$28</f>
        <v>1.1913727639038375E-3</v>
      </c>
      <c r="Q1768" s="1">
        <f>'[1]Electricity and CHPs_CAP'!M$28</f>
        <v>2.0593533538532261E-3</v>
      </c>
      <c r="S1768" s="3"/>
    </row>
    <row r="1769" spans="2:19" x14ac:dyDescent="0.5">
      <c r="B1769" s="5" t="str">
        <f t="shared" si="1984"/>
        <v>SPS1</v>
      </c>
      <c r="C1769" s="5" t="str">
        <f t="shared" si="1984"/>
        <v>CH</v>
      </c>
      <c r="D1769" t="s">
        <v>1799</v>
      </c>
      <c r="E1769" t="str">
        <f t="shared" si="1979"/>
        <v>GWe/yr.</v>
      </c>
      <c r="F1769" s="1">
        <f>'[1]Electricity and CHPs_CAP'!B$41</f>
        <v>8.3038017138905643E-3</v>
      </c>
      <c r="G1769" s="1">
        <f>'[1]Electricity and CHPs_CAP'!C$41</f>
        <v>6.4317137555827452E-3</v>
      </c>
      <c r="H1769" s="1">
        <f>'[1]Electricity and CHPs_CAP'!D$41</f>
        <v>6.4461326871884618E-3</v>
      </c>
      <c r="I1769" s="1">
        <f>'[1]Electricity and CHPs_CAP'!E$41</f>
        <v>2.5654250341241941E-2</v>
      </c>
      <c r="J1769" s="1">
        <f>'[1]Electricity and CHPs_CAP'!F$41</f>
        <v>3.7698969707381826E-2</v>
      </c>
      <c r="K1769" s="1">
        <f>'[1]Electricity and CHPs_CAP'!G$41</f>
        <v>4.9248910000622328E-2</v>
      </c>
      <c r="L1769" s="1">
        <f>'[1]Electricity and CHPs_CAP'!H$41</f>
        <v>5.7537974416109708E-2</v>
      </c>
      <c r="M1769" s="1">
        <f>'[1]Electricity and CHPs_CAP'!I$41</f>
        <v>6.4852459088190345E-2</v>
      </c>
      <c r="N1769" s="1">
        <f>'[1]Electricity and CHPs_CAP'!J$41</f>
        <v>6.5871068149135209E-2</v>
      </c>
      <c r="O1769" s="1">
        <f>'[1]Electricity and CHPs_CAP'!K$41</f>
        <v>6.6626994411788779E-2</v>
      </c>
      <c r="P1769" s="1">
        <f>'[1]Electricity and CHPs_CAP'!L$41</f>
        <v>6.674474197222556E-2</v>
      </c>
      <c r="Q1769" s="1">
        <f>'[1]Electricity and CHPs_CAP'!M$41</f>
        <v>6.6313919618256695E-2</v>
      </c>
      <c r="S1769" s="3"/>
    </row>
    <row r="1770" spans="2:19" x14ac:dyDescent="0.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979"/>
        <v>GWe/yr.</v>
      </c>
      <c r="F1770" s="1">
        <f>SUM(F1771:F1785)</f>
        <v>0.23329719055889603</v>
      </c>
      <c r="G1770" s="1">
        <f t="shared" ref="G1770:K1770" si="1985">SUM(G1771:G1785)</f>
        <v>0.16305678464518947</v>
      </c>
      <c r="H1770" s="1">
        <f t="shared" si="1985"/>
        <v>0.15184400902140913</v>
      </c>
      <c r="I1770" s="1">
        <f t="shared" si="1985"/>
        <v>0.34741110811645631</v>
      </c>
      <c r="J1770" s="1">
        <f t="shared" si="1985"/>
        <v>0.4905959774829875</v>
      </c>
      <c r="K1770" s="1">
        <f t="shared" si="1985"/>
        <v>0.60324789551253333</v>
      </c>
      <c r="L1770" s="1">
        <f t="shared" ref="L1770:O1770" si="1986">SUM(L1771:L1785)</f>
        <v>0.81463756826119993</v>
      </c>
      <c r="M1770" s="1">
        <f t="shared" si="1986"/>
        <v>0.90639064526160074</v>
      </c>
      <c r="N1770" s="1">
        <f t="shared" si="1986"/>
        <v>1.0510735993046247</v>
      </c>
      <c r="O1770" s="1">
        <f t="shared" si="1986"/>
        <v>1.1161626037439347</v>
      </c>
      <c r="P1770" s="1">
        <f>SUM(P1771:P1785)</f>
        <v>1.1420883738906236</v>
      </c>
      <c r="Q1770" s="1">
        <f>SUM(Q1771:Q1785)</f>
        <v>1.1102958375683958</v>
      </c>
      <c r="S1770" s="3"/>
    </row>
    <row r="1771" spans="2:19" x14ac:dyDescent="0.5">
      <c r="B1771" s="5" t="str">
        <f t="shared" ref="B1771:C1784" si="1987">B1770</f>
        <v>SPS1</v>
      </c>
      <c r="C1771" s="5" t="str">
        <f t="shared" si="1987"/>
        <v>CH</v>
      </c>
      <c r="D1771" t="s">
        <v>1801</v>
      </c>
      <c r="E1771" t="str">
        <f t="shared" si="1979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'[1]Electricity and CHPs_CAP'!F$21</f>
        <v>0</v>
      </c>
      <c r="K1771" s="1">
        <f>'[1]Electricity and CHPs_CAP'!G$21</f>
        <v>2.7192902948645001E-2</v>
      </c>
      <c r="L1771" s="1">
        <f>'[1]Electricity and CHPs_CAP'!H$21</f>
        <v>0.24332220143475852</v>
      </c>
      <c r="M1771" s="1">
        <f>'[1]Electricity and CHPs_CAP'!I$21</f>
        <v>0.42934053912932868</v>
      </c>
      <c r="N1771" s="1">
        <f>'[1]Electricity and CHPs_CAP'!J$21</f>
        <v>0.58088696218157898</v>
      </c>
      <c r="O1771" s="1">
        <f>'[1]Electricity and CHPs_CAP'!K$21</f>
        <v>0.67689171467030906</v>
      </c>
      <c r="P1771" s="1">
        <f>'[1]Electricity and CHPs_CAP'!L$21</f>
        <v>0.7238488670898916</v>
      </c>
      <c r="Q1771" s="1">
        <f>'[1]Electricity and CHPs_CAP'!M$21</f>
        <v>0.65771351156530844</v>
      </c>
      <c r="S1771" s="3"/>
    </row>
    <row r="1772" spans="2:19" x14ac:dyDescent="0.5">
      <c r="B1772" s="5" t="str">
        <f t="shared" si="1987"/>
        <v>SPS1</v>
      </c>
      <c r="C1772" s="5" t="str">
        <f t="shared" si="1987"/>
        <v>CH</v>
      </c>
      <c r="D1772" t="s">
        <v>1802</v>
      </c>
      <c r="E1772" t="str">
        <f t="shared" si="1979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'[1]Electricity and CHPs_CAP'!F$22</f>
        <v>1.6077828993068099E-2</v>
      </c>
      <c r="K1772" s="1">
        <f>'[1]Electricity and CHPs_CAP'!G$22</f>
        <v>6.6765874880958961E-2</v>
      </c>
      <c r="L1772" s="1">
        <f>'[1]Electricity and CHPs_CAP'!H$22</f>
        <v>6.6778302503733455E-2</v>
      </c>
      <c r="M1772" s="1">
        <f>'[1]Electricity and CHPs_CAP'!I$22</f>
        <v>6.6778098885329706E-2</v>
      </c>
      <c r="N1772" s="1">
        <f>'[1]Electricity and CHPs_CAP'!J$22</f>
        <v>6.6804615297394426E-2</v>
      </c>
      <c r="O1772" s="1">
        <f>'[1]Electricity and CHPs_CAP'!K$22</f>
        <v>5.0752788282782124E-2</v>
      </c>
      <c r="P1772" s="1">
        <f>'[1]Electricity and CHPs_CAP'!L$22</f>
        <v>1.4873239861988829E-2</v>
      </c>
      <c r="Q1772" s="1">
        <f>'[1]Electricity and CHPs_CAP'!M$22</f>
        <v>3.0695579931356159E-2</v>
      </c>
      <c r="S1772" s="3"/>
    </row>
    <row r="1773" spans="2:19" x14ac:dyDescent="0.5">
      <c r="B1773" s="5" t="str">
        <f t="shared" si="1987"/>
        <v>SPS1</v>
      </c>
      <c r="C1773" s="5" t="str">
        <f t="shared" si="1987"/>
        <v>CH</v>
      </c>
      <c r="D1773" t="s">
        <v>1803</v>
      </c>
      <c r="E1773" t="str">
        <f t="shared" si="1979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'[1]Electricity and CHPs_CAP'!F$23</f>
        <v>0</v>
      </c>
      <c r="K1773" s="1">
        <f>'[1]Electricity and CHPs_CAP'!G$23</f>
        <v>0</v>
      </c>
      <c r="L1773" s="1">
        <f>'[1]Electricity and CHPs_CAP'!H$23</f>
        <v>0</v>
      </c>
      <c r="M1773" s="1">
        <f>'[1]Electricity and CHPs_CAP'!I$23</f>
        <v>0</v>
      </c>
      <c r="N1773" s="1">
        <f>'[1]Electricity and CHPs_CAP'!J$23</f>
        <v>0</v>
      </c>
      <c r="O1773" s="1">
        <f>'[1]Electricity and CHPs_CAP'!K$23</f>
        <v>0</v>
      </c>
      <c r="P1773" s="1">
        <f>'[1]Electricity and CHPs_CAP'!L$23</f>
        <v>0</v>
      </c>
      <c r="Q1773" s="1">
        <f>'[1]Electricity and CHPs_CAP'!M$23</f>
        <v>0</v>
      </c>
      <c r="S1773" s="3"/>
    </row>
    <row r="1774" spans="2:19" x14ac:dyDescent="0.5">
      <c r="B1774" s="5" t="str">
        <f t="shared" si="1987"/>
        <v>SPS1</v>
      </c>
      <c r="C1774" s="5" t="str">
        <f t="shared" si="1987"/>
        <v>CH</v>
      </c>
      <c r="D1774" t="s">
        <v>1804</v>
      </c>
      <c r="E1774" t="str">
        <f t="shared" si="1979"/>
        <v>GWe/yr.</v>
      </c>
      <c r="F1774" s="1">
        <f>IF('[1]Electricity and CHPs_CAP'!B$24&lt;0,0,'[1]Electricity and CHPs_CAP'!B$24)</f>
        <v>5.2549714551014197E-2</v>
      </c>
      <c r="G1774" s="1">
        <f>IF('[1]Electricity and CHPs_CAP'!C$24&lt;0,0,'[1]Electricity and CHPs_CAP'!C$24)</f>
        <v>1.3632199264347611E-4</v>
      </c>
      <c r="H1774" s="1">
        <f>IF('[1]Electricity and CHPs_CAP'!D$24&lt;0,0,'[1]Electricity and CHPs_CAP'!D$24)</f>
        <v>2.2493871750247502E-3</v>
      </c>
      <c r="I1774" s="1">
        <f>IF('[1]Electricity and CHPs_CAP'!E$24&lt;0,0,'[1]Electricity and CHPs_CAP'!E$24)</f>
        <v>2.9772877958478695E-2</v>
      </c>
      <c r="J1774" s="1">
        <f>IF('[1]Electricity and CHPs_CAP'!F$24&lt;0,0,'[1]Electricity and CHPs_CAP'!F$24)</f>
        <v>2.9734465342751742E-2</v>
      </c>
      <c r="K1774" s="1">
        <f>IF('[1]Electricity and CHPs_CAP'!G$24&lt;0,0,'[1]Electricity and CHPs_CAP'!G$24)</f>
        <v>4.5891673824484322E-2</v>
      </c>
      <c r="L1774" s="1">
        <f>IF('[1]Electricity and CHPs_CAP'!H$24&lt;0,0,'[1]Electricity and CHPs_CAP'!H$24)</f>
        <v>3.5500053446785258E-2</v>
      </c>
      <c r="M1774" s="1">
        <f>IF('[1]Electricity and CHPs_CAP'!I$24&lt;0,0,'[1]Electricity and CHPs_CAP'!I$24)</f>
        <v>1.6375473191699734E-2</v>
      </c>
      <c r="N1774" s="1">
        <f>IF('[1]Electricity and CHPs_CAP'!J$24&lt;0,0,'[1]Electricity and CHPs_CAP'!J$24)</f>
        <v>1.4317768865518072E-2</v>
      </c>
      <c r="O1774" s="1">
        <f>IF('[1]Electricity and CHPs_CAP'!K$24&lt;0,0,'[1]Electricity and CHPs_CAP'!K$24)</f>
        <v>3.3858420320364273E-3</v>
      </c>
      <c r="P1774" s="1">
        <f>IF('[1]Electricity and CHPs_CAP'!L$24&lt;0,0,'[1]Electricity and CHPs_CAP'!L$24)</f>
        <v>3.3312693223162457E-3</v>
      </c>
      <c r="Q1774" s="1">
        <f>IF('[1]Electricity and CHPs_CAP'!M$24&lt;0,0,'[1]Electricity and CHPs_CAP'!M$24)</f>
        <v>3.8983059794786131E-3</v>
      </c>
      <c r="S1774" s="3"/>
    </row>
    <row r="1775" spans="2:19" x14ac:dyDescent="0.5">
      <c r="B1775" s="5" t="str">
        <f t="shared" si="1987"/>
        <v>SPS1</v>
      </c>
      <c r="C1775" s="5" t="str">
        <f t="shared" si="1987"/>
        <v>CH</v>
      </c>
      <c r="D1775" t="s">
        <v>1805</v>
      </c>
      <c r="E1775" t="str">
        <f t="shared" si="1979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'[1]Electricity and CHPs_CAP'!F$29</f>
        <v>0</v>
      </c>
      <c r="K1775" s="1">
        <f>'[1]Electricity and CHPs_CAP'!G$29</f>
        <v>1.47618344294291E-2</v>
      </c>
      <c r="L1775" s="1">
        <f>'[1]Electricity and CHPs_CAP'!H$29</f>
        <v>2.6972904115662159E-2</v>
      </c>
      <c r="M1775" s="1">
        <f>'[1]Electricity and CHPs_CAP'!I$29</f>
        <v>3.2900379860454049E-2</v>
      </c>
      <c r="N1775" s="1">
        <f>'[1]Electricity and CHPs_CAP'!J$29</f>
        <v>3.0992701684196679E-2</v>
      </c>
      <c r="O1775" s="1">
        <f>'[1]Electricity and CHPs_CAP'!K$29</f>
        <v>1.829649384263422E-2</v>
      </c>
      <c r="P1775" s="1">
        <f>'[1]Electricity and CHPs_CAP'!L$29</f>
        <v>6.0988423525846326E-3</v>
      </c>
      <c r="Q1775" s="1">
        <f>'[1]Electricity and CHPs_CAP'!M$29</f>
        <v>2.7394641574160069E-3</v>
      </c>
      <c r="S1775" s="3"/>
    </row>
    <row r="1776" spans="2:19" x14ac:dyDescent="0.5">
      <c r="B1776" s="5" t="str">
        <f t="shared" si="1987"/>
        <v>SPS1</v>
      </c>
      <c r="C1776" s="5" t="str">
        <f t="shared" si="1987"/>
        <v>CH</v>
      </c>
      <c r="D1776" t="s">
        <v>1806</v>
      </c>
      <c r="E1776" t="str">
        <f t="shared" si="1979"/>
        <v>GWe/yr.</v>
      </c>
      <c r="F1776" s="1">
        <f>'[1]Electricity and CHPs_CAP'!B$39</f>
        <v>2.9342669335457407E-2</v>
      </c>
      <c r="G1776" s="1">
        <f>'[1]Electricity and CHPs_CAP'!C$39</f>
        <v>2.1703648989177537E-2</v>
      </c>
      <c r="H1776" s="1">
        <f>'[1]Electricity and CHPs_CAP'!D$39</f>
        <v>1.3983510976986614E-2</v>
      </c>
      <c r="I1776" s="1">
        <f>'[1]Electricity and CHPs_CAP'!E$39</f>
        <v>3.0901402930715596E-2</v>
      </c>
      <c r="J1776" s="1">
        <f>'[1]Electricity and CHPs_CAP'!F$39</f>
        <v>2.6869464343839602E-2</v>
      </c>
      <c r="K1776" s="1">
        <f>'[1]Electricity and CHPs_CAP'!G$39</f>
        <v>2.6931511865906324E-2</v>
      </c>
      <c r="L1776" s="1">
        <f>'[1]Electricity and CHPs_CAP'!H$39</f>
        <v>1.8548651978533399E-2</v>
      </c>
      <c r="M1776" s="1">
        <f>'[1]Electricity and CHPs_CAP'!I$39</f>
        <v>9.6829420510786308E-3</v>
      </c>
      <c r="N1776" s="1">
        <f>'[1]Electricity and CHPs_CAP'!J$39</f>
        <v>9.5399847464507793E-3</v>
      </c>
      <c r="O1776" s="1">
        <f>'[1]Electricity and CHPs_CAP'!K$39</f>
        <v>1.0094303676237476E-2</v>
      </c>
      <c r="P1776" s="1">
        <f>'[1]Electricity and CHPs_CAP'!L$39</f>
        <v>1.5807664136758451E-2</v>
      </c>
      <c r="Q1776" s="1">
        <f>'[1]Electricity and CHPs_CAP'!M$39</f>
        <v>1.7424094616265852E-2</v>
      </c>
      <c r="S1776" s="3"/>
    </row>
    <row r="1777" spans="2:19" x14ac:dyDescent="0.5">
      <c r="B1777" s="5" t="str">
        <f t="shared" si="1987"/>
        <v>SPS1</v>
      </c>
      <c r="C1777" s="5" t="str">
        <f t="shared" si="1987"/>
        <v>CH</v>
      </c>
      <c r="D1777" t="s">
        <v>1807</v>
      </c>
      <c r="E1777" t="str">
        <f t="shared" si="1979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'[1]Electricity and CHPs_CAP'!F$40</f>
        <v>0</v>
      </c>
      <c r="K1777" s="1">
        <f>'[1]Electricity and CHPs_CAP'!G$40</f>
        <v>0</v>
      </c>
      <c r="L1777" s="1">
        <f>'[1]Electricity and CHPs_CAP'!H$40</f>
        <v>0</v>
      </c>
      <c r="M1777" s="1">
        <f>'[1]Electricity and CHPs_CAP'!I$40</f>
        <v>0</v>
      </c>
      <c r="N1777" s="1">
        <f>'[1]Electricity and CHPs_CAP'!J$40</f>
        <v>0</v>
      </c>
      <c r="O1777" s="1">
        <f>'[1]Electricity and CHPs_CAP'!K$40</f>
        <v>0</v>
      </c>
      <c r="P1777" s="1">
        <f>'[1]Electricity and CHPs_CAP'!L$40</f>
        <v>0</v>
      </c>
      <c r="Q1777" s="1">
        <f>'[1]Electricity and CHPs_CAP'!M$40</f>
        <v>0</v>
      </c>
      <c r="S1777" s="3"/>
    </row>
    <row r="1778" spans="2:19" x14ac:dyDescent="0.5">
      <c r="B1778" s="5" t="str">
        <f t="shared" si="1987"/>
        <v>SPS1</v>
      </c>
      <c r="C1778" s="5" t="str">
        <f t="shared" si="1987"/>
        <v>CH</v>
      </c>
      <c r="D1778" t="s">
        <v>1808</v>
      </c>
      <c r="E1778" t="str">
        <f t="shared" si="1979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2.9335632255962901E-4</v>
      </c>
      <c r="J1778" s="1">
        <f>'[1]Electricity and CHPs_CAP'!F$47</f>
        <v>5.0838623279452584E-4</v>
      </c>
      <c r="K1778" s="1">
        <f>'[1]Electricity and CHPs_CAP'!G$47</f>
        <v>6.3499254679651499E-4</v>
      </c>
      <c r="L1778" s="1">
        <f>'[1]Electricity and CHPs_CAP'!H$47</f>
        <v>7.7663172362733011E-4</v>
      </c>
      <c r="M1778" s="1">
        <f>'[1]Electricity and CHPs_CAP'!I$47</f>
        <v>1.3334158681135612E-3</v>
      </c>
      <c r="N1778" s="1">
        <f>'[1]Electricity and CHPs_CAP'!J$47</f>
        <v>1.1364289363808124E-3</v>
      </c>
      <c r="O1778" s="1">
        <f>'[1]Electricity and CHPs_CAP'!K$47</f>
        <v>1.7961333157442997E-3</v>
      </c>
      <c r="P1778" s="1">
        <f>'[1]Electricity and CHPs_CAP'!L$47</f>
        <v>1.6762640966732246E-3</v>
      </c>
      <c r="Q1778" s="1">
        <f>'[1]Electricity and CHPs_CAP'!M$47</f>
        <v>3.0685638153359479E-3</v>
      </c>
      <c r="S1778" s="3"/>
    </row>
    <row r="1779" spans="2:19" x14ac:dyDescent="0.5">
      <c r="B1779" s="5" t="str">
        <f t="shared" si="1987"/>
        <v>SPS1</v>
      </c>
      <c r="C1779" s="5" t="str">
        <f t="shared" si="1987"/>
        <v>CH</v>
      </c>
      <c r="D1779" t="s">
        <v>1809</v>
      </c>
      <c r="E1779" t="str">
        <f t="shared" si="1979"/>
        <v>GWe/yr.</v>
      </c>
      <c r="F1779" s="1">
        <f>'[1]Electricity and CHPs_CAP'!B$48</f>
        <v>4.173530974808333E-3</v>
      </c>
      <c r="G1779" s="1">
        <f>'[1]Electricity and CHPs_CAP'!C$48</f>
        <v>1.1465438107508392E-3</v>
      </c>
      <c r="H1779" s="1">
        <f>'[1]Electricity and CHPs_CAP'!D$48</f>
        <v>1.5172751922507624E-3</v>
      </c>
      <c r="I1779" s="1">
        <f>'[1]Electricity and CHPs_CAP'!E$48</f>
        <v>1.3483539100518191E-3</v>
      </c>
      <c r="J1779" s="1">
        <f>'[1]Electricity and CHPs_CAP'!F$48</f>
        <v>2.9944026345617956E-3</v>
      </c>
      <c r="K1779" s="1">
        <f>'[1]Electricity and CHPs_CAP'!G$48</f>
        <v>3.0410930254191966E-3</v>
      </c>
      <c r="L1779" s="1">
        <f>'[1]Electricity and CHPs_CAP'!H$48</f>
        <v>3.5050638925339926E-3</v>
      </c>
      <c r="M1779" s="1">
        <f>'[1]Electricity and CHPs_CAP'!I$48</f>
        <v>4.7891205092031267E-3</v>
      </c>
      <c r="N1779" s="1">
        <f>'[1]Electricity and CHPs_CAP'!J$48</f>
        <v>4.1359242839322432E-3</v>
      </c>
      <c r="O1779" s="1">
        <f>'[1]Electricity and CHPs_CAP'!K$48</f>
        <v>4.4963037864716561E-3</v>
      </c>
      <c r="P1779" s="1">
        <f>'[1]Electricity and CHPs_CAP'!L$48</f>
        <v>1.4985553497236001E-2</v>
      </c>
      <c r="Q1779" s="1">
        <f>'[1]Electricity and CHPs_CAP'!M$48</f>
        <v>1.4685170489480225E-2</v>
      </c>
      <c r="S1779" s="3"/>
    </row>
    <row r="1780" spans="2:19" x14ac:dyDescent="0.5">
      <c r="B1780" s="5" t="str">
        <f t="shared" si="1987"/>
        <v>SPS1</v>
      </c>
      <c r="C1780" s="5" t="str">
        <f t="shared" si="1987"/>
        <v>CH</v>
      </c>
      <c r="D1780" t="s">
        <v>1810</v>
      </c>
      <c r="E1780" t="str">
        <f t="shared" si="1979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6.5650491246075092E-5</v>
      </c>
      <c r="J1780" s="1">
        <f>'[1]Electricity and CHPs_CAP'!F$49</f>
        <v>2.3243959311265749E-4</v>
      </c>
      <c r="K1780" s="1">
        <f>'[1]Electricity and CHPs_CAP'!G$49</f>
        <v>2.3570003964712679E-4</v>
      </c>
      <c r="L1780" s="1">
        <f>'[1]Electricity and CHPs_CAP'!H$49</f>
        <v>2.4899452098594579E-4</v>
      </c>
      <c r="M1780" s="1">
        <f>'[1]Electricity and CHPs_CAP'!I$49</f>
        <v>5.9371407259955957E-4</v>
      </c>
      <c r="N1780" s="1">
        <f>'[1]Electricity and CHPs_CAP'!J$49</f>
        <v>4.8072965831260869E-4</v>
      </c>
      <c r="O1780" s="1">
        <f>'[1]Electricity and CHPs_CAP'!K$49</f>
        <v>7.6351192524167584E-4</v>
      </c>
      <c r="P1780" s="1">
        <f>'[1]Electricity and CHPs_CAP'!L$49</f>
        <v>7.3382795379324452E-4</v>
      </c>
      <c r="Q1780" s="1">
        <f>'[1]Electricity and CHPs_CAP'!M$49</f>
        <v>1.3382047534525783E-3</v>
      </c>
      <c r="S1780" s="3"/>
    </row>
    <row r="1781" spans="2:19" x14ac:dyDescent="0.5">
      <c r="B1781" s="5" t="str">
        <f t="shared" si="1987"/>
        <v>SPS1</v>
      </c>
      <c r="C1781" s="5" t="str">
        <f t="shared" si="1987"/>
        <v>CH</v>
      </c>
      <c r="D1781" t="s">
        <v>1811</v>
      </c>
      <c r="E1781" t="str">
        <f t="shared" si="1979"/>
        <v>GWe/yr.</v>
      </c>
      <c r="F1781" s="1">
        <f>'[1]Electricity and CHPs_CAP'!B$51</f>
        <v>8.5197203931046007E-3</v>
      </c>
      <c r="G1781" s="1">
        <f>'[1]Electricity and CHPs_CAP'!C$51</f>
        <v>7.4317462789798335E-3</v>
      </c>
      <c r="H1781" s="1">
        <f>'[1]Electricity and CHPs_CAP'!D$51</f>
        <v>9.348204158428736E-3</v>
      </c>
      <c r="I1781" s="1">
        <f>'[1]Electricity and CHPs_CAP'!E$51</f>
        <v>4.6498243537641676E-2</v>
      </c>
      <c r="J1781" s="1">
        <f>'[1]Electricity and CHPs_CAP'!F$51</f>
        <v>4.9711084651275182E-2</v>
      </c>
      <c r="K1781" s="1">
        <f>'[1]Electricity and CHPs_CAP'!G$51</f>
        <v>5.5728787194958204E-2</v>
      </c>
      <c r="L1781" s="1">
        <f>'[1]Electricity and CHPs_CAP'!H$51</f>
        <v>5.495602697027821E-2</v>
      </c>
      <c r="M1781" s="1">
        <f>'[1]Electricity and CHPs_CAP'!I$51</f>
        <v>5.3973303456278501E-2</v>
      </c>
      <c r="N1781" s="1">
        <f>'[1]Electricity and CHPs_CAP'!J$51</f>
        <v>5.2672253619562931E-2</v>
      </c>
      <c r="O1781" s="1">
        <f>'[1]Electricity and CHPs_CAP'!K$51</f>
        <v>5.10499368058136E-2</v>
      </c>
      <c r="P1781" s="1">
        <f>'[1]Electricity and CHPs_CAP'!L$51</f>
        <v>4.4725041607080254E-2</v>
      </c>
      <c r="Q1781" s="1">
        <f>'[1]Electricity and CHPs_CAP'!M$51</f>
        <v>4.0141198402265356E-2</v>
      </c>
      <c r="S1781" s="3"/>
    </row>
    <row r="1782" spans="2:19" x14ac:dyDescent="0.5">
      <c r="B1782" s="5" t="str">
        <f t="shared" si="1987"/>
        <v>SPS1</v>
      </c>
      <c r="C1782" s="5" t="str">
        <f t="shared" si="1987"/>
        <v>CH</v>
      </c>
      <c r="D1782" t="s">
        <v>1812</v>
      </c>
      <c r="E1782" t="str">
        <f t="shared" si="1979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2.7911671779536301E-4</v>
      </c>
      <c r="J1782" s="1">
        <f>'[1]Electricity and CHPs_CAP'!F$52</f>
        <v>1.0961586789124322E-3</v>
      </c>
      <c r="K1782" s="1">
        <f>'[1]Electricity and CHPs_CAP'!G$52</f>
        <v>1.1186856621852579E-3</v>
      </c>
      <c r="L1782" s="1">
        <f>'[1]Electricity and CHPs_CAP'!H$52</f>
        <v>1.2573980146771374E-3</v>
      </c>
      <c r="M1782" s="1">
        <f>'[1]Electricity and CHPs_CAP'!I$52</f>
        <v>3.3916905700202525E-3</v>
      </c>
      <c r="N1782" s="1">
        <f>'[1]Electricity and CHPs_CAP'!J$52</f>
        <v>2.9684284281980503E-3</v>
      </c>
      <c r="O1782" s="1">
        <f>'[1]Electricity and CHPs_CAP'!K$52</f>
        <v>5.7920468331538145E-3</v>
      </c>
      <c r="P1782" s="1">
        <f>'[1]Electricity and CHPs_CAP'!L$52</f>
        <v>5.627387599271492E-3</v>
      </c>
      <c r="Q1782" s="1">
        <f>'[1]Electricity and CHPs_CAP'!M$52</f>
        <v>1.0125277866949597E-2</v>
      </c>
      <c r="S1782" s="3"/>
    </row>
    <row r="1783" spans="2:19" x14ac:dyDescent="0.5">
      <c r="B1783" s="5" t="str">
        <f t="shared" si="1987"/>
        <v>SPS1</v>
      </c>
      <c r="C1783" s="5" t="str">
        <f t="shared" si="1987"/>
        <v>CH</v>
      </c>
      <c r="D1783" t="s">
        <v>1813</v>
      </c>
      <c r="E1783" t="str">
        <f t="shared" si="1979"/>
        <v>GWe/yr.</v>
      </c>
      <c r="F1783" s="1">
        <f>'[1]Electricity and CHPs_CAP'!B$54</f>
        <v>7.3512213214295172E-2</v>
      </c>
      <c r="G1783" s="1">
        <f>'[1]Electricity and CHPs_CAP'!C$54</f>
        <v>8.4758599087997252E-2</v>
      </c>
      <c r="H1783" s="1">
        <f>'[1]Electricity and CHPs_CAP'!D$54</f>
        <v>8.4758943290180327E-2</v>
      </c>
      <c r="I1783" s="1">
        <f>'[1]Electricity and CHPs_CAP'!E$54</f>
        <v>8.4760372681819504E-2</v>
      </c>
      <c r="J1783" s="1">
        <f>'[1]Electricity and CHPs_CAP'!F$54</f>
        <v>8.4760279157956031E-2</v>
      </c>
      <c r="K1783" s="1">
        <f>'[1]Electricity and CHPs_CAP'!G$54</f>
        <v>8.4759331428646084E-2</v>
      </c>
      <c r="L1783" s="1">
        <f>'[1]Electricity and CHPs_CAP'!H$54</f>
        <v>8.4759722593894735E-2</v>
      </c>
      <c r="M1783" s="1">
        <f>'[1]Electricity and CHPs_CAP'!I$54</f>
        <v>8.4762783226290689E-2</v>
      </c>
      <c r="N1783" s="1">
        <f>'[1]Electricity and CHPs_CAP'!J$54</f>
        <v>8.4761848671457599E-2</v>
      </c>
      <c r="O1783" s="1">
        <f>'[1]Electricity and CHPs_CAP'!K$54</f>
        <v>8.4765615574029729E-2</v>
      </c>
      <c r="P1783" s="1">
        <f>'[1]Electricity and CHPs_CAP'!L$54</f>
        <v>8.4767229246962325E-2</v>
      </c>
      <c r="Q1783" s="1">
        <f>'[1]Electricity and CHPs_CAP'!M$54</f>
        <v>8.75545258834413E-2</v>
      </c>
      <c r="S1783" s="3"/>
    </row>
    <row r="1784" spans="2:19" x14ac:dyDescent="0.5">
      <c r="B1784" s="5" t="str">
        <f t="shared" si="1987"/>
        <v>SPS1</v>
      </c>
      <c r="C1784" s="5" t="str">
        <f t="shared" si="1987"/>
        <v>CH</v>
      </c>
      <c r="D1784" t="s">
        <v>1814</v>
      </c>
      <c r="E1784" t="str">
        <f t="shared" si="1979"/>
        <v>GWe/yr.</v>
      </c>
      <c r="F1784" s="1">
        <f>'[1]Electricity and CHPs_CAP'!B$55</f>
        <v>6.5199342090216314E-2</v>
      </c>
      <c r="G1784" s="1">
        <f>'[1]Electricity and CHPs_CAP'!C$55</f>
        <v>4.7879924485640518E-2</v>
      </c>
      <c r="H1784" s="1">
        <f>'[1]Electricity and CHPs_CAP'!D$55</f>
        <v>3.9986688228537938E-2</v>
      </c>
      <c r="I1784" s="1">
        <f>'[1]Electricity and CHPs_CAP'!E$55</f>
        <v>0.15324622477518074</v>
      </c>
      <c r="J1784" s="1">
        <f>'[1]Electricity and CHPs_CAP'!F$55</f>
        <v>0.27785977299138837</v>
      </c>
      <c r="K1784" s="1">
        <f>'[1]Electricity and CHPs_CAP'!G$55</f>
        <v>0.27545631505721646</v>
      </c>
      <c r="L1784" s="1">
        <f>'[1]Electricity and CHPs_CAP'!H$55</f>
        <v>0.27746893762174268</v>
      </c>
      <c r="M1784" s="1">
        <f>'[1]Electricity and CHPs_CAP'!I$55</f>
        <v>0.20118577753177752</v>
      </c>
      <c r="N1784" s="1">
        <f>'[1]Electricity and CHPs_CAP'!J$55</f>
        <v>0.20108129931575536</v>
      </c>
      <c r="O1784" s="1">
        <f>'[1]Electricity and CHPs_CAP'!K$55</f>
        <v>0.20540699773196472</v>
      </c>
      <c r="P1784" s="1">
        <f>'[1]Electricity and CHPs_CAP'!L$55</f>
        <v>0.22356571933628819</v>
      </c>
      <c r="Q1784" s="1">
        <f>'[1]Electricity and CHPs_CAP'!M$55</f>
        <v>0.23649802659759964</v>
      </c>
      <c r="S1784" s="3"/>
    </row>
    <row r="1785" spans="2:19" x14ac:dyDescent="0.5">
      <c r="B1785" s="5" t="str">
        <f t="shared" ref="B1785:C1785" si="1988">B1784</f>
        <v>SPS1</v>
      </c>
      <c r="C1785" s="5" t="str">
        <f t="shared" si="1988"/>
        <v>CH</v>
      </c>
      <c r="D1785" t="s">
        <v>1815</v>
      </c>
      <c r="E1785" t="str">
        <f t="shared" si="1979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2.4550879096724702E-4</v>
      </c>
      <c r="J1785" s="1">
        <f>'[1]Electricity and CHPs_CAP'!F$58</f>
        <v>7.5169486332708616E-4</v>
      </c>
      <c r="K1785" s="1">
        <f>'[1]Electricity and CHPs_CAP'!G$58</f>
        <v>7.2919260824082352E-4</v>
      </c>
      <c r="L1785" s="1">
        <f>'[1]Electricity and CHPs_CAP'!H$58</f>
        <v>5.4267944398713472E-4</v>
      </c>
      <c r="M1785" s="1">
        <f>'[1]Electricity and CHPs_CAP'!I$58</f>
        <v>1.2834069094268005E-3</v>
      </c>
      <c r="N1785" s="1">
        <f>'[1]Electricity and CHPs_CAP'!J$58</f>
        <v>1.2946536158863152E-3</v>
      </c>
      <c r="O1785" s="1">
        <f>'[1]Electricity and CHPs_CAP'!K$58</f>
        <v>2.670915267515873E-3</v>
      </c>
      <c r="P1785" s="1">
        <f>'[1]Electricity and CHPs_CAP'!L$58</f>
        <v>2.0474677897790866E-3</v>
      </c>
      <c r="Q1785" s="1">
        <f>'[1]Electricity and CHPs_CAP'!M$58</f>
        <v>4.4139135100461392E-3</v>
      </c>
      <c r="S1785" s="3"/>
    </row>
    <row r="1786" spans="2:19" x14ac:dyDescent="0.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979"/>
        <v>GWe/yr.</v>
      </c>
      <c r="F1786" s="1">
        <f>SUM(F1787:F1792)</f>
        <v>0.430695499218399</v>
      </c>
      <c r="G1786" s="1">
        <f t="shared" ref="G1786:K1786" si="1989">SUM(G1787:G1792)</f>
        <v>0.39267183559394125</v>
      </c>
      <c r="H1786" s="1">
        <f t="shared" si="1989"/>
        <v>0.39215689134451537</v>
      </c>
      <c r="I1786" s="1">
        <f t="shared" si="1989"/>
        <v>0.36003044608272161</v>
      </c>
      <c r="J1786" s="1">
        <f t="shared" si="1989"/>
        <v>0.36281118600138612</v>
      </c>
      <c r="K1786" s="1">
        <f t="shared" si="1989"/>
        <v>0.36988875421240924</v>
      </c>
      <c r="L1786" s="1">
        <f t="shared" ref="L1786:O1786" si="1990">SUM(L1787:L1792)</f>
        <v>0.37674792538614393</v>
      </c>
      <c r="M1786" s="1">
        <f t="shared" si="1990"/>
        <v>0.3831830988402819</v>
      </c>
      <c r="N1786" s="1">
        <f t="shared" si="1990"/>
        <v>0.38317700606924909</v>
      </c>
      <c r="O1786" s="1">
        <f t="shared" si="1990"/>
        <v>0.38320295356769241</v>
      </c>
      <c r="P1786" s="1">
        <f>SUM(P1787:P1792)</f>
        <v>0.39073922454946147</v>
      </c>
      <c r="Q1786" s="1">
        <f>SUM(Q1787:Q1792)</f>
        <v>0.39505518266030709</v>
      </c>
      <c r="S1786" s="3"/>
    </row>
    <row r="1787" spans="2:19" x14ac:dyDescent="0.5">
      <c r="B1787" s="5" t="str">
        <f t="shared" ref="B1787:C1792" si="1991">B1786</f>
        <v>SPS1</v>
      </c>
      <c r="C1787" s="5" t="str">
        <f t="shared" si="1991"/>
        <v>CH</v>
      </c>
      <c r="D1787" t="s">
        <v>1817</v>
      </c>
      <c r="E1787" t="str">
        <f t="shared" si="1979"/>
        <v>GWe/yr.</v>
      </c>
      <c r="F1787" s="1">
        <f>'[1]Electricity and CHPs_CAP'!B$19</f>
        <v>0.30582980593205411</v>
      </c>
      <c r="G1787" s="1">
        <f>'[1]Electricity and CHPs_CAP'!C$19</f>
        <v>0.30582257320788042</v>
      </c>
      <c r="H1787" s="1">
        <f>'[1]Electricity and CHPs_CAP'!D$19</f>
        <v>0.30582026605086676</v>
      </c>
      <c r="I1787" s="1">
        <f>'[1]Electricity and CHPs_CAP'!E$19</f>
        <v>0.27599316078435493</v>
      </c>
      <c r="J1787" s="1">
        <f>'[1]Electricity and CHPs_CAP'!F$19</f>
        <v>0.27949030348622467</v>
      </c>
      <c r="K1787" s="1">
        <f>'[1]Electricity and CHPs_CAP'!G$19</f>
        <v>0.28606244916389251</v>
      </c>
      <c r="L1787" s="1">
        <f>'[1]Electricity and CHPs_CAP'!H$19</f>
        <v>0.29279348083188733</v>
      </c>
      <c r="M1787" s="1">
        <f>'[1]Electricity and CHPs_CAP'!I$19</f>
        <v>0.29969331235072549</v>
      </c>
      <c r="N1787" s="1">
        <f>'[1]Electricity and CHPs_CAP'!J$19</f>
        <v>0.29968908693363822</v>
      </c>
      <c r="O1787" s="1">
        <f>'[1]Electricity and CHPs_CAP'!K$19</f>
        <v>0.2997056310141773</v>
      </c>
      <c r="P1787" s="1">
        <f>'[1]Electricity and CHPs_CAP'!L$19</f>
        <v>0.30724872100363154</v>
      </c>
      <c r="Q1787" s="1">
        <f>'[1]Electricity and CHPs_CAP'!M$19</f>
        <v>0.31155324382310706</v>
      </c>
      <c r="S1787" s="3"/>
    </row>
    <row r="1788" spans="2:19" x14ac:dyDescent="0.5">
      <c r="B1788" s="5" t="str">
        <f t="shared" si="1991"/>
        <v>SPS1</v>
      </c>
      <c r="C1788" s="5" t="str">
        <f t="shared" si="1991"/>
        <v>CH</v>
      </c>
      <c r="D1788" t="s">
        <v>1818</v>
      </c>
      <c r="E1788" t="str">
        <f t="shared" si="1979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'[1]Electricity and CHPs_CAP'!F$20</f>
        <v>0</v>
      </c>
      <c r="K1788" s="1">
        <f>'[1]Electricity and CHPs_CAP'!G$20</f>
        <v>0</v>
      </c>
      <c r="L1788" s="1">
        <f>'[1]Electricity and CHPs_CAP'!H$20</f>
        <v>0</v>
      </c>
      <c r="M1788" s="1">
        <f>'[1]Electricity and CHPs_CAP'!I$20</f>
        <v>0</v>
      </c>
      <c r="N1788" s="1">
        <f>'[1]Electricity and CHPs_CAP'!J$20</f>
        <v>0</v>
      </c>
      <c r="O1788" s="1">
        <f>'[1]Electricity and CHPs_CAP'!K$20</f>
        <v>0</v>
      </c>
      <c r="P1788" s="1">
        <f>'[1]Electricity and CHPs_CAP'!L$20</f>
        <v>0</v>
      </c>
      <c r="Q1788" s="1">
        <f>'[1]Electricity and CHPs_CAP'!M$20</f>
        <v>0</v>
      </c>
      <c r="S1788" s="3"/>
    </row>
    <row r="1789" spans="2:19" x14ac:dyDescent="0.5">
      <c r="B1789" s="5" t="str">
        <f t="shared" si="1991"/>
        <v>SPS1</v>
      </c>
      <c r="C1789" s="5" t="str">
        <f t="shared" si="1991"/>
        <v>CH</v>
      </c>
      <c r="D1789" t="s">
        <v>1819</v>
      </c>
      <c r="E1789" t="str">
        <f t="shared" si="1979"/>
        <v>GWe/yr.</v>
      </c>
      <c r="F1789" s="1">
        <f>'[1]Electricity and CHPs_CAP'!B$26</f>
        <v>7.7673334258151192E-2</v>
      </c>
      <c r="G1789" s="1">
        <f>'[1]Electricity and CHPs_CAP'!C$26</f>
        <v>7.1002636611785935E-2</v>
      </c>
      <c r="H1789" s="1">
        <f>'[1]Electricity and CHPs_CAP'!D$26</f>
        <v>7.0492497757216027E-2</v>
      </c>
      <c r="I1789" s="1">
        <f>'[1]Electricity and CHPs_CAP'!E$26</f>
        <v>7.049039001674301E-2</v>
      </c>
      <c r="J1789" s="1">
        <f>'[1]Electricity and CHPs_CAP'!F$26</f>
        <v>6.9926611140336686E-2</v>
      </c>
      <c r="K1789" s="1">
        <f>'[1]Electricity and CHPs_CAP'!G$26</f>
        <v>7.0079803312795244E-2</v>
      </c>
      <c r="L1789" s="1">
        <f>'[1]Electricity and CHPs_CAP'!H$26</f>
        <v>7.0202461804874522E-2</v>
      </c>
      <c r="M1789" s="1">
        <f>'[1]Electricity and CHPs_CAP'!I$26</f>
        <v>7.0293492143286687E-2</v>
      </c>
      <c r="N1789" s="1">
        <f>'[1]Electricity and CHPs_CAP'!J$26</f>
        <v>7.0294834325183284E-2</v>
      </c>
      <c r="O1789" s="1">
        <f>'[1]Electricity and CHPs_CAP'!K$26</f>
        <v>7.0299899567728599E-2</v>
      </c>
      <c r="P1789" s="1">
        <f>'[1]Electricity and CHPs_CAP'!L$26</f>
        <v>7.0294443613947113E-2</v>
      </c>
      <c r="Q1789" s="1">
        <f>'[1]Electricity and CHPs_CAP'!M$26</f>
        <v>7.0296217334626862E-2</v>
      </c>
      <c r="S1789" s="3"/>
    </row>
    <row r="1790" spans="2:19" x14ac:dyDescent="0.5">
      <c r="B1790" s="5" t="str">
        <f t="shared" si="1991"/>
        <v>SPS1</v>
      </c>
      <c r="C1790" s="5" t="str">
        <f t="shared" si="1991"/>
        <v>CH</v>
      </c>
      <c r="D1790" t="s">
        <v>1820</v>
      </c>
      <c r="E1790" t="str">
        <f t="shared" si="1979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'[1]Electricity and CHPs_CAP'!F$27</f>
        <v>0</v>
      </c>
      <c r="K1790" s="1">
        <f>'[1]Electricity and CHPs_CAP'!G$27</f>
        <v>0</v>
      </c>
      <c r="L1790" s="1">
        <f>'[1]Electricity and CHPs_CAP'!H$27</f>
        <v>0</v>
      </c>
      <c r="M1790" s="1">
        <f>'[1]Electricity and CHPs_CAP'!I$27</f>
        <v>0</v>
      </c>
      <c r="N1790" s="1">
        <f>'[1]Electricity and CHPs_CAP'!J$27</f>
        <v>0</v>
      </c>
      <c r="O1790" s="1">
        <f>'[1]Electricity and CHPs_CAP'!K$27</f>
        <v>0</v>
      </c>
      <c r="P1790" s="1">
        <f>'[1]Electricity and CHPs_CAP'!L$27</f>
        <v>0</v>
      </c>
      <c r="Q1790" s="1">
        <f>'[1]Electricity and CHPs_CAP'!M$27</f>
        <v>0</v>
      </c>
      <c r="S1790" s="3"/>
    </row>
    <row r="1791" spans="2:19" x14ac:dyDescent="0.5">
      <c r="B1791" s="5" t="str">
        <f t="shared" si="1991"/>
        <v>SPS1</v>
      </c>
      <c r="C1791" s="5" t="str">
        <f t="shared" si="1991"/>
        <v>CH</v>
      </c>
      <c r="D1791" t="s">
        <v>1821</v>
      </c>
      <c r="E1791" t="str">
        <f t="shared" si="1979"/>
        <v>GWe/yr.</v>
      </c>
      <c r="F1791" s="1">
        <f>'[1]Electricity and CHPs_CAP'!B$44</f>
        <v>4.719235902819368E-2</v>
      </c>
      <c r="G1791" s="1">
        <f>'[1]Electricity and CHPs_CAP'!C$44</f>
        <v>1.5846625774274897E-2</v>
      </c>
      <c r="H1791" s="1">
        <f>'[1]Electricity and CHPs_CAP'!D$44</f>
        <v>1.5844127536432578E-2</v>
      </c>
      <c r="I1791" s="1">
        <f>'[1]Electricity and CHPs_CAP'!E$44</f>
        <v>1.3546895281623696E-2</v>
      </c>
      <c r="J1791" s="1">
        <f>'[1]Electricity and CHPs_CAP'!F$44</f>
        <v>1.3394271374824789E-2</v>
      </c>
      <c r="K1791" s="1">
        <f>'[1]Electricity and CHPs_CAP'!G$44</f>
        <v>1.3746501735721518E-2</v>
      </c>
      <c r="L1791" s="1">
        <f>'[1]Electricity and CHPs_CAP'!H$44</f>
        <v>1.3751982749382084E-2</v>
      </c>
      <c r="M1791" s="1">
        <f>'[1]Electricity and CHPs_CAP'!I$44</f>
        <v>1.3196294346269743E-2</v>
      </c>
      <c r="N1791" s="1">
        <f>'[1]Electricity and CHPs_CAP'!J$44</f>
        <v>1.3193084810427561E-2</v>
      </c>
      <c r="O1791" s="1">
        <f>'[1]Electricity and CHPs_CAP'!K$44</f>
        <v>1.3197422985786505E-2</v>
      </c>
      <c r="P1791" s="1">
        <f>'[1]Electricity and CHPs_CAP'!L$44</f>
        <v>1.319605993188285E-2</v>
      </c>
      <c r="Q1791" s="1">
        <f>'[1]Electricity and CHPs_CAP'!M$44</f>
        <v>1.3205721502573131E-2</v>
      </c>
      <c r="S1791" s="3"/>
    </row>
    <row r="1792" spans="2:19" x14ac:dyDescent="0.5">
      <c r="B1792" s="5" t="str">
        <f t="shared" si="1991"/>
        <v>SPS1</v>
      </c>
      <c r="C1792" s="5" t="str">
        <f t="shared" si="1991"/>
        <v>CH</v>
      </c>
      <c r="D1792" t="s">
        <v>1822</v>
      </c>
      <c r="E1792" t="str">
        <f t="shared" si="1979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'[1]Electricity and CHPs_CAP'!F$45</f>
        <v>0</v>
      </c>
      <c r="K1792" s="1">
        <f>'[1]Electricity and CHPs_CAP'!G$45</f>
        <v>0</v>
      </c>
      <c r="L1792" s="1">
        <f>'[1]Electricity and CHPs_CAP'!H$45</f>
        <v>0</v>
      </c>
      <c r="M1792" s="1">
        <f>'[1]Electricity and CHPs_CAP'!I$45</f>
        <v>0</v>
      </c>
      <c r="N1792" s="1">
        <f>'[1]Electricity and CHPs_CAP'!J$45</f>
        <v>0</v>
      </c>
      <c r="O1792" s="1">
        <f>'[1]Electricity and CHPs_CAP'!K$45</f>
        <v>0</v>
      </c>
      <c r="P1792" s="1">
        <f>'[1]Electricity and CHPs_CAP'!L$45</f>
        <v>0</v>
      </c>
      <c r="Q1792" s="1">
        <f>'[1]Electricity and CHPs_CAP'!M$45</f>
        <v>0</v>
      </c>
      <c r="S1792" s="3"/>
    </row>
    <row r="1793" spans="2:19" x14ac:dyDescent="0.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979"/>
        <v>GWe/yr.</v>
      </c>
      <c r="F1793" s="1">
        <f>SUM(F1794:F1800)</f>
        <v>2.2775896198795664E-2</v>
      </c>
      <c r="G1793" s="1">
        <f t="shared" ref="G1793:K1793" si="1992">SUM(G1794:G1800)</f>
        <v>2.9289938244311486E-2</v>
      </c>
      <c r="H1793" s="1">
        <f t="shared" si="1992"/>
        <v>6.8431585858940353E-2</v>
      </c>
      <c r="I1793" s="1">
        <f t="shared" si="1992"/>
        <v>0.11439526685995609</v>
      </c>
      <c r="J1793" s="1">
        <f t="shared" si="1992"/>
        <v>0.1447067561227299</v>
      </c>
      <c r="K1793" s="1">
        <f t="shared" si="1992"/>
        <v>0.17383182312741846</v>
      </c>
      <c r="L1793" s="1">
        <f t="shared" ref="L1793:O1793" si="1993">SUM(L1794:L1800)</f>
        <v>0.20709613951894862</v>
      </c>
      <c r="M1793" s="1">
        <f t="shared" si="1993"/>
        <v>0.24374063013906788</v>
      </c>
      <c r="N1793" s="1">
        <f t="shared" si="1993"/>
        <v>0.24583753663331184</v>
      </c>
      <c r="O1793" s="1">
        <f t="shared" si="1993"/>
        <v>0.24593804836685543</v>
      </c>
      <c r="P1793" s="1">
        <f>SUM(P1794:P1800)</f>
        <v>0.2436911009306425</v>
      </c>
      <c r="Q1793" s="1">
        <f>SUM(Q1794:Q1800)</f>
        <v>0.24636166629806111</v>
      </c>
      <c r="S1793" s="3"/>
    </row>
    <row r="1794" spans="2:19" x14ac:dyDescent="0.5">
      <c r="B1794" s="5" t="str">
        <f t="shared" ref="B1794:C1804" si="1994">B1793</f>
        <v>SPS1</v>
      </c>
      <c r="C1794" s="5" t="str">
        <f t="shared" si="1994"/>
        <v>CH</v>
      </c>
      <c r="D1794" t="s">
        <v>1824</v>
      </c>
      <c r="E1794" t="str">
        <f t="shared" si="1979"/>
        <v>GWe/yr.</v>
      </c>
      <c r="F1794" s="1">
        <f>'[1]Electricity and CHPs_CAP'!B$25</f>
        <v>1.5199249052816603E-2</v>
      </c>
      <c r="G1794" s="1">
        <f>'[1]Electricity and CHPs_CAP'!C$25</f>
        <v>1.001769283256234E-2</v>
      </c>
      <c r="H1794" s="1">
        <f>'[1]Electricity and CHPs_CAP'!D$25</f>
        <v>2.5600119159644802E-2</v>
      </c>
      <c r="I1794" s="1">
        <f>'[1]Electricity and CHPs_CAP'!E$25</f>
        <v>3.9755040988744293E-2</v>
      </c>
      <c r="J1794" s="1">
        <f>'[1]Electricity and CHPs_CAP'!F$25</f>
        <v>4.6662566571181535E-2</v>
      </c>
      <c r="K1794" s="1">
        <f>'[1]Electricity and CHPs_CAP'!G$25</f>
        <v>4.8076798476502633E-2</v>
      </c>
      <c r="L1794" s="1">
        <f>'[1]Electricity and CHPs_CAP'!H$25</f>
        <v>2.9017510079660736E-2</v>
      </c>
      <c r="M1794" s="1">
        <f>'[1]Electricity and CHPs_CAP'!I$25</f>
        <v>1.767494682067039E-2</v>
      </c>
      <c r="N1794" s="1">
        <f>'[1]Electricity and CHPs_CAP'!J$25</f>
        <v>1.0976892184349897E-2</v>
      </c>
      <c r="O1794" s="1">
        <f>'[1]Electricity and CHPs_CAP'!K$25</f>
        <v>1.339609605353124E-2</v>
      </c>
      <c r="P1794" s="1">
        <f>'[1]Electricity and CHPs_CAP'!L$25</f>
        <v>1.3413115132724227E-2</v>
      </c>
      <c r="Q1794" s="1">
        <f>'[1]Electricity and CHPs_CAP'!M$25</f>
        <v>1.1912723064815535E-2</v>
      </c>
      <c r="S1794" s="3"/>
    </row>
    <row r="1795" spans="2:19" x14ac:dyDescent="0.5">
      <c r="B1795" s="5" t="str">
        <f t="shared" si="1994"/>
        <v>SPS1</v>
      </c>
      <c r="C1795" s="5" t="str">
        <f t="shared" si="1994"/>
        <v>CH</v>
      </c>
      <c r="D1795" t="s">
        <v>1825</v>
      </c>
      <c r="E1795" t="str">
        <f t="shared" si="1979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'[1]Electricity and CHPs_CAP'!F$31</f>
        <v>0</v>
      </c>
      <c r="K1795" s="1">
        <f>'[1]Electricity and CHPs_CAP'!G$31</f>
        <v>0</v>
      </c>
      <c r="L1795" s="1">
        <f>'[1]Electricity and CHPs_CAP'!H$31</f>
        <v>0</v>
      </c>
      <c r="M1795" s="1">
        <f>'[1]Electricity and CHPs_CAP'!I$31</f>
        <v>0</v>
      </c>
      <c r="N1795" s="1">
        <f>'[1]Electricity and CHPs_CAP'!J$31</f>
        <v>0</v>
      </c>
      <c r="O1795" s="1">
        <f>'[1]Electricity and CHPs_CAP'!K$31</f>
        <v>0</v>
      </c>
      <c r="P1795" s="1">
        <f>'[1]Electricity and CHPs_CAP'!L$31</f>
        <v>0</v>
      </c>
      <c r="Q1795" s="1">
        <f>'[1]Electricity and CHPs_CAP'!M$31</f>
        <v>0</v>
      </c>
      <c r="S1795" s="3"/>
    </row>
    <row r="1796" spans="2:19" x14ac:dyDescent="0.5">
      <c r="B1796" s="5" t="str">
        <f t="shared" si="1994"/>
        <v>SPS1</v>
      </c>
      <c r="C1796" s="5" t="str">
        <f t="shared" si="1994"/>
        <v>CH</v>
      </c>
      <c r="D1796" t="s">
        <v>1826</v>
      </c>
      <c r="E1796" t="str">
        <f t="shared" si="1979"/>
        <v>GWe/yr.</v>
      </c>
      <c r="F1796" s="1">
        <f>'[1]Electricity and CHPs_CAP'!B$42</f>
        <v>7.5766471459790602E-3</v>
      </c>
      <c r="G1796" s="1">
        <f>'[1]Electricity and CHPs_CAP'!C$42</f>
        <v>1.9272245411749146E-2</v>
      </c>
      <c r="H1796" s="1">
        <f>'[1]Electricity and CHPs_CAP'!D$42</f>
        <v>4.2831466699295544E-2</v>
      </c>
      <c r="I1796" s="1">
        <f>'[1]Electricity and CHPs_CAP'!E$42</f>
        <v>7.2945518633062881E-2</v>
      </c>
      <c r="J1796" s="1">
        <f>'[1]Electricity and CHPs_CAP'!F$42</f>
        <v>9.5832598728844698E-2</v>
      </c>
      <c r="K1796" s="1">
        <f>'[1]Electricity and CHPs_CAP'!G$42</f>
        <v>0.12369434208911037</v>
      </c>
      <c r="L1796" s="1">
        <f>'[1]Electricity and CHPs_CAP'!H$42</f>
        <v>0.17563544479856752</v>
      </c>
      <c r="M1796" s="1">
        <f>'[1]Electricity and CHPs_CAP'!I$42</f>
        <v>0.22122472920710368</v>
      </c>
      <c r="N1796" s="1">
        <f>'[1]Electricity and CHPs_CAP'!J$42</f>
        <v>0.23037532042967387</v>
      </c>
      <c r="O1796" s="1">
        <f>'[1]Electricity and CHPs_CAP'!K$42</f>
        <v>0.22753362792318105</v>
      </c>
      <c r="P1796" s="1">
        <f>'[1]Electricity and CHPs_CAP'!L$42</f>
        <v>0.22565589122532803</v>
      </c>
      <c r="Q1796" s="1">
        <f>'[1]Electricity and CHPs_CAP'!M$42</f>
        <v>0.22609233075269497</v>
      </c>
      <c r="S1796" s="3"/>
    </row>
    <row r="1797" spans="2:19" x14ac:dyDescent="0.5">
      <c r="B1797" s="5" t="str">
        <f t="shared" si="1994"/>
        <v>SPS1</v>
      </c>
      <c r="C1797" s="5" t="str">
        <f t="shared" si="1994"/>
        <v>CH</v>
      </c>
      <c r="D1797" t="s">
        <v>1827</v>
      </c>
      <c r="E1797" t="str">
        <f t="shared" si="1979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'[1]Electricity and CHPs_CAP'!F$43</f>
        <v>0</v>
      </c>
      <c r="K1797" s="1">
        <f>'[1]Electricity and CHPs_CAP'!G$43</f>
        <v>0</v>
      </c>
      <c r="L1797" s="1">
        <f>'[1]Electricity and CHPs_CAP'!H$43</f>
        <v>0</v>
      </c>
      <c r="M1797" s="1">
        <f>'[1]Electricity and CHPs_CAP'!I$43</f>
        <v>0</v>
      </c>
      <c r="N1797" s="1">
        <f>'[1]Electricity and CHPs_CAP'!J$43</f>
        <v>0</v>
      </c>
      <c r="O1797" s="1">
        <f>'[1]Electricity and CHPs_CAP'!K$43</f>
        <v>0</v>
      </c>
      <c r="P1797" s="1">
        <f>'[1]Electricity and CHPs_CAP'!L$43</f>
        <v>0</v>
      </c>
      <c r="Q1797" s="1">
        <f>'[1]Electricity and CHPs_CAP'!M$43</f>
        <v>0</v>
      </c>
      <c r="S1797" s="3"/>
    </row>
    <row r="1798" spans="2:19" x14ac:dyDescent="0.5">
      <c r="B1798" s="5" t="str">
        <f t="shared" si="1994"/>
        <v>SPS1</v>
      </c>
      <c r="C1798" s="5" t="str">
        <f t="shared" si="1994"/>
        <v>CH</v>
      </c>
      <c r="D1798" t="s">
        <v>1828</v>
      </c>
      <c r="E1798" t="str">
        <f t="shared" si="1979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3.3100313979261901E-4</v>
      </c>
      <c r="J1798" s="1">
        <f>'[1]Electricity and CHPs_CAP'!F$50</f>
        <v>6.4166630647741348E-4</v>
      </c>
      <c r="K1798" s="1">
        <f>'[1]Electricity and CHPs_CAP'!G$50</f>
        <v>6.5139116943784307E-4</v>
      </c>
      <c r="L1798" s="1">
        <f>'[1]Electricity and CHPs_CAP'!H$50</f>
        <v>7.0221322674707243E-4</v>
      </c>
      <c r="M1798" s="1">
        <f>'[1]Electricity and CHPs_CAP'!I$50</f>
        <v>1.4084200426147029E-3</v>
      </c>
      <c r="N1798" s="1">
        <f>'[1]Electricity and CHPs_CAP'!J$50</f>
        <v>1.3108335446169414E-3</v>
      </c>
      <c r="O1798" s="1">
        <f>'[1]Electricity and CHPs_CAP'!K$50</f>
        <v>1.6783570879813101E-3</v>
      </c>
      <c r="P1798" s="1">
        <f>'[1]Electricity and CHPs_CAP'!L$50</f>
        <v>1.2281495403644693E-3</v>
      </c>
      <c r="Q1798" s="1">
        <f>'[1]Electricity and CHPs_CAP'!M$50</f>
        <v>2.1256425070298743E-3</v>
      </c>
      <c r="S1798" s="3"/>
    </row>
    <row r="1799" spans="2:19" x14ac:dyDescent="0.5">
      <c r="B1799" s="5" t="str">
        <f t="shared" si="1994"/>
        <v>SPS1</v>
      </c>
      <c r="C1799" s="5" t="str">
        <f t="shared" si="1994"/>
        <v>CH</v>
      </c>
      <c r="D1799" t="s">
        <v>1829</v>
      </c>
      <c r="E1799" t="str">
        <f t="shared" si="1979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7.1590704840973098E-4</v>
      </c>
      <c r="J1799" s="1">
        <f>'[1]Electricity and CHPs_CAP'!F$53</f>
        <v>9.1373028056336786E-4</v>
      </c>
      <c r="K1799" s="1">
        <f>'[1]Electricity and CHPs_CAP'!G$53</f>
        <v>8.4141176809904923E-4</v>
      </c>
      <c r="L1799" s="1">
        <f>'[1]Electricity and CHPs_CAP'!H$53</f>
        <v>1.0184886204255767E-3</v>
      </c>
      <c r="M1799" s="1">
        <f>'[1]Electricity and CHPs_CAP'!I$53</f>
        <v>2.2343838941220199E-3</v>
      </c>
      <c r="N1799" s="1">
        <f>'[1]Electricity and CHPs_CAP'!J$53</f>
        <v>2.0908474155394586E-3</v>
      </c>
      <c r="O1799" s="1">
        <f>'[1]Electricity and CHPs_CAP'!K$53</f>
        <v>1.8808724129693918E-3</v>
      </c>
      <c r="P1799" s="1">
        <f>'[1]Electricity and CHPs_CAP'!L$53</f>
        <v>1.9922922121207399E-3</v>
      </c>
      <c r="Q1799" s="1">
        <f>'[1]Electricity and CHPs_CAP'!M$53</f>
        <v>3.412366932498764E-3</v>
      </c>
      <c r="S1799" s="3"/>
    </row>
    <row r="1800" spans="2:19" x14ac:dyDescent="0.5">
      <c r="B1800" s="5" t="str">
        <f t="shared" si="1994"/>
        <v>SPS1</v>
      </c>
      <c r="C1800" s="5" t="str">
        <f t="shared" si="1994"/>
        <v>CH</v>
      </c>
      <c r="D1800" t="s">
        <v>1830</v>
      </c>
      <c r="E1800" t="str">
        <f t="shared" si="1979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6.4779704994657105E-4</v>
      </c>
      <c r="J1800" s="1">
        <f>'[1]Electricity and CHPs_CAP'!F$56</f>
        <v>6.5619423566288583E-4</v>
      </c>
      <c r="K1800" s="1">
        <f>'[1]Electricity and CHPs_CAP'!G$56</f>
        <v>5.6787962426858591E-4</v>
      </c>
      <c r="L1800" s="1">
        <f>'[1]Electricity and CHPs_CAP'!H$56</f>
        <v>7.2248279354770063E-4</v>
      </c>
      <c r="M1800" s="1">
        <f>'[1]Electricity and CHPs_CAP'!I$56</f>
        <v>1.1981501745570676E-3</v>
      </c>
      <c r="N1800" s="1">
        <f>'[1]Electricity and CHPs_CAP'!J$56</f>
        <v>1.0836430591316664E-3</v>
      </c>
      <c r="O1800" s="1">
        <f>'[1]Electricity and CHPs_CAP'!K$56</f>
        <v>1.4490948891924418E-3</v>
      </c>
      <c r="P1800" s="1">
        <f>'[1]Electricity and CHPs_CAP'!L$56</f>
        <v>1.4016528201050492E-3</v>
      </c>
      <c r="Q1800" s="1">
        <f>'[1]Electricity and CHPs_CAP'!M$56</f>
        <v>2.8186030410219617E-3</v>
      </c>
      <c r="S1800" s="3"/>
    </row>
    <row r="1801" spans="2:19" x14ac:dyDescent="0.5">
      <c r="B1801" s="5" t="str">
        <f t="shared" si="1994"/>
        <v>SPS1</v>
      </c>
      <c r="C1801" s="5" t="str">
        <f t="shared" si="1994"/>
        <v>CH</v>
      </c>
      <c r="D1801" t="s">
        <v>1831</v>
      </c>
      <c r="E1801" t="str">
        <f t="shared" si="1979"/>
        <v>GWe/yr.</v>
      </c>
      <c r="F1801" s="1">
        <f>F1802</f>
        <v>8.7120000000000003E-2</v>
      </c>
      <c r="G1801" s="1">
        <f t="shared" ref="G1801:O1801" si="1995">G1802</f>
        <v>9.0660168813007175E-2</v>
      </c>
      <c r="H1801" s="1">
        <f t="shared" si="1995"/>
        <v>8.3656086306936162E-2</v>
      </c>
      <c r="I1801" s="1">
        <f t="shared" si="1995"/>
        <v>9.3752742984720305E-2</v>
      </c>
      <c r="J1801" s="1">
        <f t="shared" si="1995"/>
        <v>9.4126354824491706E-2</v>
      </c>
      <c r="K1801" s="1">
        <f t="shared" si="1995"/>
        <v>9.4553622384446243E-2</v>
      </c>
      <c r="L1801" s="1">
        <f t="shared" si="1995"/>
        <v>9.6492457738756601E-2</v>
      </c>
      <c r="M1801" s="1">
        <f t="shared" si="1995"/>
        <v>9.6505860007096503E-2</v>
      </c>
      <c r="N1801" s="1">
        <f t="shared" si="1995"/>
        <v>9.6799201363548595E-2</v>
      </c>
      <c r="O1801" s="1">
        <f t="shared" si="1995"/>
        <v>9.6823512196883704E-2</v>
      </c>
      <c r="P1801" s="1">
        <f>P1802</f>
        <v>9.7173328279395704E-2</v>
      </c>
      <c r="Q1801" s="1">
        <f>Q1802</f>
        <v>9.9235632139883803E-2</v>
      </c>
      <c r="S1801" s="3"/>
    </row>
    <row r="1802" spans="2:19" x14ac:dyDescent="0.5">
      <c r="B1802" s="5" t="str">
        <f t="shared" si="1994"/>
        <v>SPS1</v>
      </c>
      <c r="C1802" s="5" t="str">
        <f t="shared" si="1994"/>
        <v>CH</v>
      </c>
      <c r="D1802" t="s">
        <v>1832</v>
      </c>
      <c r="E1802" t="str">
        <f t="shared" si="1979"/>
        <v>GWe/yr.</v>
      </c>
      <c r="F1802" s="1">
        <f>'[1]Electricity and CHPs_CAP'!B$33</f>
        <v>8.7120000000000003E-2</v>
      </c>
      <c r="G1802" s="1">
        <f>'[1]Electricity and CHPs_CAP'!C$33</f>
        <v>9.0660168813007175E-2</v>
      </c>
      <c r="H1802" s="1">
        <f>'[1]Electricity and CHPs_CAP'!D$33</f>
        <v>8.3656086306936162E-2</v>
      </c>
      <c r="I1802" s="1">
        <f>'[1]Electricity and CHPs_CAP'!E$33</f>
        <v>9.3752742984720305E-2</v>
      </c>
      <c r="J1802" s="1">
        <f>'[1]Electricity and CHPs_CAP'!F$33</f>
        <v>9.4126354824491706E-2</v>
      </c>
      <c r="K1802" s="1">
        <f>'[1]Electricity and CHPs_CAP'!G$33</f>
        <v>9.4553622384446243E-2</v>
      </c>
      <c r="L1802" s="1">
        <f>'[1]Electricity and CHPs_CAP'!H$33</f>
        <v>9.6492457738756601E-2</v>
      </c>
      <c r="M1802" s="1">
        <f>'[1]Electricity and CHPs_CAP'!I$33</f>
        <v>9.6505860007096503E-2</v>
      </c>
      <c r="N1802" s="1">
        <f>'[1]Electricity and CHPs_CAP'!J$33</f>
        <v>9.6799201363548595E-2</v>
      </c>
      <c r="O1802" s="1">
        <f>'[1]Electricity and CHPs_CAP'!K$33</f>
        <v>9.6823512196883704E-2</v>
      </c>
      <c r="P1802" s="1">
        <f>'[1]Electricity and CHPs_CAP'!L$33</f>
        <v>9.7173328279395704E-2</v>
      </c>
      <c r="Q1802" s="1">
        <f>'[1]Electricity and CHPs_CAP'!M$33</f>
        <v>9.9235632139883803E-2</v>
      </c>
      <c r="S1802" s="3"/>
    </row>
    <row r="1803" spans="2:19" x14ac:dyDescent="0.5">
      <c r="B1803" s="5" t="str">
        <f t="shared" si="1994"/>
        <v>SPS1</v>
      </c>
      <c r="C1803" s="5" t="str">
        <f t="shared" si="1994"/>
        <v>CH</v>
      </c>
      <c r="D1803" t="s">
        <v>1833</v>
      </c>
      <c r="E1803" t="str">
        <f t="shared" si="1979"/>
        <v>GWe/yr.</v>
      </c>
      <c r="F1803" s="1">
        <f>SUM(F1804:F1808)</f>
        <v>2.9746549999999998</v>
      </c>
      <c r="G1803" s="1">
        <f t="shared" ref="G1803:K1803" si="1996">SUM(G1804:G1808)</f>
        <v>4.3709351849174158</v>
      </c>
      <c r="H1803" s="1">
        <f t="shared" si="1996"/>
        <v>8.5975510229915937</v>
      </c>
      <c r="I1803" s="1">
        <f t="shared" si="1996"/>
        <v>12.525768417730456</v>
      </c>
      <c r="J1803" s="1">
        <f t="shared" si="1996"/>
        <v>13.332775857344503</v>
      </c>
      <c r="K1803" s="1">
        <f t="shared" si="1996"/>
        <v>14.002095408650975</v>
      </c>
      <c r="L1803" s="1">
        <f t="shared" ref="L1803:O1803" si="1997">SUM(L1804:L1808)</f>
        <v>14.659712774356548</v>
      </c>
      <c r="M1803" s="1">
        <f t="shared" si="1997"/>
        <v>15.37342196574129</v>
      </c>
      <c r="N1803" s="1">
        <f t="shared" si="1997"/>
        <v>16.03018179505127</v>
      </c>
      <c r="O1803" s="1">
        <f t="shared" si="1997"/>
        <v>16.834964588173044</v>
      </c>
      <c r="P1803" s="1">
        <f>SUM(P1804:P1808)</f>
        <v>17.691640305961471</v>
      </c>
      <c r="Q1803" s="1">
        <f>SUM(Q1804:Q1808)</f>
        <v>18.9257744371453</v>
      </c>
      <c r="S1803" s="3"/>
    </row>
    <row r="1804" spans="2:19" x14ac:dyDescent="0.5">
      <c r="B1804" s="5" t="str">
        <f t="shared" si="1994"/>
        <v>SPS1</v>
      </c>
      <c r="C1804" s="5" t="str">
        <f t="shared" si="1994"/>
        <v>CH</v>
      </c>
      <c r="D1804" t="s">
        <v>1834</v>
      </c>
      <c r="E1804" t="str">
        <f t="shared" si="1979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4.4924586395967601E-2</v>
      </c>
      <c r="I1804" s="1">
        <f>'[1]Electricity and CHPs_CAP'!E$34</f>
        <v>6.8878453844383972E-2</v>
      </c>
      <c r="J1804" s="1">
        <f>'[1]Electricity and CHPs_CAP'!F$34</f>
        <v>0.24044281757491121</v>
      </c>
      <c r="K1804" s="1">
        <f>'[1]Electricity and CHPs_CAP'!G$34</f>
        <v>0.24192171598891629</v>
      </c>
      <c r="L1804" s="1">
        <f>'[1]Electricity and CHPs_CAP'!H$34</f>
        <v>0.19764565274556103</v>
      </c>
      <c r="M1804" s="1">
        <f>'[1]Electricity and CHPs_CAP'!I$34</f>
        <v>0.17364286772063797</v>
      </c>
      <c r="N1804" s="1">
        <f>'[1]Electricity and CHPs_CAP'!J$34</f>
        <v>5.5055934552734352E-2</v>
      </c>
      <c r="O1804" s="1">
        <f>'[1]Electricity and CHPs_CAP'!K$34</f>
        <v>4.4936360329277204E-2</v>
      </c>
      <c r="P1804" s="1">
        <f>'[1]Electricity and CHPs_CAP'!L$34</f>
        <v>4.5132231269192004E-2</v>
      </c>
      <c r="Q1804" s="1">
        <f>'[1]Electricity and CHPs_CAP'!M$34</f>
        <v>0.37893002496481537</v>
      </c>
      <c r="S1804" s="3"/>
    </row>
    <row r="1805" spans="2:19" x14ac:dyDescent="0.5">
      <c r="B1805" s="5" t="str">
        <f t="shared" ref="B1805:C1820" si="1998">B1804</f>
        <v>SPS1</v>
      </c>
      <c r="C1805" s="5" t="str">
        <f t="shared" si="1998"/>
        <v>CH</v>
      </c>
      <c r="D1805" t="s">
        <v>1835</v>
      </c>
      <c r="E1805" t="str">
        <f t="shared" si="1979"/>
        <v>GWe/yr.</v>
      </c>
      <c r="F1805" s="1">
        <f>'[1]Electricity and CHPs_CAP'!B$35</f>
        <v>1.1186210000000001</v>
      </c>
      <c r="G1805" s="1">
        <f>'[1]Electricity and CHPs_CAP'!C$35</f>
        <v>1.6529271450303167</v>
      </c>
      <c r="H1805" s="1">
        <f>'[1]Electricity and CHPs_CAP'!D$35</f>
        <v>3.5611880842541197</v>
      </c>
      <c r="I1805" s="1">
        <f>'[1]Electricity and CHPs_CAP'!E$35</f>
        <v>3.4922775400233901</v>
      </c>
      <c r="J1805" s="1">
        <f>'[1]Electricity and CHPs_CAP'!F$35</f>
        <v>3.67042442842205</v>
      </c>
      <c r="K1805" s="1">
        <f>'[1]Electricity and CHPs_CAP'!G$35</f>
        <v>3.8576531355455113</v>
      </c>
      <c r="L1805" s="1">
        <f>'[1]Electricity and CHPs_CAP'!H$35</f>
        <v>4.0544306078415602</v>
      </c>
      <c r="M1805" s="1">
        <f>'[1]Electricity and CHPs_CAP'!I$35</f>
        <v>4.2612487805227799</v>
      </c>
      <c r="N1805" s="1">
        <f>'[1]Electricity and CHPs_CAP'!J$35</f>
        <v>4.47861719233976</v>
      </c>
      <c r="O1805" s="1">
        <f>'[1]Electricity and CHPs_CAP'!K$35</f>
        <v>4.7070751271814597</v>
      </c>
      <c r="P1805" s="1">
        <f>'[1]Electricity and CHPs_CAP'!L$35</f>
        <v>4.9471919547743797</v>
      </c>
      <c r="Q1805" s="1">
        <f>'[1]Electricity and CHPs_CAP'!M$35</f>
        <v>5.1995829936981197</v>
      </c>
      <c r="S1805" s="3"/>
    </row>
    <row r="1806" spans="2:19" x14ac:dyDescent="0.5">
      <c r="B1806" s="5" t="str">
        <f t="shared" si="1998"/>
        <v>SPS1</v>
      </c>
      <c r="C1806" s="5" t="str">
        <f t="shared" si="1998"/>
        <v>CH</v>
      </c>
      <c r="D1806" t="s">
        <v>1836</v>
      </c>
      <c r="E1806" t="str">
        <f t="shared" si="1979"/>
        <v>GWe/yr.</v>
      </c>
      <c r="F1806" s="1">
        <f>'[1]Electricity and CHPs_CAP'!B$36</f>
        <v>0.67885700000000004</v>
      </c>
      <c r="G1806" s="1">
        <f>'[1]Electricity and CHPs_CAP'!C$36</f>
        <v>1.1559284973369641</v>
      </c>
      <c r="H1806" s="1">
        <f>'[1]Electricity and CHPs_CAP'!D$36</f>
        <v>2.0812138077984015</v>
      </c>
      <c r="I1806" s="1">
        <f>'[1]Electricity and CHPs_CAP'!E$36</f>
        <v>4.6799994517753731</v>
      </c>
      <c r="J1806" s="1">
        <f>'[1]Electricity and CHPs_CAP'!F$36</f>
        <v>4.9187289706718715</v>
      </c>
      <c r="K1806" s="1">
        <f>'[1]Electricity and CHPs_CAP'!G$36</f>
        <v>5.1696335814356527</v>
      </c>
      <c r="L1806" s="1">
        <f>'[1]Electricity and CHPs_CAP'!H$36</f>
        <v>5.4333332560847154</v>
      </c>
      <c r="M1806" s="1">
        <f>'[1]Electricity and CHPs_CAP'!I$36</f>
        <v>5.7104886820953729</v>
      </c>
      <c r="N1806" s="1">
        <f>'[1]Electricity and CHPs_CAP'!J$36</f>
        <v>6.0017823377777679</v>
      </c>
      <c r="O1806" s="1">
        <f>'[1]Electricity and CHPs_CAP'!K$36</f>
        <v>6.3079364467637173</v>
      </c>
      <c r="P1806" s="1">
        <f>'[1]Electricity and CHPs_CAP'!L$36</f>
        <v>6.6297097275717594</v>
      </c>
      <c r="Q1806" s="1">
        <f>'[1]Electricity and CHPs_CAP'!M$36</f>
        <v>6.967975542794175</v>
      </c>
      <c r="S1806" s="3"/>
    </row>
    <row r="1807" spans="2:19" x14ac:dyDescent="0.5">
      <c r="B1807" s="5" t="str">
        <f t="shared" si="1998"/>
        <v>SPS1</v>
      </c>
      <c r="C1807" s="5" t="str">
        <f t="shared" si="1998"/>
        <v>CH</v>
      </c>
      <c r="D1807" t="s">
        <v>1837</v>
      </c>
      <c r="E1807" t="str">
        <f t="shared" si="1979"/>
        <v>GWe/yr.</v>
      </c>
      <c r="F1807" s="1">
        <f>'[1]Electricity and CHPs_CAP'!B$37</f>
        <v>0.27424799999999999</v>
      </c>
      <c r="G1807" s="1">
        <f>'[1]Electricity and CHPs_CAP'!C$37</f>
        <v>0.43897819343059552</v>
      </c>
      <c r="H1807" s="1">
        <f>'[1]Electricity and CHPs_CAP'!D$37</f>
        <v>1.734984321361269</v>
      </c>
      <c r="I1807" s="1">
        <f>'[1]Electricity and CHPs_CAP'!E$37</f>
        <v>3.1938607204368417</v>
      </c>
      <c r="J1807" s="1">
        <f>'[1]Electricity and CHPs_CAP'!F$37</f>
        <v>3.3567836470163019</v>
      </c>
      <c r="K1807" s="1">
        <f>'[1]Electricity and CHPs_CAP'!G$37</f>
        <v>3.5280133101949742</v>
      </c>
      <c r="L1807" s="1">
        <f>'[1]Electricity and CHPs_CAP'!H$37</f>
        <v>3.7079718288783701</v>
      </c>
      <c r="M1807" s="1">
        <f>'[1]Electricity and CHPs_CAP'!I$37</f>
        <v>3.8971146664357104</v>
      </c>
      <c r="N1807" s="1">
        <f>'[1]Electricity and CHPs_CAP'!J$37</f>
        <v>4.0959078944501703</v>
      </c>
      <c r="O1807" s="1">
        <f>'[1]Electricity and CHPs_CAP'!K$37</f>
        <v>4.3048425384964899</v>
      </c>
      <c r="P1807" s="1">
        <f>'[1]Electricity and CHPs_CAP'!L$37</f>
        <v>4.5244359824105</v>
      </c>
      <c r="Q1807" s="1">
        <f>'[1]Electricity and CHPs_CAP'!M$37</f>
        <v>4.7552603152076198</v>
      </c>
      <c r="S1807" s="3"/>
    </row>
    <row r="1808" spans="2:19" x14ac:dyDescent="0.5">
      <c r="B1808" s="5" t="str">
        <f t="shared" si="1998"/>
        <v>SPS1</v>
      </c>
      <c r="C1808" s="5" t="str">
        <f t="shared" si="1998"/>
        <v>CH</v>
      </c>
      <c r="D1808" t="s">
        <v>1838</v>
      </c>
      <c r="E1808" t="str">
        <f t="shared" si="1979"/>
        <v>GWe/yr.</v>
      </c>
      <c r="F1808" s="1">
        <f>'[1]Electricity and CHPs_CAP'!B$38</f>
        <v>0.90292899999999998</v>
      </c>
      <c r="G1808" s="1">
        <f>'[1]Electricity and CHPs_CAP'!C$38</f>
        <v>1.1231013491195396</v>
      </c>
      <c r="H1808" s="1">
        <f>'[1]Electricity and CHPs_CAP'!D$38</f>
        <v>1.1752402231818369</v>
      </c>
      <c r="I1808" s="1">
        <f>'[1]Electricity and CHPs_CAP'!E$38</f>
        <v>1.0907522516504657</v>
      </c>
      <c r="J1808" s="1">
        <f>'[1]Electricity and CHPs_CAP'!F$38</f>
        <v>1.146395993659368</v>
      </c>
      <c r="K1808" s="1">
        <f>'[1]Electricity and CHPs_CAP'!G$38</f>
        <v>1.2048736654859211</v>
      </c>
      <c r="L1808" s="1">
        <f>'[1]Electricity and CHPs_CAP'!H$38</f>
        <v>1.2663314288063401</v>
      </c>
      <c r="M1808" s="1">
        <f>'[1]Electricity and CHPs_CAP'!I$38</f>
        <v>1.33092696896679</v>
      </c>
      <c r="N1808" s="1">
        <f>'[1]Electricity and CHPs_CAP'!J$38</f>
        <v>1.39881843593084</v>
      </c>
      <c r="O1808" s="1">
        <f>'[1]Electricity and CHPs_CAP'!K$38</f>
        <v>1.4701741154021</v>
      </c>
      <c r="P1808" s="1">
        <f>'[1]Electricity and CHPs_CAP'!L$38</f>
        <v>1.54517040993564</v>
      </c>
      <c r="Q1808" s="1">
        <f>'[1]Electricity and CHPs_CAP'!M$38</f>
        <v>1.62402556048057</v>
      </c>
      <c r="S1808" s="3"/>
    </row>
    <row r="1809" spans="2:19" x14ac:dyDescent="0.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979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'[1]Electricity and CHPs_CAP'!F$32</f>
        <v>0</v>
      </c>
      <c r="K1809" s="1">
        <f>'[1]Electricity and CHPs_CAP'!G$32</f>
        <v>0</v>
      </c>
      <c r="L1809" s="1">
        <f>'[1]Electricity and CHPs_CAP'!H$32</f>
        <v>5.9548418239373875E-4</v>
      </c>
      <c r="M1809" s="1">
        <f>'[1]Electricity and CHPs_CAP'!I$32</f>
        <v>9.9937977977947222E-4</v>
      </c>
      <c r="N1809" s="1">
        <f>'[1]Electricity and CHPs_CAP'!J$32</f>
        <v>1.0420161918626002E-3</v>
      </c>
      <c r="O1809" s="1">
        <f>'[1]Electricity and CHPs_CAP'!K$32</f>
        <v>1.1555595214064688E-3</v>
      </c>
      <c r="P1809" s="1">
        <f>'[1]Electricity and CHPs_CAP'!L$32</f>
        <v>1.3520462627432928E-3</v>
      </c>
      <c r="Q1809" s="1">
        <f>'[1]Electricity and CHPs_CAP'!M$32</f>
        <v>2.39908468625242E-3</v>
      </c>
      <c r="S1809" s="3"/>
    </row>
    <row r="1810" spans="2:19" x14ac:dyDescent="0.5">
      <c r="B1810" s="5" t="str">
        <f t="shared" ref="B1810:C1810" si="1999">B1809</f>
        <v>SPS1</v>
      </c>
      <c r="C1810" s="5" t="str">
        <f t="shared" si="1999"/>
        <v>CH</v>
      </c>
      <c r="D1810" t="s">
        <v>1840</v>
      </c>
      <c r="E1810" t="str">
        <f t="shared" si="1979"/>
        <v>GWe/yr.</v>
      </c>
      <c r="F1810" s="1">
        <f>F1809</f>
        <v>0</v>
      </c>
      <c r="G1810" s="1">
        <f t="shared" ref="G1810:K1810" si="2000">G1809</f>
        <v>0</v>
      </c>
      <c r="H1810" s="1">
        <f t="shared" si="2000"/>
        <v>0</v>
      </c>
      <c r="I1810" s="1">
        <f t="shared" si="2000"/>
        <v>0</v>
      </c>
      <c r="J1810" s="1">
        <f t="shared" si="2000"/>
        <v>0</v>
      </c>
      <c r="K1810" s="1">
        <f t="shared" si="2000"/>
        <v>0</v>
      </c>
      <c r="L1810" s="1">
        <f t="shared" ref="L1810:O1810" si="2001">L1809</f>
        <v>5.9548418239373875E-4</v>
      </c>
      <c r="M1810" s="1">
        <f t="shared" si="2001"/>
        <v>9.9937977977947222E-4</v>
      </c>
      <c r="N1810" s="1">
        <f t="shared" si="2001"/>
        <v>1.0420161918626002E-3</v>
      </c>
      <c r="O1810" s="1">
        <f t="shared" si="2001"/>
        <v>1.1555595214064688E-3</v>
      </c>
      <c r="P1810" s="1">
        <f>P1809</f>
        <v>1.3520462627432928E-3</v>
      </c>
      <c r="Q1810" s="1">
        <f>Q1809</f>
        <v>2.39908468625242E-3</v>
      </c>
      <c r="S1810" s="3"/>
    </row>
    <row r="1811" spans="2:19" x14ac:dyDescent="0.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979"/>
        <v>GWe/yr.</v>
      </c>
      <c r="F1811" s="1">
        <f t="shared" ref="F1811:K1811" si="2002">SUM(F1812:F1814)</f>
        <v>0</v>
      </c>
      <c r="G1811" s="1">
        <f t="shared" si="2002"/>
        <v>0</v>
      </c>
      <c r="H1811" s="1">
        <f t="shared" si="2002"/>
        <v>0</v>
      </c>
      <c r="I1811" s="1">
        <f t="shared" si="2002"/>
        <v>6.2489815084505306E-4</v>
      </c>
      <c r="J1811" s="1">
        <f t="shared" si="2002"/>
        <v>1.5450710530515103E-3</v>
      </c>
      <c r="K1811" s="1">
        <f t="shared" si="2002"/>
        <v>2.3828474036007158E-3</v>
      </c>
      <c r="L1811" s="1">
        <f t="shared" ref="L1811:O1811" si="2003">SUM(L1812:L1814)</f>
        <v>2.5008561672505373E-3</v>
      </c>
      <c r="M1811" s="1">
        <f t="shared" si="2003"/>
        <v>5.8658895716232791E-3</v>
      </c>
      <c r="N1811" s="1">
        <f t="shared" si="2003"/>
        <v>5.3257723192922865E-3</v>
      </c>
      <c r="O1811" s="1">
        <f t="shared" si="2003"/>
        <v>1.3899793284310466E-2</v>
      </c>
      <c r="P1811" s="1">
        <f>SUM(P1812:P1814)</f>
        <v>1.2729593706650142E-2</v>
      </c>
      <c r="Q1811" s="1">
        <f>SUM(Q1812:Q1814)</f>
        <v>1.9337568276113232E-2</v>
      </c>
      <c r="S1811" s="3"/>
    </row>
    <row r="1812" spans="2:19" x14ac:dyDescent="0.5">
      <c r="B1812" s="5" t="str">
        <f t="shared" si="1998"/>
        <v>SPS1</v>
      </c>
      <c r="C1812" s="5" t="str">
        <f t="shared" si="1998"/>
        <v>CH</v>
      </c>
      <c r="D1812" t="s">
        <v>1842</v>
      </c>
      <c r="E1812" t="str">
        <f t="shared" si="1979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'[1]Electricity and CHPs_CAP'!F$30</f>
        <v>0</v>
      </c>
      <c r="K1812" s="1">
        <f>'[1]Electricity and CHPs_CAP'!G$30</f>
        <v>4.3414320538198101E-4</v>
      </c>
      <c r="L1812" s="1">
        <f>'[1]Electricity and CHPs_CAP'!H$30</f>
        <v>5.0379502297528088E-4</v>
      </c>
      <c r="M1812" s="1">
        <f>'[1]Electricity and CHPs_CAP'!I$30</f>
        <v>1.0082752324391631E-3</v>
      </c>
      <c r="N1812" s="1">
        <f>'[1]Electricity and CHPs_CAP'!J$30</f>
        <v>9.6557513488723732E-4</v>
      </c>
      <c r="O1812" s="1">
        <f>'[1]Electricity and CHPs_CAP'!K$30</f>
        <v>3.323433733113466E-3</v>
      </c>
      <c r="P1812" s="1">
        <f>'[1]Electricity and CHPs_CAP'!L$30</f>
        <v>3.4075592021176157E-3</v>
      </c>
      <c r="Q1812" s="1">
        <f>'[1]Electricity and CHPs_CAP'!M$30</f>
        <v>4.6925283175232747E-3</v>
      </c>
      <c r="S1812" s="3"/>
    </row>
    <row r="1813" spans="2:19" x14ac:dyDescent="0.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979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4.0850687433292902E-4</v>
      </c>
      <c r="J1813" s="1">
        <f>'[1]Electricity and CHPs_CAP'!F$46</f>
        <v>1.018571578634625E-3</v>
      </c>
      <c r="K1813" s="1">
        <f>'[1]Electricity and CHPs_CAP'!G$46</f>
        <v>1.3708964601804722E-3</v>
      </c>
      <c r="L1813" s="1">
        <f>'[1]Electricity and CHPs_CAP'!H$46</f>
        <v>1.3474128733181405E-3</v>
      </c>
      <c r="M1813" s="1">
        <f>'[1]Electricity and CHPs_CAP'!I$46</f>
        <v>3.0160144302315227E-3</v>
      </c>
      <c r="N1813" s="1">
        <f>'[1]Electricity and CHPs_CAP'!J$46</f>
        <v>2.6199485582907179E-3</v>
      </c>
      <c r="O1813" s="1">
        <f>'[1]Electricity and CHPs_CAP'!K$46</f>
        <v>6.6768964801249666E-3</v>
      </c>
      <c r="P1813" s="1">
        <f>'[1]Electricity and CHPs_CAP'!L$46</f>
        <v>6.3235419345316086E-3</v>
      </c>
      <c r="Q1813" s="1">
        <f>'[1]Electricity and CHPs_CAP'!M$46</f>
        <v>9.2113882178345291E-3</v>
      </c>
      <c r="S1813" s="3"/>
    </row>
    <row r="1814" spans="2:19" x14ac:dyDescent="0.5">
      <c r="B1814" s="5" t="str">
        <f t="shared" si="1998"/>
        <v>SPS1</v>
      </c>
      <c r="C1814" s="5" t="str">
        <f t="shared" si="1998"/>
        <v>CH</v>
      </c>
      <c r="D1814" t="s">
        <v>1844</v>
      </c>
      <c r="E1814" t="str">
        <f t="shared" si="1979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2.1639127651212401E-4</v>
      </c>
      <c r="J1814" s="1">
        <f>'[1]Electricity and CHPs_CAP'!F$57</f>
        <v>5.2649947441688527E-4</v>
      </c>
      <c r="K1814" s="1">
        <f>'[1]Electricity and CHPs_CAP'!G$57</f>
        <v>5.7780773803826273E-4</v>
      </c>
      <c r="L1814" s="1">
        <f>'[1]Electricity and CHPs_CAP'!H$57</f>
        <v>6.4964827095711553E-4</v>
      </c>
      <c r="M1814" s="1">
        <f>'[1]Electricity and CHPs_CAP'!I$57</f>
        <v>1.8415999089525929E-3</v>
      </c>
      <c r="N1814" s="1">
        <f>'[1]Electricity and CHPs_CAP'!J$57</f>
        <v>1.7402486261143316E-3</v>
      </c>
      <c r="O1814" s="1">
        <f>'[1]Electricity and CHPs_CAP'!K$57</f>
        <v>3.8994630710720338E-3</v>
      </c>
      <c r="P1814" s="1">
        <f>'[1]Electricity and CHPs_CAP'!L$57</f>
        <v>2.9984925700009173E-3</v>
      </c>
      <c r="Q1814" s="1">
        <f>'[1]Electricity and CHPs_CAP'!M$57</f>
        <v>5.4336517407554286E-3</v>
      </c>
      <c r="S1814" s="3"/>
    </row>
    <row r="1815" spans="2:19" x14ac:dyDescent="0.5">
      <c r="B1815" s="5" t="str">
        <f t="shared" si="1998"/>
        <v>SPS1</v>
      </c>
      <c r="C1815" s="5" t="str">
        <f t="shared" si="1998"/>
        <v>CH</v>
      </c>
      <c r="D1815" t="s">
        <v>1845</v>
      </c>
      <c r="E1815" t="str">
        <f t="shared" si="1979"/>
        <v>GWe/yr.</v>
      </c>
      <c r="F1815" s="1">
        <f>SUM(F1816:F1822)</f>
        <v>0.10950855400325168</v>
      </c>
      <c r="G1815" s="1">
        <f t="shared" ref="G1815:K1815" si="2004">SUM(G1816:G1822)</f>
        <v>0.10930329003928171</v>
      </c>
      <c r="H1815" s="1">
        <f t="shared" si="2004"/>
        <v>0.10932430247301902</v>
      </c>
      <c r="I1815" s="1">
        <f t="shared" si="2004"/>
        <v>0.23648036408290565</v>
      </c>
      <c r="J1815" s="1">
        <f t="shared" si="2004"/>
        <v>0.25078825566495144</v>
      </c>
      <c r="K1815" s="1">
        <f t="shared" si="2004"/>
        <v>0.31241593509790799</v>
      </c>
      <c r="L1815" s="1">
        <f t="shared" ref="L1815:O1815" si="2005">SUM(L1816:L1822)</f>
        <v>0.44508188865215736</v>
      </c>
      <c r="M1815" s="1">
        <f t="shared" si="2005"/>
        <v>0.49250043301086205</v>
      </c>
      <c r="N1815" s="1">
        <f t="shared" si="2005"/>
        <v>0.58531798558035386</v>
      </c>
      <c r="O1815" s="1">
        <f t="shared" si="2005"/>
        <v>0.64406790925018109</v>
      </c>
      <c r="P1815" s="1">
        <f>SUM(P1816:P1822)</f>
        <v>0.69977398084834275</v>
      </c>
      <c r="Q1815" s="1">
        <f>SUM(Q1816:Q1822)</f>
        <v>0.79642841269403708</v>
      </c>
      <c r="S1815" s="3"/>
    </row>
    <row r="1816" spans="2:19" x14ac:dyDescent="0.5">
      <c r="B1816" s="5" t="str">
        <f t="shared" si="1998"/>
        <v>SPS1</v>
      </c>
      <c r="C1816" s="5" t="str">
        <f t="shared" si="1998"/>
        <v>CH</v>
      </c>
      <c r="D1816" t="s">
        <v>1846</v>
      </c>
      <c r="E1816" t="str">
        <f t="shared" si="1979"/>
        <v>GWe/yr.</v>
      </c>
      <c r="F1816" s="1">
        <f>'[1]Electricity and CHPs_CAP'!B$63</f>
        <v>0.1</v>
      </c>
      <c r="G1816" s="1">
        <f>'[1]Electricity and CHPs_CAP'!C$63</f>
        <v>9.9785989953073584E-2</v>
      </c>
      <c r="H1816" s="1">
        <f>'[1]Electricity and CHPs_CAP'!D$63</f>
        <v>9.9771082629381586E-2</v>
      </c>
      <c r="I1816" s="1">
        <f>'[1]Electricity and CHPs_CAP'!E$63</f>
        <v>9.9762133942009085E-2</v>
      </c>
      <c r="J1816" s="1">
        <f>'[1]Electricity and CHPs_CAP'!F$63</f>
        <v>9.9766198855957638E-2</v>
      </c>
      <c r="K1816" s="1">
        <f>'[1]Electricity and CHPs_CAP'!G$63</f>
        <v>9.9771399742855593E-2</v>
      </c>
      <c r="L1816" s="1">
        <f>'[1]Electricity and CHPs_CAP'!H$63</f>
        <v>9.977867974098821E-2</v>
      </c>
      <c r="M1816" s="1">
        <f>'[1]Electricity and CHPs_CAP'!I$63</f>
        <v>9.9785424623433122E-2</v>
      </c>
      <c r="N1816" s="1">
        <f>'[1]Electricity and CHPs_CAP'!J$63</f>
        <v>9.9785827597478394E-2</v>
      </c>
      <c r="O1816" s="1">
        <f>'[1]Electricity and CHPs_CAP'!K$63</f>
        <v>9.9802350485822894E-2</v>
      </c>
      <c r="P1816" s="1">
        <f>'[1]Electricity and CHPs_CAP'!L$63</f>
        <v>9.9809045392880838E-2</v>
      </c>
      <c r="Q1816" s="1">
        <f>'[1]Electricity and CHPs_CAP'!M$63</f>
        <v>9.98566900172108E-2</v>
      </c>
      <c r="S1816" s="3"/>
    </row>
    <row r="1817" spans="2:19" x14ac:dyDescent="0.5">
      <c r="B1817" s="5" t="str">
        <f t="shared" si="1998"/>
        <v>SPS1</v>
      </c>
      <c r="C1817" s="5" t="str">
        <f t="shared" si="1998"/>
        <v>CH</v>
      </c>
      <c r="D1817" t="s">
        <v>1847</v>
      </c>
      <c r="E1817" t="str">
        <f t="shared" si="1979"/>
        <v>GWe/yr.</v>
      </c>
      <c r="F1817" s="1">
        <f>'[1]Electricity and CHPs_CAP'!B$64</f>
        <v>1.5822023627908E-3</v>
      </c>
      <c r="G1817" s="1">
        <f>'[1]Electricity and CHPs_CAP'!C$64</f>
        <v>1.5835396780094803E-3</v>
      </c>
      <c r="H1817" s="1">
        <f>'[1]Electricity and CHPs_CAP'!D$64</f>
        <v>1.5917347178358238E-3</v>
      </c>
      <c r="I1817" s="1">
        <f>'[1]Electricity and CHPs_CAP'!E$64</f>
        <v>1.4285959531380313E-3</v>
      </c>
      <c r="J1817" s="1">
        <f>'[1]Electricity and CHPs_CAP'!F$64</f>
        <v>3.4266744214558557E-3</v>
      </c>
      <c r="K1817" s="1">
        <f>'[1]Electricity and CHPs_CAP'!G$64</f>
        <v>4.4596334448078173E-2</v>
      </c>
      <c r="L1817" s="1">
        <f>'[1]Electricity and CHPs_CAP'!H$64</f>
        <v>6.842983976953719E-2</v>
      </c>
      <c r="M1817" s="1">
        <f>'[1]Electricity and CHPs_CAP'!I$64</f>
        <v>6.8514462900468878E-2</v>
      </c>
      <c r="N1817" s="1">
        <f>'[1]Electricity and CHPs_CAP'!J$64</f>
        <v>6.8601715588394258E-2</v>
      </c>
      <c r="O1817" s="1">
        <f>'[1]Electricity and CHPs_CAP'!K$64</f>
        <v>6.8760135336349837E-2</v>
      </c>
      <c r="P1817" s="1">
        <f>'[1]Electricity and CHPs_CAP'!L$64</f>
        <v>6.905180478498732E-2</v>
      </c>
      <c r="Q1817" s="1">
        <f>'[1]Electricity and CHPs_CAP'!M$64</f>
        <v>7.6221378373858242E-2</v>
      </c>
      <c r="S1817" s="3"/>
    </row>
    <row r="1818" spans="2:19" x14ac:dyDescent="0.5">
      <c r="B1818" s="5" t="str">
        <f t="shared" si="1998"/>
        <v>SPS1</v>
      </c>
      <c r="C1818" s="5" t="str">
        <f t="shared" si="1998"/>
        <v>CH</v>
      </c>
      <c r="D1818" t="s">
        <v>1848</v>
      </c>
      <c r="E1818" t="str">
        <f t="shared" si="1979"/>
        <v>GWe/yr.</v>
      </c>
      <c r="F1818" s="1">
        <f>'[1]Electricity and CHPs_CAP'!B$65</f>
        <v>1.1803926187773401E-3</v>
      </c>
      <c r="G1818" s="1">
        <f>'[1]Electricity and CHPs_CAP'!C$65</f>
        <v>1.1815137476461641E-3</v>
      </c>
      <c r="H1818" s="1">
        <f>'[1]Electricity and CHPs_CAP'!D$65</f>
        <v>1.1881210366162559E-3</v>
      </c>
      <c r="I1818" s="1">
        <f>'[1]Electricity and CHPs_CAP'!E$65</f>
        <v>1.1049591389882935E-3</v>
      </c>
      <c r="J1818" s="1">
        <f>'[1]Electricity and CHPs_CAP'!F$65</f>
        <v>2.7370749343032272E-3</v>
      </c>
      <c r="K1818" s="1">
        <f>'[1]Electricity and CHPs_CAP'!G$65</f>
        <v>1.2158177415815907E-2</v>
      </c>
      <c r="L1818" s="1">
        <f>'[1]Electricity and CHPs_CAP'!H$65</f>
        <v>0.10883989592618018</v>
      </c>
      <c r="M1818" s="1">
        <f>'[1]Electricity and CHPs_CAP'!I$65</f>
        <v>0.14107016982842197</v>
      </c>
      <c r="N1818" s="1">
        <f>'[1]Electricity and CHPs_CAP'!J$65</f>
        <v>0.22639626452413775</v>
      </c>
      <c r="O1818" s="1">
        <f>'[1]Electricity and CHPs_CAP'!K$65</f>
        <v>0.27408376937248502</v>
      </c>
      <c r="P1818" s="1">
        <f>'[1]Electricity and CHPs_CAP'!L$65</f>
        <v>0.3194330436724066</v>
      </c>
      <c r="Q1818" s="1">
        <f>'[1]Electricity and CHPs_CAP'!M$65</f>
        <v>0.396274439926315</v>
      </c>
      <c r="S1818" s="3"/>
    </row>
    <row r="1819" spans="2:19" x14ac:dyDescent="0.5">
      <c r="B1819" s="5" t="str">
        <f t="shared" si="1998"/>
        <v>SPS1</v>
      </c>
      <c r="C1819" s="5" t="str">
        <f t="shared" si="1998"/>
        <v>CH</v>
      </c>
      <c r="D1819" t="s">
        <v>1849</v>
      </c>
      <c r="E1819" t="str">
        <f t="shared" si="1979"/>
        <v>GWe/yr.</v>
      </c>
      <c r="F1819" s="1">
        <f>'[1]Electricity and CHPs_CAP'!B$66</f>
        <v>1.1219065562315779E-3</v>
      </c>
      <c r="G1819" s="1">
        <f>'[1]Electricity and CHPs_CAP'!C$66</f>
        <v>1.1229404523863083E-3</v>
      </c>
      <c r="H1819" s="1">
        <f>'[1]Electricity and CHPs_CAP'!D$66</f>
        <v>1.1265298103404818E-3</v>
      </c>
      <c r="I1819" s="1">
        <f>'[1]Electricity and CHPs_CAP'!E$66</f>
        <v>2.6542974983508404E-2</v>
      </c>
      <c r="J1819" s="1">
        <f>'[1]Electricity and CHPs_CAP'!F$66</f>
        <v>2.6785774232084787E-2</v>
      </c>
      <c r="K1819" s="1">
        <f>'[1]Electricity and CHPs_CAP'!G$66</f>
        <v>2.8437035395330976E-2</v>
      </c>
      <c r="L1819" s="1">
        <f>'[1]Electricity and CHPs_CAP'!H$66</f>
        <v>2.9985891353444333E-2</v>
      </c>
      <c r="M1819" s="1">
        <f>'[1]Electricity and CHPs_CAP'!I$66</f>
        <v>3.5933786261703661E-2</v>
      </c>
      <c r="N1819" s="1">
        <f>'[1]Electricity and CHPs_CAP'!J$66</f>
        <v>3.5609186600199558E-2</v>
      </c>
      <c r="O1819" s="1">
        <f>'[1]Electricity and CHPs_CAP'!K$66</f>
        <v>4.208600977072207E-2</v>
      </c>
      <c r="P1819" s="1">
        <f>'[1]Electricity and CHPs_CAP'!L$66</f>
        <v>5.2710831832550584E-2</v>
      </c>
      <c r="Q1819" s="1">
        <f>'[1]Electricity and CHPs_CAP'!M$66</f>
        <v>5.022596399650818E-2</v>
      </c>
      <c r="S1819" s="3"/>
    </row>
    <row r="1820" spans="2:19" x14ac:dyDescent="0.5">
      <c r="B1820" s="5" t="str">
        <f t="shared" si="1998"/>
        <v>SPS1</v>
      </c>
      <c r="C1820" s="5" t="str">
        <f t="shared" si="1998"/>
        <v>CH</v>
      </c>
      <c r="D1820" t="s">
        <v>1855</v>
      </c>
      <c r="E1820" t="str">
        <f t="shared" si="1979"/>
        <v>GWe/yr.</v>
      </c>
      <c r="F1820" s="1">
        <f>'[1]Electricity and CHPs_CAP'!B$67</f>
        <v>2.249976808376809E-3</v>
      </c>
      <c r="G1820" s="1">
        <f>'[1]Electricity and CHPs_CAP'!C$67</f>
        <v>2.2520902616115848E-3</v>
      </c>
      <c r="H1820" s="1">
        <f>'[1]Electricity and CHPs_CAP'!D$67</f>
        <v>2.2591177807618711E-3</v>
      </c>
      <c r="I1820" s="1">
        <f>'[1]Electricity and CHPs_CAP'!E$67</f>
        <v>4.1117917302128729E-2</v>
      </c>
      <c r="J1820" s="1">
        <f>'[1]Electricity and CHPs_CAP'!F$67</f>
        <v>4.4187569322819552E-2</v>
      </c>
      <c r="K1820" s="1">
        <f>'[1]Electricity and CHPs_CAP'!G$67</f>
        <v>4.5706800728093286E-2</v>
      </c>
      <c r="L1820" s="1">
        <f>'[1]Electricity and CHPs_CAP'!H$67</f>
        <v>5.1338802921239601E-2</v>
      </c>
      <c r="M1820" s="1">
        <f>'[1]Electricity and CHPs_CAP'!I$67</f>
        <v>5.5051502311567635E-2</v>
      </c>
      <c r="N1820" s="1">
        <f>'[1]Electricity and CHPs_CAP'!J$67</f>
        <v>5.8443637594042683E-2</v>
      </c>
      <c r="O1820" s="1">
        <f>'[1]Electricity and CHPs_CAP'!K$67</f>
        <v>5.9900907188163544E-2</v>
      </c>
      <c r="P1820" s="1">
        <f>'[1]Electricity and CHPs_CAP'!L$67</f>
        <v>5.9686268047652924E-2</v>
      </c>
      <c r="Q1820" s="1">
        <f>'[1]Electricity and CHPs_CAP'!M$67</f>
        <v>6.5111140602831227E-2</v>
      </c>
      <c r="S1820" s="3"/>
    </row>
    <row r="1821" spans="2:19" x14ac:dyDescent="0.5">
      <c r="B1821" s="5" t="str">
        <f t="shared" ref="B1821:C1822" si="2006">B1820</f>
        <v>SPS1</v>
      </c>
      <c r="C1821" s="5" t="str">
        <f t="shared" si="2006"/>
        <v>CH</v>
      </c>
      <c r="D1821" t="s">
        <v>1850</v>
      </c>
      <c r="E1821" t="str">
        <f t="shared" si="1979"/>
        <v>GWe/yr.</v>
      </c>
      <c r="F1821" s="1">
        <f>'[1]Electricity and CHPs_CAP'!B$68</f>
        <v>2.2488193041281055E-3</v>
      </c>
      <c r="G1821" s="1">
        <f>'[1]Electricity and CHPs_CAP'!C$68</f>
        <v>2.250932084844504E-3</v>
      </c>
      <c r="H1821" s="1">
        <f>'[1]Electricity and CHPs_CAP'!D$68</f>
        <v>2.2578832553501373E-3</v>
      </c>
      <c r="I1821" s="1">
        <f>'[1]Electricity and CHPs_CAP'!E$68</f>
        <v>4.1086356032953061E-2</v>
      </c>
      <c r="J1821" s="1">
        <f>'[1]Electricity and CHPs_CAP'!F$68</f>
        <v>4.4523053951884037E-2</v>
      </c>
      <c r="K1821" s="1">
        <f>'[1]Electricity and CHPs_CAP'!G$68</f>
        <v>4.9026528149774928E-2</v>
      </c>
      <c r="L1821" s="1">
        <f>'[1]Electricity and CHPs_CAP'!H$68</f>
        <v>5.2487228809197796E-2</v>
      </c>
      <c r="M1821" s="1">
        <f>'[1]Electricity and CHPs_CAP'!I$68</f>
        <v>5.5035306422624913E-2</v>
      </c>
      <c r="N1821" s="1">
        <f>'[1]Electricity and CHPs_CAP'!J$68</f>
        <v>5.8411512428581905E-2</v>
      </c>
      <c r="O1821" s="1">
        <f>'[1]Electricity and CHPs_CAP'!K$68</f>
        <v>5.9879146472002001E-2</v>
      </c>
      <c r="P1821" s="1">
        <f>'[1]Electricity and CHPs_CAP'!L$68</f>
        <v>5.9656046405568583E-2</v>
      </c>
      <c r="Q1821" s="1">
        <f>'[1]Electricity and CHPs_CAP'!M$68</f>
        <v>6.5101421688331468E-2</v>
      </c>
      <c r="S1821" s="3"/>
    </row>
    <row r="1822" spans="2:19" x14ac:dyDescent="0.5">
      <c r="B1822" s="5" t="str">
        <f t="shared" si="2006"/>
        <v>SPS1</v>
      </c>
      <c r="C1822" s="5" t="str">
        <f t="shared" si="2006"/>
        <v>CH</v>
      </c>
      <c r="D1822" t="s">
        <v>1851</v>
      </c>
      <c r="E1822" t="str">
        <f t="shared" si="1979"/>
        <v>GWe/yr.</v>
      </c>
      <c r="F1822" s="1">
        <f>'[1]Electricity and CHPs_CAP'!B$69</f>
        <v>1.1252563529470408E-3</v>
      </c>
      <c r="G1822" s="1">
        <f>'[1]Electricity and CHPs_CAP'!C$69</f>
        <v>1.1262838617101022E-3</v>
      </c>
      <c r="H1822" s="1">
        <f>'[1]Electricity and CHPs_CAP'!D$69</f>
        <v>1.1298332427328664E-3</v>
      </c>
      <c r="I1822" s="1">
        <f>'[1]Electricity and CHPs_CAP'!E$69</f>
        <v>2.5437426730180037E-2</v>
      </c>
      <c r="J1822" s="1">
        <f>'[1]Electricity and CHPs_CAP'!F$69</f>
        <v>2.9361909946446347E-2</v>
      </c>
      <c r="K1822" s="1">
        <f>'[1]Electricity and CHPs_CAP'!G$69</f>
        <v>3.2719659217959121E-2</v>
      </c>
      <c r="L1822" s="1">
        <f>'[1]Electricity and CHPs_CAP'!H$69</f>
        <v>3.4221550131570092E-2</v>
      </c>
      <c r="M1822" s="1">
        <f>'[1]Electricity and CHPs_CAP'!I$69</f>
        <v>3.7109780662641881E-2</v>
      </c>
      <c r="N1822" s="1">
        <f>'[1]Electricity and CHPs_CAP'!J$69</f>
        <v>3.8069841247519248E-2</v>
      </c>
      <c r="O1822" s="1">
        <f>'[1]Electricity and CHPs_CAP'!K$69</f>
        <v>3.9555590624635789E-2</v>
      </c>
      <c r="P1822" s="1">
        <f>'[1]Electricity and CHPs_CAP'!L$69</f>
        <v>3.9426940712295966E-2</v>
      </c>
      <c r="Q1822" s="1">
        <f>'[1]Electricity and CHPs_CAP'!M$69</f>
        <v>4.363737808898227E-2</v>
      </c>
      <c r="S1822" s="3"/>
    </row>
    <row r="1823" spans="2:19" x14ac:dyDescent="0.5">
      <c r="B1823" s="5" t="str">
        <f t="shared" ref="B1823:C1823" si="2007">B1822</f>
        <v>SPS1</v>
      </c>
      <c r="C1823" s="5" t="str">
        <f t="shared" si="2007"/>
        <v>CH</v>
      </c>
      <c r="D1823" s="2" t="s">
        <v>1860</v>
      </c>
      <c r="E1823" s="2" t="s">
        <v>1858</v>
      </c>
      <c r="F1823" s="3">
        <f>SUM(F1824,F1843)</f>
        <v>11.164184210929802</v>
      </c>
      <c r="G1823" s="3">
        <f t="shared" ref="G1823:K1823" si="2008">SUM(G1824,G1843)</f>
        <v>11.927488428102517</v>
      </c>
      <c r="H1823" s="3">
        <f t="shared" si="2008"/>
        <v>12.042883737605564</v>
      </c>
      <c r="I1823" s="3">
        <f t="shared" si="2008"/>
        <v>12.370935209276867</v>
      </c>
      <c r="J1823" s="3">
        <f t="shared" si="2008"/>
        <v>11.083834250971861</v>
      </c>
      <c r="K1823" s="3">
        <f t="shared" si="2008"/>
        <v>10.739690770615088</v>
      </c>
      <c r="L1823" s="3">
        <f t="shared" ref="L1823:O1823" si="2009">SUM(L1824,L1843)</f>
        <v>10.802240705096319</v>
      </c>
      <c r="M1823" s="3">
        <f t="shared" si="2009"/>
        <v>10.144213427044146</v>
      </c>
      <c r="N1823" s="3">
        <f t="shared" si="2009"/>
        <v>9.8037435783299749</v>
      </c>
      <c r="O1823" s="3">
        <f t="shared" si="2009"/>
        <v>9.5493040944254464</v>
      </c>
      <c r="P1823" s="3">
        <f>SUM(P1824,P1843)</f>
        <v>9.085849487843948</v>
      </c>
      <c r="Q1823" s="3">
        <f>SUM(Q1824,Q1843)</f>
        <v>8.0046083944657251</v>
      </c>
      <c r="S1823" s="3"/>
    </row>
    <row r="1824" spans="2:19" x14ac:dyDescent="0.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9.3031701422558104</v>
      </c>
      <c r="G1824" s="1">
        <f t="shared" ref="G1824:K1824" si="2010">SUM(G1825,G1828,G1830,G1833,G1835,G1837,G1839,G1841)</f>
        <v>9.9085237509512396</v>
      </c>
      <c r="H1824" s="1">
        <f t="shared" si="2010"/>
        <v>10.054491213196551</v>
      </c>
      <c r="I1824" s="1">
        <f t="shared" si="2010"/>
        <v>10.304421555653562</v>
      </c>
      <c r="J1824" s="1">
        <f t="shared" si="2010"/>
        <v>9.2985334029381814</v>
      </c>
      <c r="K1824" s="1">
        <f t="shared" si="2010"/>
        <v>8.989952222881584</v>
      </c>
      <c r="L1824" s="1">
        <f t="shared" ref="L1824:O1824" si="2011">SUM(L1825,L1828,L1830,L1833,L1835,L1837,L1839,L1841)</f>
        <v>9.0446005998355758</v>
      </c>
      <c r="M1824" s="1">
        <f t="shared" si="2011"/>
        <v>8.4551252496238796</v>
      </c>
      <c r="N1824" s="1">
        <f t="shared" si="2011"/>
        <v>8.0807581168540406</v>
      </c>
      <c r="O1824" s="1">
        <f t="shared" si="2011"/>
        <v>7.8682402233410746</v>
      </c>
      <c r="P1824" s="1">
        <f>SUM(P1825,P1828,P1830,P1833,P1835,P1837,P1839,P1841)</f>
        <v>7.4379492280744444</v>
      </c>
      <c r="Q1824" s="1">
        <f>SUM(Q1825,Q1828,Q1830,Q1833,Q1835,Q1837,Q1839,Q1841)</f>
        <v>6.3906800708049305</v>
      </c>
      <c r="S1824" s="3"/>
    </row>
    <row r="1825" spans="2:19" x14ac:dyDescent="0.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2.1116670456014845</v>
      </c>
      <c r="G1825" s="1">
        <f t="shared" ref="G1825:K1825" si="2012">SUM(G1826:G1827)</f>
        <v>2.422868481377638</v>
      </c>
      <c r="H1825" s="1">
        <f t="shared" si="2012"/>
        <v>2.5657146015607069</v>
      </c>
      <c r="I1825" s="1">
        <f t="shared" si="2012"/>
        <v>2.7386994866013059</v>
      </c>
      <c r="J1825" s="1">
        <f t="shared" si="2012"/>
        <v>2.7856137164026675</v>
      </c>
      <c r="K1825" s="1">
        <f t="shared" si="2012"/>
        <v>2.7131148206360036</v>
      </c>
      <c r="L1825" s="1">
        <f t="shared" ref="L1825:O1825" si="2013">SUM(L1826:L1827)</f>
        <v>2.7469034583334295</v>
      </c>
      <c r="M1825" s="1">
        <f t="shared" si="2013"/>
        <v>2.5564034160251783</v>
      </c>
      <c r="N1825" s="1">
        <f t="shared" si="2013"/>
        <v>2.4276094967104607</v>
      </c>
      <c r="O1825" s="1">
        <f t="shared" si="2013"/>
        <v>2.4176010622872721</v>
      </c>
      <c r="P1825" s="1">
        <f>SUM(P1826:P1827)</f>
        <v>2.4138344871864863</v>
      </c>
      <c r="Q1825" s="1">
        <f>SUM(Q1826:Q1827)</f>
        <v>2.4100499337587351</v>
      </c>
      <c r="S1825" s="3"/>
    </row>
    <row r="1826" spans="2:19" x14ac:dyDescent="0.5">
      <c r="B1826" s="5" t="str">
        <f t="shared" ref="B1826:C1826" si="2014">B1825</f>
        <v>SPS1</v>
      </c>
      <c r="C1826" s="5" t="str">
        <f t="shared" si="2014"/>
        <v>CH</v>
      </c>
      <c r="D1826" t="s">
        <v>1862</v>
      </c>
      <c r="E1826" t="str">
        <f t="shared" ref="E1826:E1889" si="2015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0.67257556501503146</v>
      </c>
      <c r="G1826" s="1" cm="1">
        <f t="array" ref="G1826">SUMPRODUCT(([1]OUT_FinalEnergyCons!$B$4:$B$10000="var_cap")*1,(ISNUMBER(SEARCH("RH*-SHELCBR",[1]OUT_FinalEnergyCons!$A$4:$A$10000)))*1,[1]OUT_FinalEnergyCons!E$4:E$10000)</f>
        <v>0.7107031502290222</v>
      </c>
      <c r="H1826" s="1" cm="1">
        <f t="array" ref="H1826">SUMPRODUCT(([1]OUT_FinalEnergyCons!$B$4:$B$10000="var_cap")*1,(ISNUMBER(SEARCH("RH*-SHELCBR",[1]OUT_FinalEnergyCons!$A$4:$A$10000)))*1,[1]OUT_FinalEnergyCons!F$4:F$10000)</f>
        <v>0.71070899362342033</v>
      </c>
      <c r="I1826" s="1" cm="1">
        <f t="array" ref="I1826">SUMPRODUCT(([1]OUT_FinalEnergyCons!$B$4:$B$10000="var_cap")*1,(ISNUMBER(SEARCH("RH*-SHELCBR",[1]OUT_FinalEnergyCons!$A$4:$A$10000)))*1,[1]OUT_FinalEnergyCons!G$4:G$10000)</f>
        <v>0.71070325022313563</v>
      </c>
      <c r="J1826" s="1" cm="1">
        <f t="array" ref="J1826">SUMPRODUCT(([1]OUT_FinalEnergyCons!$B$4:$B$10000="var_cap")*1,(ISNUMBER(SEARCH("RH*-SHELCBR",[1]OUT_FinalEnergyCons!$A$4:$A$10000)))*1,[1]OUT_FinalEnergyCons!H$4:H$10000)</f>
        <v>0.44245226636816659</v>
      </c>
      <c r="K1826" s="1" cm="1">
        <f t="array" ref="K1826">SUMPRODUCT(([1]OUT_FinalEnergyCons!$B$4:$B$10000="var_cap")*1,(ISNUMBER(SEARCH("RH*-SHELCBR",[1]OUT_FinalEnergyCons!$A$4:$A$10000)))*1,[1]OUT_FinalEnergyCons!I$4:I$10000)</f>
        <v>0.37119552485456353</v>
      </c>
      <c r="L1826" s="1" cm="1">
        <f t="array" ref="L1826">SUMPRODUCT(([1]OUT_FinalEnergyCons!$B$4:$B$10000="var_cap")*1,(ISNUMBER(SEARCH("RH*-SHELCBR",[1]OUT_FinalEnergyCons!$A$4:$A$10000)))*1,[1]OUT_FinalEnergyCons!J$4:J$10000)</f>
        <v>0.40500152078943485</v>
      </c>
      <c r="M1826" s="1" cm="1">
        <f t="array" ref="M1826">SUMPRODUCT(([1]OUT_FinalEnergyCons!$B$4:$B$10000="var_cap")*1,(ISNUMBER(SEARCH("RH*-SHELCBR",[1]OUT_FinalEnergyCons!$A$4:$A$10000)))*1,[1]OUT_FinalEnergyCons!K$4:K$10000)</f>
        <v>0.19304835926117356</v>
      </c>
      <c r="N1826" s="1" cm="1">
        <f t="array" ref="N1826">SUMPRODUCT(([1]OUT_FinalEnergyCons!$B$4:$B$10000="var_cap")*1,(ISNUMBER(SEARCH("RH*-SHELCBR",[1]OUT_FinalEnergyCons!$A$4:$A$10000)))*1,[1]OUT_FinalEnergyCons!L$4:L$10000)</f>
        <v>6.4513132934596609E-2</v>
      </c>
      <c r="O1826" s="1" cm="1">
        <f t="array" ref="O1826">SUMPRODUCT(([1]OUT_FinalEnergyCons!$B$4:$B$10000="var_cap")*1,(ISNUMBER(SEARCH("RH*-SHELCBR",[1]OUT_FinalEnergyCons!$A$4:$A$10000)))*1,[1]OUT_FinalEnergyCons!M$4:M$10000)</f>
        <v>5.4109647437636112E-2</v>
      </c>
      <c r="P1826" s="1" cm="1">
        <f t="array" ref="P1826">SUMPRODUCT(([1]OUT_FinalEnergyCons!$B$4:$B$10000="var_cap")*1,(ISNUMBER(SEARCH("RH*-SHELCBR",[1]OUT_FinalEnergyCons!$A$4:$A$10000)))*1,[1]OUT_FinalEnergyCons!N$4:N$10000)</f>
        <v>5.0379271585803319E-2</v>
      </c>
      <c r="Q1826" s="1" cm="1">
        <f t="array" ref="Q1826">SUMPRODUCT(([1]OUT_FinalEnergyCons!$B$4:$B$10000="var_cap")*1,(ISNUMBER(SEARCH("RH*-SHELCBR",[1]OUT_FinalEnergyCons!$A$4:$A$10000)))*1,[1]OUT_FinalEnergyCons!O$4:O$10000)</f>
        <v>4.5819847301840605E-2</v>
      </c>
      <c r="S1826" s="3"/>
    </row>
    <row r="1827" spans="2:19" x14ac:dyDescent="0.5">
      <c r="B1827" s="5" t="str">
        <f t="shared" ref="B1827:C1827" si="2016">B1826</f>
        <v>SPS1</v>
      </c>
      <c r="C1827" s="5" t="str">
        <f t="shared" si="2016"/>
        <v>CH</v>
      </c>
      <c r="D1827" t="s">
        <v>1863</v>
      </c>
      <c r="E1827" t="str">
        <f t="shared" si="2015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1.4390914805864532</v>
      </c>
      <c r="G1827" s="1" cm="1">
        <f t="array" ref="G1827">SUMPRODUCT(([1]OUT_FinalEnergyCons!$B$4:$B$10000="var_cap")*1,ISNUMBER(SEARCH("RH*-SHELCHP",[1]OUT_FinalEnergyCons!$A$4:$A$10000))*1,[1]OUT_FinalEnergyCons!E$4:E$10000)</f>
        <v>1.7121653311486158</v>
      </c>
      <c r="H1827" s="1" cm="1">
        <f t="array" ref="H1827">SUMPRODUCT(([1]OUT_FinalEnergyCons!$B$4:$B$10000="var_cap")*1,ISNUMBER(SEARCH("RH*-SHELCHP",[1]OUT_FinalEnergyCons!$A$4:$A$10000))*1,[1]OUT_FinalEnergyCons!F$4:F$10000)</f>
        <v>1.8550056079372865</v>
      </c>
      <c r="I1827" s="1" cm="1">
        <f t="array" ref="I1827">SUMPRODUCT(([1]OUT_FinalEnergyCons!$B$4:$B$10000="var_cap")*1,ISNUMBER(SEARCH("RH*-SHELCHP",[1]OUT_FinalEnergyCons!$A$4:$A$10000))*1,[1]OUT_FinalEnergyCons!G$4:G$10000)</f>
        <v>2.0279962363781703</v>
      </c>
      <c r="J1827" s="1" cm="1">
        <f t="array" ref="J1827">SUMPRODUCT(([1]OUT_FinalEnergyCons!$B$4:$B$10000="var_cap")*1,ISNUMBER(SEARCH("RH*-SHELCHP",[1]OUT_FinalEnergyCons!$A$4:$A$10000))*1,[1]OUT_FinalEnergyCons!H$4:H$10000)</f>
        <v>2.343161450034501</v>
      </c>
      <c r="K1827" s="1" cm="1">
        <f t="array" ref="K1827">SUMPRODUCT(([1]OUT_FinalEnergyCons!$B$4:$B$10000="var_cap")*1,ISNUMBER(SEARCH("RH*-SHELCHP",[1]OUT_FinalEnergyCons!$A$4:$A$10000))*1,[1]OUT_FinalEnergyCons!I$4:I$10000)</f>
        <v>2.3419192957814401</v>
      </c>
      <c r="L1827" s="1" cm="1">
        <f t="array" ref="L1827">SUMPRODUCT(([1]OUT_FinalEnergyCons!$B$4:$B$10000="var_cap")*1,ISNUMBER(SEARCH("RH*-SHELCHP",[1]OUT_FinalEnergyCons!$A$4:$A$10000))*1,[1]OUT_FinalEnergyCons!J$4:J$10000)</f>
        <v>2.3419019375439944</v>
      </c>
      <c r="M1827" s="1" cm="1">
        <f t="array" ref="M1827">SUMPRODUCT(([1]OUT_FinalEnergyCons!$B$4:$B$10000="var_cap")*1,ISNUMBER(SEARCH("RH*-SHELCHP",[1]OUT_FinalEnergyCons!$A$4:$A$10000))*1,[1]OUT_FinalEnergyCons!K$4:K$10000)</f>
        <v>2.3633550567640049</v>
      </c>
      <c r="N1827" s="1" cm="1">
        <f t="array" ref="N1827">SUMPRODUCT(([1]OUT_FinalEnergyCons!$B$4:$B$10000="var_cap")*1,ISNUMBER(SEARCH("RH*-SHELCHP",[1]OUT_FinalEnergyCons!$A$4:$A$10000))*1,[1]OUT_FinalEnergyCons!L$4:L$10000)</f>
        <v>2.3630963637758642</v>
      </c>
      <c r="O1827" s="1" cm="1">
        <f t="array" ref="O1827">SUMPRODUCT(([1]OUT_FinalEnergyCons!$B$4:$B$10000="var_cap")*1,ISNUMBER(SEARCH("RH*-SHELCHP",[1]OUT_FinalEnergyCons!$A$4:$A$10000))*1,[1]OUT_FinalEnergyCons!M$4:M$10000)</f>
        <v>2.3634914148496362</v>
      </c>
      <c r="P1827" s="1" cm="1">
        <f t="array" ref="P1827">SUMPRODUCT(([1]OUT_FinalEnergyCons!$B$4:$B$10000="var_cap")*1,ISNUMBER(SEARCH("RH*-SHELCHP",[1]OUT_FinalEnergyCons!$A$4:$A$10000))*1,[1]OUT_FinalEnergyCons!N$4:N$10000)</f>
        <v>2.3634552156006832</v>
      </c>
      <c r="Q1827" s="1" cm="1">
        <f t="array" ref="Q1827">SUMPRODUCT(([1]OUT_FinalEnergyCons!$B$4:$B$10000="var_cap")*1,ISNUMBER(SEARCH("RH*-SHELCHP",[1]OUT_FinalEnergyCons!$A$4:$A$10000))*1,[1]OUT_FinalEnergyCons!O$4:O$10000)</f>
        <v>2.3642300864568946</v>
      </c>
      <c r="S1827" s="3"/>
    </row>
    <row r="1828" spans="2:19" x14ac:dyDescent="0.5">
      <c r="B1828" s="5" t="str">
        <f t="shared" ref="B1828:C1828" si="2017">B1827</f>
        <v>SPS1</v>
      </c>
      <c r="C1828" s="5" t="str">
        <f t="shared" si="2017"/>
        <v>CH</v>
      </c>
      <c r="D1828" t="s">
        <v>1864</v>
      </c>
      <c r="E1828" t="str">
        <f t="shared" si="2015"/>
        <v>GWth/yr.</v>
      </c>
      <c r="F1828" s="1">
        <f>F1829</f>
        <v>3.4074053831106799</v>
      </c>
      <c r="G1828" s="1">
        <f t="shared" ref="G1828:O1828" si="2018">G1829</f>
        <v>3.4073972637537189</v>
      </c>
      <c r="H1828" s="1">
        <f t="shared" si="2018"/>
        <v>3.4073870299202866</v>
      </c>
      <c r="I1828" s="1">
        <f t="shared" si="2018"/>
        <v>3.4073713256598368</v>
      </c>
      <c r="J1828" s="1">
        <f t="shared" si="2018"/>
        <v>2.4318379991861847</v>
      </c>
      <c r="K1828" s="1">
        <f t="shared" si="2018"/>
        <v>2.2847915103091943</v>
      </c>
      <c r="L1828" s="1">
        <f t="shared" si="2018"/>
        <v>2.2844465856577729</v>
      </c>
      <c r="M1828" s="1">
        <f t="shared" si="2018"/>
        <v>1.8547143583902099</v>
      </c>
      <c r="N1828" s="1">
        <f t="shared" si="2018"/>
        <v>1.7257825152301614</v>
      </c>
      <c r="O1828" s="1">
        <f t="shared" si="2018"/>
        <v>1.612598156395082</v>
      </c>
      <c r="P1828" s="1">
        <f>P1829</f>
        <v>1.0995955984219676</v>
      </c>
      <c r="Q1828" s="1">
        <f>Q1829</f>
        <v>0.5638439379965221</v>
      </c>
      <c r="S1828" s="3"/>
    </row>
    <row r="1829" spans="2:19" x14ac:dyDescent="0.5">
      <c r="B1829" s="5" t="str">
        <f t="shared" ref="B1829:C1829" si="2019">B1828</f>
        <v>SPS1</v>
      </c>
      <c r="C1829" s="5" t="str">
        <f t="shared" si="2019"/>
        <v>CH</v>
      </c>
      <c r="D1829" t="s">
        <v>1865</v>
      </c>
      <c r="E1829" t="str">
        <f t="shared" si="2015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3.4073972637537189</v>
      </c>
      <c r="H1829" s="1" cm="1">
        <f t="array" ref="H1829">SUMPRODUCT(([1]OUT_FinalEnergyCons!$B$4:$B$10000="var_cap")*1, (ISNUMBER(SEARCH("RH*-SHLFOBR",[1]OUT_FinalEnergyCons!$A$4:$A$10000)))*1,[1]OUT_FinalEnergyCons!F$4:F$10000)</f>
        <v>3.4073870299202866</v>
      </c>
      <c r="I1829" s="1" cm="1">
        <f t="array" ref="I1829">SUMPRODUCT(([1]OUT_FinalEnergyCons!$B$4:$B$10000="var_cap")*1, (ISNUMBER(SEARCH("RH*-SHLFOBR",[1]OUT_FinalEnergyCons!$A$4:$A$10000)))*1,[1]OUT_FinalEnergyCons!G$4:G$10000)</f>
        <v>3.4073713256598368</v>
      </c>
      <c r="J1829" s="1" cm="1">
        <f t="array" ref="J1829">SUMPRODUCT(([1]OUT_FinalEnergyCons!$B$4:$B$10000="var_cap")*1, (ISNUMBER(SEARCH("RH*-SHLFOBR",[1]OUT_FinalEnergyCons!$A$4:$A$10000)))*1,[1]OUT_FinalEnergyCons!H$4:H$10000)</f>
        <v>2.4318379991861847</v>
      </c>
      <c r="K1829" s="1" cm="1">
        <f t="array" ref="K1829">SUMPRODUCT(([1]OUT_FinalEnergyCons!$B$4:$B$10000="var_cap")*1, (ISNUMBER(SEARCH("RH*-SHLFOBR",[1]OUT_FinalEnergyCons!$A$4:$A$10000)))*1,[1]OUT_FinalEnergyCons!I$4:I$10000)</f>
        <v>2.2847915103091943</v>
      </c>
      <c r="L1829" s="1" cm="1">
        <f t="array" ref="L1829">SUMPRODUCT(([1]OUT_FinalEnergyCons!$B$4:$B$10000="var_cap")*1, (ISNUMBER(SEARCH("RH*-SHLFOBR",[1]OUT_FinalEnergyCons!$A$4:$A$10000)))*1,[1]OUT_FinalEnergyCons!J$4:J$10000)</f>
        <v>2.2844465856577729</v>
      </c>
      <c r="M1829" s="1" cm="1">
        <f t="array" ref="M1829">SUMPRODUCT(([1]OUT_FinalEnergyCons!$B$4:$B$10000="var_cap")*1, (ISNUMBER(SEARCH("RH*-SHLFOBR",[1]OUT_FinalEnergyCons!$A$4:$A$10000)))*1,[1]OUT_FinalEnergyCons!K$4:K$10000)</f>
        <v>1.8547143583902099</v>
      </c>
      <c r="N1829" s="1" cm="1">
        <f t="array" ref="N1829">SUMPRODUCT(([1]OUT_FinalEnergyCons!$B$4:$B$10000="var_cap")*1, (ISNUMBER(SEARCH("RH*-SHLFOBR",[1]OUT_FinalEnergyCons!$A$4:$A$10000)))*1,[1]OUT_FinalEnergyCons!L$4:L$10000)</f>
        <v>1.7257825152301614</v>
      </c>
      <c r="O1829" s="1" cm="1">
        <f t="array" ref="O1829">SUMPRODUCT(([1]OUT_FinalEnergyCons!$B$4:$B$10000="var_cap")*1, (ISNUMBER(SEARCH("RH*-SHLFOBR",[1]OUT_FinalEnergyCons!$A$4:$A$10000)))*1,[1]OUT_FinalEnergyCons!M$4:M$10000)</f>
        <v>1.612598156395082</v>
      </c>
      <c r="P1829" s="1" cm="1">
        <f t="array" ref="P1829">SUMPRODUCT(([1]OUT_FinalEnergyCons!$B$4:$B$10000="var_cap")*1, (ISNUMBER(SEARCH("RH*-SHLFOBR",[1]OUT_FinalEnergyCons!$A$4:$A$10000)))*1,[1]OUT_FinalEnergyCons!N$4:N$10000)</f>
        <v>1.0995955984219676</v>
      </c>
      <c r="Q1829" s="1" cm="1">
        <f t="array" ref="Q1829">SUMPRODUCT(([1]OUT_FinalEnergyCons!$B$4:$B$10000="var_cap")*1, (ISNUMBER(SEARCH("RH*-SHLFOBR",[1]OUT_FinalEnergyCons!$A$4:$A$10000)))*1,[1]OUT_FinalEnergyCons!O$4:O$10000)</f>
        <v>0.5638439379965221</v>
      </c>
      <c r="S1829" s="3"/>
    </row>
    <row r="1830" spans="2:19" x14ac:dyDescent="0.5">
      <c r="B1830" s="5" t="str">
        <f t="shared" ref="B1830:C1830" si="2020">B1829</f>
        <v>SPS1</v>
      </c>
      <c r="C1830" s="5" t="str">
        <f t="shared" si="2020"/>
        <v>CH</v>
      </c>
      <c r="D1830" t="s">
        <v>1866</v>
      </c>
      <c r="E1830" t="str">
        <f t="shared" si="2015"/>
        <v>GWth/yr.</v>
      </c>
      <c r="F1830" s="1">
        <f>SUM(F1831:F1832)</f>
        <v>2.7687543410942936</v>
      </c>
      <c r="G1830" s="1">
        <f t="shared" ref="G1830:K1830" si="2021">SUM(G1831:G1832)</f>
        <v>2.9952228842897179</v>
      </c>
      <c r="H1830" s="1">
        <f t="shared" si="2021"/>
        <v>2.9983515759026562</v>
      </c>
      <c r="I1830" s="1">
        <f t="shared" si="2021"/>
        <v>3.0635723201606258</v>
      </c>
      <c r="J1830" s="1">
        <f t="shared" si="2021"/>
        <v>3.2178780489258143</v>
      </c>
      <c r="K1830" s="1">
        <f t="shared" si="2021"/>
        <v>3.1864836237388148</v>
      </c>
      <c r="L1830" s="1">
        <f t="shared" ref="L1830:O1830" si="2022">SUM(L1831:L1832)</f>
        <v>3.2081333305477076</v>
      </c>
      <c r="M1830" s="1">
        <f t="shared" si="2022"/>
        <v>3.3375211863498397</v>
      </c>
      <c r="N1830" s="1">
        <f t="shared" si="2022"/>
        <v>3.2373561894014404</v>
      </c>
      <c r="O1830" s="1">
        <f t="shared" si="2022"/>
        <v>3.1716435078203578</v>
      </c>
      <c r="P1830" s="1">
        <f>SUM(P1831:P1832)</f>
        <v>3.2900263242195167</v>
      </c>
      <c r="Q1830" s="1">
        <f>SUM(Q1831:Q1832)</f>
        <v>2.8647380100251221</v>
      </c>
      <c r="S1830" s="3"/>
    </row>
    <row r="1831" spans="2:19" x14ac:dyDescent="0.5">
      <c r="B1831" s="5" t="str">
        <f t="shared" ref="B1831:C1831" si="2023">B1830</f>
        <v>SPS1</v>
      </c>
      <c r="C1831" s="5" t="str">
        <f t="shared" si="2023"/>
        <v>CH</v>
      </c>
      <c r="D1831" t="s">
        <v>1867</v>
      </c>
      <c r="E1831" t="str">
        <f t="shared" si="2015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2.9952190766300797</v>
      </c>
      <c r="H1831" s="1" cm="1">
        <f t="array" ref="H1831">SUMPRODUCT(([1]OUT_FinalEnergyCons!$B$4:$B$10000="var_cap")*1, (ISNUMBER(SEARCH("RH*-SHNGABR",[1]OUT_FinalEnergyCons!$A$4:$A$10000)))*1,[1]OUT_FinalEnergyCons!F$4:F$10000)</f>
        <v>2.9952239420977191</v>
      </c>
      <c r="I1831" s="1" cm="1">
        <f t="array" ref="I1831">SUMPRODUCT(([1]OUT_FinalEnergyCons!$B$4:$B$10000="var_cap")*1, (ISNUMBER(SEARCH("RH*-SHNGABR",[1]OUT_FinalEnergyCons!$A$4:$A$10000)))*1,[1]OUT_FinalEnergyCons!G$4:G$10000)</f>
        <v>3.0604254761486605</v>
      </c>
      <c r="J1831" s="1" cm="1">
        <f t="array" ref="J1831">SUMPRODUCT(([1]OUT_FinalEnergyCons!$B$4:$B$10000="var_cap")*1, (ISNUMBER(SEARCH("RH*-SHNGABR",[1]OUT_FinalEnergyCons!$A$4:$A$10000)))*1,[1]OUT_FinalEnergyCons!H$4:H$10000)</f>
        <v>3.022948909833965</v>
      </c>
      <c r="K1831" s="1" cm="1">
        <f t="array" ref="K1831">SUMPRODUCT(([1]OUT_FinalEnergyCons!$B$4:$B$10000="var_cap")*1, (ISNUMBER(SEARCH("RH*-SHNGABR",[1]OUT_FinalEnergyCons!$A$4:$A$10000)))*1,[1]OUT_FinalEnergyCons!I$4:I$10000)</f>
        <v>2.8226123263748608</v>
      </c>
      <c r="L1831" s="1" cm="1">
        <f t="array" ref="L1831">SUMPRODUCT(([1]OUT_FinalEnergyCons!$B$4:$B$10000="var_cap")*1, (ISNUMBER(SEARCH("RH*-SHNGABR",[1]OUT_FinalEnergyCons!$A$4:$A$10000)))*1,[1]OUT_FinalEnergyCons!J$4:J$10000)</f>
        <v>2.7644495796758948</v>
      </c>
      <c r="M1831" s="1" cm="1">
        <f t="array" ref="M1831">SUMPRODUCT(([1]OUT_FinalEnergyCons!$B$4:$B$10000="var_cap")*1, (ISNUMBER(SEARCH("RH*-SHNGABR",[1]OUT_FinalEnergyCons!$A$4:$A$10000)))*1,[1]OUT_FinalEnergyCons!K$4:K$10000)</f>
        <v>2.6572877628166975</v>
      </c>
      <c r="N1831" s="1" cm="1">
        <f t="array" ref="N1831">SUMPRODUCT(([1]OUT_FinalEnergyCons!$B$4:$B$10000="var_cap")*1, (ISNUMBER(SEARCH("RH*-SHNGABR",[1]OUT_FinalEnergyCons!$A$4:$A$10000)))*1,[1]OUT_FinalEnergyCons!L$4:L$10000)</f>
        <v>2.511790892522618</v>
      </c>
      <c r="O1831" s="1" cm="1">
        <f t="array" ref="O1831">SUMPRODUCT(([1]OUT_FinalEnergyCons!$B$4:$B$10000="var_cap")*1, (ISNUMBER(SEARCH("RH*-SHNGABR",[1]OUT_FinalEnergyCons!$A$4:$A$10000)))*1,[1]OUT_FinalEnergyCons!M$4:M$10000)</f>
        <v>2.4124602633036716</v>
      </c>
      <c r="P1831" s="1" cm="1">
        <f t="array" ref="P1831">SUMPRODUCT(([1]OUT_FinalEnergyCons!$B$4:$B$10000="var_cap")*1, (ISNUMBER(SEARCH("RH*-SHNGABR",[1]OUT_FinalEnergyCons!$A$4:$A$10000)))*1,[1]OUT_FinalEnergyCons!N$4:N$10000)</f>
        <v>2.2779972314402084</v>
      </c>
      <c r="Q1831" s="1" cm="1">
        <f t="array" ref="Q1831">SUMPRODUCT(([1]OUT_FinalEnergyCons!$B$4:$B$10000="var_cap")*1, (ISNUMBER(SEARCH("RH*-SHNGABR",[1]OUT_FinalEnergyCons!$A$4:$A$10000)))*1,[1]OUT_FinalEnergyCons!O$4:O$10000)</f>
        <v>1.8507375383312652</v>
      </c>
      <c r="S1831" s="3"/>
    </row>
    <row r="1832" spans="2:19" x14ac:dyDescent="0.5">
      <c r="B1832" s="5" t="str">
        <f t="shared" ref="B1832:C1832" si="2024">B1831</f>
        <v>SPS1</v>
      </c>
      <c r="C1832" s="5" t="str">
        <f t="shared" si="2024"/>
        <v>CH</v>
      </c>
      <c r="D1832" t="s">
        <v>1868</v>
      </c>
      <c r="E1832" t="str">
        <f t="shared" si="2015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2.8985594379743798E-7</v>
      </c>
      <c r="G1832" s="1" cm="1">
        <f t="array" ref="G1832">SUMPRODUCT(([1]OUT_FinalEnergyCons!$B$4:$B$10000="var_cap")*1,ISNUMBER(SEARCH("RH*-SHngahp",[1]OUT_FinalEnergyCons!$A$4:$A$10000))*1,[1]OUT_FinalEnergyCons!E$4:E$10000)</f>
        <v>3.8076596381690592E-6</v>
      </c>
      <c r="H1832" s="1" cm="1">
        <f t="array" ref="H1832">SUMPRODUCT(([1]OUT_FinalEnergyCons!$B$4:$B$10000="var_cap")*1,ISNUMBER(SEARCH("RH*-SHngahp",[1]OUT_FinalEnergyCons!$A$4:$A$10000))*1,[1]OUT_FinalEnergyCons!F$4:F$10000)</f>
        <v>3.1276338049369664E-3</v>
      </c>
      <c r="I1832" s="1" cm="1">
        <f t="array" ref="I1832">SUMPRODUCT(([1]OUT_FinalEnergyCons!$B$4:$B$10000="var_cap")*1,ISNUMBER(SEARCH("RH*-SHngahp",[1]OUT_FinalEnergyCons!$A$4:$A$10000))*1,[1]OUT_FinalEnergyCons!G$4:G$10000)</f>
        <v>3.146844011965199E-3</v>
      </c>
      <c r="J1832" s="1" cm="1">
        <f t="array" ref="J1832">SUMPRODUCT(([1]OUT_FinalEnergyCons!$B$4:$B$10000="var_cap")*1,ISNUMBER(SEARCH("RH*-SHngahp",[1]OUT_FinalEnergyCons!$A$4:$A$10000))*1,[1]OUT_FinalEnergyCons!H$4:H$10000)</f>
        <v>0.19492913909184922</v>
      </c>
      <c r="K1832" s="1" cm="1">
        <f t="array" ref="K1832">SUMPRODUCT(([1]OUT_FinalEnergyCons!$B$4:$B$10000="var_cap")*1,ISNUMBER(SEARCH("RH*-SHngahp",[1]OUT_FinalEnergyCons!$A$4:$A$10000))*1,[1]OUT_FinalEnergyCons!I$4:I$10000)</f>
        <v>0.36387129736395413</v>
      </c>
      <c r="L1832" s="1" cm="1">
        <f t="array" ref="L1832">SUMPRODUCT(([1]OUT_FinalEnergyCons!$B$4:$B$10000="var_cap")*1,ISNUMBER(SEARCH("RH*-SHngahp",[1]OUT_FinalEnergyCons!$A$4:$A$10000))*1,[1]OUT_FinalEnergyCons!J$4:J$10000)</f>
        <v>0.44368375087181283</v>
      </c>
      <c r="M1832" s="1" cm="1">
        <f t="array" ref="M1832">SUMPRODUCT(([1]OUT_FinalEnergyCons!$B$4:$B$10000="var_cap")*1,ISNUMBER(SEARCH("RH*-SHngahp",[1]OUT_FinalEnergyCons!$A$4:$A$10000))*1,[1]OUT_FinalEnergyCons!K$4:K$10000)</f>
        <v>0.68023342353314231</v>
      </c>
      <c r="N1832" s="1" cm="1">
        <f t="array" ref="N1832">SUMPRODUCT(([1]OUT_FinalEnergyCons!$B$4:$B$10000="var_cap")*1,ISNUMBER(SEARCH("RH*-SHngahp",[1]OUT_FinalEnergyCons!$A$4:$A$10000))*1,[1]OUT_FinalEnergyCons!L$4:L$10000)</f>
        <v>0.72556529687882265</v>
      </c>
      <c r="O1832" s="1" cm="1">
        <f t="array" ref="O1832">SUMPRODUCT(([1]OUT_FinalEnergyCons!$B$4:$B$10000="var_cap")*1,ISNUMBER(SEARCH("RH*-SHngahp",[1]OUT_FinalEnergyCons!$A$4:$A$10000))*1,[1]OUT_FinalEnergyCons!M$4:M$10000)</f>
        <v>0.75918324451668606</v>
      </c>
      <c r="P1832" s="1" cm="1">
        <f t="array" ref="P1832">SUMPRODUCT(([1]OUT_FinalEnergyCons!$B$4:$B$10000="var_cap")*1,ISNUMBER(SEARCH("RH*-SHngahp",[1]OUT_FinalEnergyCons!$A$4:$A$10000))*1,[1]OUT_FinalEnergyCons!N$4:N$10000)</f>
        <v>1.0120290927793083</v>
      </c>
      <c r="Q1832" s="1" cm="1">
        <f t="array" ref="Q1832">SUMPRODUCT(([1]OUT_FinalEnergyCons!$B$4:$B$10000="var_cap")*1,ISNUMBER(SEARCH("RH*-SHngahp",[1]OUT_FinalEnergyCons!$A$4:$A$10000))*1,[1]OUT_FinalEnergyCons!O$4:O$10000)</f>
        <v>1.0140004716938569</v>
      </c>
      <c r="S1832" s="3"/>
    </row>
    <row r="1833" spans="2:19" x14ac:dyDescent="0.5">
      <c r="B1833" s="5" t="str">
        <f t="shared" ref="B1833:C1833" si="2025">B1832</f>
        <v>SPS1</v>
      </c>
      <c r="C1833" s="5" t="str">
        <f t="shared" si="2025"/>
        <v>CH</v>
      </c>
      <c r="D1833" t="s">
        <v>1869</v>
      </c>
      <c r="E1833" t="str">
        <f t="shared" si="2015"/>
        <v>GWth/yr.</v>
      </c>
      <c r="F1833" s="1">
        <f>F1834</f>
        <v>7.0000000000000001E-3</v>
      </c>
      <c r="G1833" s="1">
        <f t="shared" ref="G1833:O1833" si="2026">G1834</f>
        <v>6.9814258176347467E-3</v>
      </c>
      <c r="H1833" s="1">
        <f t="shared" si="2026"/>
        <v>5.8407283611299019E-4</v>
      </c>
      <c r="I1833" s="1">
        <f t="shared" si="2026"/>
        <v>5.3756318756729982E-4</v>
      </c>
      <c r="J1833" s="1">
        <f t="shared" si="2026"/>
        <v>1.3937679992032993E-4</v>
      </c>
      <c r="K1833" s="1">
        <f t="shared" si="2026"/>
        <v>0</v>
      </c>
      <c r="L1833" s="1">
        <f t="shared" si="2026"/>
        <v>0</v>
      </c>
      <c r="M1833" s="1">
        <f t="shared" si="2026"/>
        <v>0</v>
      </c>
      <c r="N1833" s="1">
        <f t="shared" si="2026"/>
        <v>0</v>
      </c>
      <c r="O1833" s="1">
        <f t="shared" si="2026"/>
        <v>0</v>
      </c>
      <c r="P1833" s="1">
        <f>P1834</f>
        <v>0</v>
      </c>
      <c r="Q1833" s="1">
        <f>Q1834</f>
        <v>0</v>
      </c>
      <c r="S1833" s="3"/>
    </row>
    <row r="1834" spans="2:19" x14ac:dyDescent="0.5">
      <c r="B1834" s="5" t="str">
        <f t="shared" ref="B1834:C1834" si="2027">B1833</f>
        <v>SPS1</v>
      </c>
      <c r="C1834" s="5" t="str">
        <f t="shared" si="2027"/>
        <v>CH</v>
      </c>
      <c r="D1834" t="s">
        <v>1870</v>
      </c>
      <c r="E1834" t="str">
        <f t="shared" si="2015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6.9814258176347467E-3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5.8407283611299019E-4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5.3756318756729982E-4</v>
      </c>
      <c r="J1834" s="1" cm="1">
        <f t="array" ref="J1834">IF(SUMPRODUCT(([1]OUT_FinalEnergyCons!$B$4:$B$10000="var_cap")*1, (ISNUMBER(SEARCH("RH*-SHCOABR",[1]OUT_FinalEnergyCons!$A$4:$A$10000)))*1,[1]OUT_FinalEnergyCons!H$4:H$10000)&lt;0,0,SUMPRODUCT(([1]OUT_FinalEnergyCons!$B$4:$B$10000="var_cap")*1, (ISNUMBER(SEARCH("RH*-SHCOABR",[1]OUT_FinalEnergyCons!$A$4:$A$10000)))*1,[1]OUT_FinalEnergyCons!H$4:H$10000))</f>
        <v>1.3937679992032993E-4</v>
      </c>
      <c r="K1834" s="1" cm="1">
        <f t="array" ref="K1834">IF(SUMPRODUCT(([1]OUT_FinalEnergyCons!$B$4:$B$10000="var_cap")*1, (ISNUMBER(SEARCH("RH*-SHCOABR",[1]OUT_FinalEnergyCons!$A$4:$A$10000)))*1,[1]OUT_FinalEnergyCons!I$4:I$10000)&lt;0,0,SUMPRODUCT(([1]OUT_FinalEnergyCons!$B$4:$B$10000="var_cap")*1, (ISNUMBER(SEARCH("RH*-SHCOABR",[1]OUT_FinalEnergyCons!$A$4:$A$10000)))*1,[1]OUT_FinalEnergyCons!I$4:I$10000))</f>
        <v>0</v>
      </c>
      <c r="L1834" s="1" cm="1">
        <f t="array" ref="L1834">IF(SUMPRODUCT(([1]OUT_FinalEnergyCons!$B$4:$B$10000="var_cap")*1, (ISNUMBER(SEARCH("RH*-SHCOABR",[1]OUT_FinalEnergyCons!$A$4:$A$10000)))*1,[1]OUT_FinalEnergyCons!J$4:J$10000)&lt;0,0,SUMPRODUCT(([1]OUT_FinalEnergyCons!$B$4:$B$10000="var_cap")*1, (ISNUMBER(SEARCH("RH*-SHCOABR",[1]OUT_FinalEnergyCons!$A$4:$A$10000)))*1,[1]OUT_FinalEnergyCons!J$4:J$10000))</f>
        <v>0</v>
      </c>
      <c r="M1834" s="1" cm="1">
        <f t="array" ref="M1834">IF(SUMPRODUCT(([1]OUT_FinalEnergyCons!$B$4:$B$10000="var_cap")*1, (ISNUMBER(SEARCH("RH*-SHCOABR",[1]OUT_FinalEnergyCons!$A$4:$A$10000)))*1,[1]OUT_FinalEnergyCons!K$4:K$10000)&lt;0,0,SUMPRODUCT(([1]OUT_FinalEnergyCons!$B$4:$B$10000="var_cap")*1, (ISNUMBER(SEARCH("RH*-SHCOABR",[1]OUT_FinalEnergyCons!$A$4:$A$10000)))*1,[1]OUT_FinalEnergyCons!K$4:K$10000))</f>
        <v>0</v>
      </c>
      <c r="N1834" s="1" cm="1">
        <f t="array" ref="N1834">IF(SUMPRODUCT(([1]OUT_FinalEnergyCons!$B$4:$B$10000="var_cap")*1, (ISNUMBER(SEARCH("RH*-SHCOABR",[1]OUT_FinalEnergyCons!$A$4:$A$10000)))*1,[1]OUT_FinalEnergyCons!L$4:L$10000)&lt;0,0,SUMPRODUCT(([1]OUT_FinalEnergyCons!$B$4:$B$10000="var_cap")*1, (ISNUMBER(SEARCH("RH*-SHCOABR",[1]OUT_FinalEnergyCons!$A$4:$A$10000)))*1,[1]OUT_FinalEnergyCons!L$4:L$10000))</f>
        <v>0</v>
      </c>
      <c r="O1834" s="1" cm="1">
        <f t="array" ref="O1834">IF(SUMPRODUCT(([1]OUT_FinalEnergyCons!$B$4:$B$10000="var_cap")*1, (ISNUMBER(SEARCH("RH*-SHCOABR",[1]OUT_FinalEnergyCons!$A$4:$A$10000)))*1,[1]OUT_FinalEnergyCons!M$4:M$10000)&lt;0,0,SUMPRODUCT(([1]OUT_FinalEnergyCons!$B$4:$B$10000="var_cap")*1, (ISNUMBER(SEARCH("RH*-SHCOABR",[1]OUT_FinalEnergyCons!$A$4:$A$10000)))*1,[1]OUT_FinalEnergyCons!M$4:M$10000))</f>
        <v>0</v>
      </c>
      <c r="P1834" s="1" cm="1">
        <f t="array" ref="P1834">IF(SUMPRODUCT(([1]OUT_FinalEnergyCons!$B$4:$B$10000="var_cap")*1, (ISNUMBER(SEARCH("RH*-SHCOABR",[1]OUT_FinalEnergyCons!$A$4:$A$10000)))*1,[1]OUT_FinalEnergyCons!N$4:N$10000)&lt;0,0,SUMPRODUCT(([1]OUT_FinalEnergyCons!$B$4:$B$10000="var_cap")*1, (ISNUMBER(SEARCH("RH*-SHCOABR",[1]OUT_FinalEnergyCons!$A$4:$A$10000)))*1,[1]OUT_FinalEnergyCons!N$4:N$10000))</f>
        <v>0</v>
      </c>
      <c r="Q1834" s="1" cm="1">
        <f t="array" ref="Q1834">IF(SUMPRODUCT(([1]OUT_FinalEnergyCons!$B$4:$B$10000="var_cap")*1, (ISNUMBER(SEARCH("RH*-SHCOABR",[1]OUT_FinalEnergyCons!$A$4:$A$10000)))*1,[1]OUT_FinalEnergyCons!O$4:O$10000)&lt;0,0,SUMPRODUCT(([1]OUT_FinalEnergyCons!$B$4:$B$10000="var_cap")*1, (ISNUMBER(SEARCH("RH*-SHCOABR",[1]OUT_FinalEnergyCons!$A$4:$A$10000)))*1,[1]OUT_FinalEnergyCons!O$4:O$10000))</f>
        <v>0</v>
      </c>
      <c r="S1834" s="3"/>
    </row>
    <row r="1835" spans="2:19" x14ac:dyDescent="0.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0.68965286814346038</v>
      </c>
      <c r="G1835" s="1">
        <f t="shared" ref="G1835:O1835" si="2028">G1836</f>
        <v>0.69813729379018252</v>
      </c>
      <c r="H1835" s="1">
        <f t="shared" si="2028"/>
        <v>0.70372947178918399</v>
      </c>
      <c r="I1835" s="1">
        <f t="shared" si="2028"/>
        <v>0.70372002233776954</v>
      </c>
      <c r="J1835" s="1">
        <f t="shared" si="2028"/>
        <v>0.46792372911742397</v>
      </c>
      <c r="K1835" s="1">
        <f t="shared" si="2028"/>
        <v>0.40829756985252647</v>
      </c>
      <c r="L1835" s="1">
        <f t="shared" si="2028"/>
        <v>0.40213296482272287</v>
      </c>
      <c r="M1835" s="1">
        <f t="shared" si="2028"/>
        <v>0.29939963603170339</v>
      </c>
      <c r="N1835" s="1">
        <f t="shared" si="2028"/>
        <v>0.28223929586663726</v>
      </c>
      <c r="O1835" s="1">
        <f t="shared" si="2028"/>
        <v>0.25341875098169175</v>
      </c>
      <c r="P1835" s="1">
        <f>P1836</f>
        <v>0.22537496048965924</v>
      </c>
      <c r="Q1835" s="1">
        <f>Q1836</f>
        <v>0.14406444685857966</v>
      </c>
      <c r="S1835" s="3"/>
    </row>
    <row r="1836" spans="2:19" x14ac:dyDescent="0.5">
      <c r="B1836" s="5" t="str">
        <f t="shared" ref="B1836:C1836" si="2029">B1835</f>
        <v>SPS1</v>
      </c>
      <c r="C1836" s="5" t="str">
        <f t="shared" si="2029"/>
        <v>CH</v>
      </c>
      <c r="D1836" t="s">
        <v>1872</v>
      </c>
      <c r="E1836" t="str">
        <f t="shared" si="2015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0.68965286814346038</v>
      </c>
      <c r="G1836" s="1" cm="1">
        <f t="array" ref="G1836">SUMPRODUCT(([1]OUT_FinalEnergyCons!$B$4:$B$10000="var_cap")*1, (ISNUMBER(SEARCH("RH*-SHWODBR",[1]OUT_FinalEnergyCons!$A$4:$A$10000)))*1,[1]OUT_FinalEnergyCons!E$4:E$10000)</f>
        <v>0.69813729379018252</v>
      </c>
      <c r="H1836" s="1" cm="1">
        <f t="array" ref="H1836">SUMPRODUCT(([1]OUT_FinalEnergyCons!$B$4:$B$10000="var_cap")*1, (ISNUMBER(SEARCH("RH*-SHWODBR",[1]OUT_FinalEnergyCons!$A$4:$A$10000)))*1,[1]OUT_FinalEnergyCons!F$4:F$10000)</f>
        <v>0.70372947178918399</v>
      </c>
      <c r="I1836" s="1" cm="1">
        <f t="array" ref="I1836">SUMPRODUCT(([1]OUT_FinalEnergyCons!$B$4:$B$10000="var_cap")*1, (ISNUMBER(SEARCH("RH*-SHWODBR",[1]OUT_FinalEnergyCons!$A$4:$A$10000)))*1,[1]OUT_FinalEnergyCons!G$4:G$10000)</f>
        <v>0.70372002233776954</v>
      </c>
      <c r="J1836" s="1" cm="1">
        <f t="array" ref="J1836">SUMPRODUCT(([1]OUT_FinalEnergyCons!$B$4:$B$10000="var_cap")*1, (ISNUMBER(SEARCH("RH*-SHWODBR",[1]OUT_FinalEnergyCons!$A$4:$A$10000)))*1,[1]OUT_FinalEnergyCons!H$4:H$10000)</f>
        <v>0.46792372911742397</v>
      </c>
      <c r="K1836" s="1" cm="1">
        <f t="array" ref="K1836">SUMPRODUCT(([1]OUT_FinalEnergyCons!$B$4:$B$10000="var_cap")*1, (ISNUMBER(SEARCH("RH*-SHWODBR",[1]OUT_FinalEnergyCons!$A$4:$A$10000)))*1,[1]OUT_FinalEnergyCons!I$4:I$10000)</f>
        <v>0.40829756985252647</v>
      </c>
      <c r="L1836" s="1" cm="1">
        <f t="array" ref="L1836">SUMPRODUCT(([1]OUT_FinalEnergyCons!$B$4:$B$10000="var_cap")*1, (ISNUMBER(SEARCH("RH*-SHWODBR",[1]OUT_FinalEnergyCons!$A$4:$A$10000)))*1,[1]OUT_FinalEnergyCons!J$4:J$10000)</f>
        <v>0.40213296482272287</v>
      </c>
      <c r="M1836" s="1" cm="1">
        <f t="array" ref="M1836">SUMPRODUCT(([1]OUT_FinalEnergyCons!$B$4:$B$10000="var_cap")*1, (ISNUMBER(SEARCH("RH*-SHWODBR",[1]OUT_FinalEnergyCons!$A$4:$A$10000)))*1,[1]OUT_FinalEnergyCons!K$4:K$10000)</f>
        <v>0.29939963603170339</v>
      </c>
      <c r="N1836" s="1" cm="1">
        <f t="array" ref="N1836">SUMPRODUCT(([1]OUT_FinalEnergyCons!$B$4:$B$10000="var_cap")*1, (ISNUMBER(SEARCH("RH*-SHWODBR",[1]OUT_FinalEnergyCons!$A$4:$A$10000)))*1,[1]OUT_FinalEnergyCons!L$4:L$10000)</f>
        <v>0.28223929586663726</v>
      </c>
      <c r="O1836" s="1" cm="1">
        <f t="array" ref="O1836">SUMPRODUCT(([1]OUT_FinalEnergyCons!$B$4:$B$10000="var_cap")*1, (ISNUMBER(SEARCH("RH*-SHWODBR",[1]OUT_FinalEnergyCons!$A$4:$A$10000)))*1,[1]OUT_FinalEnergyCons!M$4:M$10000)</f>
        <v>0.25341875098169175</v>
      </c>
      <c r="P1836" s="1" cm="1">
        <f t="array" ref="P1836">SUMPRODUCT(([1]OUT_FinalEnergyCons!$B$4:$B$10000="var_cap")*1, (ISNUMBER(SEARCH("RH*-SHWODBR",[1]OUT_FinalEnergyCons!$A$4:$A$10000)))*1,[1]OUT_FinalEnergyCons!N$4:N$10000)</f>
        <v>0.22537496048965924</v>
      </c>
      <c r="Q1836" s="1" cm="1">
        <f t="array" ref="Q1836">SUMPRODUCT(([1]OUT_FinalEnergyCons!$B$4:$B$10000="var_cap")*1, (ISNUMBER(SEARCH("RH*-SHWODBR",[1]OUT_FinalEnergyCons!$A$4:$A$10000)))*1,[1]OUT_FinalEnergyCons!O$4:O$10000)</f>
        <v>0.14406444685857966</v>
      </c>
      <c r="S1836" s="3"/>
    </row>
    <row r="1837" spans="2:19" x14ac:dyDescent="0.5">
      <c r="B1837" s="5" t="str">
        <f t="shared" ref="B1837:C1837" si="2030">B1836</f>
        <v>SPS1</v>
      </c>
      <c r="C1837" s="5" t="str">
        <f t="shared" si="2030"/>
        <v>CH</v>
      </c>
      <c r="D1837" t="s">
        <v>1873</v>
      </c>
      <c r="E1837" t="str">
        <f t="shared" si="2015"/>
        <v>GWth/yr.</v>
      </c>
      <c r="F1837" s="1">
        <f>F1838</f>
        <v>0.20448512216800407</v>
      </c>
      <c r="G1837" s="1">
        <f t="shared" ref="G1837:O1837" si="2031">G1838</f>
        <v>0.24049624807815106</v>
      </c>
      <c r="H1837" s="1">
        <f t="shared" si="2031"/>
        <v>0.24069106548701164</v>
      </c>
      <c r="I1837" s="1">
        <f t="shared" si="2031"/>
        <v>0.2520120769694133</v>
      </c>
      <c r="J1837" s="1">
        <f t="shared" si="2031"/>
        <v>0.26002589612284482</v>
      </c>
      <c r="K1837" s="1">
        <f t="shared" si="2031"/>
        <v>0.26579055911696214</v>
      </c>
      <c r="L1837" s="1">
        <f t="shared" si="2031"/>
        <v>0.27174936053208953</v>
      </c>
      <c r="M1837" s="1">
        <f t="shared" si="2031"/>
        <v>0.27596602747406407</v>
      </c>
      <c r="N1837" s="1">
        <f t="shared" si="2031"/>
        <v>0.27877008279970861</v>
      </c>
      <c r="O1837" s="1">
        <f t="shared" si="2031"/>
        <v>0.28251344828516145</v>
      </c>
      <c r="P1837" s="1">
        <f>P1838</f>
        <v>0.28181970959530206</v>
      </c>
      <c r="Q1837" s="1">
        <f>Q1838</f>
        <v>0.28236996284071242</v>
      </c>
      <c r="S1837" s="3"/>
    </row>
    <row r="1838" spans="2:19" x14ac:dyDescent="0.5">
      <c r="B1838" s="5" t="str">
        <f t="shared" ref="B1838:C1838" si="2032">B1837</f>
        <v>SPS1</v>
      </c>
      <c r="C1838" s="5" t="str">
        <f t="shared" si="2032"/>
        <v>CH</v>
      </c>
      <c r="D1838" t="s">
        <v>1874</v>
      </c>
      <c r="E1838" t="str">
        <f t="shared" si="2015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0.20448512216800407</v>
      </c>
      <c r="G1838" s="1" cm="1">
        <f t="array" ref="G1838">SUMPRODUCT(([1]OUT_FinalEnergyCons!$B$4:$B$10000="var_cap")*1, (ISNUMBER(SEARCH("RH*-SHPLTBR",[1]OUT_FinalEnergyCons!$A$4:$A$10000)))*1,[1]OUT_FinalEnergyCons!E$4:E$10000)</f>
        <v>0.24049624807815106</v>
      </c>
      <c r="H1838" s="1" cm="1">
        <f t="array" ref="H1838">SUMPRODUCT(([1]OUT_FinalEnergyCons!$B$4:$B$10000="var_cap")*1, (ISNUMBER(SEARCH("RH*-SHPLTBR",[1]OUT_FinalEnergyCons!$A$4:$A$10000)))*1,[1]OUT_FinalEnergyCons!F$4:F$10000)</f>
        <v>0.24069106548701164</v>
      </c>
      <c r="I1838" s="1" cm="1">
        <f t="array" ref="I1838">SUMPRODUCT(([1]OUT_FinalEnergyCons!$B$4:$B$10000="var_cap")*1, (ISNUMBER(SEARCH("RH*-SHPLTBR",[1]OUT_FinalEnergyCons!$A$4:$A$10000)))*1,[1]OUT_FinalEnergyCons!G$4:G$10000)</f>
        <v>0.2520120769694133</v>
      </c>
      <c r="J1838" s="1" cm="1">
        <f t="array" ref="J1838">SUMPRODUCT(([1]OUT_FinalEnergyCons!$B$4:$B$10000="var_cap")*1, (ISNUMBER(SEARCH("RH*-SHPLTBR",[1]OUT_FinalEnergyCons!$A$4:$A$10000)))*1,[1]OUT_FinalEnergyCons!H$4:H$10000)</f>
        <v>0.26002589612284482</v>
      </c>
      <c r="K1838" s="1" cm="1">
        <f t="array" ref="K1838">SUMPRODUCT(([1]OUT_FinalEnergyCons!$B$4:$B$10000="var_cap")*1, (ISNUMBER(SEARCH("RH*-SHPLTBR",[1]OUT_FinalEnergyCons!$A$4:$A$10000)))*1,[1]OUT_FinalEnergyCons!I$4:I$10000)</f>
        <v>0.26579055911696214</v>
      </c>
      <c r="L1838" s="1" cm="1">
        <f t="array" ref="L1838">SUMPRODUCT(([1]OUT_FinalEnergyCons!$B$4:$B$10000="var_cap")*1, (ISNUMBER(SEARCH("RH*-SHPLTBR",[1]OUT_FinalEnergyCons!$A$4:$A$10000)))*1,[1]OUT_FinalEnergyCons!J$4:J$10000)</f>
        <v>0.27174936053208953</v>
      </c>
      <c r="M1838" s="1" cm="1">
        <f t="array" ref="M1838">SUMPRODUCT(([1]OUT_FinalEnergyCons!$B$4:$B$10000="var_cap")*1, (ISNUMBER(SEARCH("RH*-SHPLTBR",[1]OUT_FinalEnergyCons!$A$4:$A$10000)))*1,[1]OUT_FinalEnergyCons!K$4:K$10000)</f>
        <v>0.27596602747406407</v>
      </c>
      <c r="N1838" s="1" cm="1">
        <f t="array" ref="N1838">SUMPRODUCT(([1]OUT_FinalEnergyCons!$B$4:$B$10000="var_cap")*1, (ISNUMBER(SEARCH("RH*-SHPLTBR",[1]OUT_FinalEnergyCons!$A$4:$A$10000)))*1,[1]OUT_FinalEnergyCons!L$4:L$10000)</f>
        <v>0.27877008279970861</v>
      </c>
      <c r="O1838" s="1" cm="1">
        <f t="array" ref="O1838">SUMPRODUCT(([1]OUT_FinalEnergyCons!$B$4:$B$10000="var_cap")*1, (ISNUMBER(SEARCH("RH*-SHPLTBR",[1]OUT_FinalEnergyCons!$A$4:$A$10000)))*1,[1]OUT_FinalEnergyCons!M$4:M$10000)</f>
        <v>0.28251344828516145</v>
      </c>
      <c r="P1838" s="1" cm="1">
        <f t="array" ref="P1838">SUMPRODUCT(([1]OUT_FinalEnergyCons!$B$4:$B$10000="var_cap")*1, (ISNUMBER(SEARCH("RH*-SHPLTBR",[1]OUT_FinalEnergyCons!$A$4:$A$10000)))*1,[1]OUT_FinalEnergyCons!N$4:N$10000)</f>
        <v>0.28181970959530206</v>
      </c>
      <c r="Q1838" s="1" cm="1">
        <f t="array" ref="Q1838">SUMPRODUCT(([1]OUT_FinalEnergyCons!$B$4:$B$10000="var_cap")*1, (ISNUMBER(SEARCH("RH*-SHPLTBR",[1]OUT_FinalEnergyCons!$A$4:$A$10000)))*1,[1]OUT_FinalEnergyCons!O$4:O$10000)</f>
        <v>0.28236996284071242</v>
      </c>
      <c r="S1838" s="3"/>
    </row>
    <row r="1839" spans="2:19" x14ac:dyDescent="0.5">
      <c r="B1839" s="5" t="str">
        <f t="shared" ref="B1839:C1839" si="2033">B1838</f>
        <v>SPS1</v>
      </c>
      <c r="C1839" s="5" t="str">
        <f t="shared" si="2033"/>
        <v>CH</v>
      </c>
      <c r="D1839" t="s">
        <v>1875</v>
      </c>
      <c r="E1839" t="str">
        <f t="shared" si="2015"/>
        <v>GWth/yr.</v>
      </c>
      <c r="F1839" s="1">
        <f>F1840</f>
        <v>0.11420538213788967</v>
      </c>
      <c r="G1839" s="1">
        <f t="shared" ref="G1839:O1839" si="2034">G1840</f>
        <v>0.13742015384419803</v>
      </c>
      <c r="H1839" s="1">
        <f t="shared" si="2034"/>
        <v>0.13803339570059203</v>
      </c>
      <c r="I1839" s="1">
        <f t="shared" si="2034"/>
        <v>0.1385087607370446</v>
      </c>
      <c r="J1839" s="1">
        <f t="shared" si="2034"/>
        <v>0.13511463638332816</v>
      </c>
      <c r="K1839" s="1">
        <f t="shared" si="2034"/>
        <v>0.13147413922808235</v>
      </c>
      <c r="L1839" s="1">
        <f t="shared" si="2034"/>
        <v>0.13123489994185283</v>
      </c>
      <c r="M1839" s="1">
        <f t="shared" si="2034"/>
        <v>0.13112062535288471</v>
      </c>
      <c r="N1839" s="1">
        <f t="shared" si="2034"/>
        <v>0.12900053684563204</v>
      </c>
      <c r="O1839" s="1">
        <f t="shared" si="2034"/>
        <v>0.13046529757150943</v>
      </c>
      <c r="P1839" s="1">
        <f>P1840</f>
        <v>0.12729814816151169</v>
      </c>
      <c r="Q1839" s="1">
        <f>Q1840</f>
        <v>0.12561377932525913</v>
      </c>
      <c r="S1839" s="3"/>
    </row>
    <row r="1840" spans="2:19" x14ac:dyDescent="0.5">
      <c r="B1840" s="5" t="str">
        <f t="shared" ref="B1840:C1840" si="2035">B1839</f>
        <v>SPS1</v>
      </c>
      <c r="C1840" s="5" t="str">
        <f t="shared" si="2035"/>
        <v>CH</v>
      </c>
      <c r="D1840" t="s">
        <v>1876</v>
      </c>
      <c r="E1840" t="str">
        <f t="shared" si="2015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0.11420538213788967</v>
      </c>
      <c r="G1840" s="1" cm="1">
        <f t="array" ref="G1840">SUMPRODUCT(([1]OUT_FinalEnergyCons!$B$4:$B$10000="var_cap")*1, (ISNUMBER(SEARCH("RH*-SHSOLBR",[1]OUT_FinalEnergyCons!$A$4:$A$10000)))*1,[1]OUT_FinalEnergyCons!E$4:E$10000)</f>
        <v>0.13742015384419803</v>
      </c>
      <c r="H1840" s="1" cm="1">
        <f t="array" ref="H1840">SUMPRODUCT(([1]OUT_FinalEnergyCons!$B$4:$B$10000="var_cap")*1, (ISNUMBER(SEARCH("RH*-SHSOLBR",[1]OUT_FinalEnergyCons!$A$4:$A$10000)))*1,[1]OUT_FinalEnergyCons!F$4:F$10000)</f>
        <v>0.13803339570059203</v>
      </c>
      <c r="I1840" s="1" cm="1">
        <f t="array" ref="I1840">SUMPRODUCT(([1]OUT_FinalEnergyCons!$B$4:$B$10000="var_cap")*1, (ISNUMBER(SEARCH("RH*-SHSOLBR",[1]OUT_FinalEnergyCons!$A$4:$A$10000)))*1,[1]OUT_FinalEnergyCons!G$4:G$10000)</f>
        <v>0.1385087607370446</v>
      </c>
      <c r="J1840" s="1" cm="1">
        <f t="array" ref="J1840">SUMPRODUCT(([1]OUT_FinalEnergyCons!$B$4:$B$10000="var_cap")*1, (ISNUMBER(SEARCH("RH*-SHSOLBR",[1]OUT_FinalEnergyCons!$A$4:$A$10000)))*1,[1]OUT_FinalEnergyCons!H$4:H$10000)</f>
        <v>0.13511463638332816</v>
      </c>
      <c r="K1840" s="1" cm="1">
        <f t="array" ref="K1840">SUMPRODUCT(([1]OUT_FinalEnergyCons!$B$4:$B$10000="var_cap")*1, (ISNUMBER(SEARCH("RH*-SHSOLBR",[1]OUT_FinalEnergyCons!$A$4:$A$10000)))*1,[1]OUT_FinalEnergyCons!I$4:I$10000)</f>
        <v>0.13147413922808235</v>
      </c>
      <c r="L1840" s="1" cm="1">
        <f t="array" ref="L1840">SUMPRODUCT(([1]OUT_FinalEnergyCons!$B$4:$B$10000="var_cap")*1, (ISNUMBER(SEARCH("RH*-SHSOLBR",[1]OUT_FinalEnergyCons!$A$4:$A$10000)))*1,[1]OUT_FinalEnergyCons!J$4:J$10000)</f>
        <v>0.13123489994185283</v>
      </c>
      <c r="M1840" s="1" cm="1">
        <f t="array" ref="M1840">SUMPRODUCT(([1]OUT_FinalEnergyCons!$B$4:$B$10000="var_cap")*1, (ISNUMBER(SEARCH("RH*-SHSOLBR",[1]OUT_FinalEnergyCons!$A$4:$A$10000)))*1,[1]OUT_FinalEnergyCons!K$4:K$10000)</f>
        <v>0.13112062535288471</v>
      </c>
      <c r="N1840" s="1" cm="1">
        <f t="array" ref="N1840">SUMPRODUCT(([1]OUT_FinalEnergyCons!$B$4:$B$10000="var_cap")*1, (ISNUMBER(SEARCH("RH*-SHSOLBR",[1]OUT_FinalEnergyCons!$A$4:$A$10000)))*1,[1]OUT_FinalEnergyCons!L$4:L$10000)</f>
        <v>0.12900053684563204</v>
      </c>
      <c r="O1840" s="1" cm="1">
        <f t="array" ref="O1840">SUMPRODUCT(([1]OUT_FinalEnergyCons!$B$4:$B$10000="var_cap")*1, (ISNUMBER(SEARCH("RH*-SHSOLBR",[1]OUT_FinalEnergyCons!$A$4:$A$10000)))*1,[1]OUT_FinalEnergyCons!M$4:M$10000)</f>
        <v>0.13046529757150943</v>
      </c>
      <c r="P1840" s="1" cm="1">
        <f t="array" ref="P1840">SUMPRODUCT(([1]OUT_FinalEnergyCons!$B$4:$B$10000="var_cap")*1, (ISNUMBER(SEARCH("RH*-SHSOLBR",[1]OUT_FinalEnergyCons!$A$4:$A$10000)))*1,[1]OUT_FinalEnergyCons!N$4:N$10000)</f>
        <v>0.12729814816151169</v>
      </c>
      <c r="Q1840" s="1" cm="1">
        <f t="array" ref="Q1840">SUMPRODUCT(([1]OUT_FinalEnergyCons!$B$4:$B$10000="var_cap")*1, (ISNUMBER(SEARCH("RH*-SHSOLBR",[1]OUT_FinalEnergyCons!$A$4:$A$10000)))*1,[1]OUT_FinalEnergyCons!O$4:O$10000)</f>
        <v>0.12561377932525913</v>
      </c>
      <c r="S1840" s="3"/>
    </row>
    <row r="1841" spans="2:19" x14ac:dyDescent="0.5">
      <c r="B1841" s="5" t="str">
        <f t="shared" ref="B1841:C1841" si="2036">B1840</f>
        <v>SPS1</v>
      </c>
      <c r="C1841" s="5" t="str">
        <f t="shared" si="2036"/>
        <v>CH</v>
      </c>
      <c r="D1841" t="s">
        <v>1877</v>
      </c>
      <c r="E1841" t="str">
        <f t="shared" si="2015"/>
        <v>GWth/yr.</v>
      </c>
      <c r="F1841" s="1">
        <f>F1842</f>
        <v>0</v>
      </c>
      <c r="G1841" s="1">
        <f t="shared" ref="G1841:O1841" si="2037">G1842</f>
        <v>0</v>
      </c>
      <c r="H1841" s="1">
        <f t="shared" si="2037"/>
        <v>0</v>
      </c>
      <c r="I1841" s="1">
        <f t="shared" si="2037"/>
        <v>0</v>
      </c>
      <c r="J1841" s="1">
        <f t="shared" si="2037"/>
        <v>0</v>
      </c>
      <c r="K1841" s="1">
        <f t="shared" si="2037"/>
        <v>0</v>
      </c>
      <c r="L1841" s="1">
        <f t="shared" si="2037"/>
        <v>0</v>
      </c>
      <c r="M1841" s="1">
        <f t="shared" si="2037"/>
        <v>0</v>
      </c>
      <c r="N1841" s="1">
        <f t="shared" si="2037"/>
        <v>0</v>
      </c>
      <c r="O1841" s="1">
        <f t="shared" si="2037"/>
        <v>0</v>
      </c>
      <c r="P1841" s="1">
        <f>P1842</f>
        <v>0</v>
      </c>
      <c r="Q1841" s="1">
        <f>Q1842</f>
        <v>0</v>
      </c>
      <c r="S1841" s="3"/>
    </row>
    <row r="1842" spans="2:19" x14ac:dyDescent="0.5">
      <c r="B1842" s="5" t="str">
        <f t="shared" ref="B1842:C1842" si="2038">B1841</f>
        <v>SPS1</v>
      </c>
      <c r="C1842" s="5" t="str">
        <f t="shared" si="2038"/>
        <v>CH</v>
      </c>
      <c r="D1842" t="s">
        <v>1878</v>
      </c>
      <c r="E1842" t="str">
        <f t="shared" si="2015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SUMPRODUCT(([1]OUT_FinalEnergyCons!$B$4:$B$10000="var_cap")*1, (ISNUMBER(SEARCH("RH*-SHH2BR",[1]OUT_FinalEnergyCons!$A$4:$A$10000)))*1,[1]OUT_FinalEnergyCons!H$4:H$10000)</f>
        <v>0</v>
      </c>
      <c r="K1842" s="1" cm="1">
        <f t="array" ref="K1842">SUMPRODUCT(([1]OUT_FinalEnergyCons!$B$4:$B$10000="var_cap")*1, (ISNUMBER(SEARCH("RH*-SHH2BR",[1]OUT_FinalEnergyCons!$A$4:$A$10000)))*1,[1]OUT_FinalEnergyCons!I$4:I$10000)</f>
        <v>0</v>
      </c>
      <c r="L1842" s="1" cm="1">
        <f t="array" ref="L1842">SUMPRODUCT(([1]OUT_FinalEnergyCons!$B$4:$B$10000="var_cap")*1, (ISNUMBER(SEARCH("RH*-SHH2BR",[1]OUT_FinalEnergyCons!$A$4:$A$10000)))*1,[1]OUT_FinalEnergyCons!J$4:J$10000)</f>
        <v>0</v>
      </c>
      <c r="M1842" s="1" cm="1">
        <f t="array" ref="M1842">SUMPRODUCT(([1]OUT_FinalEnergyCons!$B$4:$B$10000="var_cap")*1, (ISNUMBER(SEARCH("RH*-SHH2BR",[1]OUT_FinalEnergyCons!$A$4:$A$10000)))*1,[1]OUT_FinalEnergyCons!K$4:K$10000)</f>
        <v>0</v>
      </c>
      <c r="N1842" s="1" cm="1">
        <f t="array" ref="N1842">SUMPRODUCT(([1]OUT_FinalEnergyCons!$B$4:$B$10000="var_cap")*1, (ISNUMBER(SEARCH("RH*-SHH2BR",[1]OUT_FinalEnergyCons!$A$4:$A$10000)))*1,[1]OUT_FinalEnergyCons!L$4:L$10000)</f>
        <v>0</v>
      </c>
      <c r="O1842" s="1" cm="1">
        <f t="array" ref="O1842">SUMPRODUCT(([1]OUT_FinalEnergyCons!$B$4:$B$10000="var_cap")*1, (ISNUMBER(SEARCH("RH*-SHH2BR",[1]OUT_FinalEnergyCons!$A$4:$A$10000)))*1,[1]OUT_FinalEnergyCons!M$4:M$10000)</f>
        <v>0</v>
      </c>
      <c r="P1842" s="1" cm="1">
        <f t="array" ref="P1842">SUMPRODUCT(([1]OUT_FinalEnergyCons!$B$4:$B$10000="var_cap")*1, (ISNUMBER(SEARCH("RH*-SHH2BR",[1]OUT_FinalEnergyCons!$A$4:$A$10000)))*1,[1]OUT_FinalEnergyCons!N$4:N$10000)</f>
        <v>0</v>
      </c>
      <c r="Q1842" s="1" cm="1">
        <f t="array" ref="Q1842">SUMPRODUCT(([1]OUT_FinalEnergyCons!$B$4:$B$10000="var_cap")*1, (ISNUMBER(SEARCH("RH*-SHH2BR",[1]OUT_FinalEnergyCons!$A$4:$A$10000)))*1,[1]OUT_FinalEnergyCons!O$4:O$10000)</f>
        <v>0</v>
      </c>
      <c r="S1842" s="3"/>
    </row>
    <row r="1843" spans="2:19" x14ac:dyDescent="0.5">
      <c r="B1843" s="5" t="str">
        <f t="shared" ref="B1843:C1843" si="2039">B1842</f>
        <v>SPS1</v>
      </c>
      <c r="C1843" s="5" t="str">
        <f t="shared" si="2039"/>
        <v>CH</v>
      </c>
      <c r="D1843" t="s">
        <v>1879</v>
      </c>
      <c r="E1843" t="str">
        <f t="shared" si="2015"/>
        <v>GWth/yr.</v>
      </c>
      <c r="F1843" s="1">
        <f>SUM(F1844,F1847,F1849,F1852,F1854,F1856,F1858,F1860)</f>
        <v>1.861014068673992</v>
      </c>
      <c r="G1843" s="1">
        <f t="shared" ref="G1843" si="2040">SUM(G1844,G1847,G1849,G1852,G1854,G1856,G1858,G1860)</f>
        <v>2.0189646771512768</v>
      </c>
      <c r="H1843" s="1">
        <f t="shared" ref="H1843" si="2041">SUM(H1844,H1847,H1849,H1852,H1854,H1856,H1858,H1860)</f>
        <v>1.9883925244090137</v>
      </c>
      <c r="I1843" s="1">
        <f t="shared" ref="I1843" si="2042">SUM(I1844,I1847,I1849,I1852,I1854,I1856,I1858,I1860)</f>
        <v>2.0665136536233053</v>
      </c>
      <c r="J1843" s="1">
        <f t="shared" ref="J1843" si="2043">SUM(J1844,J1847,J1849,J1852,J1854,J1856,J1858,J1860)</f>
        <v>1.7853008480336805</v>
      </c>
      <c r="K1843" s="1">
        <f t="shared" ref="K1843" si="2044">SUM(K1844,K1847,K1849,K1852,K1854,K1856,K1858,K1860)</f>
        <v>1.7497385477335039</v>
      </c>
      <c r="L1843" s="1">
        <f t="shared" ref="L1843:O1843" si="2045">SUM(L1844,L1847,L1849,L1852,L1854,L1856,L1858,L1860)</f>
        <v>1.7576401052607422</v>
      </c>
      <c r="M1843" s="1">
        <f t="shared" si="2045"/>
        <v>1.6890881774202675</v>
      </c>
      <c r="N1843" s="1">
        <f t="shared" si="2045"/>
        <v>1.7229854614759341</v>
      </c>
      <c r="O1843" s="1">
        <f t="shared" si="2045"/>
        <v>1.6810638710843717</v>
      </c>
      <c r="P1843" s="1">
        <f>SUM(P1844,P1847,P1849,P1852,P1854,P1856,P1858,P1860)</f>
        <v>1.6479002597695045</v>
      </c>
      <c r="Q1843" s="1">
        <f>SUM(Q1844,Q1847,Q1849,Q1852,Q1854,Q1856,Q1858,Q1860)</f>
        <v>1.613928323660794</v>
      </c>
      <c r="S1843" s="3"/>
    </row>
    <row r="1844" spans="2:19" x14ac:dyDescent="0.5">
      <c r="B1844" s="5" t="str">
        <f t="shared" ref="B1844:C1844" si="2046">B1843</f>
        <v>SPS1</v>
      </c>
      <c r="C1844" s="5" t="str">
        <f t="shared" si="2046"/>
        <v>CH</v>
      </c>
      <c r="D1844" t="s">
        <v>1880</v>
      </c>
      <c r="E1844" t="str">
        <f t="shared" si="2015"/>
        <v>GWth/yr.</v>
      </c>
      <c r="F1844" s="1">
        <f>SUM(F1845:F1846)</f>
        <v>0.65095596015184742</v>
      </c>
      <c r="G1844" s="1">
        <f t="shared" ref="G1844" si="2047">SUM(G1845:G1846)</f>
        <v>0.71910179423382636</v>
      </c>
      <c r="H1844" s="1">
        <f t="shared" ref="H1844" si="2048">SUM(H1845:H1846)</f>
        <v>0.80994410591002708</v>
      </c>
      <c r="I1844" s="1">
        <f t="shared" ref="I1844" si="2049">SUM(I1845:I1846)</f>
        <v>0.88222751497805196</v>
      </c>
      <c r="J1844" s="1">
        <f t="shared" ref="J1844" si="2050">SUM(J1845:J1846)</f>
        <v>0.8100497960778702</v>
      </c>
      <c r="K1844" s="1">
        <f t="shared" ref="K1844" si="2051">SUM(K1845:K1846)</f>
        <v>0.79441997382582885</v>
      </c>
      <c r="L1844" s="1">
        <f t="shared" ref="L1844:O1844" si="2052">SUM(L1845:L1846)</f>
        <v>0.80914254293752896</v>
      </c>
      <c r="M1844" s="1">
        <f t="shared" si="2052"/>
        <v>0.6922487027076355</v>
      </c>
      <c r="N1844" s="1">
        <f t="shared" si="2052"/>
        <v>0.74834575209700038</v>
      </c>
      <c r="O1844" s="1">
        <f t="shared" si="2052"/>
        <v>0.74640994040018083</v>
      </c>
      <c r="P1844" s="1">
        <f>SUM(P1845:P1846)</f>
        <v>0.6510113402505856</v>
      </c>
      <c r="Q1844" s="1">
        <f>SUM(Q1845:Q1846)</f>
        <v>0.73557221181875654</v>
      </c>
      <c r="S1844" s="3"/>
    </row>
    <row r="1845" spans="2:19" x14ac:dyDescent="0.5">
      <c r="B1845" s="5" t="str">
        <f t="shared" ref="B1845:C1845" si="2053">B1844</f>
        <v>SPS1</v>
      </c>
      <c r="C1845" s="5" t="str">
        <f t="shared" si="2053"/>
        <v>CH</v>
      </c>
      <c r="D1845" t="s">
        <v>1881</v>
      </c>
      <c r="E1845" t="str">
        <f t="shared" si="2015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0.43759989369067148</v>
      </c>
      <c r="G1845" s="1" cm="1">
        <f t="array" ref="G1845">SUMPRODUCT(([1]OUT_FinalEnergyCons!$B$4:$B$10000="var_cap")*1,(ISNUMBER(SEARCH("RH*-WHELCBR",[1]OUT_FinalEnergyCons!$A$4:$A$10000)))*1,[1]OUT_FinalEnergyCons!E$4:E$10000)</f>
        <v>0.4729538499126863</v>
      </c>
      <c r="H1845" s="1" cm="1">
        <f t="array" ref="H1845">SUMPRODUCT(([1]OUT_FinalEnergyCons!$B$4:$B$10000="var_cap")*1,(ISNUMBER(SEARCH("RH*-WHELCBR",[1]OUT_FinalEnergyCons!$A$4:$A$10000)))*1,[1]OUT_FinalEnergyCons!F$4:F$10000)</f>
        <v>0.47295945518453114</v>
      </c>
      <c r="I1845" s="1" cm="1">
        <f t="array" ref="I1845">SUMPRODUCT(([1]OUT_FinalEnergyCons!$B$4:$B$10000="var_cap")*1,(ISNUMBER(SEARCH("RH*-WHELCBR",[1]OUT_FinalEnergyCons!$A$4:$A$10000)))*1,[1]OUT_FinalEnergyCons!G$4:G$10000)</f>
        <v>0.47295906369067003</v>
      </c>
      <c r="J1845" s="1" cm="1">
        <f t="array" ref="J1845">SUMPRODUCT(([1]OUT_FinalEnergyCons!$B$4:$B$10000="var_cap")*1,(ISNUMBER(SEARCH("RH*-WHELCBR",[1]OUT_FinalEnergyCons!$A$4:$A$10000)))*1,[1]OUT_FinalEnergyCons!H$4:H$10000)</f>
        <v>0.28095033277480463</v>
      </c>
      <c r="K1845" s="1" cm="1">
        <f t="array" ref="K1845">SUMPRODUCT(([1]OUT_FinalEnergyCons!$B$4:$B$10000="var_cap")*1,(ISNUMBER(SEARCH("RH*-WHELCBR",[1]OUT_FinalEnergyCons!$A$4:$A$10000)))*1,[1]OUT_FinalEnergyCons!I$4:I$10000)</f>
        <v>0.24958993946503455</v>
      </c>
      <c r="L1845" s="1" cm="1">
        <f t="array" ref="L1845">SUMPRODUCT(([1]OUT_FinalEnergyCons!$B$4:$B$10000="var_cap")*1,(ISNUMBER(SEARCH("RH*-WHELCBR",[1]OUT_FinalEnergyCons!$A$4:$A$10000)))*1,[1]OUT_FinalEnergyCons!J$4:J$10000)</f>
        <v>0.24960551009185411</v>
      </c>
      <c r="M1845" s="1" cm="1">
        <f t="array" ref="M1845">SUMPRODUCT(([1]OUT_FinalEnergyCons!$B$4:$B$10000="var_cap")*1,(ISNUMBER(SEARCH("RH*-WHELCBR",[1]OUT_FinalEnergyCons!$A$4:$A$10000)))*1,[1]OUT_FinalEnergyCons!K$4:K$10000)</f>
        <v>0.13064209314495936</v>
      </c>
      <c r="N1845" s="1" cm="1">
        <f t="array" ref="N1845">SUMPRODUCT(([1]OUT_FinalEnergyCons!$B$4:$B$10000="var_cap")*1,(ISNUMBER(SEARCH("RH*-WHELCBR",[1]OUT_FinalEnergyCons!$A$4:$A$10000)))*1,[1]OUT_FinalEnergyCons!L$4:L$10000)</f>
        <v>4.5824900729280221E-2</v>
      </c>
      <c r="O1845" s="1" cm="1">
        <f t="array" ref="O1845">SUMPRODUCT(([1]OUT_FinalEnergyCons!$B$4:$B$10000="var_cap")*1,(ISNUMBER(SEARCH("RH*-WHELCBR",[1]OUT_FinalEnergyCons!$A$4:$A$10000)))*1,[1]OUT_FinalEnergyCons!M$4:M$10000)</f>
        <v>3.5494623342952128E-2</v>
      </c>
      <c r="P1845" s="1" cm="1">
        <f t="array" ref="P1845">SUMPRODUCT(([1]OUT_FinalEnergyCons!$B$4:$B$10000="var_cap")*1,(ISNUMBER(SEARCH("RH*-WHELCBR",[1]OUT_FinalEnergyCons!$A$4:$A$10000)))*1,[1]OUT_FinalEnergyCons!N$4:N$10000)</f>
        <v>3.3278889177644856E-2</v>
      </c>
      <c r="Q1845" s="1" cm="1">
        <f t="array" ref="Q1845">SUMPRODUCT(([1]OUT_FinalEnergyCons!$B$4:$B$10000="var_cap")*1,(ISNUMBER(SEARCH("RH*-WHELCBR",[1]OUT_FinalEnergyCons!$A$4:$A$10000)))*1,[1]OUT_FinalEnergyCons!O$4:O$10000)</f>
        <v>2.8616786098211854E-2</v>
      </c>
      <c r="S1845" s="3"/>
    </row>
    <row r="1846" spans="2:19" x14ac:dyDescent="0.5">
      <c r="B1846" s="5" t="str">
        <f t="shared" ref="B1846:C1846" si="2054">B1845</f>
        <v>SPS1</v>
      </c>
      <c r="C1846" s="5" t="str">
        <f t="shared" si="2054"/>
        <v>CH</v>
      </c>
      <c r="D1846" t="s">
        <v>1882</v>
      </c>
      <c r="E1846" t="str">
        <f t="shared" si="2015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0.21335606646117594</v>
      </c>
      <c r="G1846" s="1" cm="1">
        <f t="array" ref="G1846">SUMPRODUCT(([1]OUT_FinalEnergyCons!$B$4:$B$10000="var_cap")*1,ISNUMBER(SEARCH("RH*-WHELCHP",[1]OUT_FinalEnergyCons!$A$4:$A$10000))*1,[1]OUT_FinalEnergyCons!E$4:E$10000)</f>
        <v>0.24614794432114009</v>
      </c>
      <c r="H1846" s="1" cm="1">
        <f t="array" ref="H1846">SUMPRODUCT(([1]OUT_FinalEnergyCons!$B$4:$B$10000="var_cap")*1,ISNUMBER(SEARCH("RH*-WHELCHP",[1]OUT_FinalEnergyCons!$A$4:$A$10000))*1,[1]OUT_FinalEnergyCons!F$4:F$10000)</f>
        <v>0.33698465072549594</v>
      </c>
      <c r="I1846" s="1" cm="1">
        <f t="array" ref="I1846">SUMPRODUCT(([1]OUT_FinalEnergyCons!$B$4:$B$10000="var_cap")*1,ISNUMBER(SEARCH("RH*-WHELCHP",[1]OUT_FinalEnergyCons!$A$4:$A$10000))*1,[1]OUT_FinalEnergyCons!G$4:G$10000)</f>
        <v>0.40926845128738193</v>
      </c>
      <c r="J1846" s="1" cm="1">
        <f t="array" ref="J1846">SUMPRODUCT(([1]OUT_FinalEnergyCons!$B$4:$B$10000="var_cap")*1,ISNUMBER(SEARCH("RH*-WHELCHP",[1]OUT_FinalEnergyCons!$A$4:$A$10000))*1,[1]OUT_FinalEnergyCons!H$4:H$10000)</f>
        <v>0.52909946330306556</v>
      </c>
      <c r="K1846" s="1" cm="1">
        <f t="array" ref="K1846">SUMPRODUCT(([1]OUT_FinalEnergyCons!$B$4:$B$10000="var_cap")*1,ISNUMBER(SEARCH("RH*-WHELCHP",[1]OUT_FinalEnergyCons!$A$4:$A$10000))*1,[1]OUT_FinalEnergyCons!I$4:I$10000)</f>
        <v>0.54483003436079436</v>
      </c>
      <c r="L1846" s="1" cm="1">
        <f t="array" ref="L1846">SUMPRODUCT(([1]OUT_FinalEnergyCons!$B$4:$B$10000="var_cap")*1,ISNUMBER(SEARCH("RH*-WHELCHP",[1]OUT_FinalEnergyCons!$A$4:$A$10000))*1,[1]OUT_FinalEnergyCons!J$4:J$10000)</f>
        <v>0.5595370328456748</v>
      </c>
      <c r="M1846" s="1" cm="1">
        <f t="array" ref="M1846">SUMPRODUCT(([1]OUT_FinalEnergyCons!$B$4:$B$10000="var_cap")*1,ISNUMBER(SEARCH("RH*-WHELCHP",[1]OUT_FinalEnergyCons!$A$4:$A$10000))*1,[1]OUT_FinalEnergyCons!K$4:K$10000)</f>
        <v>0.56160660956267616</v>
      </c>
      <c r="N1846" s="1" cm="1">
        <f t="array" ref="N1846">SUMPRODUCT(([1]OUT_FinalEnergyCons!$B$4:$B$10000="var_cap")*1,ISNUMBER(SEARCH("RH*-WHELCHP",[1]OUT_FinalEnergyCons!$A$4:$A$10000))*1,[1]OUT_FinalEnergyCons!L$4:L$10000)</f>
        <v>0.70252085136772013</v>
      </c>
      <c r="O1846" s="1" cm="1">
        <f t="array" ref="O1846">SUMPRODUCT(([1]OUT_FinalEnergyCons!$B$4:$B$10000="var_cap")*1,ISNUMBER(SEARCH("RH*-WHELCHP",[1]OUT_FinalEnergyCons!$A$4:$A$10000))*1,[1]OUT_FinalEnergyCons!M$4:M$10000)</f>
        <v>0.71091531705722866</v>
      </c>
      <c r="P1846" s="1" cm="1">
        <f t="array" ref="P1846">SUMPRODUCT(([1]OUT_FinalEnergyCons!$B$4:$B$10000="var_cap")*1,ISNUMBER(SEARCH("RH*-WHELCHP",[1]OUT_FinalEnergyCons!$A$4:$A$10000))*1,[1]OUT_FinalEnergyCons!N$4:N$10000)</f>
        <v>0.61773245107294072</v>
      </c>
      <c r="Q1846" s="1" cm="1">
        <f t="array" ref="Q1846">SUMPRODUCT(([1]OUT_FinalEnergyCons!$B$4:$B$10000="var_cap")*1,ISNUMBER(SEARCH("RH*-WHELCHP",[1]OUT_FinalEnergyCons!$A$4:$A$10000))*1,[1]OUT_FinalEnergyCons!O$4:O$10000)</f>
        <v>0.70695542572054471</v>
      </c>
      <c r="S1846" s="3"/>
    </row>
    <row r="1847" spans="2:19" x14ac:dyDescent="0.5">
      <c r="B1847" s="5" t="str">
        <f t="shared" ref="B1847:C1847" si="2055">B1846</f>
        <v>SPS1</v>
      </c>
      <c r="C1847" s="5" t="str">
        <f t="shared" si="2055"/>
        <v>CH</v>
      </c>
      <c r="D1847" t="s">
        <v>1883</v>
      </c>
      <c r="E1847" t="str">
        <f t="shared" si="2015"/>
        <v>GWth/yr.</v>
      </c>
      <c r="F1847" s="1">
        <f>F1848</f>
        <v>0.47738433216181703</v>
      </c>
      <c r="G1847" s="1">
        <f t="shared" ref="G1847" si="2056">G1848</f>
        <v>0.47737876340933061</v>
      </c>
      <c r="H1847" s="1">
        <f t="shared" ref="H1847" si="2057">H1848</f>
        <v>0.17334161299899736</v>
      </c>
      <c r="I1847" s="1">
        <f t="shared" ref="I1847" si="2058">I1848</f>
        <v>0.17329207531832919</v>
      </c>
      <c r="J1847" s="1">
        <f t="shared" ref="J1847" si="2059">J1848</f>
        <v>4.4943380414732309E-2</v>
      </c>
      <c r="K1847" s="1">
        <f t="shared" ref="K1847:O1847" si="2060">K1848</f>
        <v>1.0363956522948913E-3</v>
      </c>
      <c r="L1847" s="1">
        <f t="shared" si="2060"/>
        <v>1.0883678287386214E-3</v>
      </c>
      <c r="M1847" s="1">
        <f t="shared" si="2060"/>
        <v>1.0840080294105912E-3</v>
      </c>
      <c r="N1847" s="1">
        <f t="shared" si="2060"/>
        <v>1.3349265460587303E-3</v>
      </c>
      <c r="O1847" s="1">
        <f t="shared" si="2060"/>
        <v>2.0780158454179413E-3</v>
      </c>
      <c r="P1847" s="1">
        <f>P1848</f>
        <v>1.7409634658841684E-3</v>
      </c>
      <c r="Q1847" s="1">
        <f>Q1848</f>
        <v>4.4607920107194938E-3</v>
      </c>
      <c r="S1847" s="3"/>
    </row>
    <row r="1848" spans="2:19" x14ac:dyDescent="0.5">
      <c r="B1848" s="5" t="str">
        <f t="shared" ref="B1848:C1848" si="2061">B1847</f>
        <v>SPS1</v>
      </c>
      <c r="C1848" s="5" t="str">
        <f t="shared" si="2061"/>
        <v>CH</v>
      </c>
      <c r="D1848" t="s">
        <v>1884</v>
      </c>
      <c r="E1848" t="str">
        <f t="shared" si="2015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0.47737876340933061</v>
      </c>
      <c r="H1848" s="1" cm="1">
        <f t="array" ref="H1848">SUMPRODUCT(([1]OUT_FinalEnergyCons!$B$4:$B$10000="var_cap")*1, (ISNUMBER(SEARCH("RH*-WHLFOBR",[1]OUT_FinalEnergyCons!$A$4:$A$10000)))*1,[1]OUT_FinalEnergyCons!F$4:F$10000)</f>
        <v>0.17334161299899736</v>
      </c>
      <c r="I1848" s="1" cm="1">
        <f t="array" ref="I1848">SUMPRODUCT(([1]OUT_FinalEnergyCons!$B$4:$B$10000="var_cap")*1, (ISNUMBER(SEARCH("RH*-WHLFOBR",[1]OUT_FinalEnergyCons!$A$4:$A$10000)))*1,[1]OUT_FinalEnergyCons!G$4:G$10000)</f>
        <v>0.17329207531832919</v>
      </c>
      <c r="J1848" s="1" cm="1">
        <f t="array" ref="J1848">SUMPRODUCT(([1]OUT_FinalEnergyCons!$B$4:$B$10000="var_cap")*1, (ISNUMBER(SEARCH("RH*-WHLFOBR",[1]OUT_FinalEnergyCons!$A$4:$A$10000)))*1,[1]OUT_FinalEnergyCons!H$4:H$10000)</f>
        <v>4.4943380414732309E-2</v>
      </c>
      <c r="K1848" s="1" cm="1">
        <f t="array" ref="K1848">SUMPRODUCT(([1]OUT_FinalEnergyCons!$B$4:$B$10000="var_cap")*1, (ISNUMBER(SEARCH("RH*-WHLFOBR",[1]OUT_FinalEnergyCons!$A$4:$A$10000)))*1,[1]OUT_FinalEnergyCons!I$4:I$10000)</f>
        <v>1.0363956522948913E-3</v>
      </c>
      <c r="L1848" s="1" cm="1">
        <f t="array" ref="L1848">SUMPRODUCT(([1]OUT_FinalEnergyCons!$B$4:$B$10000="var_cap")*1, (ISNUMBER(SEARCH("RH*-WHLFOBR",[1]OUT_FinalEnergyCons!$A$4:$A$10000)))*1,[1]OUT_FinalEnergyCons!J$4:J$10000)</f>
        <v>1.0883678287386214E-3</v>
      </c>
      <c r="M1848" s="1" cm="1">
        <f t="array" ref="M1848">SUMPRODUCT(([1]OUT_FinalEnergyCons!$B$4:$B$10000="var_cap")*1, (ISNUMBER(SEARCH("RH*-WHLFOBR",[1]OUT_FinalEnergyCons!$A$4:$A$10000)))*1,[1]OUT_FinalEnergyCons!K$4:K$10000)</f>
        <v>1.0840080294105912E-3</v>
      </c>
      <c r="N1848" s="1" cm="1">
        <f t="array" ref="N1848">SUMPRODUCT(([1]OUT_FinalEnergyCons!$B$4:$B$10000="var_cap")*1, (ISNUMBER(SEARCH("RH*-WHLFOBR",[1]OUT_FinalEnergyCons!$A$4:$A$10000)))*1,[1]OUT_FinalEnergyCons!L$4:L$10000)</f>
        <v>1.3349265460587303E-3</v>
      </c>
      <c r="O1848" s="1" cm="1">
        <f t="array" ref="O1848">SUMPRODUCT(([1]OUT_FinalEnergyCons!$B$4:$B$10000="var_cap")*1, (ISNUMBER(SEARCH("RH*-WHLFOBR",[1]OUT_FinalEnergyCons!$A$4:$A$10000)))*1,[1]OUT_FinalEnergyCons!M$4:M$10000)</f>
        <v>2.0780158454179413E-3</v>
      </c>
      <c r="P1848" s="1" cm="1">
        <f t="array" ref="P1848">SUMPRODUCT(([1]OUT_FinalEnergyCons!$B$4:$B$10000="var_cap")*1, (ISNUMBER(SEARCH("RH*-WHLFOBR",[1]OUT_FinalEnergyCons!$A$4:$A$10000)))*1,[1]OUT_FinalEnergyCons!N$4:N$10000)</f>
        <v>1.7409634658841684E-3</v>
      </c>
      <c r="Q1848" s="1" cm="1">
        <f t="array" ref="Q1848">SUMPRODUCT(([1]OUT_FinalEnergyCons!$B$4:$B$10000="var_cap")*1, (ISNUMBER(SEARCH("RH*-WHLFOBR",[1]OUT_FinalEnergyCons!$A$4:$A$10000)))*1,[1]OUT_FinalEnergyCons!O$4:O$10000)</f>
        <v>4.4607920107194938E-3</v>
      </c>
      <c r="S1848" s="3"/>
    </row>
    <row r="1849" spans="2:19" x14ac:dyDescent="0.5">
      <c r="B1849" s="5" t="str">
        <f t="shared" ref="B1849:C1849" si="2062">B1848</f>
        <v>SPS1</v>
      </c>
      <c r="C1849" s="5" t="str">
        <f t="shared" si="2062"/>
        <v>CH</v>
      </c>
      <c r="D1849" t="s">
        <v>1885</v>
      </c>
      <c r="E1849" t="str">
        <f t="shared" si="2015"/>
        <v>GWth/yr.</v>
      </c>
      <c r="F1849" s="1">
        <f>SUM(F1850:F1851)</f>
        <v>0.43610075806793741</v>
      </c>
      <c r="G1849" s="1">
        <f t="shared" ref="G1849" si="2063">SUM(G1850:G1851)</f>
        <v>0.43610356322916943</v>
      </c>
      <c r="H1849" s="1">
        <f t="shared" ref="H1849" si="2064">SUM(H1850:H1851)</f>
        <v>0.62101990027307397</v>
      </c>
      <c r="I1849" s="1">
        <f t="shared" ref="I1849" si="2065">SUM(I1850:I1851)</f>
        <v>0.62694799834322235</v>
      </c>
      <c r="J1849" s="1">
        <f t="shared" ref="J1849" si="2066">SUM(J1850:J1851)</f>
        <v>0.72377929438184385</v>
      </c>
      <c r="K1849" s="1">
        <f t="shared" ref="K1849" si="2067">SUM(K1850:K1851)</f>
        <v>0.76666527985661237</v>
      </c>
      <c r="L1849" s="1">
        <f t="shared" ref="L1849:O1849" si="2068">SUM(L1850:L1851)</f>
        <v>0.75960667911194446</v>
      </c>
      <c r="M1849" s="1">
        <f t="shared" si="2068"/>
        <v>0.82137821760629648</v>
      </c>
      <c r="N1849" s="1">
        <f t="shared" si="2068"/>
        <v>0.80133895487820284</v>
      </c>
      <c r="O1849" s="1">
        <f t="shared" si="2068"/>
        <v>0.76960368319354555</v>
      </c>
      <c r="P1849" s="1">
        <f>SUM(P1850:P1851)</f>
        <v>0.83107492868569466</v>
      </c>
      <c r="Q1849" s="1">
        <f>SUM(Q1850:Q1851)</f>
        <v>0.73377220246961761</v>
      </c>
      <c r="S1849" s="3"/>
    </row>
    <row r="1850" spans="2:19" x14ac:dyDescent="0.5">
      <c r="B1850" s="5" t="str">
        <f t="shared" ref="B1850:C1850" si="2069">B1849</f>
        <v>SPS1</v>
      </c>
      <c r="C1850" s="5" t="str">
        <f t="shared" si="2069"/>
        <v>CH</v>
      </c>
      <c r="D1850" t="s">
        <v>1886</v>
      </c>
      <c r="E1850" t="str">
        <f t="shared" si="2015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0.4361027271940483</v>
      </c>
      <c r="H1850" s="1" cm="1">
        <f t="array" ref="H1850">SUMPRODUCT(([1]OUT_FinalEnergyCons!$B$4:$B$10000="var_cap")*1, (ISNUMBER(SEARCH("RH*-WHNGABR",[1]OUT_FinalEnergyCons!$A$4:$A$10000)))*1,[1]OUT_FinalEnergyCons!F$4:F$10000)</f>
        <v>0.62039384058361813</v>
      </c>
      <c r="I1850" s="1" cm="1">
        <f t="array" ref="I1850">SUMPRODUCT(([1]OUT_FinalEnergyCons!$B$4:$B$10000="var_cap")*1, (ISNUMBER(SEARCH("RH*-WHNGABR",[1]OUT_FinalEnergyCons!$A$4:$A$10000)))*1,[1]OUT_FinalEnergyCons!G$4:G$10000)</f>
        <v>0.62631165800823463</v>
      </c>
      <c r="J1850" s="1" cm="1">
        <f t="array" ref="J1850">SUMPRODUCT(([1]OUT_FinalEnergyCons!$B$4:$B$10000="var_cap")*1, (ISNUMBER(SEARCH("RH*-WHNGABR",[1]OUT_FinalEnergyCons!$A$4:$A$10000)))*1,[1]OUT_FinalEnergyCons!H$4:H$10000)</f>
        <v>0.68913266764975445</v>
      </c>
      <c r="K1850" s="1" cm="1">
        <f t="array" ref="K1850">SUMPRODUCT(([1]OUT_FinalEnergyCons!$B$4:$B$10000="var_cap")*1, (ISNUMBER(SEARCH("RH*-WHNGABR",[1]OUT_FinalEnergyCons!$A$4:$A$10000)))*1,[1]OUT_FinalEnergyCons!I$4:I$10000)</f>
        <v>0.67699059515007753</v>
      </c>
      <c r="L1850" s="1" cm="1">
        <f t="array" ref="L1850">SUMPRODUCT(([1]OUT_FinalEnergyCons!$B$4:$B$10000="var_cap")*1, (ISNUMBER(SEARCH("RH*-WHNGABR",[1]OUT_FinalEnergyCons!$A$4:$A$10000)))*1,[1]OUT_FinalEnergyCons!J$4:J$10000)</f>
        <v>0.63775172385997225</v>
      </c>
      <c r="M1850" s="1" cm="1">
        <f t="array" ref="M1850">SUMPRODUCT(([1]OUT_FinalEnergyCons!$B$4:$B$10000="var_cap")*1, (ISNUMBER(SEARCH("RH*-WHNGABR",[1]OUT_FinalEnergyCons!$A$4:$A$10000)))*1,[1]OUT_FinalEnergyCons!K$4:K$10000)</f>
        <v>0.61659387861477877</v>
      </c>
      <c r="N1850" s="1" cm="1">
        <f t="array" ref="N1850">SUMPRODUCT(([1]OUT_FinalEnergyCons!$B$4:$B$10000="var_cap")*1, (ISNUMBER(SEARCH("RH*-WHNGABR",[1]OUT_FinalEnergyCons!$A$4:$A$10000)))*1,[1]OUT_FinalEnergyCons!L$4:L$10000)</f>
        <v>0.58325197734302459</v>
      </c>
      <c r="O1850" s="1" cm="1">
        <f t="array" ref="O1850">SUMPRODUCT(([1]OUT_FinalEnergyCons!$B$4:$B$10000="var_cap")*1, (ISNUMBER(SEARCH("RH*-WHNGABR",[1]OUT_FinalEnergyCons!$A$4:$A$10000)))*1,[1]OUT_FinalEnergyCons!M$4:M$10000)</f>
        <v>0.54164383869716748</v>
      </c>
      <c r="P1850" s="1" cm="1">
        <f t="array" ref="P1850">SUMPRODUCT(([1]OUT_FinalEnergyCons!$B$4:$B$10000="var_cap")*1, (ISNUMBER(SEARCH("RH*-WHNGABR",[1]OUT_FinalEnergyCons!$A$4:$A$10000)))*1,[1]OUT_FinalEnergyCons!N$4:N$10000)</f>
        <v>0.53049060963703187</v>
      </c>
      <c r="Q1850" s="1" cm="1">
        <f t="array" ref="Q1850">SUMPRODUCT(([1]OUT_FinalEnergyCons!$B$4:$B$10000="var_cap")*1, (ISNUMBER(SEARCH("RH*-WHNGABR",[1]OUT_FinalEnergyCons!$A$4:$A$10000)))*1,[1]OUT_FinalEnergyCons!O$4:O$10000)</f>
        <v>0.43206409390377765</v>
      </c>
      <c r="S1850" s="3"/>
    </row>
    <row r="1851" spans="2:19" x14ac:dyDescent="0.5">
      <c r="B1851" s="5" t="str">
        <f t="shared" ref="B1851:C1851" si="2070">B1850</f>
        <v>SPS1</v>
      </c>
      <c r="C1851" s="5" t="str">
        <f t="shared" si="2070"/>
        <v>CH</v>
      </c>
      <c r="D1851" t="s">
        <v>1887</v>
      </c>
      <c r="E1851" t="str">
        <f t="shared" si="2015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8.3603512115061225E-7</v>
      </c>
      <c r="H1851" s="1" cm="1">
        <f t="array" ref="H1851">SUMPRODUCT(([1]OUT_FinalEnergyCons!$B$4:$B$10000="var_cap")*1,ISNUMBER(SEARCH("RH*-WHngahp",[1]OUT_FinalEnergyCons!$A$4:$A$10000))*1,[1]OUT_FinalEnergyCons!F$4:F$10000)</f>
        <v>6.2605968945581806E-4</v>
      </c>
      <c r="I1851" s="1" cm="1">
        <f t="array" ref="I1851">SUMPRODUCT(([1]OUT_FinalEnergyCons!$B$4:$B$10000="var_cap")*1,ISNUMBER(SEARCH("RH*-WHngahp",[1]OUT_FinalEnergyCons!$A$4:$A$10000))*1,[1]OUT_FinalEnergyCons!G$4:G$10000)</f>
        <v>6.3634033498771638E-4</v>
      </c>
      <c r="J1851" s="1" cm="1">
        <f t="array" ref="J1851">SUMPRODUCT(([1]OUT_FinalEnergyCons!$B$4:$B$10000="var_cap")*1,ISNUMBER(SEARCH("RH*-WHngahp",[1]OUT_FinalEnergyCons!$A$4:$A$10000))*1,[1]OUT_FinalEnergyCons!H$4:H$10000)</f>
        <v>3.4646626732089368E-2</v>
      </c>
      <c r="K1851" s="1" cm="1">
        <f t="array" ref="K1851">SUMPRODUCT(([1]OUT_FinalEnergyCons!$B$4:$B$10000="var_cap")*1,ISNUMBER(SEARCH("RH*-WHngahp",[1]OUT_FinalEnergyCons!$A$4:$A$10000))*1,[1]OUT_FinalEnergyCons!I$4:I$10000)</f>
        <v>8.9674684706534863E-2</v>
      </c>
      <c r="L1851" s="1" cm="1">
        <f t="array" ref="L1851">SUMPRODUCT(([1]OUT_FinalEnergyCons!$B$4:$B$10000="var_cap")*1,ISNUMBER(SEARCH("RH*-WHngahp",[1]OUT_FinalEnergyCons!$A$4:$A$10000))*1,[1]OUT_FinalEnergyCons!J$4:J$10000)</f>
        <v>0.12185495525197215</v>
      </c>
      <c r="M1851" s="1" cm="1">
        <f t="array" ref="M1851">SUMPRODUCT(([1]OUT_FinalEnergyCons!$B$4:$B$10000="var_cap")*1,ISNUMBER(SEARCH("RH*-WHngahp",[1]OUT_FinalEnergyCons!$A$4:$A$10000))*1,[1]OUT_FinalEnergyCons!K$4:K$10000)</f>
        <v>0.20478433899151768</v>
      </c>
      <c r="N1851" s="1" cm="1">
        <f t="array" ref="N1851">SUMPRODUCT(([1]OUT_FinalEnergyCons!$B$4:$B$10000="var_cap")*1,ISNUMBER(SEARCH("RH*-WHngahp",[1]OUT_FinalEnergyCons!$A$4:$A$10000))*1,[1]OUT_FinalEnergyCons!L$4:L$10000)</f>
        <v>0.21808697753517822</v>
      </c>
      <c r="O1851" s="1" cm="1">
        <f t="array" ref="O1851">SUMPRODUCT(([1]OUT_FinalEnergyCons!$B$4:$B$10000="var_cap")*1,ISNUMBER(SEARCH("RH*-WHngahp",[1]OUT_FinalEnergyCons!$A$4:$A$10000))*1,[1]OUT_FinalEnergyCons!M$4:M$10000)</f>
        <v>0.2279598444963781</v>
      </c>
      <c r="P1851" s="1" cm="1">
        <f t="array" ref="P1851">SUMPRODUCT(([1]OUT_FinalEnergyCons!$B$4:$B$10000="var_cap")*1,ISNUMBER(SEARCH("RH*-WHngahp",[1]OUT_FinalEnergyCons!$A$4:$A$10000))*1,[1]OUT_FinalEnergyCons!N$4:N$10000)</f>
        <v>0.30058431904866278</v>
      </c>
      <c r="Q1851" s="1" cm="1">
        <f t="array" ref="Q1851">SUMPRODUCT(([1]OUT_FinalEnergyCons!$B$4:$B$10000="var_cap")*1,ISNUMBER(SEARCH("RH*-WHngahp",[1]OUT_FinalEnergyCons!$A$4:$A$10000))*1,[1]OUT_FinalEnergyCons!O$4:O$10000)</f>
        <v>0.30170810856583996</v>
      </c>
      <c r="S1851" s="3"/>
    </row>
    <row r="1852" spans="2:19" x14ac:dyDescent="0.5">
      <c r="B1852" s="5" t="str">
        <f t="shared" ref="B1852:C1852" si="2071">B1851</f>
        <v>SPS1</v>
      </c>
      <c r="C1852" s="5" t="str">
        <f t="shared" si="2071"/>
        <v>CH</v>
      </c>
      <c r="D1852" t="s">
        <v>1888</v>
      </c>
      <c r="E1852" t="str">
        <f t="shared" si="2015"/>
        <v>GWth/yr.</v>
      </c>
      <c r="F1852" s="1">
        <f>F1853</f>
        <v>0</v>
      </c>
      <c r="G1852" s="1">
        <f t="shared" ref="G1852" si="2072">G1853</f>
        <v>0</v>
      </c>
      <c r="H1852" s="1">
        <f t="shared" ref="H1852" si="2073">H1853</f>
        <v>0</v>
      </c>
      <c r="I1852" s="1">
        <f t="shared" ref="I1852" si="2074">I1853</f>
        <v>0</v>
      </c>
      <c r="J1852" s="1">
        <f t="shared" ref="J1852" si="2075">J1853</f>
        <v>0</v>
      </c>
      <c r="K1852" s="1">
        <f t="shared" ref="K1852:O1852" si="2076">K1853</f>
        <v>0</v>
      </c>
      <c r="L1852" s="1">
        <f t="shared" si="2076"/>
        <v>0</v>
      </c>
      <c r="M1852" s="1">
        <f t="shared" si="2076"/>
        <v>0</v>
      </c>
      <c r="N1852" s="1">
        <f t="shared" si="2076"/>
        <v>0</v>
      </c>
      <c r="O1852" s="1">
        <f t="shared" si="2076"/>
        <v>0</v>
      </c>
      <c r="P1852" s="1">
        <f>P1853</f>
        <v>0</v>
      </c>
      <c r="Q1852" s="1">
        <f>Q1853</f>
        <v>0</v>
      </c>
      <c r="S1852" s="3"/>
    </row>
    <row r="1853" spans="2:19" x14ac:dyDescent="0.5">
      <c r="B1853" s="5" t="str">
        <f t="shared" ref="B1853:C1853" si="2077">B1852</f>
        <v>SPS1</v>
      </c>
      <c r="C1853" s="5" t="str">
        <f t="shared" si="2077"/>
        <v>CH</v>
      </c>
      <c r="D1853" t="s">
        <v>1889</v>
      </c>
      <c r="E1853" t="str">
        <f t="shared" si="2015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SUMPRODUCT(([1]OUT_FinalEnergyCons!$B$4:$B$10000="var_cap")*1, (ISNUMBER(SEARCH("RH*-WHCOABR",[1]OUT_FinalEnergyCons!$A$4:$A$10000)))*1,[1]OUT_FinalEnergyCons!H$4:H$10000)</f>
        <v>0</v>
      </c>
      <c r="K1853" s="1" cm="1">
        <f t="array" ref="K1853">SUMPRODUCT(([1]OUT_FinalEnergyCons!$B$4:$B$10000="var_cap")*1, (ISNUMBER(SEARCH("RH*-WHCOABR",[1]OUT_FinalEnergyCons!$A$4:$A$10000)))*1,[1]OUT_FinalEnergyCons!I$4:I$10000)</f>
        <v>0</v>
      </c>
      <c r="L1853" s="1" cm="1">
        <f t="array" ref="L1853">SUMPRODUCT(([1]OUT_FinalEnergyCons!$B$4:$B$10000="var_cap")*1, (ISNUMBER(SEARCH("RH*-WHCOABR",[1]OUT_FinalEnergyCons!$A$4:$A$10000)))*1,[1]OUT_FinalEnergyCons!J$4:J$10000)</f>
        <v>0</v>
      </c>
      <c r="M1853" s="1" cm="1">
        <f t="array" ref="M1853">SUMPRODUCT(([1]OUT_FinalEnergyCons!$B$4:$B$10000="var_cap")*1, (ISNUMBER(SEARCH("RH*-WHCOABR",[1]OUT_FinalEnergyCons!$A$4:$A$10000)))*1,[1]OUT_FinalEnergyCons!K$4:K$10000)</f>
        <v>0</v>
      </c>
      <c r="N1853" s="1" cm="1">
        <f t="array" ref="N1853">SUMPRODUCT(([1]OUT_FinalEnergyCons!$B$4:$B$10000="var_cap")*1, (ISNUMBER(SEARCH("RH*-WHCOABR",[1]OUT_FinalEnergyCons!$A$4:$A$10000)))*1,[1]OUT_FinalEnergyCons!L$4:L$10000)</f>
        <v>0</v>
      </c>
      <c r="O1853" s="1" cm="1">
        <f t="array" ref="O1853">SUMPRODUCT(([1]OUT_FinalEnergyCons!$B$4:$B$10000="var_cap")*1, (ISNUMBER(SEARCH("RH*-WHCOABR",[1]OUT_FinalEnergyCons!$A$4:$A$10000)))*1,[1]OUT_FinalEnergyCons!M$4:M$10000)</f>
        <v>0</v>
      </c>
      <c r="P1853" s="1" cm="1">
        <f t="array" ref="P1853">SUMPRODUCT(([1]OUT_FinalEnergyCons!$B$4:$B$10000="var_cap")*1, (ISNUMBER(SEARCH("RH*-WHCOABR",[1]OUT_FinalEnergyCons!$A$4:$A$10000)))*1,[1]OUT_FinalEnergyCons!N$4:N$10000)</f>
        <v>0</v>
      </c>
      <c r="Q1853" s="1" cm="1">
        <f t="array" ref="Q1853">SUMPRODUCT(([1]OUT_FinalEnergyCons!$B$4:$B$10000="var_cap")*1, (ISNUMBER(SEARCH("RH*-WHCOABR",[1]OUT_FinalEnergyCons!$A$4:$A$10000)))*1,[1]OUT_FinalEnergyCons!O$4:O$10000)</f>
        <v>0</v>
      </c>
      <c r="S1853" s="3"/>
    </row>
    <row r="1854" spans="2:19" x14ac:dyDescent="0.5">
      <c r="B1854" s="5" t="str">
        <f t="shared" ref="B1854:C1854" si="2078">B1853</f>
        <v>SPS1</v>
      </c>
      <c r="C1854" s="5" t="str">
        <f t="shared" si="2078"/>
        <v>CH</v>
      </c>
      <c r="D1854" t="s">
        <v>1890</v>
      </c>
      <c r="E1854" t="str">
        <f t="shared" si="2015"/>
        <v>GWth/yr.</v>
      </c>
      <c r="F1854" s="1">
        <f>F1855</f>
        <v>3.5322010722483803E-2</v>
      </c>
      <c r="G1854" s="1">
        <f t="shared" ref="G1854" si="2079">G1855</f>
        <v>4.0447563119329955E-2</v>
      </c>
      <c r="H1854" s="1">
        <f t="shared" ref="H1854" si="2080">H1855</f>
        <v>3.8153844974993426E-2</v>
      </c>
      <c r="I1854" s="1">
        <f t="shared" ref="I1854" si="2081">I1855</f>
        <v>3.8097420621248698E-2</v>
      </c>
      <c r="J1854" s="1">
        <f t="shared" ref="J1854" si="2082">J1855</f>
        <v>1.6835935495144318E-2</v>
      </c>
      <c r="K1854" s="1">
        <f t="shared" ref="K1854:O1854" si="2083">K1855</f>
        <v>1.4617601793860627E-2</v>
      </c>
      <c r="L1854" s="1">
        <f t="shared" si="2083"/>
        <v>1.4614860330043706E-2</v>
      </c>
      <c r="M1854" s="1">
        <f t="shared" si="2083"/>
        <v>1.0860228075230804E-2</v>
      </c>
      <c r="N1854" s="1">
        <f t="shared" si="2083"/>
        <v>1.0205214623457966E-2</v>
      </c>
      <c r="O1854" s="1">
        <f t="shared" si="2083"/>
        <v>8.8502570422272029E-3</v>
      </c>
      <c r="P1854" s="1">
        <f>P1855</f>
        <v>8.1266467076023981E-3</v>
      </c>
      <c r="Q1854" s="1">
        <f>Q1855</f>
        <v>5.2309497069560106E-3</v>
      </c>
      <c r="S1854" s="3"/>
    </row>
    <row r="1855" spans="2:19" x14ac:dyDescent="0.5">
      <c r="B1855" s="5" t="str">
        <f t="shared" ref="B1855:C1855" si="2084">B1854</f>
        <v>SPS1</v>
      </c>
      <c r="C1855" s="5" t="str">
        <f t="shared" si="2084"/>
        <v>CH</v>
      </c>
      <c r="D1855" t="s">
        <v>1891</v>
      </c>
      <c r="E1855" t="str">
        <f t="shared" si="2015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4.0447563119329955E-2</v>
      </c>
      <c r="H1855" s="1" cm="1">
        <f t="array" ref="H1855">SUMPRODUCT(([1]OUT_FinalEnergyCons!$B$4:$B$10000="var_cap")*1, (ISNUMBER(SEARCH("RH*-WHWODBR",[1]OUT_FinalEnergyCons!$A$4:$A$10000)))*1,[1]OUT_FinalEnergyCons!F$4:F$10000)</f>
        <v>3.8153844974993426E-2</v>
      </c>
      <c r="I1855" s="1" cm="1">
        <f t="array" ref="I1855">SUMPRODUCT(([1]OUT_FinalEnergyCons!$B$4:$B$10000="var_cap")*1, (ISNUMBER(SEARCH("RH*-WHWODBR",[1]OUT_FinalEnergyCons!$A$4:$A$10000)))*1,[1]OUT_FinalEnergyCons!G$4:G$10000)</f>
        <v>3.8097420621248698E-2</v>
      </c>
      <c r="J1855" s="1" cm="1">
        <f t="array" ref="J1855">SUMPRODUCT(([1]OUT_FinalEnergyCons!$B$4:$B$10000="var_cap")*1, (ISNUMBER(SEARCH("RH*-WHWODBR",[1]OUT_FinalEnergyCons!$A$4:$A$10000)))*1,[1]OUT_FinalEnergyCons!H$4:H$10000)</f>
        <v>1.6835935495144318E-2</v>
      </c>
      <c r="K1855" s="1" cm="1">
        <f t="array" ref="K1855">SUMPRODUCT(([1]OUT_FinalEnergyCons!$B$4:$B$10000="var_cap")*1, (ISNUMBER(SEARCH("RH*-WHWODBR",[1]OUT_FinalEnergyCons!$A$4:$A$10000)))*1,[1]OUT_FinalEnergyCons!I$4:I$10000)</f>
        <v>1.4617601793860627E-2</v>
      </c>
      <c r="L1855" s="1" cm="1">
        <f t="array" ref="L1855">SUMPRODUCT(([1]OUT_FinalEnergyCons!$B$4:$B$10000="var_cap")*1, (ISNUMBER(SEARCH("RH*-WHWODBR",[1]OUT_FinalEnergyCons!$A$4:$A$10000)))*1,[1]OUT_FinalEnergyCons!J$4:J$10000)</f>
        <v>1.4614860330043706E-2</v>
      </c>
      <c r="M1855" s="1" cm="1">
        <f t="array" ref="M1855">SUMPRODUCT(([1]OUT_FinalEnergyCons!$B$4:$B$10000="var_cap")*1, (ISNUMBER(SEARCH("RH*-WHWODBR",[1]OUT_FinalEnergyCons!$A$4:$A$10000)))*1,[1]OUT_FinalEnergyCons!K$4:K$10000)</f>
        <v>1.0860228075230804E-2</v>
      </c>
      <c r="N1855" s="1" cm="1">
        <f t="array" ref="N1855">SUMPRODUCT(([1]OUT_FinalEnergyCons!$B$4:$B$10000="var_cap")*1, (ISNUMBER(SEARCH("RH*-WHWODBR",[1]OUT_FinalEnergyCons!$A$4:$A$10000)))*1,[1]OUT_FinalEnergyCons!L$4:L$10000)</f>
        <v>1.0205214623457966E-2</v>
      </c>
      <c r="O1855" s="1" cm="1">
        <f t="array" ref="O1855">SUMPRODUCT(([1]OUT_FinalEnergyCons!$B$4:$B$10000="var_cap")*1, (ISNUMBER(SEARCH("RH*-WHWODBR",[1]OUT_FinalEnergyCons!$A$4:$A$10000)))*1,[1]OUT_FinalEnergyCons!M$4:M$10000)</f>
        <v>8.8502570422272029E-3</v>
      </c>
      <c r="P1855" s="1" cm="1">
        <f t="array" ref="P1855">SUMPRODUCT(([1]OUT_FinalEnergyCons!$B$4:$B$10000="var_cap")*1, (ISNUMBER(SEARCH("RH*-WHWODBR",[1]OUT_FinalEnergyCons!$A$4:$A$10000)))*1,[1]OUT_FinalEnergyCons!N$4:N$10000)</f>
        <v>8.1266467076023981E-3</v>
      </c>
      <c r="Q1855" s="1" cm="1">
        <f t="array" ref="Q1855">SUMPRODUCT(([1]OUT_FinalEnergyCons!$B$4:$B$10000="var_cap")*1, (ISNUMBER(SEARCH("RH*-WHWODBR",[1]OUT_FinalEnergyCons!$A$4:$A$10000)))*1,[1]OUT_FinalEnergyCons!O$4:O$10000)</f>
        <v>5.2309497069560106E-3</v>
      </c>
      <c r="S1855" s="3"/>
    </row>
    <row r="1856" spans="2:19" x14ac:dyDescent="0.5">
      <c r="B1856" s="5" t="str">
        <f t="shared" ref="B1856:C1856" si="2085">B1855</f>
        <v>SPS1</v>
      </c>
      <c r="C1856" s="5" t="str">
        <f t="shared" si="2085"/>
        <v>CH</v>
      </c>
      <c r="D1856" t="s">
        <v>1892</v>
      </c>
      <c r="E1856" t="str">
        <f t="shared" si="2015"/>
        <v>GWth/yr.</v>
      </c>
      <c r="F1856" s="1">
        <f>F1857</f>
        <v>1.12410901121583E-2</v>
      </c>
      <c r="G1856" s="1">
        <f t="shared" ref="G1856" si="2086">G1857</f>
        <v>1.320339770369138E-2</v>
      </c>
      <c r="H1856" s="1">
        <f t="shared" ref="H1856" si="2087">H1857</f>
        <v>1.3198884665985762E-2</v>
      </c>
      <c r="I1856" s="1">
        <f t="shared" ref="I1856" si="2088">I1857</f>
        <v>1.31962504258776E-2</v>
      </c>
      <c r="J1856" s="1">
        <f t="shared" ref="J1856" si="2089">J1857</f>
        <v>9.5063124862454409E-3</v>
      </c>
      <c r="K1856" s="1">
        <f t="shared" ref="K1856:O1856" si="2090">K1857</f>
        <v>9.7449889382900841E-3</v>
      </c>
      <c r="L1856" s="1">
        <f t="shared" si="2090"/>
        <v>9.9110301579880596E-3</v>
      </c>
      <c r="M1856" s="1">
        <f t="shared" si="2090"/>
        <v>1.0125027551448992E-2</v>
      </c>
      <c r="N1856" s="1">
        <f t="shared" si="2090"/>
        <v>1.017019095888131E-2</v>
      </c>
      <c r="O1856" s="1">
        <f t="shared" si="2090"/>
        <v>1.0323957561818234E-2</v>
      </c>
      <c r="P1856" s="1">
        <f>P1857</f>
        <v>1.0298887864849622E-2</v>
      </c>
      <c r="Q1856" s="1">
        <f>Q1857</f>
        <v>1.0403871715020234E-2</v>
      </c>
      <c r="S1856" s="3"/>
    </row>
    <row r="1857" spans="2:19" x14ac:dyDescent="0.5">
      <c r="B1857" s="5" t="str">
        <f t="shared" ref="B1857:C1857" si="2091">B1856</f>
        <v>SPS1</v>
      </c>
      <c r="C1857" s="5" t="str">
        <f t="shared" si="2091"/>
        <v>CH</v>
      </c>
      <c r="D1857" t="s">
        <v>1893</v>
      </c>
      <c r="E1857" t="str">
        <f t="shared" si="2015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1.320339770369138E-2</v>
      </c>
      <c r="H1857" s="1" cm="1">
        <f t="array" ref="H1857">SUMPRODUCT(([1]OUT_FinalEnergyCons!$B$4:$B$10000="var_cap")*1, (ISNUMBER(SEARCH("RH*-WHPLTBR",[1]OUT_FinalEnergyCons!$A$4:$A$10000)))*1,[1]OUT_FinalEnergyCons!F$4:F$10000)</f>
        <v>1.3198884665985762E-2</v>
      </c>
      <c r="I1857" s="1" cm="1">
        <f t="array" ref="I1857">SUMPRODUCT(([1]OUT_FinalEnergyCons!$B$4:$B$10000="var_cap")*1, (ISNUMBER(SEARCH("RH*-WHPLTBR",[1]OUT_FinalEnergyCons!$A$4:$A$10000)))*1,[1]OUT_FinalEnergyCons!G$4:G$10000)</f>
        <v>1.31962504258776E-2</v>
      </c>
      <c r="J1857" s="1" cm="1">
        <f t="array" ref="J1857">SUMPRODUCT(([1]OUT_FinalEnergyCons!$B$4:$B$10000="var_cap")*1, (ISNUMBER(SEARCH("RH*-WHPLTBR",[1]OUT_FinalEnergyCons!$A$4:$A$10000)))*1,[1]OUT_FinalEnergyCons!H$4:H$10000)</f>
        <v>9.5063124862454409E-3</v>
      </c>
      <c r="K1857" s="1" cm="1">
        <f t="array" ref="K1857">SUMPRODUCT(([1]OUT_FinalEnergyCons!$B$4:$B$10000="var_cap")*1, (ISNUMBER(SEARCH("RH*-WHPLTBR",[1]OUT_FinalEnergyCons!$A$4:$A$10000)))*1,[1]OUT_FinalEnergyCons!I$4:I$10000)</f>
        <v>9.7449889382900841E-3</v>
      </c>
      <c r="L1857" s="1" cm="1">
        <f t="array" ref="L1857">SUMPRODUCT(([1]OUT_FinalEnergyCons!$B$4:$B$10000="var_cap")*1, (ISNUMBER(SEARCH("RH*-WHPLTBR",[1]OUT_FinalEnergyCons!$A$4:$A$10000)))*1,[1]OUT_FinalEnergyCons!J$4:J$10000)</f>
        <v>9.9110301579880596E-3</v>
      </c>
      <c r="M1857" s="1" cm="1">
        <f t="array" ref="M1857">SUMPRODUCT(([1]OUT_FinalEnergyCons!$B$4:$B$10000="var_cap")*1, (ISNUMBER(SEARCH("RH*-WHPLTBR",[1]OUT_FinalEnergyCons!$A$4:$A$10000)))*1,[1]OUT_FinalEnergyCons!K$4:K$10000)</f>
        <v>1.0125027551448992E-2</v>
      </c>
      <c r="N1857" s="1" cm="1">
        <f t="array" ref="N1857">SUMPRODUCT(([1]OUT_FinalEnergyCons!$B$4:$B$10000="var_cap")*1, (ISNUMBER(SEARCH("RH*-WHPLTBR",[1]OUT_FinalEnergyCons!$A$4:$A$10000)))*1,[1]OUT_FinalEnergyCons!L$4:L$10000)</f>
        <v>1.017019095888131E-2</v>
      </c>
      <c r="O1857" s="1" cm="1">
        <f t="array" ref="O1857">SUMPRODUCT(([1]OUT_FinalEnergyCons!$B$4:$B$10000="var_cap")*1, (ISNUMBER(SEARCH("RH*-WHPLTBR",[1]OUT_FinalEnergyCons!$A$4:$A$10000)))*1,[1]OUT_FinalEnergyCons!M$4:M$10000)</f>
        <v>1.0323957561818234E-2</v>
      </c>
      <c r="P1857" s="1" cm="1">
        <f t="array" ref="P1857">SUMPRODUCT(([1]OUT_FinalEnergyCons!$B$4:$B$10000="var_cap")*1, (ISNUMBER(SEARCH("RH*-WHPLTBR",[1]OUT_FinalEnergyCons!$A$4:$A$10000)))*1,[1]OUT_FinalEnergyCons!N$4:N$10000)</f>
        <v>1.0298887864849622E-2</v>
      </c>
      <c r="Q1857" s="1" cm="1">
        <f t="array" ref="Q1857">SUMPRODUCT(([1]OUT_FinalEnergyCons!$B$4:$B$10000="var_cap")*1, (ISNUMBER(SEARCH("RH*-WHPLTBR",[1]OUT_FinalEnergyCons!$A$4:$A$10000)))*1,[1]OUT_FinalEnergyCons!O$4:O$10000)</f>
        <v>1.0403871715020234E-2</v>
      </c>
      <c r="S1857" s="3"/>
    </row>
    <row r="1858" spans="2:19" x14ac:dyDescent="0.5">
      <c r="B1858" s="5" t="str">
        <f t="shared" ref="B1858:C1858" si="2092">B1857</f>
        <v>SPS1</v>
      </c>
      <c r="C1858" s="5" t="str">
        <f t="shared" si="2092"/>
        <v>CH</v>
      </c>
      <c r="D1858" t="s">
        <v>1894</v>
      </c>
      <c r="E1858" t="str">
        <f t="shared" si="2015"/>
        <v>GWth/yr.</v>
      </c>
      <c r="F1858" s="1">
        <f>F1859</f>
        <v>0.25000991745774798</v>
      </c>
      <c r="G1858" s="1">
        <f t="shared" ref="G1858" si="2093">G1859</f>
        <v>0.33272959545592889</v>
      </c>
      <c r="H1858" s="1">
        <f t="shared" ref="H1858" si="2094">H1859</f>
        <v>0.33273417558593588</v>
      </c>
      <c r="I1858" s="1">
        <f t="shared" ref="I1858" si="2095">I1859</f>
        <v>0.33275239393657541</v>
      </c>
      <c r="J1858" s="1">
        <f t="shared" ref="J1858" si="2096">J1859</f>
        <v>0.18018612917784441</v>
      </c>
      <c r="K1858" s="1">
        <f t="shared" ref="K1858:O1858" si="2097">K1859</f>
        <v>0.163254307666617</v>
      </c>
      <c r="L1858" s="1">
        <f t="shared" si="2097"/>
        <v>0.16327662489449801</v>
      </c>
      <c r="M1858" s="1">
        <f t="shared" si="2097"/>
        <v>0.15339199345024501</v>
      </c>
      <c r="N1858" s="1">
        <f t="shared" si="2097"/>
        <v>0.151590422372333</v>
      </c>
      <c r="O1858" s="1">
        <f t="shared" si="2097"/>
        <v>0.143798017041182</v>
      </c>
      <c r="P1858" s="1">
        <f>P1859</f>
        <v>0.14564749279488801</v>
      </c>
      <c r="Q1858" s="1">
        <f>Q1859</f>
        <v>0.12448829593972401</v>
      </c>
      <c r="S1858" s="3"/>
    </row>
    <row r="1859" spans="2:19" x14ac:dyDescent="0.5">
      <c r="B1859" s="5" t="str">
        <f t="shared" ref="B1859:C1859" si="2098">B1858</f>
        <v>SPS1</v>
      </c>
      <c r="C1859" s="5" t="str">
        <f t="shared" si="2098"/>
        <v>CH</v>
      </c>
      <c r="D1859" t="s">
        <v>1895</v>
      </c>
      <c r="E1859" t="str">
        <f t="shared" si="2015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0.33272959545592889</v>
      </c>
      <c r="H1859" s="1" cm="1">
        <f t="array" ref="H1859">SUMPRODUCT(([1]OUT_FinalEnergyCons!$B$4:$B$10000="var_cap")*1, (ISNUMBER(SEARCH("RH*-WHSOLBR",[1]OUT_FinalEnergyCons!$A$4:$A$10000)))*1,[1]OUT_FinalEnergyCons!F$4:F$10000)</f>
        <v>0.33273417558593588</v>
      </c>
      <c r="I1859" s="1" cm="1">
        <f t="array" ref="I1859">SUMPRODUCT(([1]OUT_FinalEnergyCons!$B$4:$B$10000="var_cap")*1, (ISNUMBER(SEARCH("RH*-WHSOLBR",[1]OUT_FinalEnergyCons!$A$4:$A$10000)))*1,[1]OUT_FinalEnergyCons!G$4:G$10000)</f>
        <v>0.33275239393657541</v>
      </c>
      <c r="J1859" s="1" cm="1">
        <f t="array" ref="J1859">SUMPRODUCT(([1]OUT_FinalEnergyCons!$B$4:$B$10000="var_cap")*1, (ISNUMBER(SEARCH("RH*-WHSOLBR",[1]OUT_FinalEnergyCons!$A$4:$A$10000)))*1,[1]OUT_FinalEnergyCons!H$4:H$10000)</f>
        <v>0.18018612917784441</v>
      </c>
      <c r="K1859" s="1" cm="1">
        <f t="array" ref="K1859">SUMPRODUCT(([1]OUT_FinalEnergyCons!$B$4:$B$10000="var_cap")*1, (ISNUMBER(SEARCH("RH*-WHSOLBR",[1]OUT_FinalEnergyCons!$A$4:$A$10000)))*1,[1]OUT_FinalEnergyCons!I$4:I$10000)</f>
        <v>0.163254307666617</v>
      </c>
      <c r="L1859" s="1" cm="1">
        <f t="array" ref="L1859">SUMPRODUCT(([1]OUT_FinalEnergyCons!$B$4:$B$10000="var_cap")*1, (ISNUMBER(SEARCH("RH*-WHSOLBR",[1]OUT_FinalEnergyCons!$A$4:$A$10000)))*1,[1]OUT_FinalEnergyCons!J$4:J$10000)</f>
        <v>0.16327662489449801</v>
      </c>
      <c r="M1859" s="1" cm="1">
        <f t="array" ref="M1859">SUMPRODUCT(([1]OUT_FinalEnergyCons!$B$4:$B$10000="var_cap")*1, (ISNUMBER(SEARCH("RH*-WHSOLBR",[1]OUT_FinalEnergyCons!$A$4:$A$10000)))*1,[1]OUT_FinalEnergyCons!K$4:K$10000)</f>
        <v>0.15339199345024501</v>
      </c>
      <c r="N1859" s="1" cm="1">
        <f t="array" ref="N1859">SUMPRODUCT(([1]OUT_FinalEnergyCons!$B$4:$B$10000="var_cap")*1, (ISNUMBER(SEARCH("RH*-WHSOLBR",[1]OUT_FinalEnergyCons!$A$4:$A$10000)))*1,[1]OUT_FinalEnergyCons!L$4:L$10000)</f>
        <v>0.151590422372333</v>
      </c>
      <c r="O1859" s="1" cm="1">
        <f t="array" ref="O1859">SUMPRODUCT(([1]OUT_FinalEnergyCons!$B$4:$B$10000="var_cap")*1, (ISNUMBER(SEARCH("RH*-WHSOLBR",[1]OUT_FinalEnergyCons!$A$4:$A$10000)))*1,[1]OUT_FinalEnergyCons!M$4:M$10000)</f>
        <v>0.143798017041182</v>
      </c>
      <c r="P1859" s="1" cm="1">
        <f t="array" ref="P1859">SUMPRODUCT(([1]OUT_FinalEnergyCons!$B$4:$B$10000="var_cap")*1, (ISNUMBER(SEARCH("RH*-WHSOLBR",[1]OUT_FinalEnergyCons!$A$4:$A$10000)))*1,[1]OUT_FinalEnergyCons!N$4:N$10000)</f>
        <v>0.14564749279488801</v>
      </c>
      <c r="Q1859" s="1" cm="1">
        <f t="array" ref="Q1859">SUMPRODUCT(([1]OUT_FinalEnergyCons!$B$4:$B$10000="var_cap")*1, (ISNUMBER(SEARCH("RH*-WHSOLBR",[1]OUT_FinalEnergyCons!$A$4:$A$10000)))*1,[1]OUT_FinalEnergyCons!O$4:O$10000)</f>
        <v>0.12448829593972401</v>
      </c>
      <c r="S1859" s="3"/>
    </row>
    <row r="1860" spans="2:19" x14ac:dyDescent="0.5">
      <c r="B1860" s="5" t="str">
        <f t="shared" ref="B1860:C1860" si="2099">B1859</f>
        <v>SPS1</v>
      </c>
      <c r="C1860" s="5" t="str">
        <f t="shared" si="2099"/>
        <v>CH</v>
      </c>
      <c r="D1860" t="s">
        <v>1896</v>
      </c>
      <c r="E1860" t="str">
        <f t="shared" si="2015"/>
        <v>GWth/yr.</v>
      </c>
      <c r="F1860" s="1">
        <f>F1861</f>
        <v>0</v>
      </c>
      <c r="G1860" s="1">
        <f t="shared" ref="G1860" si="2100">G1861</f>
        <v>0</v>
      </c>
      <c r="H1860" s="1">
        <f t="shared" ref="H1860" si="2101">H1861</f>
        <v>0</v>
      </c>
      <c r="I1860" s="1">
        <f t="shared" ref="I1860" si="2102">I1861</f>
        <v>0</v>
      </c>
      <c r="J1860" s="1">
        <f t="shared" ref="J1860" si="2103">J1861</f>
        <v>0</v>
      </c>
      <c r="K1860" s="1">
        <f t="shared" ref="K1860:O1860" si="2104">K1861</f>
        <v>0</v>
      </c>
      <c r="L1860" s="1">
        <f t="shared" si="2104"/>
        <v>0</v>
      </c>
      <c r="M1860" s="1">
        <f t="shared" si="2104"/>
        <v>0</v>
      </c>
      <c r="N1860" s="1">
        <f t="shared" si="2104"/>
        <v>0</v>
      </c>
      <c r="O1860" s="1">
        <f t="shared" si="2104"/>
        <v>0</v>
      </c>
      <c r="P1860" s="1">
        <f>P1861</f>
        <v>0</v>
      </c>
      <c r="Q1860" s="1">
        <f>Q1861</f>
        <v>0</v>
      </c>
      <c r="S1860" s="3"/>
    </row>
    <row r="1861" spans="2:19" x14ac:dyDescent="0.5">
      <c r="B1861" s="5" t="str">
        <f t="shared" ref="B1861:C1865" si="2105">B1860</f>
        <v>SPS1</v>
      </c>
      <c r="C1861" s="5" t="str">
        <f t="shared" si="2105"/>
        <v>CH</v>
      </c>
      <c r="D1861" t="s">
        <v>1897</v>
      </c>
      <c r="E1861" t="str">
        <f t="shared" si="2015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SUMPRODUCT(([1]OUT_FinalEnergyCons!$B$4:$B$10000="var_cap")*1, (ISNUMBER(SEARCH("RH*-WHH2BR",[1]OUT_FinalEnergyCons!$A$4:$A$10000)))*1,[1]OUT_FinalEnergyCons!H$4:H$10000)</f>
        <v>0</v>
      </c>
      <c r="K1861" s="1" cm="1">
        <f t="array" ref="K1861">SUMPRODUCT(([1]OUT_FinalEnergyCons!$B$4:$B$10000="var_cap")*1, (ISNUMBER(SEARCH("RH*-WHH2BR",[1]OUT_FinalEnergyCons!$A$4:$A$10000)))*1,[1]OUT_FinalEnergyCons!I$4:I$10000)</f>
        <v>0</v>
      </c>
      <c r="L1861" s="1" cm="1">
        <f t="array" ref="L1861">SUMPRODUCT(([1]OUT_FinalEnergyCons!$B$4:$B$10000="var_cap")*1, (ISNUMBER(SEARCH("RH*-WHH2BR",[1]OUT_FinalEnergyCons!$A$4:$A$10000)))*1,[1]OUT_FinalEnergyCons!J$4:J$10000)</f>
        <v>0</v>
      </c>
      <c r="M1861" s="1" cm="1">
        <f t="array" ref="M1861">SUMPRODUCT(([1]OUT_FinalEnergyCons!$B$4:$B$10000="var_cap")*1, (ISNUMBER(SEARCH("RH*-WHH2BR",[1]OUT_FinalEnergyCons!$A$4:$A$10000)))*1,[1]OUT_FinalEnergyCons!K$4:K$10000)</f>
        <v>0</v>
      </c>
      <c r="N1861" s="1" cm="1">
        <f t="array" ref="N1861">SUMPRODUCT(([1]OUT_FinalEnergyCons!$B$4:$B$10000="var_cap")*1, (ISNUMBER(SEARCH("RH*-WHH2BR",[1]OUT_FinalEnergyCons!$A$4:$A$10000)))*1,[1]OUT_FinalEnergyCons!L$4:L$10000)</f>
        <v>0</v>
      </c>
      <c r="O1861" s="1" cm="1">
        <f t="array" ref="O1861">SUMPRODUCT(([1]OUT_FinalEnergyCons!$B$4:$B$10000="var_cap")*1, (ISNUMBER(SEARCH("RH*-WHH2BR",[1]OUT_FinalEnergyCons!$A$4:$A$10000)))*1,[1]OUT_FinalEnergyCons!M$4:M$10000)</f>
        <v>0</v>
      </c>
      <c r="P1861" s="1" cm="1">
        <f t="array" ref="P1861">SUMPRODUCT(([1]OUT_FinalEnergyCons!$B$4:$B$10000="var_cap")*1, (ISNUMBER(SEARCH("RH*-WHH2BR",[1]OUT_FinalEnergyCons!$A$4:$A$10000)))*1,[1]OUT_FinalEnergyCons!N$4:N$10000)</f>
        <v>0</v>
      </c>
      <c r="Q1861" s="1" cm="1">
        <f t="array" ref="Q1861">SUMPRODUCT(([1]OUT_FinalEnergyCons!$B$4:$B$10000="var_cap")*1, (ISNUMBER(SEARCH("RH*-WHH2BR",[1]OUT_FinalEnergyCons!$A$4:$A$10000)))*1,[1]OUT_FinalEnergyCons!O$4:O$10000)</f>
        <v>0</v>
      </c>
      <c r="S1861" s="3"/>
    </row>
    <row r="1862" spans="2:19" x14ac:dyDescent="0.5">
      <c r="B1862" s="9" t="str">
        <f t="shared" si="2105"/>
        <v>SPS1</v>
      </c>
      <c r="C1862" s="9" t="str">
        <f t="shared" si="2105"/>
        <v>CH</v>
      </c>
      <c r="D1862" s="2" t="s">
        <v>1899</v>
      </c>
      <c r="E1862" s="9" t="str">
        <f t="shared" si="2015"/>
        <v>GWth/yr.</v>
      </c>
      <c r="F1862" s="17">
        <f>SUM(F1863,F1866,F1869,F1873,F1875,F1877,F1879,F1881,F1883)</f>
        <v>3.6017709177743065</v>
      </c>
      <c r="G1862" s="17">
        <f t="shared" ref="G1862:K1862" si="2106">SUM(G1863,G1866,G1869,G1873,G1875,G1877,G1879,G1881,G1883)</f>
        <v>3.8276568089973231</v>
      </c>
      <c r="H1862" s="17">
        <f t="shared" si="2106"/>
        <v>3.7919056176645252</v>
      </c>
      <c r="I1862" s="17">
        <f t="shared" si="2106"/>
        <v>3.837619231023885</v>
      </c>
      <c r="J1862" s="17">
        <f t="shared" si="2106"/>
        <v>3.4928311910406968</v>
      </c>
      <c r="K1862" s="17">
        <f t="shared" si="2106"/>
        <v>3.5332637042276245</v>
      </c>
      <c r="L1862" s="17">
        <f t="shared" ref="L1862:O1862" si="2107">SUM(L1863,L1866,L1869,L1873,L1875,L1877,L1879,L1881,L1883)</f>
        <v>3.6234467418408127</v>
      </c>
      <c r="M1862" s="17">
        <f t="shared" si="2107"/>
        <v>3.444110033719793</v>
      </c>
      <c r="N1862" s="17">
        <f t="shared" si="2107"/>
        <v>3.3553034854583239</v>
      </c>
      <c r="O1862" s="17">
        <f t="shared" si="2107"/>
        <v>3.5673364122802274</v>
      </c>
      <c r="P1862" s="17">
        <f>SUM(P1863,P1866,P1869,P1873,P1875,P1877,P1879,P1881,P1883)</f>
        <v>3.2830149489784106</v>
      </c>
      <c r="Q1862" s="17">
        <f>SUM(Q1863,Q1866,Q1869,Q1873,Q1875,Q1877,Q1879,Q1881,Q1883)</f>
        <v>3.2803123964358618</v>
      </c>
      <c r="S1862" s="3"/>
    </row>
    <row r="1863" spans="2:19" x14ac:dyDescent="0.5">
      <c r="B1863" s="5" t="str">
        <f>B1862</f>
        <v>SPS1</v>
      </c>
      <c r="C1863" s="5" t="str">
        <f t="shared" si="2105"/>
        <v>CH</v>
      </c>
      <c r="D1863" t="s">
        <v>2093</v>
      </c>
      <c r="E1863" t="str">
        <f t="shared" si="2015"/>
        <v>GWth/yr.</v>
      </c>
      <c r="F1863" s="18">
        <f>SUM(F1864:F1865)</f>
        <v>0.61671309762324311</v>
      </c>
      <c r="G1863" s="18">
        <f t="shared" ref="G1863:K1863" si="2108">SUM(G1864:G1865)</f>
        <v>0.85458169490915192</v>
      </c>
      <c r="H1863" s="18">
        <f t="shared" si="2108"/>
        <v>0.97127810928324076</v>
      </c>
      <c r="I1863" s="18">
        <f t="shared" si="2108"/>
        <v>1.1465776067210327</v>
      </c>
      <c r="J1863" s="18">
        <f t="shared" si="2108"/>
        <v>1.3390592347916503</v>
      </c>
      <c r="K1863" s="18">
        <f t="shared" si="2108"/>
        <v>1.4551416838800821</v>
      </c>
      <c r="L1863" s="18">
        <f t="shared" ref="L1863:O1863" si="2109">SUM(L1864:L1865)</f>
        <v>1.5201215243630564</v>
      </c>
      <c r="M1863" s="18">
        <f t="shared" si="2109"/>
        <v>1.4931728512821243</v>
      </c>
      <c r="N1863" s="18">
        <f t="shared" si="2109"/>
        <v>1.4795562886939957</v>
      </c>
      <c r="O1863" s="18">
        <f t="shared" si="2109"/>
        <v>1.5868829755162297</v>
      </c>
      <c r="P1863" s="18">
        <f>SUM(P1864:P1865)</f>
        <v>1.5653364616754852</v>
      </c>
      <c r="Q1863" s="18">
        <f>SUM(Q1864:Q1865)</f>
        <v>1.5792896115164903</v>
      </c>
      <c r="S1863" s="3"/>
    </row>
    <row r="1864" spans="2:19" x14ac:dyDescent="0.5">
      <c r="B1864" s="5" t="str">
        <f t="shared" ref="B1864:B1865" si="2110">B1863</f>
        <v>SPS1</v>
      </c>
      <c r="C1864" s="5" t="str">
        <f t="shared" si="2105"/>
        <v>CH</v>
      </c>
      <c r="D1864" t="s">
        <v>2094</v>
      </c>
      <c r="E1864" t="str">
        <f t="shared" si="2015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0.77799054982289906</v>
      </c>
      <c r="H1864" s="1" cm="1">
        <f t="array" ref="H1864">SUMPRODUCT(([1]OUT_FinalEnergyCons!$B$4:$B$10000="Var_cap")*1,  (ISNUMBER(SEARCH("ITOT-SWHELCBR",[1]OUT_FinalEnergyCons!$A$4:$A$10000)))*1,[1]OUT_FinalEnergyCons!F$4:F$10000)</f>
        <v>0.77938719389128652</v>
      </c>
      <c r="I1864" s="1" cm="1">
        <f t="array" ref="I1864">SUMPRODUCT(([1]OUT_FinalEnergyCons!$B$4:$B$10000="Var_cap")*1,  (ISNUMBER(SEARCH("ITOT-SWHELCBR",[1]OUT_FinalEnergyCons!$A$4:$A$10000)))*1,[1]OUT_FinalEnergyCons!G$4:G$10000)</f>
        <v>0.83067953832321961</v>
      </c>
      <c r="J1864" s="1" cm="1">
        <f t="array" ref="J1864">SUMPRODUCT(([1]OUT_FinalEnergyCons!$B$4:$B$10000="Var_cap")*1,  (ISNUMBER(SEARCH("ITOT-SWHELCBR",[1]OUT_FinalEnergyCons!$A$4:$A$10000)))*1,[1]OUT_FinalEnergyCons!H$4:H$10000)</f>
        <v>0.8926949994775496</v>
      </c>
      <c r="K1864" s="1" cm="1">
        <f t="array" ref="K1864">SUMPRODUCT(([1]OUT_FinalEnergyCons!$B$4:$B$10000="Var_cap")*1,  (ISNUMBER(SEARCH("ITOT-SWHELCBR",[1]OUT_FinalEnergyCons!$A$4:$A$10000)))*1,[1]OUT_FinalEnergyCons!I$4:I$10000)</f>
        <v>0.97057677035704215</v>
      </c>
      <c r="L1864" s="1" cm="1">
        <f t="array" ref="L1864">SUMPRODUCT(([1]OUT_FinalEnergyCons!$B$4:$B$10000="Var_cap")*1,  (ISNUMBER(SEARCH("ITOT-SWHELCBR",[1]OUT_FinalEnergyCons!$A$4:$A$10000)))*1,[1]OUT_FinalEnergyCons!J$4:J$10000)</f>
        <v>1.0356108278519802</v>
      </c>
      <c r="M1864" s="1" cm="1">
        <f t="array" ref="M1864">SUMPRODUCT(([1]OUT_FinalEnergyCons!$B$4:$B$10000="Var_cap")*1,  (ISNUMBER(SEARCH("ITOT-SWHELCBR",[1]OUT_FinalEnergyCons!$A$4:$A$10000)))*1,[1]OUT_FinalEnergyCons!K$4:K$10000)</f>
        <v>1.009245841243529</v>
      </c>
      <c r="N1864" s="1" cm="1">
        <f t="array" ref="N1864">SUMPRODUCT(([1]OUT_FinalEnergyCons!$B$4:$B$10000="Var_cap")*1,  (ISNUMBER(SEARCH("ITOT-SWHELCBR",[1]OUT_FinalEnergyCons!$A$4:$A$10000)))*1,[1]OUT_FinalEnergyCons!L$4:L$10000)</f>
        <v>0.99586035358356673</v>
      </c>
      <c r="O1864" s="1" cm="1">
        <f t="array" ref="O1864">SUMPRODUCT(([1]OUT_FinalEnergyCons!$B$4:$B$10000="Var_cap")*1,  (ISNUMBER(SEARCH("ITOT-SWHELCBR",[1]OUT_FinalEnergyCons!$A$4:$A$10000)))*1,[1]OUT_FinalEnergyCons!M$4:M$10000)</f>
        <v>1.0360415311731714</v>
      </c>
      <c r="P1864" s="1" cm="1">
        <f t="array" ref="P1864">SUMPRODUCT(([1]OUT_FinalEnergyCons!$B$4:$B$10000="Var_cap")*1,  (ISNUMBER(SEARCH("ITOT-SWHELCBR",[1]OUT_FinalEnergyCons!$A$4:$A$10000)))*1,[1]OUT_FinalEnergyCons!N$4:N$10000)</f>
        <v>1.0152936707614078</v>
      </c>
      <c r="Q1864" s="1" cm="1">
        <f t="array" ref="Q1864">SUMPRODUCT(([1]OUT_FinalEnergyCons!$B$4:$B$10000="Var_cap")*1,  (ISNUMBER(SEARCH("ITOT-SWHELCBR",[1]OUT_FinalEnergyCons!$A$4:$A$10000)))*1,[1]OUT_FinalEnergyCons!O$4:O$10000)</f>
        <v>1.0292835676436403</v>
      </c>
      <c r="S1864" s="3"/>
    </row>
    <row r="1865" spans="2:19" x14ac:dyDescent="0.5">
      <c r="B1865" s="5" t="str">
        <f t="shared" si="2110"/>
        <v>SPS1</v>
      </c>
      <c r="C1865" s="5" t="str">
        <f t="shared" si="2105"/>
        <v>CH</v>
      </c>
      <c r="D1865" t="s">
        <v>2095</v>
      </c>
      <c r="E1865" t="str">
        <f t="shared" si="2015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7.6591145086252838E-2</v>
      </c>
      <c r="H1865" s="1" cm="1">
        <f t="array" ref="H1865">SUMPRODUCT(([1]OUT_FinalEnergyCons!$B$4:$B$10000="Var_cap")*1,  (ISNUMBER(SEARCH("ITOT-SWHELCHP",[1]OUT_FinalEnergyCons!$A$4:$A$10000)))*1,[1]OUT_FinalEnergyCons!F$4:F$10000)</f>
        <v>0.19189091539195421</v>
      </c>
      <c r="I1865" s="1" cm="1">
        <f t="array" ref="I1865">SUMPRODUCT(([1]OUT_FinalEnergyCons!$B$4:$B$10000="Var_cap")*1,  (ISNUMBER(SEARCH("ITOT-SWHELCHP",[1]OUT_FinalEnergyCons!$A$4:$A$10000)))*1,[1]OUT_FinalEnergyCons!G$4:G$10000)</f>
        <v>0.31589806839781315</v>
      </c>
      <c r="J1865" s="1" cm="1">
        <f t="array" ref="J1865">SUMPRODUCT(([1]OUT_FinalEnergyCons!$B$4:$B$10000="Var_cap")*1,  (ISNUMBER(SEARCH("ITOT-SWHELCHP",[1]OUT_FinalEnergyCons!$A$4:$A$10000)))*1,[1]OUT_FinalEnergyCons!H$4:H$10000)</f>
        <v>0.44636423531410063</v>
      </c>
      <c r="K1865" s="1" cm="1">
        <f t="array" ref="K1865">SUMPRODUCT(([1]OUT_FinalEnergyCons!$B$4:$B$10000="Var_cap")*1,  (ISNUMBER(SEARCH("ITOT-SWHELCHP",[1]OUT_FinalEnergyCons!$A$4:$A$10000)))*1,[1]OUT_FinalEnergyCons!I$4:I$10000)</f>
        <v>0.48456491352303999</v>
      </c>
      <c r="L1865" s="1" cm="1">
        <f t="array" ref="L1865">SUMPRODUCT(([1]OUT_FinalEnergyCons!$B$4:$B$10000="Var_cap")*1,  (ISNUMBER(SEARCH("ITOT-SWHELCHP",[1]OUT_FinalEnergyCons!$A$4:$A$10000)))*1,[1]OUT_FinalEnergyCons!J$4:J$10000)</f>
        <v>0.48451069651107614</v>
      </c>
      <c r="M1865" s="1" cm="1">
        <f t="array" ref="M1865">SUMPRODUCT(([1]OUT_FinalEnergyCons!$B$4:$B$10000="Var_cap")*1,  (ISNUMBER(SEARCH("ITOT-SWHELCHP",[1]OUT_FinalEnergyCons!$A$4:$A$10000)))*1,[1]OUT_FinalEnergyCons!K$4:K$10000)</f>
        <v>0.48392701003859523</v>
      </c>
      <c r="N1865" s="1" cm="1">
        <f t="array" ref="N1865">SUMPRODUCT(([1]OUT_FinalEnergyCons!$B$4:$B$10000="Var_cap")*1,  (ISNUMBER(SEARCH("ITOT-SWHELCHP",[1]OUT_FinalEnergyCons!$A$4:$A$10000)))*1,[1]OUT_FinalEnergyCons!L$4:L$10000)</f>
        <v>0.48369593511042897</v>
      </c>
      <c r="O1865" s="1" cm="1">
        <f t="array" ref="O1865">SUMPRODUCT(([1]OUT_FinalEnergyCons!$B$4:$B$10000="Var_cap")*1,  (ISNUMBER(SEARCH("ITOT-SWHELCHP",[1]OUT_FinalEnergyCons!$A$4:$A$10000)))*1,[1]OUT_FinalEnergyCons!M$4:M$10000)</f>
        <v>0.55084144434305815</v>
      </c>
      <c r="P1865" s="1" cm="1">
        <f t="array" ref="P1865">SUMPRODUCT(([1]OUT_FinalEnergyCons!$B$4:$B$10000="Var_cap")*1,  (ISNUMBER(SEARCH("ITOT-SWHELCHP",[1]OUT_FinalEnergyCons!$A$4:$A$10000)))*1,[1]OUT_FinalEnergyCons!N$4:N$10000)</f>
        <v>0.55004279091407748</v>
      </c>
      <c r="Q1865" s="1" cm="1">
        <f t="array" ref="Q1865">SUMPRODUCT(([1]OUT_FinalEnergyCons!$B$4:$B$10000="Var_cap")*1,  (ISNUMBER(SEARCH("ITOT-SWHELCHP",[1]OUT_FinalEnergyCons!$A$4:$A$10000)))*1,[1]OUT_FinalEnergyCons!O$4:O$10000)</f>
        <v>0.55000604387285001</v>
      </c>
      <c r="S1865" s="3"/>
    </row>
    <row r="1866" spans="2:19" x14ac:dyDescent="0.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2015"/>
        <v>GWth/yr.</v>
      </c>
      <c r="F1866" s="18">
        <f>SUM(F1867:F1868)</f>
        <v>0.4786916118249368</v>
      </c>
      <c r="G1866" s="18">
        <f t="shared" ref="G1866:K1866" si="2111">SUM(G1867:G1868)</f>
        <v>0.49128499408172477</v>
      </c>
      <c r="H1866" s="18">
        <f t="shared" si="2111"/>
        <v>0.38951053207749331</v>
      </c>
      <c r="I1866" s="18">
        <f t="shared" si="2111"/>
        <v>0.38886172540411923</v>
      </c>
      <c r="J1866" s="18">
        <f t="shared" si="2111"/>
        <v>0.26753087536097897</v>
      </c>
      <c r="K1866" s="18">
        <f t="shared" si="2111"/>
        <v>0.16653625431587935</v>
      </c>
      <c r="L1866" s="18">
        <f t="shared" ref="L1866:O1866" si="2112">SUM(L1867:L1868)</f>
        <v>0.14348954958065702</v>
      </c>
      <c r="M1866" s="18">
        <f t="shared" si="2112"/>
        <v>2.0160003344142485E-2</v>
      </c>
      <c r="N1866" s="18">
        <f t="shared" si="2112"/>
        <v>1.891602660164271E-2</v>
      </c>
      <c r="O1866" s="18">
        <f t="shared" si="2112"/>
        <v>1.8673811270932143E-2</v>
      </c>
      <c r="P1866" s="18">
        <f>SUM(P1867:P1868)</f>
        <v>1.8199964262282941E-2</v>
      </c>
      <c r="Q1866" s="18">
        <f>SUM(Q1867:Q1868)</f>
        <v>1.931801463886812E-2</v>
      </c>
      <c r="S1866" s="3"/>
    </row>
    <row r="1867" spans="2:19" x14ac:dyDescent="0.5">
      <c r="B1867" s="5" t="str">
        <f t="shared" ref="B1867:B1884" si="2113">B1866</f>
        <v>SPS1</v>
      </c>
      <c r="C1867" s="5" t="str">
        <f t="shared" ref="C1867:C1884" si="2114">C1866</f>
        <v>CH</v>
      </c>
      <c r="D1867" t="s">
        <v>2097</v>
      </c>
      <c r="E1867" t="str">
        <f t="shared" si="2015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0.38896243317109019</v>
      </c>
      <c r="H1867" s="1" cm="1">
        <f t="array" ref="H1867">SUMPRODUCT(([1]OUT_FinalEnergyCons!$B$4:$B$10000="Var_cap")*1,  (ISNUMBER(SEARCH("ITOT-SWHLFOBR",[1]OUT_FinalEnergyCons!$A$4:$A$10000)))*1,[1]OUT_FinalEnergyCons!F$4:F$10000)</f>
        <v>0.38894999626241045</v>
      </c>
      <c r="I1867" s="1" cm="1">
        <f t="array" ref="I1867">SUMPRODUCT(([1]OUT_FinalEnergyCons!$B$4:$B$10000="Var_cap")*1,  (ISNUMBER(SEARCH("ITOT-SWHLFOBR",[1]OUT_FinalEnergyCons!$A$4:$A$10000)))*1,[1]OUT_FinalEnergyCons!G$4:G$10000)</f>
        <v>0.38869515606047467</v>
      </c>
      <c r="J1867" s="1" cm="1">
        <f t="array" ref="J1867">SUMPRODUCT(([1]OUT_FinalEnergyCons!$B$4:$B$10000="Var_cap")*1,  (ISNUMBER(SEARCH("ITOT-SWHLFOBR",[1]OUT_FinalEnergyCons!$A$4:$A$10000)))*1,[1]OUT_FinalEnergyCons!H$4:H$10000)</f>
        <v>0.26728255685254354</v>
      </c>
      <c r="K1867" s="1" cm="1">
        <f t="array" ref="K1867">SUMPRODUCT(([1]OUT_FinalEnergyCons!$B$4:$B$10000="Var_cap")*1,  (ISNUMBER(SEARCH("ITOT-SWHLFOBR",[1]OUT_FinalEnergyCons!$A$4:$A$10000)))*1,[1]OUT_FinalEnergyCons!I$4:I$10000)</f>
        <v>0.16630002040161493</v>
      </c>
      <c r="L1867" s="1" cm="1">
        <f t="array" ref="L1867">SUMPRODUCT(([1]OUT_FinalEnergyCons!$B$4:$B$10000="Var_cap")*1,  (ISNUMBER(SEARCH("ITOT-SWHLFOBR",[1]OUT_FinalEnergyCons!$A$4:$A$10000)))*1,[1]OUT_FinalEnergyCons!J$4:J$10000)</f>
        <v>0.14319341669478097</v>
      </c>
      <c r="M1867" s="1" cm="1">
        <f t="array" ref="M1867">SUMPRODUCT(([1]OUT_FinalEnergyCons!$B$4:$B$10000="Var_cap")*1,  (ISNUMBER(SEARCH("ITOT-SWHLFOBR",[1]OUT_FinalEnergyCons!$A$4:$A$10000)))*1,[1]OUT_FinalEnergyCons!K$4:K$10000)</f>
        <v>2.0160003344142485E-2</v>
      </c>
      <c r="N1867" s="1" cm="1">
        <f t="array" ref="N1867">SUMPRODUCT(([1]OUT_FinalEnergyCons!$B$4:$B$10000="Var_cap")*1,  (ISNUMBER(SEARCH("ITOT-SWHLFOBR",[1]OUT_FinalEnergyCons!$A$4:$A$10000)))*1,[1]OUT_FinalEnergyCons!L$4:L$10000)</f>
        <v>1.891602660164271E-2</v>
      </c>
      <c r="O1867" s="1" cm="1">
        <f t="array" ref="O1867">SUMPRODUCT(([1]OUT_FinalEnergyCons!$B$4:$B$10000="Var_cap")*1,  (ISNUMBER(SEARCH("ITOT-SWHLFOBR",[1]OUT_FinalEnergyCons!$A$4:$A$10000)))*1,[1]OUT_FinalEnergyCons!M$4:M$10000)</f>
        <v>1.8673811270932143E-2</v>
      </c>
      <c r="P1867" s="1" cm="1">
        <f t="array" ref="P1867">SUMPRODUCT(([1]OUT_FinalEnergyCons!$B$4:$B$10000="Var_cap")*1,  (ISNUMBER(SEARCH("ITOT-SWHLFOBR",[1]OUT_FinalEnergyCons!$A$4:$A$10000)))*1,[1]OUT_FinalEnergyCons!N$4:N$10000)</f>
        <v>1.8199964262282941E-2</v>
      </c>
      <c r="Q1867" s="1" cm="1">
        <f t="array" ref="Q1867">SUMPRODUCT(([1]OUT_FinalEnergyCons!$B$4:$B$10000="Var_cap")*1,  (ISNUMBER(SEARCH("ITOT-SWHLFOBR",[1]OUT_FinalEnergyCons!$A$4:$A$10000)))*1,[1]OUT_FinalEnergyCons!O$4:O$10000)</f>
        <v>1.931801463886812E-2</v>
      </c>
      <c r="S1867" s="3"/>
    </row>
    <row r="1868" spans="2:19" x14ac:dyDescent="0.5">
      <c r="B1868" s="5" t="str">
        <f t="shared" si="2113"/>
        <v>SPS1</v>
      </c>
      <c r="C1868" s="5" t="str">
        <f t="shared" si="2114"/>
        <v>CH</v>
      </c>
      <c r="D1868" t="s">
        <v>2098</v>
      </c>
      <c r="E1868" t="str">
        <f t="shared" si="2015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0.10235617219410478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0.10232256091063459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5.6053581508283545E-4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1.6656934364457643E-4</v>
      </c>
      <c r="J1868" s="1" cm="1">
        <f t="array" ref="J1868">IF(SUMPRODUCT(([1]OUT_FinalEnergyCons!$B$4:$B$10000="Var_cap")*1,  (ISNUMBER(SEARCH("ITOT-SWHHFOBR",[1]OUT_FinalEnergyCons!$A$4:$A$10000)))*1,[1]OUT_FinalEnergyCons!H$4:H$10000)&lt;0,0,SUMPRODUCT(([1]OUT_FinalEnergyCons!$B$4:$B$10000="Var_cap")*1,  (ISNUMBER(SEARCH("ITOT-SWHHFOBR",[1]OUT_FinalEnergyCons!$A$4:$A$10000)))*1,[1]OUT_FinalEnergyCons!H$4:H$10000))</f>
        <v>2.4831850843541961E-4</v>
      </c>
      <c r="K1868" s="1" cm="1">
        <f t="array" ref="K1868">IF(SUMPRODUCT(([1]OUT_FinalEnergyCons!$B$4:$B$10000="Var_cap")*1,  (ISNUMBER(SEARCH("ITOT-SWHHFOBR",[1]OUT_FinalEnergyCons!$A$4:$A$10000)))*1,[1]OUT_FinalEnergyCons!I$4:I$10000)&lt;0,0,SUMPRODUCT(([1]OUT_FinalEnergyCons!$B$4:$B$10000="Var_cap")*1,  (ISNUMBER(SEARCH("ITOT-SWHHFOBR",[1]OUT_FinalEnergyCons!$A$4:$A$10000)))*1,[1]OUT_FinalEnergyCons!I$4:I$10000))</f>
        <v>2.3623391426441157E-4</v>
      </c>
      <c r="L1868" s="1" cm="1">
        <f t="array" ref="L1868">IF(SUMPRODUCT(([1]OUT_FinalEnergyCons!$B$4:$B$10000="Var_cap")*1,  (ISNUMBER(SEARCH("ITOT-SWHHFOBR",[1]OUT_FinalEnergyCons!$A$4:$A$10000)))*1,[1]OUT_FinalEnergyCons!J$4:J$10000)&lt;0,0,SUMPRODUCT(([1]OUT_FinalEnergyCons!$B$4:$B$10000="Var_cap")*1,  (ISNUMBER(SEARCH("ITOT-SWHHFOBR",[1]OUT_FinalEnergyCons!$A$4:$A$10000)))*1,[1]OUT_FinalEnergyCons!J$4:J$10000))</f>
        <v>2.9613288587604451E-4</v>
      </c>
      <c r="M1868" s="1" cm="1">
        <f t="array" ref="M1868">IF(SUMPRODUCT(([1]OUT_FinalEnergyCons!$B$4:$B$10000="Var_cap")*1,  (ISNUMBER(SEARCH("ITOT-SWHHFOBR",[1]OUT_FinalEnergyCons!$A$4:$A$10000)))*1,[1]OUT_FinalEnergyCons!K$4:K$10000)&lt;0,0,SUMPRODUCT(([1]OUT_FinalEnergyCons!$B$4:$B$10000="Var_cap")*1,  (ISNUMBER(SEARCH("ITOT-SWHHFOBR",[1]OUT_FinalEnergyCons!$A$4:$A$10000)))*1,[1]OUT_FinalEnergyCons!K$4:K$10000))</f>
        <v>0</v>
      </c>
      <c r="N1868" s="1" cm="1">
        <f t="array" ref="N1868">IF(SUMPRODUCT(([1]OUT_FinalEnergyCons!$B$4:$B$10000="Var_cap")*1,  (ISNUMBER(SEARCH("ITOT-SWHHFOBR",[1]OUT_FinalEnergyCons!$A$4:$A$10000)))*1,[1]OUT_FinalEnergyCons!L$4:L$10000)&lt;0,0,SUMPRODUCT(([1]OUT_FinalEnergyCons!$B$4:$B$10000="Var_cap")*1,  (ISNUMBER(SEARCH("ITOT-SWHHFOBR",[1]OUT_FinalEnergyCons!$A$4:$A$10000)))*1,[1]OUT_FinalEnergyCons!L$4:L$10000))</f>
        <v>0</v>
      </c>
      <c r="O1868" s="1" cm="1">
        <f t="array" ref="O1868">IF(SUMPRODUCT(([1]OUT_FinalEnergyCons!$B$4:$B$10000="Var_cap")*1,  (ISNUMBER(SEARCH("ITOT-SWHHFOBR",[1]OUT_FinalEnergyCons!$A$4:$A$10000)))*1,[1]OUT_FinalEnergyCons!M$4:M$10000)&lt;0,0,SUMPRODUCT(([1]OUT_FinalEnergyCons!$B$4:$B$10000="Var_cap")*1,  (ISNUMBER(SEARCH("ITOT-SWHHFOBR",[1]OUT_FinalEnergyCons!$A$4:$A$10000)))*1,[1]OUT_FinalEnergyCons!M$4:M$10000))</f>
        <v>0</v>
      </c>
      <c r="P1868" s="1" cm="1">
        <f t="array" ref="P1868">IF(SUMPRODUCT(([1]OUT_FinalEnergyCons!$B$4:$B$10000="Var_cap")*1,  (ISNUMBER(SEARCH("ITOT-SWHHFOBR",[1]OUT_FinalEnergyCons!$A$4:$A$10000)))*1,[1]OUT_FinalEnergyCons!N$4:N$10000)&lt;0,0,SUMPRODUCT(([1]OUT_FinalEnergyCons!$B$4:$B$10000="Var_cap")*1,  (ISNUMBER(SEARCH("ITOT-SWHHFOBR",[1]OUT_FinalEnergyCons!$A$4:$A$10000)))*1,[1]OUT_FinalEnergyCons!N$4:N$10000))</f>
        <v>0</v>
      </c>
      <c r="Q1868" s="1" cm="1">
        <f t="array" ref="Q1868">IF(SUMPRODUCT(([1]OUT_FinalEnergyCons!$B$4:$B$10000="Var_cap")*1,  (ISNUMBER(SEARCH("ITOT-SWHHFOBR",[1]OUT_FinalEnergyCons!$A$4:$A$10000)))*1,[1]OUT_FinalEnergyCons!O$4:O$10000)&lt;0,0,SUMPRODUCT(([1]OUT_FinalEnergyCons!$B$4:$B$10000="Var_cap")*1,  (ISNUMBER(SEARCH("ITOT-SWHHFOBR",[1]OUT_FinalEnergyCons!$A$4:$A$10000)))*1,[1]OUT_FinalEnergyCons!O$4:O$10000))</f>
        <v>0</v>
      </c>
      <c r="S1868" s="3"/>
    </row>
    <row r="1869" spans="2:19" x14ac:dyDescent="0.5">
      <c r="B1869" s="5" t="str">
        <f t="shared" si="2113"/>
        <v>SPS1</v>
      </c>
      <c r="C1869" s="5" t="str">
        <f t="shared" si="2114"/>
        <v>CH</v>
      </c>
      <c r="D1869" t="s">
        <v>2099</v>
      </c>
      <c r="E1869" t="str">
        <f t="shared" si="2015"/>
        <v>GWth/yr.</v>
      </c>
      <c r="F1869" s="18">
        <f>SUM(F1870:F1871)</f>
        <v>1.556581895256</v>
      </c>
      <c r="G1869" s="18">
        <f t="shared" ref="G1869:K1869" si="2115">SUM(G1870:G1871)</f>
        <v>1.5580089766882945</v>
      </c>
      <c r="H1869" s="18">
        <f t="shared" si="2115"/>
        <v>1.561641641643067</v>
      </c>
      <c r="I1869" s="18">
        <f t="shared" si="2115"/>
        <v>1.5660756410687444</v>
      </c>
      <c r="J1869" s="18">
        <f t="shared" si="2115"/>
        <v>1.2510412572833773</v>
      </c>
      <c r="K1869" s="18">
        <f t="shared" si="2115"/>
        <v>1.2237142201476405</v>
      </c>
      <c r="L1869" s="18">
        <f t="shared" ref="L1869:O1869" si="2116">SUM(L1870:L1871)</f>
        <v>1.2235149090691806</v>
      </c>
      <c r="M1869" s="18">
        <f t="shared" si="2116"/>
        <v>1.1130770762617201</v>
      </c>
      <c r="N1869" s="18">
        <f t="shared" si="2116"/>
        <v>1.0054574404484427</v>
      </c>
      <c r="O1869" s="18">
        <f t="shared" si="2116"/>
        <v>1.1135111721714988</v>
      </c>
      <c r="P1869" s="18">
        <f>SUM(P1870:P1871)</f>
        <v>0.91682743589344984</v>
      </c>
      <c r="Q1869" s="18">
        <f>SUM(Q1870:Q1871)</f>
        <v>0.87784227809561022</v>
      </c>
      <c r="S1869" s="3"/>
    </row>
    <row r="1870" spans="2:19" x14ac:dyDescent="0.5">
      <c r="B1870" s="5" t="str">
        <f t="shared" si="2113"/>
        <v>SPS1</v>
      </c>
      <c r="C1870" s="5" t="str">
        <f t="shared" si="2114"/>
        <v>CH</v>
      </c>
      <c r="D1870" t="s">
        <v>2100</v>
      </c>
      <c r="E1870" t="str">
        <f t="shared" si="2015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1.556646362295518</v>
      </c>
      <c r="H1870" s="1" cm="1">
        <f t="array" ref="H1870">SUMPRODUCT(([1]OUT_FinalEnergyCons!$B$4:$B$10000="Var_cap")*1,  (ISNUMBER(SEARCH("ITOT-SWHNGA*BR",[1]OUT_FinalEnergyCons!$A$4:$A$10000)))*1,[1]OUT_FinalEnergyCons!F$4:F$10000)</f>
        <v>1.5567931396848527</v>
      </c>
      <c r="I1870" s="1" cm="1">
        <f t="array" ref="I1870">SUMPRODUCT(([1]OUT_FinalEnergyCons!$B$4:$B$10000="Var_cap")*1,  (ISNUMBER(SEARCH("ITOT-SWHNGA*BR",[1]OUT_FinalEnergyCons!$A$4:$A$10000)))*1,[1]OUT_FinalEnergyCons!G$4:G$10000)</f>
        <v>1.5564456317304669</v>
      </c>
      <c r="J1870" s="1" cm="1">
        <f t="array" ref="J1870">SUMPRODUCT(([1]OUT_FinalEnergyCons!$B$4:$B$10000="Var_cap")*1,  (ISNUMBER(SEARCH("ITOT-SWHNGA*BR",[1]OUT_FinalEnergyCons!$A$4:$A$10000)))*1,[1]OUT_FinalEnergyCons!H$4:H$10000)</f>
        <v>1.23899138351053</v>
      </c>
      <c r="K1870" s="1" cm="1">
        <f t="array" ref="K1870">SUMPRODUCT(([1]OUT_FinalEnergyCons!$B$4:$B$10000="Var_cap")*1,  (ISNUMBER(SEARCH("ITOT-SWHNGA*BR",[1]OUT_FinalEnergyCons!$A$4:$A$10000)))*1,[1]OUT_FinalEnergyCons!I$4:I$10000)</f>
        <v>1.2102152026875161</v>
      </c>
      <c r="L1870" s="1" cm="1">
        <f t="array" ref="L1870">SUMPRODUCT(([1]OUT_FinalEnergyCons!$B$4:$B$10000="Var_cap")*1,  (ISNUMBER(SEARCH("ITOT-SWHNGA*BR",[1]OUT_FinalEnergyCons!$A$4:$A$10000)))*1,[1]OUT_FinalEnergyCons!J$4:J$10000)</f>
        <v>1.2097755005091686</v>
      </c>
      <c r="M1870" s="1" cm="1">
        <f t="array" ref="M1870">SUMPRODUCT(([1]OUT_FinalEnergyCons!$B$4:$B$10000="Var_cap")*1,  (ISNUMBER(SEARCH("ITOT-SWHNGA*BR",[1]OUT_FinalEnergyCons!$A$4:$A$10000)))*1,[1]OUT_FinalEnergyCons!K$4:K$10000)</f>
        <v>1.0986447996179671</v>
      </c>
      <c r="N1870" s="1" cm="1">
        <f t="array" ref="N1870">SUMPRODUCT(([1]OUT_FinalEnergyCons!$B$4:$B$10000="Var_cap")*1,  (ISNUMBER(SEARCH("ITOT-SWHNGA*BR",[1]OUT_FinalEnergyCons!$A$4:$A$10000)))*1,[1]OUT_FinalEnergyCons!L$4:L$10000)</f>
        <v>0.99162167534194179</v>
      </c>
      <c r="O1870" s="1" cm="1">
        <f t="array" ref="O1870">SUMPRODUCT(([1]OUT_FinalEnergyCons!$B$4:$B$10000="Var_cap")*1,  (ISNUMBER(SEARCH("ITOT-SWHNGA*BR",[1]OUT_FinalEnergyCons!$A$4:$A$10000)))*1,[1]OUT_FinalEnergyCons!M$4:M$10000)</f>
        <v>0.93492709028527687</v>
      </c>
      <c r="P1870" s="1" cm="1">
        <f t="array" ref="P1870">SUMPRODUCT(([1]OUT_FinalEnergyCons!$B$4:$B$10000="Var_cap")*1,  (ISNUMBER(SEARCH("ITOT-SWHNGA*BR",[1]OUT_FinalEnergyCons!$A$4:$A$10000)))*1,[1]OUT_FinalEnergyCons!N$4:N$10000)</f>
        <v>0.73843638417919344</v>
      </c>
      <c r="Q1870" s="1" cm="1">
        <f t="array" ref="Q1870">SUMPRODUCT(([1]OUT_FinalEnergyCons!$B$4:$B$10000="Var_cap")*1,  (ISNUMBER(SEARCH("ITOT-SWHNGA*BR",[1]OUT_FinalEnergyCons!$A$4:$A$10000)))*1,[1]OUT_FinalEnergyCons!O$4:O$10000)</f>
        <v>0.69865017062562773</v>
      </c>
      <c r="S1870" s="3"/>
    </row>
    <row r="1871" spans="2:19" x14ac:dyDescent="0.5">
      <c r="B1871" s="5" t="str">
        <f t="shared" si="2113"/>
        <v>SPS1</v>
      </c>
      <c r="C1871" s="5" t="str">
        <f t="shared" si="2114"/>
        <v>CH</v>
      </c>
      <c r="D1871" t="s">
        <v>2101</v>
      </c>
      <c r="E1871" t="str">
        <f t="shared" si="2015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1.36261439277642E-3</v>
      </c>
      <c r="H1871" s="1" cm="1">
        <f t="array" ref="H1871">SUMPRODUCT(([1]OUT_FinalEnergyCons!$B$4:$B$10000="Var_cap")*1,  (ISNUMBER(SEARCH("ITOT-SWHNGAHP",[1]OUT_FinalEnergyCons!$A$4:$A$10000)))*1,[1]OUT_FinalEnergyCons!F$4:F$10000)</f>
        <v>4.8485019582143636E-3</v>
      </c>
      <c r="I1871" s="1" cm="1">
        <f t="array" ref="I1871">SUMPRODUCT(([1]OUT_FinalEnergyCons!$B$4:$B$10000="Var_cap")*1,  (ISNUMBER(SEARCH("ITOT-SWHNGAHP",[1]OUT_FinalEnergyCons!$A$4:$A$10000)))*1,[1]OUT_FinalEnergyCons!G$4:G$10000)</f>
        <v>9.6300093382775762E-3</v>
      </c>
      <c r="J1871" s="1" cm="1">
        <f t="array" ref="J1871">SUMPRODUCT(([1]OUT_FinalEnergyCons!$B$4:$B$10000="Var_cap")*1,  (ISNUMBER(SEARCH("ITOT-SWHNGAHP",[1]OUT_FinalEnergyCons!$A$4:$A$10000)))*1,[1]OUT_FinalEnergyCons!H$4:H$10000)</f>
        <v>1.2049873772847391E-2</v>
      </c>
      <c r="K1871" s="1" cm="1">
        <f t="array" ref="K1871">SUMPRODUCT(([1]OUT_FinalEnergyCons!$B$4:$B$10000="Var_cap")*1,  (ISNUMBER(SEARCH("ITOT-SWHNGAHP",[1]OUT_FinalEnergyCons!$A$4:$A$10000)))*1,[1]OUT_FinalEnergyCons!I$4:I$10000)</f>
        <v>1.3499017460124286E-2</v>
      </c>
      <c r="L1871" s="1" cm="1">
        <f t="array" ref="L1871">SUMPRODUCT(([1]OUT_FinalEnergyCons!$B$4:$B$10000="Var_cap")*1,  (ISNUMBER(SEARCH("ITOT-SWHNGAHP",[1]OUT_FinalEnergyCons!$A$4:$A$10000)))*1,[1]OUT_FinalEnergyCons!J$4:J$10000)</f>
        <v>1.3739408560011969E-2</v>
      </c>
      <c r="M1871" s="1" cm="1">
        <f t="array" ref="M1871">SUMPRODUCT(([1]OUT_FinalEnergyCons!$B$4:$B$10000="Var_cap")*1,  (ISNUMBER(SEARCH("ITOT-SWHNGAHP",[1]OUT_FinalEnergyCons!$A$4:$A$10000)))*1,[1]OUT_FinalEnergyCons!K$4:K$10000)</f>
        <v>1.4432276643752975E-2</v>
      </c>
      <c r="N1871" s="1" cm="1">
        <f t="array" ref="N1871">SUMPRODUCT(([1]OUT_FinalEnergyCons!$B$4:$B$10000="Var_cap")*1,  (ISNUMBER(SEARCH("ITOT-SWHNGAHP",[1]OUT_FinalEnergyCons!$A$4:$A$10000)))*1,[1]OUT_FinalEnergyCons!L$4:L$10000)</f>
        <v>1.3835765106500763E-2</v>
      </c>
      <c r="O1871" s="1" cm="1">
        <f t="array" ref="O1871">SUMPRODUCT(([1]OUT_FinalEnergyCons!$B$4:$B$10000="Var_cap")*1,  (ISNUMBER(SEARCH("ITOT-SWHNGAHP",[1]OUT_FinalEnergyCons!$A$4:$A$10000)))*1,[1]OUT_FinalEnergyCons!M$4:M$10000)</f>
        <v>0.17858408188622193</v>
      </c>
      <c r="P1871" s="1" cm="1">
        <f t="array" ref="P1871">SUMPRODUCT(([1]OUT_FinalEnergyCons!$B$4:$B$10000="Var_cap")*1,  (ISNUMBER(SEARCH("ITOT-SWHNGAHP",[1]OUT_FinalEnergyCons!$A$4:$A$10000)))*1,[1]OUT_FinalEnergyCons!N$4:N$10000)</f>
        <v>0.17839105171425634</v>
      </c>
      <c r="Q1871" s="1" cm="1">
        <f t="array" ref="Q1871">SUMPRODUCT(([1]OUT_FinalEnergyCons!$B$4:$B$10000="Var_cap")*1,  (ISNUMBER(SEARCH("ITOT-SWHNGAHP",[1]OUT_FinalEnergyCons!$A$4:$A$10000)))*1,[1]OUT_FinalEnergyCons!O$4:O$10000)</f>
        <v>0.17919210746998251</v>
      </c>
      <c r="S1871" s="3"/>
    </row>
    <row r="1872" spans="2:19" x14ac:dyDescent="0.5">
      <c r="B1872" s="5" t="str">
        <f t="shared" si="2113"/>
        <v>SPS1</v>
      </c>
      <c r="C1872" s="5" t="str">
        <f t="shared" si="2114"/>
        <v>CH</v>
      </c>
      <c r="D1872" t="s">
        <v>2102</v>
      </c>
      <c r="E1872" t="str">
        <f t="shared" si="2015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3.1074290763694872E-2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4.3521981124607888E-2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9.3856945295974173E-2</v>
      </c>
      <c r="J1872" s="1" cm="1">
        <f t="array" ref="J1872">SUMPRODUCT(([1]OUT_FinalEnergyCons!$B$4:$B$10000="Var_cap")*1,  (("ITOT-SWHBIOBR"=[1]OUT_FinalEnergyCons!$A$4:$A$10000)*1+("ITOT-SWHBNGABR"=[1]OUT_FinalEnergyCons!$A$4:$A$10000))*1,[1]OUT_FinalEnergyCons!H$4:H$10000)</f>
        <v>0.1682071837247946</v>
      </c>
      <c r="K1872" s="1" cm="1">
        <f t="array" ref="K1872">SUMPRODUCT(([1]OUT_FinalEnergyCons!$B$4:$B$10000="Var_cap")*1,  (("ITOT-SWHBIOBR"=[1]OUT_FinalEnergyCons!$A$4:$A$10000)*1+("ITOT-SWHBNGABR"=[1]OUT_FinalEnergyCons!$A$4:$A$10000))*1,[1]OUT_FinalEnergyCons!I$4:I$10000)</f>
        <v>0.33830068730779289</v>
      </c>
      <c r="L1872" s="1" cm="1">
        <f t="array" ref="L1872">SUMPRODUCT(([1]OUT_FinalEnergyCons!$B$4:$B$10000="Var_cap")*1,  (("ITOT-SWHBIOBR"=[1]OUT_FinalEnergyCons!$A$4:$A$10000)*1+("ITOT-SWHBNGABR"=[1]OUT_FinalEnergyCons!$A$4:$A$10000))*1,[1]OUT_FinalEnergyCons!J$4:J$10000)</f>
        <v>0.29592862461144948</v>
      </c>
      <c r="M1872" s="1" cm="1">
        <f t="array" ref="M1872">SUMPRODUCT(([1]OUT_FinalEnergyCons!$B$4:$B$10000="Var_cap")*1,  (("ITOT-SWHBIOBR"=[1]OUT_FinalEnergyCons!$A$4:$A$10000)*1+("ITOT-SWHBNGABR"=[1]OUT_FinalEnergyCons!$A$4:$A$10000))*1,[1]OUT_FinalEnergyCons!K$4:K$10000)</f>
        <v>0.35331757636703098</v>
      </c>
      <c r="N1872" s="1" cm="1">
        <f t="array" ref="N1872">SUMPRODUCT(([1]OUT_FinalEnergyCons!$B$4:$B$10000="Var_cap")*1,  (("ITOT-SWHBIOBR"=[1]OUT_FinalEnergyCons!$A$4:$A$10000)*1+("ITOT-SWHBNGABR"=[1]OUT_FinalEnergyCons!$A$4:$A$10000))*1,[1]OUT_FinalEnergyCons!L$4:L$10000)</f>
        <v>0.31237511497055132</v>
      </c>
      <c r="O1872" s="1" cm="1">
        <f t="array" ref="O1872">SUMPRODUCT(([1]OUT_FinalEnergyCons!$B$4:$B$10000="Var_cap")*1,  (("ITOT-SWHBIOBR"=[1]OUT_FinalEnergyCons!$A$4:$A$10000)*1+("ITOT-SWHBNGABR"=[1]OUT_FinalEnergyCons!$A$4:$A$10000))*1,[1]OUT_FinalEnergyCons!M$4:M$10000)</f>
        <v>0.30045698060021331</v>
      </c>
      <c r="P1872" s="1" cm="1">
        <f t="array" ref="P1872">SUMPRODUCT(([1]OUT_FinalEnergyCons!$B$4:$B$10000="Var_cap")*1,  (("ITOT-SWHBIOBR"=[1]OUT_FinalEnergyCons!$A$4:$A$10000)*1+("ITOT-SWHBNGABR"=[1]OUT_FinalEnergyCons!$A$4:$A$10000))*1,[1]OUT_FinalEnergyCons!N$4:N$10000)</f>
        <v>0.32938737004009983</v>
      </c>
      <c r="Q1872" s="1" cm="1">
        <f t="array" ref="Q1872">SUMPRODUCT(([1]OUT_FinalEnergyCons!$B$4:$B$10000="Var_cap")*1,  (("ITOT-SWHBIOBR"=[1]OUT_FinalEnergyCons!$A$4:$A$10000)*1+("ITOT-SWHBNGABR"=[1]OUT_FinalEnergyCons!$A$4:$A$10000))*1,[1]OUT_FinalEnergyCons!O$4:O$10000)</f>
        <v>0.35438815700078746</v>
      </c>
      <c r="S1872" s="3"/>
    </row>
    <row r="1873" spans="2:19" x14ac:dyDescent="0.5">
      <c r="B1873" s="5" t="str">
        <f t="shared" si="2113"/>
        <v>SPS1</v>
      </c>
      <c r="C1873" s="5" t="str">
        <f t="shared" si="2114"/>
        <v>CH</v>
      </c>
      <c r="D1873" t="s">
        <v>2103</v>
      </c>
      <c r="E1873" t="str">
        <f t="shared" si="2015"/>
        <v>GWth/yr.</v>
      </c>
      <c r="F1873" s="1">
        <f>F1874</f>
        <v>0.26172155007150499</v>
      </c>
      <c r="G1873" s="1">
        <f t="shared" ref="G1873:O1873" si="2117">G1874</f>
        <v>0.19677961264229304</v>
      </c>
      <c r="H1873" s="1">
        <f t="shared" si="2117"/>
        <v>0.17766330381450568</v>
      </c>
      <c r="I1873" s="1">
        <f t="shared" si="2117"/>
        <v>2.2912023860022224E-4</v>
      </c>
      <c r="J1873" s="1">
        <f t="shared" si="2117"/>
        <v>2.4688169502797008E-4</v>
      </c>
      <c r="K1873" s="1">
        <f t="shared" si="2117"/>
        <v>2.337682437764686E-4</v>
      </c>
      <c r="L1873" s="1">
        <f t="shared" si="2117"/>
        <v>3.59334417308177E-4</v>
      </c>
      <c r="M1873" s="1">
        <f t="shared" si="2117"/>
        <v>7.6389771154395129E-4</v>
      </c>
      <c r="N1873" s="1">
        <f t="shared" si="2117"/>
        <v>4.8925512040936809E-4</v>
      </c>
      <c r="O1873" s="1">
        <f t="shared" si="2117"/>
        <v>7.2946822771613993E-4</v>
      </c>
      <c r="P1873" s="1">
        <f>P1874</f>
        <v>4.1712659560838518E-4</v>
      </c>
      <c r="Q1873" s="1">
        <f>Q1874</f>
        <v>7.7374690110633187E-4</v>
      </c>
      <c r="S1873" s="3"/>
    </row>
    <row r="1874" spans="2:19" x14ac:dyDescent="0.5">
      <c r="B1874" s="5" t="str">
        <f t="shared" si="2113"/>
        <v>SPS1</v>
      </c>
      <c r="C1874" s="5" t="str">
        <f t="shared" si="2114"/>
        <v>CH</v>
      </c>
      <c r="D1874" t="s">
        <v>2104</v>
      </c>
      <c r="E1874" t="str">
        <f t="shared" si="2015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0.19677961264229304</v>
      </c>
      <c r="H1874" s="1" cm="1">
        <f t="array" ref="H1874">SUMPRODUCT(([1]OUT_FinalEnergyCons!$B$4:$B$10000="Var_cap")*1,  (ISNUMBER(SEARCH("ITOT-SWHCOA*BR",[1]OUT_FinalEnergyCons!$A$4:$A$10000)))*1,[1]OUT_FinalEnergyCons!F$4:F$10000)</f>
        <v>0.17766330381450568</v>
      </c>
      <c r="I1874" s="1" cm="1">
        <f t="array" ref="I1874">SUMPRODUCT(([1]OUT_FinalEnergyCons!$B$4:$B$10000="Var_cap")*1,  (ISNUMBER(SEARCH("ITOT-SWHCOA*BR",[1]OUT_FinalEnergyCons!$A$4:$A$10000)))*1,[1]OUT_FinalEnergyCons!G$4:G$10000)</f>
        <v>2.2912023860022224E-4</v>
      </c>
      <c r="J1874" s="1" cm="1">
        <f t="array" ref="J1874">SUMPRODUCT(([1]OUT_FinalEnergyCons!$B$4:$B$10000="Var_cap")*1,  (ISNUMBER(SEARCH("ITOT-SWHCOA*BR",[1]OUT_FinalEnergyCons!$A$4:$A$10000)))*1,[1]OUT_FinalEnergyCons!H$4:H$10000)</f>
        <v>2.4688169502797008E-4</v>
      </c>
      <c r="K1874" s="1" cm="1">
        <f t="array" ref="K1874">SUMPRODUCT(([1]OUT_FinalEnergyCons!$B$4:$B$10000="Var_cap")*1,  (ISNUMBER(SEARCH("ITOT-SWHCOA*BR",[1]OUT_FinalEnergyCons!$A$4:$A$10000)))*1,[1]OUT_FinalEnergyCons!I$4:I$10000)</f>
        <v>2.337682437764686E-4</v>
      </c>
      <c r="L1874" s="1" cm="1">
        <f t="array" ref="L1874">SUMPRODUCT(([1]OUT_FinalEnergyCons!$B$4:$B$10000="Var_cap")*1,  (ISNUMBER(SEARCH("ITOT-SWHCOA*BR",[1]OUT_FinalEnergyCons!$A$4:$A$10000)))*1,[1]OUT_FinalEnergyCons!J$4:J$10000)</f>
        <v>3.59334417308177E-4</v>
      </c>
      <c r="M1874" s="1" cm="1">
        <f t="array" ref="M1874">SUMPRODUCT(([1]OUT_FinalEnergyCons!$B$4:$B$10000="Var_cap")*1,  (ISNUMBER(SEARCH("ITOT-SWHCOA*BR",[1]OUT_FinalEnergyCons!$A$4:$A$10000)))*1,[1]OUT_FinalEnergyCons!K$4:K$10000)</f>
        <v>7.6389771154395129E-4</v>
      </c>
      <c r="N1874" s="1" cm="1">
        <f t="array" ref="N1874">SUMPRODUCT(([1]OUT_FinalEnergyCons!$B$4:$B$10000="Var_cap")*1,  (ISNUMBER(SEARCH("ITOT-SWHCOA*BR",[1]OUT_FinalEnergyCons!$A$4:$A$10000)))*1,[1]OUT_FinalEnergyCons!L$4:L$10000)</f>
        <v>4.8925512040936809E-4</v>
      </c>
      <c r="O1874" s="1" cm="1">
        <f t="array" ref="O1874">SUMPRODUCT(([1]OUT_FinalEnergyCons!$B$4:$B$10000="Var_cap")*1,  (ISNUMBER(SEARCH("ITOT-SWHCOA*BR",[1]OUT_FinalEnergyCons!$A$4:$A$10000)))*1,[1]OUT_FinalEnergyCons!M$4:M$10000)</f>
        <v>7.2946822771613993E-4</v>
      </c>
      <c r="P1874" s="1" cm="1">
        <f t="array" ref="P1874">SUMPRODUCT(([1]OUT_FinalEnergyCons!$B$4:$B$10000="Var_cap")*1,  (ISNUMBER(SEARCH("ITOT-SWHCOA*BR",[1]OUT_FinalEnergyCons!$A$4:$A$10000)))*1,[1]OUT_FinalEnergyCons!N$4:N$10000)</f>
        <v>4.1712659560838518E-4</v>
      </c>
      <c r="Q1874" s="1" cm="1">
        <f t="array" ref="Q1874">SUMPRODUCT(([1]OUT_FinalEnergyCons!$B$4:$B$10000="Var_cap")*1,  (ISNUMBER(SEARCH("ITOT-SWHCOA*BR",[1]OUT_FinalEnergyCons!$A$4:$A$10000)))*1,[1]OUT_FinalEnergyCons!O$4:O$10000)</f>
        <v>7.7374690110633187E-4</v>
      </c>
      <c r="S1874" s="3"/>
    </row>
    <row r="1875" spans="2:19" x14ac:dyDescent="0.5">
      <c r="B1875" s="5" t="str">
        <f t="shared" si="2113"/>
        <v>SPS1</v>
      </c>
      <c r="C1875" s="5" t="str">
        <f t="shared" si="2114"/>
        <v>CH</v>
      </c>
      <c r="D1875" t="s">
        <v>2105</v>
      </c>
      <c r="E1875" t="str">
        <f t="shared" si="2015"/>
        <v>GWth/yr.</v>
      </c>
      <c r="F1875" s="1">
        <f>F1876</f>
        <v>0.28883369534761499</v>
      </c>
      <c r="G1875" s="1">
        <f t="shared" ref="G1875:O1875" si="2118">G1876</f>
        <v>0.34262826749174979</v>
      </c>
      <c r="H1875" s="1">
        <f t="shared" si="2118"/>
        <v>0.34269562984487978</v>
      </c>
      <c r="I1875" s="1">
        <f t="shared" si="2118"/>
        <v>0.37990410426172383</v>
      </c>
      <c r="J1875" s="1">
        <f t="shared" si="2118"/>
        <v>0.41351073359007345</v>
      </c>
      <c r="K1875" s="1">
        <f t="shared" si="2118"/>
        <v>0.45349874983895844</v>
      </c>
      <c r="L1875" s="1">
        <f t="shared" si="2118"/>
        <v>0.49771666548480659</v>
      </c>
      <c r="M1875" s="1">
        <f t="shared" si="2118"/>
        <v>0.54990400042698562</v>
      </c>
      <c r="N1875" s="1">
        <f t="shared" si="2118"/>
        <v>0.58422583065296818</v>
      </c>
      <c r="O1875" s="1">
        <f t="shared" si="2118"/>
        <v>0.59518310039571831</v>
      </c>
      <c r="P1875" s="1">
        <f>P1876</f>
        <v>0.51939339872237589</v>
      </c>
      <c r="Q1875" s="1">
        <f>Q1876</f>
        <v>0.53556110392208078</v>
      </c>
      <c r="S1875" s="3"/>
    </row>
    <row r="1876" spans="2:19" x14ac:dyDescent="0.5">
      <c r="B1876" s="5" t="str">
        <f t="shared" si="2113"/>
        <v>SPS1</v>
      </c>
      <c r="C1876" s="5" t="str">
        <f t="shared" si="2114"/>
        <v>CH</v>
      </c>
      <c r="D1876" t="s">
        <v>2106</v>
      </c>
      <c r="E1876" t="str">
        <f t="shared" si="2015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0.34262826749174979</v>
      </c>
      <c r="H1876" s="1" cm="1">
        <f t="array" ref="H1876">SUMPRODUCT(([1]OUT_FinalEnergyCons!$B$4:$B$10000="Var_cap")*1,  (ISNUMBER(SEARCH("ITOT-SWHWOD*BR",[1]OUT_FinalEnergyCons!$A$4:$A$10000)))*1,[1]OUT_FinalEnergyCons!F$4:F$10000)</f>
        <v>0.34269562984487978</v>
      </c>
      <c r="I1876" s="1" cm="1">
        <f t="array" ref="I1876">SUMPRODUCT(([1]OUT_FinalEnergyCons!$B$4:$B$10000="Var_cap")*1,  (ISNUMBER(SEARCH("ITOT-SWHWOD*BR",[1]OUT_FinalEnergyCons!$A$4:$A$10000)))*1,[1]OUT_FinalEnergyCons!G$4:G$10000)</f>
        <v>0.37990410426172383</v>
      </c>
      <c r="J1876" s="1" cm="1">
        <f t="array" ref="J1876">SUMPRODUCT(([1]OUT_FinalEnergyCons!$B$4:$B$10000="Var_cap")*1,  (ISNUMBER(SEARCH("ITOT-SWHWOD*BR",[1]OUT_FinalEnergyCons!$A$4:$A$10000)))*1,[1]OUT_FinalEnergyCons!H$4:H$10000)</f>
        <v>0.41351073359007345</v>
      </c>
      <c r="K1876" s="1" cm="1">
        <f t="array" ref="K1876">SUMPRODUCT(([1]OUT_FinalEnergyCons!$B$4:$B$10000="Var_cap")*1,  (ISNUMBER(SEARCH("ITOT-SWHWOD*BR",[1]OUT_FinalEnergyCons!$A$4:$A$10000)))*1,[1]OUT_FinalEnergyCons!I$4:I$10000)</f>
        <v>0.45349874983895844</v>
      </c>
      <c r="L1876" s="1" cm="1">
        <f t="array" ref="L1876">SUMPRODUCT(([1]OUT_FinalEnergyCons!$B$4:$B$10000="Var_cap")*1,  (ISNUMBER(SEARCH("ITOT-SWHWOD*BR",[1]OUT_FinalEnergyCons!$A$4:$A$10000)))*1,[1]OUT_FinalEnergyCons!J$4:J$10000)</f>
        <v>0.49771666548480659</v>
      </c>
      <c r="M1876" s="1" cm="1">
        <f t="array" ref="M1876">SUMPRODUCT(([1]OUT_FinalEnergyCons!$B$4:$B$10000="Var_cap")*1,  (ISNUMBER(SEARCH("ITOT-SWHWOD*BR",[1]OUT_FinalEnergyCons!$A$4:$A$10000)))*1,[1]OUT_FinalEnergyCons!K$4:K$10000)</f>
        <v>0.54990400042698562</v>
      </c>
      <c r="N1876" s="1" cm="1">
        <f t="array" ref="N1876">SUMPRODUCT(([1]OUT_FinalEnergyCons!$B$4:$B$10000="Var_cap")*1,  (ISNUMBER(SEARCH("ITOT-SWHWOD*BR",[1]OUT_FinalEnergyCons!$A$4:$A$10000)))*1,[1]OUT_FinalEnergyCons!L$4:L$10000)</f>
        <v>0.58422583065296818</v>
      </c>
      <c r="O1876" s="1" cm="1">
        <f t="array" ref="O1876">SUMPRODUCT(([1]OUT_FinalEnergyCons!$B$4:$B$10000="Var_cap")*1,  (ISNUMBER(SEARCH("ITOT-SWHWOD*BR",[1]OUT_FinalEnergyCons!$A$4:$A$10000)))*1,[1]OUT_FinalEnergyCons!M$4:M$10000)</f>
        <v>0.59518310039571831</v>
      </c>
      <c r="P1876" s="1" cm="1">
        <f t="array" ref="P1876">SUMPRODUCT(([1]OUT_FinalEnergyCons!$B$4:$B$10000="Var_cap")*1,  (ISNUMBER(SEARCH("ITOT-SWHWOD*BR",[1]OUT_FinalEnergyCons!$A$4:$A$10000)))*1,[1]OUT_FinalEnergyCons!N$4:N$10000)</f>
        <v>0.51939339872237589</v>
      </c>
      <c r="Q1876" s="1" cm="1">
        <f t="array" ref="Q1876">SUMPRODUCT(([1]OUT_FinalEnergyCons!$B$4:$B$10000="Var_cap")*1,  (ISNUMBER(SEARCH("ITOT-SWHWOD*BR",[1]OUT_FinalEnergyCons!$A$4:$A$10000)))*1,[1]OUT_FinalEnergyCons!O$4:O$10000)</f>
        <v>0.53556110392208078</v>
      </c>
      <c r="S1876" s="3"/>
    </row>
    <row r="1877" spans="2:19" x14ac:dyDescent="0.5">
      <c r="B1877" s="5" t="str">
        <f t="shared" si="2113"/>
        <v>SPS1</v>
      </c>
      <c r="C1877" s="5" t="str">
        <f t="shared" si="2114"/>
        <v>CH</v>
      </c>
      <c r="D1877" t="s">
        <v>2107</v>
      </c>
      <c r="E1877" t="str">
        <f t="shared" si="2015"/>
        <v>GWth/yr.</v>
      </c>
      <c r="F1877" s="1">
        <f>F1878</f>
        <v>2.9860759506449799E-2</v>
      </c>
      <c r="G1877" s="1">
        <f t="shared" ref="G1877:O1877" si="2119">G1878</f>
        <v>3.5163861947861412E-2</v>
      </c>
      <c r="H1877" s="1">
        <f t="shared" si="2119"/>
        <v>3.5325957353220853E-2</v>
      </c>
      <c r="I1877" s="1">
        <f t="shared" si="2119"/>
        <v>4.2163698033385912E-2</v>
      </c>
      <c r="J1877" s="1">
        <f t="shared" si="2119"/>
        <v>4.1827378139133106E-2</v>
      </c>
      <c r="K1877" s="1">
        <f t="shared" si="2119"/>
        <v>4.0009507127169851E-2</v>
      </c>
      <c r="L1877" s="1">
        <f t="shared" si="2119"/>
        <v>3.8818336073753554E-2</v>
      </c>
      <c r="M1877" s="1">
        <f t="shared" si="2119"/>
        <v>4.0429137400947626E-2</v>
      </c>
      <c r="N1877" s="1">
        <f t="shared" si="2119"/>
        <v>3.9120010064035447E-2</v>
      </c>
      <c r="O1877" s="1">
        <f t="shared" si="2119"/>
        <v>3.8913191674763467E-2</v>
      </c>
      <c r="P1877" s="1">
        <f>P1878</f>
        <v>4.0733441712135686E-2</v>
      </c>
      <c r="Q1877" s="1">
        <f>Q1878</f>
        <v>4.122454320804287E-2</v>
      </c>
      <c r="S1877" s="3"/>
    </row>
    <row r="1878" spans="2:19" x14ac:dyDescent="0.5">
      <c r="B1878" s="5" t="str">
        <f t="shared" si="2113"/>
        <v>SPS1</v>
      </c>
      <c r="C1878" s="5" t="str">
        <f t="shared" si="2114"/>
        <v>CH</v>
      </c>
      <c r="D1878" t="s">
        <v>2108</v>
      </c>
      <c r="E1878" t="str">
        <f t="shared" si="2015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3.5163861947861412E-2</v>
      </c>
      <c r="H1878" s="1" cm="1">
        <f t="array" ref="H1878">SUMPRODUCT(([1]OUT_FinalEnergyCons!$B$4:$B$10000="Var_cap")*1,  (ISNUMBER(SEARCH("ITOT-SWHPLT*BR",[1]OUT_FinalEnergyCons!$A$4:$A$10000)))*1,[1]OUT_FinalEnergyCons!F$4:F$10000)</f>
        <v>3.5325957353220853E-2</v>
      </c>
      <c r="I1878" s="1" cm="1">
        <f t="array" ref="I1878">SUMPRODUCT(([1]OUT_FinalEnergyCons!$B$4:$B$10000="Var_cap")*1,  (ISNUMBER(SEARCH("ITOT-SWHPLT*BR",[1]OUT_FinalEnergyCons!$A$4:$A$10000)))*1,[1]OUT_FinalEnergyCons!G$4:G$10000)</f>
        <v>4.2163698033385912E-2</v>
      </c>
      <c r="J1878" s="1" cm="1">
        <f t="array" ref="J1878">SUMPRODUCT(([1]OUT_FinalEnergyCons!$B$4:$B$10000="Var_cap")*1,  (ISNUMBER(SEARCH("ITOT-SWHPLT*BR",[1]OUT_FinalEnergyCons!$A$4:$A$10000)))*1,[1]OUT_FinalEnergyCons!H$4:H$10000)</f>
        <v>4.1827378139133106E-2</v>
      </c>
      <c r="K1878" s="1" cm="1">
        <f t="array" ref="K1878">SUMPRODUCT(([1]OUT_FinalEnergyCons!$B$4:$B$10000="Var_cap")*1,  (ISNUMBER(SEARCH("ITOT-SWHPLT*BR",[1]OUT_FinalEnergyCons!$A$4:$A$10000)))*1,[1]OUT_FinalEnergyCons!I$4:I$10000)</f>
        <v>4.0009507127169851E-2</v>
      </c>
      <c r="L1878" s="1" cm="1">
        <f t="array" ref="L1878">SUMPRODUCT(([1]OUT_FinalEnergyCons!$B$4:$B$10000="Var_cap")*1,  (ISNUMBER(SEARCH("ITOT-SWHPLT*BR",[1]OUT_FinalEnergyCons!$A$4:$A$10000)))*1,[1]OUT_FinalEnergyCons!J$4:J$10000)</f>
        <v>3.8818336073753554E-2</v>
      </c>
      <c r="M1878" s="1" cm="1">
        <f t="array" ref="M1878">SUMPRODUCT(([1]OUT_FinalEnergyCons!$B$4:$B$10000="Var_cap")*1,  (ISNUMBER(SEARCH("ITOT-SWHPLT*BR",[1]OUT_FinalEnergyCons!$A$4:$A$10000)))*1,[1]OUT_FinalEnergyCons!K$4:K$10000)</f>
        <v>4.0429137400947626E-2</v>
      </c>
      <c r="N1878" s="1" cm="1">
        <f t="array" ref="N1878">SUMPRODUCT(([1]OUT_FinalEnergyCons!$B$4:$B$10000="Var_cap")*1,  (ISNUMBER(SEARCH("ITOT-SWHPLT*BR",[1]OUT_FinalEnergyCons!$A$4:$A$10000)))*1,[1]OUT_FinalEnergyCons!L$4:L$10000)</f>
        <v>3.9120010064035447E-2</v>
      </c>
      <c r="O1878" s="1" cm="1">
        <f t="array" ref="O1878">SUMPRODUCT(([1]OUT_FinalEnergyCons!$B$4:$B$10000="Var_cap")*1,  (ISNUMBER(SEARCH("ITOT-SWHPLT*BR",[1]OUT_FinalEnergyCons!$A$4:$A$10000)))*1,[1]OUT_FinalEnergyCons!M$4:M$10000)</f>
        <v>3.8913191674763467E-2</v>
      </c>
      <c r="P1878" s="1" cm="1">
        <f t="array" ref="P1878">SUMPRODUCT(([1]OUT_FinalEnergyCons!$B$4:$B$10000="Var_cap")*1,  (ISNUMBER(SEARCH("ITOT-SWHPLT*BR",[1]OUT_FinalEnergyCons!$A$4:$A$10000)))*1,[1]OUT_FinalEnergyCons!N$4:N$10000)</f>
        <v>4.0733441712135686E-2</v>
      </c>
      <c r="Q1878" s="1" cm="1">
        <f t="array" ref="Q1878">SUMPRODUCT(([1]OUT_FinalEnergyCons!$B$4:$B$10000="Var_cap")*1,  (ISNUMBER(SEARCH("ITOT-SWHPLT*BR",[1]OUT_FinalEnergyCons!$A$4:$A$10000)))*1,[1]OUT_FinalEnergyCons!O$4:O$10000)</f>
        <v>4.122454320804287E-2</v>
      </c>
      <c r="S1878" s="3"/>
    </row>
    <row r="1879" spans="2:19" x14ac:dyDescent="0.5">
      <c r="B1879" s="5" t="str">
        <f t="shared" si="2113"/>
        <v>SPS1</v>
      </c>
      <c r="C1879" s="5" t="str">
        <f t="shared" si="2114"/>
        <v>CH</v>
      </c>
      <c r="D1879" t="s">
        <v>2109</v>
      </c>
      <c r="E1879" t="str">
        <f t="shared" si="2015"/>
        <v>GWth/yr.</v>
      </c>
      <c r="F1879" s="1">
        <f>F1880</f>
        <v>0.35954682816669398</v>
      </c>
      <c r="G1879" s="1">
        <f t="shared" ref="G1879:O1879" si="2120">G1880</f>
        <v>0.33644520280774687</v>
      </c>
      <c r="H1879" s="1">
        <f t="shared" si="2120"/>
        <v>0.30102610261267054</v>
      </c>
      <c r="I1879" s="1">
        <f t="shared" si="2120"/>
        <v>0.30089870111586903</v>
      </c>
      <c r="J1879" s="1">
        <f t="shared" si="2120"/>
        <v>0.16594481413939191</v>
      </c>
      <c r="K1879" s="1">
        <f t="shared" si="2120"/>
        <v>0.18022603894451839</v>
      </c>
      <c r="L1879" s="1">
        <f t="shared" si="2120"/>
        <v>0.18551668041924199</v>
      </c>
      <c r="M1879" s="1">
        <f t="shared" si="2120"/>
        <v>0.20986046666495858</v>
      </c>
      <c r="N1879" s="1">
        <f t="shared" si="2120"/>
        <v>0.20886695747769393</v>
      </c>
      <c r="O1879" s="1">
        <f t="shared" si="2120"/>
        <v>0.19127847874598675</v>
      </c>
      <c r="P1879" s="1">
        <f>P1880</f>
        <v>0.19988602309315293</v>
      </c>
      <c r="Q1879" s="1">
        <f>Q1880</f>
        <v>0.19726477663286632</v>
      </c>
      <c r="S1879" s="3"/>
    </row>
    <row r="1880" spans="2:19" x14ac:dyDescent="0.5">
      <c r="B1880" s="5" t="str">
        <f t="shared" si="2113"/>
        <v>SPS1</v>
      </c>
      <c r="C1880" s="5" t="str">
        <f t="shared" si="2114"/>
        <v>CH</v>
      </c>
      <c r="D1880" t="s">
        <v>2110</v>
      </c>
      <c r="E1880" t="str">
        <f t="shared" si="2015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0.33644520280774687</v>
      </c>
      <c r="H1880" s="1" cm="1">
        <f t="array" ref="H1880">SUMPRODUCT(([1]OUT_FinalEnergyCons!$B$4:$B$10000="Var_cap")*1,  (ISNUMBER(SEARCH("ITOT-SWHWST*BR",[1]OUT_FinalEnergyCons!$A$4:$A$10000)))*1,[1]OUT_FinalEnergyCons!F$4:F$10000)</f>
        <v>0.30102610261267054</v>
      </c>
      <c r="I1880" s="1" cm="1">
        <f t="array" ref="I1880">SUMPRODUCT(([1]OUT_FinalEnergyCons!$B$4:$B$10000="Var_cap")*1,  (ISNUMBER(SEARCH("ITOT-SWHWST*BR",[1]OUT_FinalEnergyCons!$A$4:$A$10000)))*1,[1]OUT_FinalEnergyCons!G$4:G$10000)</f>
        <v>0.30089870111586903</v>
      </c>
      <c r="J1880" s="1" cm="1">
        <f t="array" ref="J1880">SUMPRODUCT(([1]OUT_FinalEnergyCons!$B$4:$B$10000="Var_cap")*1,  (ISNUMBER(SEARCH("ITOT-SWHWST*BR",[1]OUT_FinalEnergyCons!$A$4:$A$10000)))*1,[1]OUT_FinalEnergyCons!H$4:H$10000)</f>
        <v>0.16594481413939191</v>
      </c>
      <c r="K1880" s="1" cm="1">
        <f t="array" ref="K1880">SUMPRODUCT(([1]OUT_FinalEnergyCons!$B$4:$B$10000="Var_cap")*1,  (ISNUMBER(SEARCH("ITOT-SWHWST*BR",[1]OUT_FinalEnergyCons!$A$4:$A$10000)))*1,[1]OUT_FinalEnergyCons!I$4:I$10000)</f>
        <v>0.18022603894451839</v>
      </c>
      <c r="L1880" s="1" cm="1">
        <f t="array" ref="L1880">SUMPRODUCT(([1]OUT_FinalEnergyCons!$B$4:$B$10000="Var_cap")*1,  (ISNUMBER(SEARCH("ITOT-SWHWST*BR",[1]OUT_FinalEnergyCons!$A$4:$A$10000)))*1,[1]OUT_FinalEnergyCons!J$4:J$10000)</f>
        <v>0.18551668041924199</v>
      </c>
      <c r="M1880" s="1" cm="1">
        <f t="array" ref="M1880">SUMPRODUCT(([1]OUT_FinalEnergyCons!$B$4:$B$10000="Var_cap")*1,  (ISNUMBER(SEARCH("ITOT-SWHWST*BR",[1]OUT_FinalEnergyCons!$A$4:$A$10000)))*1,[1]OUT_FinalEnergyCons!K$4:K$10000)</f>
        <v>0.20986046666495858</v>
      </c>
      <c r="N1880" s="1" cm="1">
        <f t="array" ref="N1880">SUMPRODUCT(([1]OUT_FinalEnergyCons!$B$4:$B$10000="Var_cap")*1,  (ISNUMBER(SEARCH("ITOT-SWHWST*BR",[1]OUT_FinalEnergyCons!$A$4:$A$10000)))*1,[1]OUT_FinalEnergyCons!L$4:L$10000)</f>
        <v>0.20886695747769393</v>
      </c>
      <c r="O1880" s="1" cm="1">
        <f t="array" ref="O1880">SUMPRODUCT(([1]OUT_FinalEnergyCons!$B$4:$B$10000="Var_cap")*1,  (ISNUMBER(SEARCH("ITOT-SWHWST*BR",[1]OUT_FinalEnergyCons!$A$4:$A$10000)))*1,[1]OUT_FinalEnergyCons!M$4:M$10000)</f>
        <v>0.19127847874598675</v>
      </c>
      <c r="P1880" s="1" cm="1">
        <f t="array" ref="P1880">SUMPRODUCT(([1]OUT_FinalEnergyCons!$B$4:$B$10000="Var_cap")*1,  (ISNUMBER(SEARCH("ITOT-SWHWST*BR",[1]OUT_FinalEnergyCons!$A$4:$A$10000)))*1,[1]OUT_FinalEnergyCons!N$4:N$10000)</f>
        <v>0.19988602309315293</v>
      </c>
      <c r="Q1880" s="1" cm="1">
        <f t="array" ref="Q1880">SUMPRODUCT(([1]OUT_FinalEnergyCons!$B$4:$B$10000="Var_cap")*1,  (ISNUMBER(SEARCH("ITOT-SWHWST*BR",[1]OUT_FinalEnergyCons!$A$4:$A$10000)))*1,[1]OUT_FinalEnergyCons!O$4:O$10000)</f>
        <v>0.19726477663286632</v>
      </c>
      <c r="S1880" s="3"/>
    </row>
    <row r="1881" spans="2:19" x14ac:dyDescent="0.5">
      <c r="B1881" s="5" t="str">
        <f t="shared" si="2113"/>
        <v>SPS1</v>
      </c>
      <c r="C1881" s="5" t="str">
        <f t="shared" si="2114"/>
        <v>CH</v>
      </c>
      <c r="D1881" t="s">
        <v>2111</v>
      </c>
      <c r="E1881" t="str">
        <f t="shared" si="2015"/>
        <v>GWth/yr.</v>
      </c>
      <c r="F1881" s="1">
        <f>F1882</f>
        <v>9.8214799778629808E-3</v>
      </c>
      <c r="G1881" s="1">
        <f t="shared" ref="G1881:O1881" si="2121">G1882</f>
        <v>1.2764198428500462E-2</v>
      </c>
      <c r="H1881" s="1">
        <f t="shared" si="2121"/>
        <v>1.2764341035446911E-2</v>
      </c>
      <c r="I1881" s="1">
        <f t="shared" si="2121"/>
        <v>1.2764609636343871E-2</v>
      </c>
      <c r="J1881" s="1">
        <f t="shared" si="2121"/>
        <v>1.2762187799467381E-2</v>
      </c>
      <c r="K1881" s="1">
        <f t="shared" si="2121"/>
        <v>1.2759427605681901E-2</v>
      </c>
      <c r="L1881" s="1">
        <f t="shared" si="2121"/>
        <v>1.2760346169753901E-2</v>
      </c>
      <c r="M1881" s="1">
        <f t="shared" si="2121"/>
        <v>1.2755135089594199E-2</v>
      </c>
      <c r="N1881" s="1">
        <f t="shared" si="2121"/>
        <v>1.2754071533317901E-2</v>
      </c>
      <c r="O1881" s="1">
        <f t="shared" si="2121"/>
        <v>1.39431062030965E-2</v>
      </c>
      <c r="P1881" s="1">
        <f>P1882</f>
        <v>1.3940892431383901E-2</v>
      </c>
      <c r="Q1881" s="1">
        <f>Q1882</f>
        <v>2.0106441498027899E-2</v>
      </c>
      <c r="S1881" s="3"/>
    </row>
    <row r="1882" spans="2:19" x14ac:dyDescent="0.5">
      <c r="B1882" s="5" t="str">
        <f t="shared" si="2113"/>
        <v>SPS1</v>
      </c>
      <c r="C1882" s="5" t="str">
        <f t="shared" si="2114"/>
        <v>CH</v>
      </c>
      <c r="D1882" t="s">
        <v>2112</v>
      </c>
      <c r="E1882" t="str">
        <f t="shared" si="2015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1.2764198428500462E-2</v>
      </c>
      <c r="H1882" s="1" cm="1">
        <f t="array" ref="H1882">SUMPRODUCT(([1]OUT_FinalEnergyCons!$B$4:$B$10000="Var_cap")*1, (ISNUMBER(SEARCH("ITOT-SWHSOLBR",[1]OUT_FinalEnergyCons!$A$4:$A$10000)))*1,[1]OUT_FinalEnergyCons!F$4:F$10000)</f>
        <v>1.2764341035446911E-2</v>
      </c>
      <c r="I1882" s="1" cm="1">
        <f t="array" ref="I1882">SUMPRODUCT(([1]OUT_FinalEnergyCons!$B$4:$B$10000="Var_cap")*1, (ISNUMBER(SEARCH("ITOT-SWHSOLBR",[1]OUT_FinalEnergyCons!$A$4:$A$10000)))*1,[1]OUT_FinalEnergyCons!G$4:G$10000)</f>
        <v>1.2764609636343871E-2</v>
      </c>
      <c r="J1882" s="1" cm="1">
        <f t="array" ref="J1882">SUMPRODUCT(([1]OUT_FinalEnergyCons!$B$4:$B$10000="Var_cap")*1, (ISNUMBER(SEARCH("ITOT-SWHSOLBR",[1]OUT_FinalEnergyCons!$A$4:$A$10000)))*1,[1]OUT_FinalEnergyCons!H$4:H$10000)</f>
        <v>1.2762187799467381E-2</v>
      </c>
      <c r="K1882" s="1" cm="1">
        <f t="array" ref="K1882">SUMPRODUCT(([1]OUT_FinalEnergyCons!$B$4:$B$10000="Var_cap")*1, (ISNUMBER(SEARCH("ITOT-SWHSOLBR",[1]OUT_FinalEnergyCons!$A$4:$A$10000)))*1,[1]OUT_FinalEnergyCons!I$4:I$10000)</f>
        <v>1.2759427605681901E-2</v>
      </c>
      <c r="L1882" s="1" cm="1">
        <f t="array" ref="L1882">SUMPRODUCT(([1]OUT_FinalEnergyCons!$B$4:$B$10000="Var_cap")*1, (ISNUMBER(SEARCH("ITOT-SWHSOLBR",[1]OUT_FinalEnergyCons!$A$4:$A$10000)))*1,[1]OUT_FinalEnergyCons!J$4:J$10000)</f>
        <v>1.2760346169753901E-2</v>
      </c>
      <c r="M1882" s="1" cm="1">
        <f t="array" ref="M1882">SUMPRODUCT(([1]OUT_FinalEnergyCons!$B$4:$B$10000="Var_cap")*1, (ISNUMBER(SEARCH("ITOT-SWHSOLBR",[1]OUT_FinalEnergyCons!$A$4:$A$10000)))*1,[1]OUT_FinalEnergyCons!K$4:K$10000)</f>
        <v>1.2755135089594199E-2</v>
      </c>
      <c r="N1882" s="1" cm="1">
        <f t="array" ref="N1882">SUMPRODUCT(([1]OUT_FinalEnergyCons!$B$4:$B$10000="Var_cap")*1, (ISNUMBER(SEARCH("ITOT-SWHSOLBR",[1]OUT_FinalEnergyCons!$A$4:$A$10000)))*1,[1]OUT_FinalEnergyCons!L$4:L$10000)</f>
        <v>1.2754071533317901E-2</v>
      </c>
      <c r="O1882" s="1" cm="1">
        <f t="array" ref="O1882">SUMPRODUCT(([1]OUT_FinalEnergyCons!$B$4:$B$10000="Var_cap")*1, (ISNUMBER(SEARCH("ITOT-SWHSOLBR",[1]OUT_FinalEnergyCons!$A$4:$A$10000)))*1,[1]OUT_FinalEnergyCons!M$4:M$10000)</f>
        <v>1.39431062030965E-2</v>
      </c>
      <c r="P1882" s="1" cm="1">
        <f t="array" ref="P1882">SUMPRODUCT(([1]OUT_FinalEnergyCons!$B$4:$B$10000="Var_cap")*1, (ISNUMBER(SEARCH("ITOT-SWHSOLBR",[1]OUT_FinalEnergyCons!$A$4:$A$10000)))*1,[1]OUT_FinalEnergyCons!N$4:N$10000)</f>
        <v>1.3940892431383901E-2</v>
      </c>
      <c r="Q1882" s="1" cm="1">
        <f t="array" ref="Q1882">SUMPRODUCT(([1]OUT_FinalEnergyCons!$B$4:$B$10000="Var_cap")*1, (ISNUMBER(SEARCH("ITOT-SWHSOLBR",[1]OUT_FinalEnergyCons!$A$4:$A$10000)))*1,[1]OUT_FinalEnergyCons!O$4:O$10000)</f>
        <v>2.0106441498027899E-2</v>
      </c>
      <c r="S1882" s="3"/>
    </row>
    <row r="1883" spans="2:19" x14ac:dyDescent="0.5">
      <c r="B1883" s="5" t="str">
        <f t="shared" si="2113"/>
        <v>SPS1</v>
      </c>
      <c r="C1883" s="5" t="str">
        <f t="shared" si="2114"/>
        <v>CH</v>
      </c>
      <c r="D1883" t="s">
        <v>2113</v>
      </c>
      <c r="E1883" t="str">
        <f t="shared" si="2015"/>
        <v>GWth/yr.</v>
      </c>
      <c r="F1883" s="1">
        <f>F1884</f>
        <v>0</v>
      </c>
      <c r="G1883" s="1">
        <f t="shared" ref="G1883:O1883" si="2122">G1884</f>
        <v>0</v>
      </c>
      <c r="H1883" s="1">
        <f t="shared" si="2122"/>
        <v>0</v>
      </c>
      <c r="I1883" s="1">
        <f t="shared" si="2122"/>
        <v>1.4402454406588799E-4</v>
      </c>
      <c r="J1883" s="1">
        <f t="shared" si="2122"/>
        <v>9.0782824159627582E-4</v>
      </c>
      <c r="K1883" s="1">
        <f t="shared" si="2122"/>
        <v>1.1440541239177871E-3</v>
      </c>
      <c r="L1883" s="1">
        <f t="shared" si="2122"/>
        <v>1.149396263054474E-3</v>
      </c>
      <c r="M1883" s="1">
        <f t="shared" si="2122"/>
        <v>3.9874655377763538E-3</v>
      </c>
      <c r="N1883" s="1">
        <f t="shared" si="2122"/>
        <v>5.9176048658179008E-3</v>
      </c>
      <c r="O1883" s="1">
        <f t="shared" si="2122"/>
        <v>8.2211080742851002E-3</v>
      </c>
      <c r="P1883" s="1">
        <f>P1884</f>
        <v>8.2802045925360352E-3</v>
      </c>
      <c r="Q1883" s="1">
        <f>Q1884</f>
        <v>8.9318800227693555E-3</v>
      </c>
      <c r="S1883" s="3"/>
    </row>
    <row r="1884" spans="2:19" x14ac:dyDescent="0.5">
      <c r="B1884" s="5" t="str">
        <f t="shared" si="2113"/>
        <v>SPS1</v>
      </c>
      <c r="C1884" s="5" t="str">
        <f t="shared" si="2114"/>
        <v>CH</v>
      </c>
      <c r="D1884" t="s">
        <v>2114</v>
      </c>
      <c r="E1884" t="str">
        <f t="shared" si="2015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1.4402454406588799E-4</v>
      </c>
      <c r="J1884" s="1" cm="1">
        <f t="array" ref="J1884">SUMPRODUCT(([1]OUT_FinalEnergyCons!$B$4:$B$10000="Var_cap")*1, (ISNUMBER(SEARCH("ITOT-SWHH2BR",[1]OUT_FinalEnergyCons!$A$4:$A$10000)))*1,[1]OUT_FinalEnergyCons!H$4:H$10000)</f>
        <v>9.0782824159627582E-4</v>
      </c>
      <c r="K1884" s="1" cm="1">
        <f t="array" ref="K1884">SUMPRODUCT(([1]OUT_FinalEnergyCons!$B$4:$B$10000="Var_cap")*1, (ISNUMBER(SEARCH("ITOT-SWHH2BR",[1]OUT_FinalEnergyCons!$A$4:$A$10000)))*1,[1]OUT_FinalEnergyCons!I$4:I$10000)</f>
        <v>1.1440541239177871E-3</v>
      </c>
      <c r="L1884" s="1" cm="1">
        <f t="array" ref="L1884">SUMPRODUCT(([1]OUT_FinalEnergyCons!$B$4:$B$10000="Var_cap")*1, (ISNUMBER(SEARCH("ITOT-SWHH2BR",[1]OUT_FinalEnergyCons!$A$4:$A$10000)))*1,[1]OUT_FinalEnergyCons!J$4:J$10000)</f>
        <v>1.149396263054474E-3</v>
      </c>
      <c r="M1884" s="1" cm="1">
        <f t="array" ref="M1884">SUMPRODUCT(([1]OUT_FinalEnergyCons!$B$4:$B$10000="Var_cap")*1, (ISNUMBER(SEARCH("ITOT-SWHH2BR",[1]OUT_FinalEnergyCons!$A$4:$A$10000)))*1,[1]OUT_FinalEnergyCons!K$4:K$10000)</f>
        <v>3.9874655377763538E-3</v>
      </c>
      <c r="N1884" s="1" cm="1">
        <f t="array" ref="N1884">SUMPRODUCT(([1]OUT_FinalEnergyCons!$B$4:$B$10000="Var_cap")*1, (ISNUMBER(SEARCH("ITOT-SWHH2BR",[1]OUT_FinalEnergyCons!$A$4:$A$10000)))*1,[1]OUT_FinalEnergyCons!L$4:L$10000)</f>
        <v>5.9176048658179008E-3</v>
      </c>
      <c r="O1884" s="1" cm="1">
        <f t="array" ref="O1884">SUMPRODUCT(([1]OUT_FinalEnergyCons!$B$4:$B$10000="Var_cap")*1, (ISNUMBER(SEARCH("ITOT-SWHH2BR",[1]OUT_FinalEnergyCons!$A$4:$A$10000)))*1,[1]OUT_FinalEnergyCons!M$4:M$10000)</f>
        <v>8.2211080742851002E-3</v>
      </c>
      <c r="P1884" s="1" cm="1">
        <f t="array" ref="P1884">SUMPRODUCT(([1]OUT_FinalEnergyCons!$B$4:$B$10000="Var_cap")*1, (ISNUMBER(SEARCH("ITOT-SWHH2BR",[1]OUT_FinalEnergyCons!$A$4:$A$10000)))*1,[1]OUT_FinalEnergyCons!N$4:N$10000)</f>
        <v>8.2802045925360352E-3</v>
      </c>
      <c r="Q1884" s="1" cm="1">
        <f t="array" ref="Q1884">SUMPRODUCT(([1]OUT_FinalEnergyCons!$B$4:$B$10000="Var_cap")*1, (ISNUMBER(SEARCH("ITOT-SWHH2BR",[1]OUT_FinalEnergyCons!$A$4:$A$10000)))*1,[1]OUT_FinalEnergyCons!O$4:O$10000)</f>
        <v>8.9318800227693555E-3</v>
      </c>
      <c r="S1884" s="3"/>
    </row>
    <row r="1885" spans="2:19" x14ac:dyDescent="0.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2015"/>
        <v>GWth/yr.</v>
      </c>
      <c r="F1885" s="17">
        <f>SUM(F1886,F1889,F1891,F1895,F1897,F1899,F1901)</f>
        <v>6.1442950689985549</v>
      </c>
      <c r="G1885" s="17">
        <f t="shared" ref="G1885:K1885" si="2123">SUM(G1886,G1889,G1891,G1895,G1897,G1899,G1901)</f>
        <v>6.0933137156254809</v>
      </c>
      <c r="H1885" s="17">
        <f t="shared" si="2123"/>
        <v>6.2086572801343261</v>
      </c>
      <c r="I1885" s="17">
        <f t="shared" si="2123"/>
        <v>6.2245048717373299</v>
      </c>
      <c r="J1885" s="17">
        <f t="shared" si="2123"/>
        <v>4.4699005419856235</v>
      </c>
      <c r="K1885" s="17">
        <f t="shared" si="2123"/>
        <v>4.2367601525502812</v>
      </c>
      <c r="L1885" s="17">
        <f t="shared" ref="L1885:O1885" si="2124">SUM(L1886,L1889,L1891,L1895,L1897,L1899,L1901)</f>
        <v>4.1575937725449013</v>
      </c>
      <c r="M1885" s="17">
        <f t="shared" si="2124"/>
        <v>3.6937968654484976</v>
      </c>
      <c r="N1885" s="17">
        <f t="shared" si="2124"/>
        <v>3.6078284766139372</v>
      </c>
      <c r="O1885" s="17">
        <f t="shared" si="2124"/>
        <v>3.5062736534418417</v>
      </c>
      <c r="P1885" s="17">
        <f>SUM(P1886,P1889,P1891,P1895,P1897,P1899,P1901)</f>
        <v>3.4104159109133478</v>
      </c>
      <c r="Q1885" s="17">
        <f>SUM(Q1886,Q1889,Q1891,Q1895,Q1897,Q1899,Q1901)</f>
        <v>3.2235933796879084</v>
      </c>
      <c r="S1885" s="3"/>
    </row>
    <row r="1886" spans="2:19" x14ac:dyDescent="0.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2015"/>
        <v>GWth/yr.</v>
      </c>
      <c r="F1886" s="1">
        <f>SUM(F1887:F1888)</f>
        <v>0.61561191334866883</v>
      </c>
      <c r="G1886" s="1">
        <f t="shared" ref="G1886:K1886" si="2125">SUM(G1887:G1888)</f>
        <v>0.49309791241301038</v>
      </c>
      <c r="H1886" s="1">
        <f t="shared" si="2125"/>
        <v>0.60456913174467841</v>
      </c>
      <c r="I1886" s="1">
        <f t="shared" si="2125"/>
        <v>0.60458659842187101</v>
      </c>
      <c r="J1886" s="1">
        <f t="shared" si="2125"/>
        <v>0.59345909187487789</v>
      </c>
      <c r="K1886" s="1">
        <f t="shared" si="2125"/>
        <v>0.6010768554510495</v>
      </c>
      <c r="L1886" s="1">
        <f t="shared" ref="L1886:O1886" si="2126">SUM(L1887:L1888)</f>
        <v>0.60973753549836063</v>
      </c>
      <c r="M1886" s="1">
        <f t="shared" si="2126"/>
        <v>0.6210250970605673</v>
      </c>
      <c r="N1886" s="1">
        <f t="shared" si="2126"/>
        <v>0.66305908260442381</v>
      </c>
      <c r="O1886" s="1">
        <f t="shared" si="2126"/>
        <v>0.70320698766134293</v>
      </c>
      <c r="P1886" s="1">
        <f>SUM(P1887:P1888)</f>
        <v>0.75185176089538486</v>
      </c>
      <c r="Q1886" s="1">
        <f>SUM(Q1887:Q1888)</f>
        <v>0.79576255239866811</v>
      </c>
      <c r="S1886" s="3"/>
    </row>
    <row r="1887" spans="2:19" x14ac:dyDescent="0.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2015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0.18499423836273174</v>
      </c>
      <c r="G1887" s="1" cm="1">
        <f t="array" ref="G1887">SUMPRODUCT(([1]OUT_FinalEnergyCons!$B$4:$B$10000="Var_cap")*1, (ISNUMBER(SEARCH("SCOM-SHELCBR",[1]OUT_FinalEnergyCons!$A$4:$A$10000)))*1,[1]OUT_FinalEnergyCons!E$4:E$10000)</f>
        <v>6.2483596758598575E-2</v>
      </c>
      <c r="H1887" s="1" cm="1">
        <f t="array" ref="H1887">SUMPRODUCT(([1]OUT_FinalEnergyCons!$B$4:$B$10000="Var_cap")*1, (ISNUMBER(SEARCH("SCOM-SHELCBR",[1]OUT_FinalEnergyCons!$A$4:$A$10000)))*1,[1]OUT_FinalEnergyCons!F$4:F$10000)</f>
        <v>0.173956874606471</v>
      </c>
      <c r="I1887" s="1" cm="1">
        <f t="array" ref="I1887">SUMPRODUCT(([1]OUT_FinalEnergyCons!$B$4:$B$10000="Var_cap")*1, (ISNUMBER(SEARCH("SCOM-SHELCBR",[1]OUT_FinalEnergyCons!$A$4:$A$10000)))*1,[1]OUT_FinalEnergyCons!G$4:G$10000)</f>
        <v>0.173972689946437</v>
      </c>
      <c r="J1887" s="1" cm="1">
        <f t="array" ref="J1887">SUMPRODUCT(([1]OUT_FinalEnergyCons!$B$4:$B$10000="Var_cap")*1, (ISNUMBER(SEARCH("SCOM-SHELCBR",[1]OUT_FinalEnergyCons!$A$4:$A$10000)))*1,[1]OUT_FinalEnergyCons!H$4:H$10000)</f>
        <v>0.16228478657191669</v>
      </c>
      <c r="K1887" s="1" cm="1">
        <f t="array" ref="K1887">SUMPRODUCT(([1]OUT_FinalEnergyCons!$B$4:$B$10000="Var_cap")*1, (ISNUMBER(SEARCH("SCOM-SHELCBR",[1]OUT_FinalEnergyCons!$A$4:$A$10000)))*1,[1]OUT_FinalEnergyCons!I$4:I$10000)</f>
        <v>0.13556613570028725</v>
      </c>
      <c r="L1887" s="1" cm="1">
        <f t="array" ref="L1887">SUMPRODUCT(([1]OUT_FinalEnergyCons!$B$4:$B$10000="Var_cap")*1, (ISNUMBER(SEARCH("SCOM-SHELCBR",[1]OUT_FinalEnergyCons!$A$4:$A$10000)))*1,[1]OUT_FinalEnergyCons!J$4:J$10000)</f>
        <v>0.11222207288708268</v>
      </c>
      <c r="M1887" s="1" cm="1">
        <f t="array" ref="M1887">SUMPRODUCT(([1]OUT_FinalEnergyCons!$B$4:$B$10000="Var_cap")*1, (ISNUMBER(SEARCH("SCOM-SHELCBR",[1]OUT_FinalEnergyCons!$A$4:$A$10000)))*1,[1]OUT_FinalEnergyCons!K$4:K$10000)</f>
        <v>8.4290071209395245E-2</v>
      </c>
      <c r="N1887" s="1" cm="1">
        <f t="array" ref="N1887">SUMPRODUCT(([1]OUT_FinalEnergyCons!$B$4:$B$10000="Var_cap")*1, (ISNUMBER(SEARCH("SCOM-SHELCBR",[1]OUT_FinalEnergyCons!$A$4:$A$10000)))*1,[1]OUT_FinalEnergyCons!L$4:L$10000)</f>
        <v>8.3270684629729586E-2</v>
      </c>
      <c r="O1887" s="1" cm="1">
        <f t="array" ref="O1887">SUMPRODUCT(([1]OUT_FinalEnergyCons!$B$4:$B$10000="Var_cap")*1, (ISNUMBER(SEARCH("SCOM-SHELCBR",[1]OUT_FinalEnergyCons!$A$4:$A$10000)))*1,[1]OUT_FinalEnergyCons!M$4:M$10000)</f>
        <v>8.6868930419759863E-2</v>
      </c>
      <c r="P1887" s="1" cm="1">
        <f t="array" ref="P1887">SUMPRODUCT(([1]OUT_FinalEnergyCons!$B$4:$B$10000="Var_cap")*1, (ISNUMBER(SEARCH("SCOM-SHELCBR",[1]OUT_FinalEnergyCons!$A$4:$A$10000)))*1,[1]OUT_FinalEnergyCons!N$4:N$10000)</f>
        <v>8.6184764345510576E-2</v>
      </c>
      <c r="Q1887" s="1" cm="1">
        <f t="array" ref="Q1887">SUMPRODUCT(([1]OUT_FinalEnergyCons!$B$4:$B$10000="Var_cap")*1, (ISNUMBER(SEARCH("SCOM-SHELCBR",[1]OUT_FinalEnergyCons!$A$4:$A$10000)))*1,[1]OUT_FinalEnergyCons!O$4:O$10000)</f>
        <v>8.3291101195378206E-2</v>
      </c>
      <c r="S1887" s="3"/>
    </row>
    <row r="1888" spans="2:19" x14ac:dyDescent="0.5">
      <c r="B1888" s="5" t="str">
        <f t="shared" ref="B1888:C1888" si="2127">B1887</f>
        <v>SPS1</v>
      </c>
      <c r="C1888" s="5" t="str">
        <f t="shared" si="2127"/>
        <v>CH</v>
      </c>
      <c r="D1888" t="s">
        <v>1903</v>
      </c>
      <c r="E1888" t="str">
        <f t="shared" si="2015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0.43061767498593712</v>
      </c>
      <c r="G1888" s="1" cm="1">
        <f t="array" ref="G1888">SUMPRODUCT(([1]OUT_FinalEnergyCons!$B$4:$B$10000="Var_cap")*1, (ISNUMBER(SEARCH("SCOM-SHELCHP",[1]OUT_FinalEnergyCons!$A$4:$A$10000)))*1,[1]OUT_FinalEnergyCons!E$4:E$10000)</f>
        <v>0.43061431565441183</v>
      </c>
      <c r="H1888" s="1" cm="1">
        <f t="array" ref="H1888">SUMPRODUCT(([1]OUT_FinalEnergyCons!$B$4:$B$10000="Var_cap")*1, (ISNUMBER(SEARCH("SCOM-SHELCHP",[1]OUT_FinalEnergyCons!$A$4:$A$10000)))*1,[1]OUT_FinalEnergyCons!F$4:F$10000)</f>
        <v>0.43061225713820744</v>
      </c>
      <c r="I1888" s="1" cm="1">
        <f t="array" ref="I1888">SUMPRODUCT(([1]OUT_FinalEnergyCons!$B$4:$B$10000="Var_cap")*1, (ISNUMBER(SEARCH("SCOM-SHELCHP",[1]OUT_FinalEnergyCons!$A$4:$A$10000)))*1,[1]OUT_FinalEnergyCons!G$4:G$10000)</f>
        <v>0.43061390847543396</v>
      </c>
      <c r="J1888" s="1" cm="1">
        <f t="array" ref="J1888">SUMPRODUCT(([1]OUT_FinalEnergyCons!$B$4:$B$10000="Var_cap")*1, (ISNUMBER(SEARCH("SCOM-SHELCHP",[1]OUT_FinalEnergyCons!$A$4:$A$10000)))*1,[1]OUT_FinalEnergyCons!H$4:H$10000)</f>
        <v>0.43117430530296114</v>
      </c>
      <c r="K1888" s="1" cm="1">
        <f t="array" ref="K1888">SUMPRODUCT(([1]OUT_FinalEnergyCons!$B$4:$B$10000="Var_cap")*1, (ISNUMBER(SEARCH("SCOM-SHELCHP",[1]OUT_FinalEnergyCons!$A$4:$A$10000)))*1,[1]OUT_FinalEnergyCons!I$4:I$10000)</f>
        <v>0.4655107197507623</v>
      </c>
      <c r="L1888" s="1" cm="1">
        <f t="array" ref="L1888">SUMPRODUCT(([1]OUT_FinalEnergyCons!$B$4:$B$10000="Var_cap")*1, (ISNUMBER(SEARCH("SCOM-SHELCHP",[1]OUT_FinalEnergyCons!$A$4:$A$10000)))*1,[1]OUT_FinalEnergyCons!J$4:J$10000)</f>
        <v>0.49751546261127794</v>
      </c>
      <c r="M1888" s="1" cm="1">
        <f t="array" ref="M1888">SUMPRODUCT(([1]OUT_FinalEnergyCons!$B$4:$B$10000="Var_cap")*1, (ISNUMBER(SEARCH("SCOM-SHELCHP",[1]OUT_FinalEnergyCons!$A$4:$A$10000)))*1,[1]OUT_FinalEnergyCons!K$4:K$10000)</f>
        <v>0.53673502585117205</v>
      </c>
      <c r="N1888" s="1" cm="1">
        <f t="array" ref="N1888">SUMPRODUCT(([1]OUT_FinalEnergyCons!$B$4:$B$10000="Var_cap")*1, (ISNUMBER(SEARCH("SCOM-SHELCHP",[1]OUT_FinalEnergyCons!$A$4:$A$10000)))*1,[1]OUT_FinalEnergyCons!L$4:L$10000)</f>
        <v>0.57978839797469428</v>
      </c>
      <c r="O1888" s="1" cm="1">
        <f t="array" ref="O1888">SUMPRODUCT(([1]OUT_FinalEnergyCons!$B$4:$B$10000="Var_cap")*1, (ISNUMBER(SEARCH("SCOM-SHELCHP",[1]OUT_FinalEnergyCons!$A$4:$A$10000)))*1,[1]OUT_FinalEnergyCons!M$4:M$10000)</f>
        <v>0.61633805724158308</v>
      </c>
      <c r="P1888" s="1" cm="1">
        <f t="array" ref="P1888">SUMPRODUCT(([1]OUT_FinalEnergyCons!$B$4:$B$10000="Var_cap")*1, (ISNUMBER(SEARCH("SCOM-SHELCHP",[1]OUT_FinalEnergyCons!$A$4:$A$10000)))*1,[1]OUT_FinalEnergyCons!N$4:N$10000)</f>
        <v>0.66566699654987427</v>
      </c>
      <c r="Q1888" s="1" cm="1">
        <f t="array" ref="Q1888">SUMPRODUCT(([1]OUT_FinalEnergyCons!$B$4:$B$10000="Var_cap")*1, (ISNUMBER(SEARCH("SCOM-SHELCHP",[1]OUT_FinalEnergyCons!$A$4:$A$10000)))*1,[1]OUT_FinalEnergyCons!O$4:O$10000)</f>
        <v>0.71247145120328992</v>
      </c>
      <c r="S1888" s="3"/>
    </row>
    <row r="1889" spans="2:19" x14ac:dyDescent="0.5">
      <c r="B1889" s="5" t="str">
        <f t="shared" ref="B1889:C1889" si="2128">B1888</f>
        <v>SPS1</v>
      </c>
      <c r="C1889" s="5" t="str">
        <f t="shared" si="2128"/>
        <v>CH</v>
      </c>
      <c r="D1889" t="s">
        <v>1904</v>
      </c>
      <c r="E1889" t="str">
        <f t="shared" si="2015"/>
        <v>GWth/yr.</v>
      </c>
      <c r="F1889" s="1">
        <f>F1890</f>
        <v>1.9285768371589078</v>
      </c>
      <c r="G1889" s="1">
        <f t="shared" ref="G1889:O1889" si="2129">G1890</f>
        <v>1.9284950833071715</v>
      </c>
      <c r="H1889" s="1">
        <f t="shared" si="2129"/>
        <v>1.9284790859123033</v>
      </c>
      <c r="I1889" s="1">
        <f t="shared" si="2129"/>
        <v>1.928437369350279</v>
      </c>
      <c r="J1889" s="1">
        <f t="shared" si="2129"/>
        <v>1.106489902692998</v>
      </c>
      <c r="K1889" s="1">
        <f t="shared" si="2129"/>
        <v>0.93842186425705976</v>
      </c>
      <c r="L1889" s="1">
        <f t="shared" si="2129"/>
        <v>0.92282375640670722</v>
      </c>
      <c r="M1889" s="1">
        <f t="shared" si="2129"/>
        <v>0.69609668226040078</v>
      </c>
      <c r="N1889" s="1">
        <f t="shared" si="2129"/>
        <v>0.57734399389847557</v>
      </c>
      <c r="O1889" s="1">
        <f t="shared" si="2129"/>
        <v>0.52636162413644538</v>
      </c>
      <c r="P1889" s="1">
        <f>P1890</f>
        <v>0.26651992926464235</v>
      </c>
      <c r="Q1889" s="1">
        <f>Q1890</f>
        <v>9.1559423317909769E-2</v>
      </c>
      <c r="S1889" s="3"/>
    </row>
    <row r="1890" spans="2:19" x14ac:dyDescent="0.5">
      <c r="B1890" s="5" t="str">
        <f t="shared" ref="B1890:C1890" si="2130">B1889</f>
        <v>SPS1</v>
      </c>
      <c r="C1890" s="5" t="str">
        <f t="shared" si="2130"/>
        <v>CH</v>
      </c>
      <c r="D1890" t="s">
        <v>1905</v>
      </c>
      <c r="E1890" t="str">
        <f t="shared" ref="E1890:E1902" si="2131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1.9285768371589078</v>
      </c>
      <c r="G1890" s="1" cm="1">
        <f t="array" ref="G1890">SUMPRODUCT(([1]OUT_FinalEnergyCons!$B$4:$B$10000="Var_cap")*1,(ISNUMBER(SEARCH("SCOM-SHLFOBR",[1]OUT_FinalEnergyCons!$A$4:$A$10000)))*1,[1]OUT_FinalEnergyCons!E$4:E$10000)</f>
        <v>1.9284950833071715</v>
      </c>
      <c r="H1890" s="1" cm="1">
        <f t="array" ref="H1890">SUMPRODUCT(([1]OUT_FinalEnergyCons!$B$4:$B$10000="Var_cap")*1,(ISNUMBER(SEARCH("SCOM-SHLFOBR",[1]OUT_FinalEnergyCons!$A$4:$A$10000)))*1,[1]OUT_FinalEnergyCons!F$4:F$10000)</f>
        <v>1.9284790859123033</v>
      </c>
      <c r="I1890" s="1" cm="1">
        <f t="array" ref="I1890">SUMPRODUCT(([1]OUT_FinalEnergyCons!$B$4:$B$10000="Var_cap")*1,(ISNUMBER(SEARCH("SCOM-SHLFOBR",[1]OUT_FinalEnergyCons!$A$4:$A$10000)))*1,[1]OUT_FinalEnergyCons!G$4:G$10000)</f>
        <v>1.928437369350279</v>
      </c>
      <c r="J1890" s="1" cm="1">
        <f t="array" ref="J1890">SUMPRODUCT(([1]OUT_FinalEnergyCons!$B$4:$B$10000="Var_cap")*1,(ISNUMBER(SEARCH("SCOM-SHLFOBR",[1]OUT_FinalEnergyCons!$A$4:$A$10000)))*1,[1]OUT_FinalEnergyCons!H$4:H$10000)</f>
        <v>1.106489902692998</v>
      </c>
      <c r="K1890" s="1" cm="1">
        <f t="array" ref="K1890">SUMPRODUCT(([1]OUT_FinalEnergyCons!$B$4:$B$10000="Var_cap")*1,(ISNUMBER(SEARCH("SCOM-SHLFOBR",[1]OUT_FinalEnergyCons!$A$4:$A$10000)))*1,[1]OUT_FinalEnergyCons!I$4:I$10000)</f>
        <v>0.93842186425705976</v>
      </c>
      <c r="L1890" s="1" cm="1">
        <f t="array" ref="L1890">SUMPRODUCT(([1]OUT_FinalEnergyCons!$B$4:$B$10000="Var_cap")*1,(ISNUMBER(SEARCH("SCOM-SHLFOBR",[1]OUT_FinalEnergyCons!$A$4:$A$10000)))*1,[1]OUT_FinalEnergyCons!J$4:J$10000)</f>
        <v>0.92282375640670722</v>
      </c>
      <c r="M1890" s="1" cm="1">
        <f t="array" ref="M1890">SUMPRODUCT(([1]OUT_FinalEnergyCons!$B$4:$B$10000="Var_cap")*1,(ISNUMBER(SEARCH("SCOM-SHLFOBR",[1]OUT_FinalEnergyCons!$A$4:$A$10000)))*1,[1]OUT_FinalEnergyCons!K$4:K$10000)</f>
        <v>0.69609668226040078</v>
      </c>
      <c r="N1890" s="1" cm="1">
        <f t="array" ref="N1890">SUMPRODUCT(([1]OUT_FinalEnergyCons!$B$4:$B$10000="Var_cap")*1,(ISNUMBER(SEARCH("SCOM-SHLFOBR",[1]OUT_FinalEnergyCons!$A$4:$A$10000)))*1,[1]OUT_FinalEnergyCons!L$4:L$10000)</f>
        <v>0.57734399389847557</v>
      </c>
      <c r="O1890" s="1" cm="1">
        <f t="array" ref="O1890">SUMPRODUCT(([1]OUT_FinalEnergyCons!$B$4:$B$10000="Var_cap")*1,(ISNUMBER(SEARCH("SCOM-SHLFOBR",[1]OUT_FinalEnergyCons!$A$4:$A$10000)))*1,[1]OUT_FinalEnergyCons!M$4:M$10000)</f>
        <v>0.52636162413644538</v>
      </c>
      <c r="P1890" s="1" cm="1">
        <f t="array" ref="P1890">SUMPRODUCT(([1]OUT_FinalEnergyCons!$B$4:$B$10000="Var_cap")*1,(ISNUMBER(SEARCH("SCOM-SHLFOBR",[1]OUT_FinalEnergyCons!$A$4:$A$10000)))*1,[1]OUT_FinalEnergyCons!N$4:N$10000)</f>
        <v>0.26651992926464235</v>
      </c>
      <c r="Q1890" s="1" cm="1">
        <f t="array" ref="Q1890">SUMPRODUCT(([1]OUT_FinalEnergyCons!$B$4:$B$10000="Var_cap")*1,(ISNUMBER(SEARCH("SCOM-SHLFOBR",[1]OUT_FinalEnergyCons!$A$4:$A$10000)))*1,[1]OUT_FinalEnergyCons!O$4:O$10000)</f>
        <v>9.1559423317909769E-2</v>
      </c>
      <c r="S1890" s="3"/>
    </row>
    <row r="1891" spans="2:19" x14ac:dyDescent="0.5">
      <c r="B1891" s="5" t="str">
        <f t="shared" ref="B1891:C1891" si="2132">B1890</f>
        <v>SPS1</v>
      </c>
      <c r="C1891" s="5" t="str">
        <f t="shared" si="2132"/>
        <v>CH</v>
      </c>
      <c r="D1891" t="s">
        <v>1906</v>
      </c>
      <c r="E1891" t="str">
        <f t="shared" si="2131"/>
        <v>GWth/yr.</v>
      </c>
      <c r="F1891" s="1">
        <f>SUM(F1892:F1894)</f>
        <v>2.8800346713377669</v>
      </c>
      <c r="G1891" s="1">
        <f t="shared" ref="G1891:K1891" si="2133">SUM(G1892:G1894)</f>
        <v>2.8799472617545558</v>
      </c>
      <c r="H1891" s="1">
        <f t="shared" si="2133"/>
        <v>2.8848394300850186</v>
      </c>
      <c r="I1891" s="1">
        <f t="shared" si="2133"/>
        <v>2.8848685111414949</v>
      </c>
      <c r="J1891" s="1">
        <f t="shared" si="2133"/>
        <v>2.180058061160163</v>
      </c>
      <c r="K1891" s="1">
        <f t="shared" si="2133"/>
        <v>2.1916005849026914</v>
      </c>
      <c r="L1891" s="1">
        <f t="shared" ref="L1891:O1891" si="2134">SUM(L1892:L1894)</f>
        <v>2.1929303711132695</v>
      </c>
      <c r="M1891" s="1">
        <f t="shared" si="2134"/>
        <v>2.0181432975088809</v>
      </c>
      <c r="N1891" s="1">
        <f t="shared" si="2134"/>
        <v>2.0169045444120397</v>
      </c>
      <c r="O1891" s="1">
        <f t="shared" si="2134"/>
        <v>1.9279714662950245</v>
      </c>
      <c r="P1891" s="1">
        <f>SUM(P1892:P1894)</f>
        <v>2.039871822281706</v>
      </c>
      <c r="Q1891" s="1">
        <f>SUM(Q1892:Q1894)</f>
        <v>1.9936873176173113</v>
      </c>
      <c r="S1891" s="3"/>
    </row>
    <row r="1892" spans="2:19" x14ac:dyDescent="0.5">
      <c r="B1892" s="5" t="str">
        <f t="shared" ref="B1892:C1892" si="2135">B1891</f>
        <v>SPS1</v>
      </c>
      <c r="C1892" s="5" t="str">
        <f t="shared" si="2135"/>
        <v>CH</v>
      </c>
      <c r="D1892" t="s">
        <v>1907</v>
      </c>
      <c r="E1892" t="str">
        <f t="shared" si="2131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2.7746819433645196</v>
      </c>
      <c r="G1892" s="1" cm="1">
        <f t="array" ref="G1892">SUMPRODUCT(([1]OUT_FinalEnergyCons!$B$4:$B$10000="Var_cap")*1, (ISNUMBER(SEARCH("SCOM-SHNGABR",[1]OUT_FinalEnergyCons!$A$4:$A$10000)))*1,[1]OUT_FinalEnergyCons!E$4:E$10000)</f>
        <v>2.7744566399672537</v>
      </c>
      <c r="H1892" s="1" cm="1">
        <f t="array" ref="H1892">SUMPRODUCT(([1]OUT_FinalEnergyCons!$B$4:$B$10000="Var_cap")*1, (ISNUMBER(SEARCH("SCOM-SHNGABR",[1]OUT_FinalEnergyCons!$A$4:$A$10000)))*1,[1]OUT_FinalEnergyCons!F$4:F$10000)</f>
        <v>2.7744304069206041</v>
      </c>
      <c r="I1892" s="1" cm="1">
        <f t="array" ref="I1892">SUMPRODUCT(([1]OUT_FinalEnergyCons!$B$4:$B$10000="Var_cap")*1, (ISNUMBER(SEARCH("SCOM-SHNGABR",[1]OUT_FinalEnergyCons!$A$4:$A$10000)))*1,[1]OUT_FinalEnergyCons!G$4:G$10000)</f>
        <v>2.7744050266720643</v>
      </c>
      <c r="J1892" s="1" cm="1">
        <f t="array" ref="J1892">SUMPRODUCT(([1]OUT_FinalEnergyCons!$B$4:$B$10000="Var_cap")*1, (ISNUMBER(SEARCH("SCOM-SHNGABR",[1]OUT_FinalEnergyCons!$A$4:$A$10000)))*1,[1]OUT_FinalEnergyCons!H$4:H$10000)</f>
        <v>2.044755026331329</v>
      </c>
      <c r="K1892" s="1" cm="1">
        <f t="array" ref="K1892">SUMPRODUCT(([1]OUT_FinalEnergyCons!$B$4:$B$10000="Var_cap")*1, (ISNUMBER(SEARCH("SCOM-SHNGABR",[1]OUT_FinalEnergyCons!$A$4:$A$10000)))*1,[1]OUT_FinalEnergyCons!I$4:I$10000)</f>
        <v>2.0472219425051668</v>
      </c>
      <c r="L1892" s="1" cm="1">
        <f t="array" ref="L1892">SUMPRODUCT(([1]OUT_FinalEnergyCons!$B$4:$B$10000="Var_cap")*1, (ISNUMBER(SEARCH("SCOM-SHNGABR",[1]OUT_FinalEnergyCons!$A$4:$A$10000)))*1,[1]OUT_FinalEnergyCons!J$4:J$10000)</f>
        <v>2.0471958607066618</v>
      </c>
      <c r="M1892" s="1" cm="1">
        <f t="array" ref="M1892">SUMPRODUCT(([1]OUT_FinalEnergyCons!$B$4:$B$10000="Var_cap")*1, (ISNUMBER(SEARCH("SCOM-SHNGABR",[1]OUT_FinalEnergyCons!$A$4:$A$10000)))*1,[1]OUT_FinalEnergyCons!K$4:K$10000)</f>
        <v>1.8415903966635703</v>
      </c>
      <c r="N1892" s="1" cm="1">
        <f t="array" ref="N1892">SUMPRODUCT(([1]OUT_FinalEnergyCons!$B$4:$B$10000="Var_cap")*1, (ISNUMBER(SEARCH("SCOM-SHNGABR",[1]OUT_FinalEnergyCons!$A$4:$A$10000)))*1,[1]OUT_FinalEnergyCons!L$4:L$10000)</f>
        <v>1.837253153062127</v>
      </c>
      <c r="O1892" s="1" cm="1">
        <f t="array" ref="O1892">SUMPRODUCT(([1]OUT_FinalEnergyCons!$B$4:$B$10000="Var_cap")*1, (ISNUMBER(SEARCH("SCOM-SHNGABR",[1]OUT_FinalEnergyCons!$A$4:$A$10000)))*1,[1]OUT_FinalEnergyCons!M$4:M$10000)</f>
        <v>1.7435970048704272</v>
      </c>
      <c r="P1892" s="1" cm="1">
        <f t="array" ref="P1892">SUMPRODUCT(([1]OUT_FinalEnergyCons!$B$4:$B$10000="Var_cap")*1, (ISNUMBER(SEARCH("SCOM-SHNGABR",[1]OUT_FinalEnergyCons!$A$4:$A$10000)))*1,[1]OUT_FinalEnergyCons!N$4:N$10000)</f>
        <v>1.7632253469513557</v>
      </c>
      <c r="Q1892" s="1" cm="1">
        <f t="array" ref="Q1892">SUMPRODUCT(([1]OUT_FinalEnergyCons!$B$4:$B$10000="Var_cap")*1, (ISNUMBER(SEARCH("SCOM-SHNGABR",[1]OUT_FinalEnergyCons!$A$4:$A$10000)))*1,[1]OUT_FinalEnergyCons!O$4:O$10000)</f>
        <v>1.6818500106007976</v>
      </c>
      <c r="S1892" s="3"/>
    </row>
    <row r="1893" spans="2:19" x14ac:dyDescent="0.5">
      <c r="B1893" s="5" t="str">
        <f t="shared" ref="B1893:C1893" si="2136">B1892</f>
        <v>SPS1</v>
      </c>
      <c r="C1893" s="5" t="str">
        <f t="shared" si="2136"/>
        <v>CH</v>
      </c>
      <c r="D1893" t="s">
        <v>1908</v>
      </c>
      <c r="E1893" t="str">
        <f t="shared" si="2131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1.28468545237621E-6</v>
      </c>
      <c r="G1893" s="1" cm="1">
        <f t="array" ref="G1893">SUMPRODUCT(([1]OUT_FinalEnergyCons!$B$4:$B$10000="Var_cap")*1, (ISNUMBER(SEARCH("SCOM-SHngahp",[1]OUT_FinalEnergyCons!$A$4:$A$10000)))*1,[1]OUT_FinalEnergyCons!E$4:E$10000)</f>
        <v>9.682311456853259E-5</v>
      </c>
      <c r="H1893" s="1" cm="1">
        <f t="array" ref="H1893">SUMPRODUCT(([1]OUT_FinalEnergyCons!$B$4:$B$10000="Var_cap")*1, (ISNUMBER(SEARCH("SCOM-SHngahp",[1]OUT_FinalEnergyCons!$A$4:$A$10000)))*1,[1]OUT_FinalEnergyCons!F$4:F$10000)</f>
        <v>4.4252378185128153E-4</v>
      </c>
      <c r="I1893" s="1" cm="1">
        <f t="array" ref="I1893">SUMPRODUCT(([1]OUT_FinalEnergyCons!$B$4:$B$10000="Var_cap")*1, (ISNUMBER(SEARCH("SCOM-SHngahp",[1]OUT_FinalEnergyCons!$A$4:$A$10000)))*1,[1]OUT_FinalEnergyCons!G$4:G$10000)</f>
        <v>4.5351260502071451E-4</v>
      </c>
      <c r="J1893" s="1" cm="1">
        <f t="array" ref="J1893">SUMPRODUCT(([1]OUT_FinalEnergyCons!$B$4:$B$10000="Var_cap")*1, (ISNUMBER(SEARCH("SCOM-SHngahp",[1]OUT_FinalEnergyCons!$A$4:$A$10000)))*1,[1]OUT_FinalEnergyCons!H$4:H$10000)</f>
        <v>1.8754174674344194E-3</v>
      </c>
      <c r="K1893" s="1" cm="1">
        <f t="array" ref="K1893">SUMPRODUCT(([1]OUT_FinalEnergyCons!$B$4:$B$10000="Var_cap")*1, (ISNUMBER(SEARCH("SCOM-SHngahp",[1]OUT_FinalEnergyCons!$A$4:$A$10000)))*1,[1]OUT_FinalEnergyCons!I$4:I$10000)</f>
        <v>2.6966855682521778E-3</v>
      </c>
      <c r="L1893" s="1" cm="1">
        <f t="array" ref="L1893">SUMPRODUCT(([1]OUT_FinalEnergyCons!$B$4:$B$10000="Var_cap")*1, (ISNUMBER(SEARCH("SCOM-SHngahp",[1]OUT_FinalEnergyCons!$A$4:$A$10000)))*1,[1]OUT_FinalEnergyCons!J$4:J$10000)</f>
        <v>5.0481628680368448E-3</v>
      </c>
      <c r="M1893" s="1" cm="1">
        <f t="array" ref="M1893">SUMPRODUCT(([1]OUT_FinalEnergyCons!$B$4:$B$10000="Var_cap")*1, (ISNUMBER(SEARCH("SCOM-SHngahp",[1]OUT_FinalEnergyCons!$A$4:$A$10000)))*1,[1]OUT_FinalEnergyCons!K$4:K$10000)</f>
        <v>4.6823399452406433E-3</v>
      </c>
      <c r="N1893" s="1" cm="1">
        <f t="array" ref="N1893">SUMPRODUCT(([1]OUT_FinalEnergyCons!$B$4:$B$10000="Var_cap")*1, (ISNUMBER(SEARCH("SCOM-SHngahp",[1]OUT_FinalEnergyCons!$A$4:$A$10000)))*1,[1]OUT_FinalEnergyCons!L$4:L$10000)</f>
        <v>3.4603807259211464E-3</v>
      </c>
      <c r="O1893" s="1" cm="1">
        <f t="array" ref="O1893">SUMPRODUCT(([1]OUT_FinalEnergyCons!$B$4:$B$10000="Var_cap")*1, (ISNUMBER(SEARCH("SCOM-SHngahp",[1]OUT_FinalEnergyCons!$A$4:$A$10000)))*1,[1]OUT_FinalEnergyCons!M$4:M$10000)</f>
        <v>1.1992653205144848E-2</v>
      </c>
      <c r="P1893" s="1" cm="1">
        <f t="array" ref="P1893">SUMPRODUCT(([1]OUT_FinalEnergyCons!$B$4:$B$10000="Var_cap")*1, (ISNUMBER(SEARCH("SCOM-SHngahp",[1]OUT_FinalEnergyCons!$A$4:$A$10000)))*1,[1]OUT_FinalEnergyCons!N$4:N$10000)</f>
        <v>1.1222792529310886E-2</v>
      </c>
      <c r="Q1893" s="1" cm="1">
        <f t="array" ref="Q1893">SUMPRODUCT(([1]OUT_FinalEnergyCons!$B$4:$B$10000="Var_cap")*1, (ISNUMBER(SEARCH("SCOM-SHngahp",[1]OUT_FinalEnergyCons!$A$4:$A$10000)))*1,[1]OUT_FinalEnergyCons!O$4:O$10000)</f>
        <v>1.6909741033500552E-2</v>
      </c>
      <c r="S1893" s="3"/>
    </row>
    <row r="1894" spans="2:19" x14ac:dyDescent="0.5">
      <c r="B1894" s="5" t="str">
        <f t="shared" ref="B1894:C1894" si="2137">B1893</f>
        <v>SPS1</v>
      </c>
      <c r="C1894" s="5" t="str">
        <f t="shared" si="2137"/>
        <v>CH</v>
      </c>
      <c r="D1894" t="s">
        <v>1909</v>
      </c>
      <c r="E1894" t="str">
        <f t="shared" si="2131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0.105351443287795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0.10539379867273348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0.10996649938256339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0.11000997186440979</v>
      </c>
      <c r="J1894" s="1" cm="1">
        <f t="array" ref="J1894">SUMPRODUCT(([1]OUT_FinalEnergyCons!$B$4:$B$10000="Var_cap")*1, (("SCOM-SHBIOBR"=[1]OUT_FinalEnergyCons!$A$4:$A$10000)*1+("SCOM-SHBNGABR"=[1]OUT_FinalEnergyCons!$A$4:$A$10000)*1),[1]OUT_FinalEnergyCons!H$4:H$10000)</f>
        <v>0.1334276173613993</v>
      </c>
      <c r="K1894" s="1" cm="1">
        <f t="array" ref="K1894">SUMPRODUCT(([1]OUT_FinalEnergyCons!$B$4:$B$10000="Var_cap")*1, (("SCOM-SHBIOBR"=[1]OUT_FinalEnergyCons!$A$4:$A$10000)*1+("SCOM-SHBNGABR"=[1]OUT_FinalEnergyCons!$A$4:$A$10000)*1),[1]OUT_FinalEnergyCons!I$4:I$10000)</f>
        <v>0.14168195682927254</v>
      </c>
      <c r="L1894" s="1" cm="1">
        <f t="array" ref="L1894">SUMPRODUCT(([1]OUT_FinalEnergyCons!$B$4:$B$10000="Var_cap")*1, (("SCOM-SHBIOBR"=[1]OUT_FinalEnergyCons!$A$4:$A$10000)*1+("SCOM-SHBNGABR"=[1]OUT_FinalEnergyCons!$A$4:$A$10000)*1),[1]OUT_FinalEnergyCons!J$4:J$10000)</f>
        <v>0.1406863475385709</v>
      </c>
      <c r="M1894" s="1" cm="1">
        <f t="array" ref="M1894">SUMPRODUCT(([1]OUT_FinalEnergyCons!$B$4:$B$10000="Var_cap")*1, (("SCOM-SHBIOBR"=[1]OUT_FinalEnergyCons!$A$4:$A$10000)*1+("SCOM-SHBNGABR"=[1]OUT_FinalEnergyCons!$A$4:$A$10000)*1),[1]OUT_FinalEnergyCons!K$4:K$10000)</f>
        <v>0.17187056090006986</v>
      </c>
      <c r="N1894" s="1" cm="1">
        <f t="array" ref="N1894">SUMPRODUCT(([1]OUT_FinalEnergyCons!$B$4:$B$10000="Var_cap")*1, (("SCOM-SHBIOBR"=[1]OUT_FinalEnergyCons!$A$4:$A$10000)*1+("SCOM-SHBNGABR"=[1]OUT_FinalEnergyCons!$A$4:$A$10000)*1),[1]OUT_FinalEnergyCons!L$4:L$10000)</f>
        <v>0.17619101062399165</v>
      </c>
      <c r="O1894" s="1" cm="1">
        <f t="array" ref="O1894">SUMPRODUCT(([1]OUT_FinalEnergyCons!$B$4:$B$10000="Var_cap")*1, (("SCOM-SHBIOBR"=[1]OUT_FinalEnergyCons!$A$4:$A$10000)*1+("SCOM-SHBNGABR"=[1]OUT_FinalEnergyCons!$A$4:$A$10000)*1),[1]OUT_FinalEnergyCons!M$4:M$10000)</f>
        <v>0.17238180821945245</v>
      </c>
      <c r="P1894" s="1" cm="1">
        <f t="array" ref="P1894">SUMPRODUCT(([1]OUT_FinalEnergyCons!$B$4:$B$10000="Var_cap")*1, (("SCOM-SHBIOBR"=[1]OUT_FinalEnergyCons!$A$4:$A$10000)*1+("SCOM-SHBNGABR"=[1]OUT_FinalEnergyCons!$A$4:$A$10000)*1),[1]OUT_FinalEnergyCons!N$4:N$10000)</f>
        <v>0.26542368280103928</v>
      </c>
      <c r="Q1894" s="1" cm="1">
        <f t="array" ref="Q1894">SUMPRODUCT(([1]OUT_FinalEnergyCons!$B$4:$B$10000="Var_cap")*1, (("SCOM-SHBIOBR"=[1]OUT_FinalEnergyCons!$A$4:$A$10000)*1+("SCOM-SHBNGABR"=[1]OUT_FinalEnergyCons!$A$4:$A$10000)*1),[1]OUT_FinalEnergyCons!O$4:O$10000)</f>
        <v>0.29492756598301306</v>
      </c>
      <c r="S1894" s="3"/>
    </row>
    <row r="1895" spans="2:19" x14ac:dyDescent="0.5">
      <c r="B1895" s="5" t="str">
        <f t="shared" ref="B1895:C1895" si="2138">B1894</f>
        <v>SPS1</v>
      </c>
      <c r="C1895" s="5" t="str">
        <f t="shared" si="2138"/>
        <v>CH</v>
      </c>
      <c r="D1895" t="s">
        <v>1910</v>
      </c>
      <c r="E1895" t="str">
        <f t="shared" si="2131"/>
        <v>GWth/yr.</v>
      </c>
      <c r="F1895" s="1">
        <f>F1896</f>
        <v>0.47845421193432119</v>
      </c>
      <c r="G1895" s="1">
        <f t="shared" ref="G1895:O1895" si="2139">G1896</f>
        <v>0.51925036734090135</v>
      </c>
      <c r="H1895" s="1">
        <f t="shared" si="2139"/>
        <v>0.51823372345257745</v>
      </c>
      <c r="I1895" s="1">
        <f t="shared" si="2139"/>
        <v>0.51821481655349644</v>
      </c>
      <c r="J1895" s="1">
        <f t="shared" si="2139"/>
        <v>0.28797973772041346</v>
      </c>
      <c r="K1895" s="1">
        <f t="shared" si="2139"/>
        <v>0.18006351916280544</v>
      </c>
      <c r="L1895" s="1">
        <f t="shared" si="2139"/>
        <v>0.11929189502845861</v>
      </c>
      <c r="M1895" s="1">
        <f t="shared" si="2139"/>
        <v>3.6899558436461886E-2</v>
      </c>
      <c r="N1895" s="1">
        <f t="shared" si="2139"/>
        <v>3.5114649667109407E-2</v>
      </c>
      <c r="O1895" s="1">
        <f t="shared" si="2139"/>
        <v>3.4405441218255207E-2</v>
      </c>
      <c r="P1895" s="1">
        <f>P1896</f>
        <v>3.3739136891240494E-2</v>
      </c>
      <c r="Q1895" s="1">
        <f>Q1896</f>
        <v>3.2733180052102996E-2</v>
      </c>
      <c r="S1895" s="3"/>
    </row>
    <row r="1896" spans="2:19" x14ac:dyDescent="0.5">
      <c r="B1896" s="5" t="str">
        <f t="shared" ref="B1896:C1896" si="2140">B1895</f>
        <v>SPS1</v>
      </c>
      <c r="C1896" s="5" t="str">
        <f t="shared" si="2140"/>
        <v>CH</v>
      </c>
      <c r="D1896" t="s">
        <v>1911</v>
      </c>
      <c r="E1896" t="str">
        <f t="shared" si="2131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0.47845421193432119</v>
      </c>
      <c r="G1896" s="1" cm="1">
        <f t="array" ref="G1896">SUMPRODUCT(([1]OUT_FinalEnergyCons!$B$4:$B$10000="Var_cap")*1, (ISNUMBER(SEARCH("SCOM-SHWODBR",[1]OUT_FinalEnergyCons!$A$4:$A$10000)))*1,[1]OUT_FinalEnergyCons!E$4:E$10000)</f>
        <v>0.51925036734090135</v>
      </c>
      <c r="H1896" s="1" cm="1">
        <f t="array" ref="H1896">SUMPRODUCT(([1]OUT_FinalEnergyCons!$B$4:$B$10000="Var_cap")*1, (ISNUMBER(SEARCH("SCOM-SHWODBR",[1]OUT_FinalEnergyCons!$A$4:$A$10000)))*1,[1]OUT_FinalEnergyCons!F$4:F$10000)</f>
        <v>0.51823372345257745</v>
      </c>
      <c r="I1896" s="1" cm="1">
        <f t="array" ref="I1896">SUMPRODUCT(([1]OUT_FinalEnergyCons!$B$4:$B$10000="Var_cap")*1, (ISNUMBER(SEARCH("SCOM-SHWODBR",[1]OUT_FinalEnergyCons!$A$4:$A$10000)))*1,[1]OUT_FinalEnergyCons!G$4:G$10000)</f>
        <v>0.51821481655349644</v>
      </c>
      <c r="J1896" s="1" cm="1">
        <f t="array" ref="J1896">SUMPRODUCT(([1]OUT_FinalEnergyCons!$B$4:$B$10000="Var_cap")*1, (ISNUMBER(SEARCH("SCOM-SHWODBR",[1]OUT_FinalEnergyCons!$A$4:$A$10000)))*1,[1]OUT_FinalEnergyCons!H$4:H$10000)</f>
        <v>0.28797973772041346</v>
      </c>
      <c r="K1896" s="1" cm="1">
        <f t="array" ref="K1896">SUMPRODUCT(([1]OUT_FinalEnergyCons!$B$4:$B$10000="Var_cap")*1, (ISNUMBER(SEARCH("SCOM-SHWODBR",[1]OUT_FinalEnergyCons!$A$4:$A$10000)))*1,[1]OUT_FinalEnergyCons!I$4:I$10000)</f>
        <v>0.18006351916280544</v>
      </c>
      <c r="L1896" s="1" cm="1">
        <f t="array" ref="L1896">SUMPRODUCT(([1]OUT_FinalEnergyCons!$B$4:$B$10000="Var_cap")*1, (ISNUMBER(SEARCH("SCOM-SHWODBR",[1]OUT_FinalEnergyCons!$A$4:$A$10000)))*1,[1]OUT_FinalEnergyCons!J$4:J$10000)</f>
        <v>0.11929189502845861</v>
      </c>
      <c r="M1896" s="1" cm="1">
        <f t="array" ref="M1896">SUMPRODUCT(([1]OUT_FinalEnergyCons!$B$4:$B$10000="Var_cap")*1, (ISNUMBER(SEARCH("SCOM-SHWODBR",[1]OUT_FinalEnergyCons!$A$4:$A$10000)))*1,[1]OUT_FinalEnergyCons!K$4:K$10000)</f>
        <v>3.6899558436461886E-2</v>
      </c>
      <c r="N1896" s="1" cm="1">
        <f t="array" ref="N1896">SUMPRODUCT(([1]OUT_FinalEnergyCons!$B$4:$B$10000="Var_cap")*1, (ISNUMBER(SEARCH("SCOM-SHWODBR",[1]OUT_FinalEnergyCons!$A$4:$A$10000)))*1,[1]OUT_FinalEnergyCons!L$4:L$10000)</f>
        <v>3.5114649667109407E-2</v>
      </c>
      <c r="O1896" s="1" cm="1">
        <f t="array" ref="O1896">SUMPRODUCT(([1]OUT_FinalEnergyCons!$B$4:$B$10000="Var_cap")*1, (ISNUMBER(SEARCH("SCOM-SHWODBR",[1]OUT_FinalEnergyCons!$A$4:$A$10000)))*1,[1]OUT_FinalEnergyCons!M$4:M$10000)</f>
        <v>3.4405441218255207E-2</v>
      </c>
      <c r="P1896" s="1" cm="1">
        <f t="array" ref="P1896">SUMPRODUCT(([1]OUT_FinalEnergyCons!$B$4:$B$10000="Var_cap")*1, (ISNUMBER(SEARCH("SCOM-SHWODBR",[1]OUT_FinalEnergyCons!$A$4:$A$10000)))*1,[1]OUT_FinalEnergyCons!N$4:N$10000)</f>
        <v>3.3739136891240494E-2</v>
      </c>
      <c r="Q1896" s="1" cm="1">
        <f t="array" ref="Q1896">SUMPRODUCT(([1]OUT_FinalEnergyCons!$B$4:$B$10000="Var_cap")*1, (ISNUMBER(SEARCH("SCOM-SHWODBR",[1]OUT_FinalEnergyCons!$A$4:$A$10000)))*1,[1]OUT_FinalEnergyCons!O$4:O$10000)</f>
        <v>3.2733180052102996E-2</v>
      </c>
      <c r="S1896" s="3"/>
    </row>
    <row r="1897" spans="2:19" x14ac:dyDescent="0.5">
      <c r="B1897" s="5" t="str">
        <f t="shared" ref="B1897:C1897" si="2141">B1896</f>
        <v>SPS1</v>
      </c>
      <c r="C1897" s="5" t="str">
        <f t="shared" si="2141"/>
        <v>CH</v>
      </c>
      <c r="D1897" t="s">
        <v>1912</v>
      </c>
      <c r="E1897" t="str">
        <f t="shared" si="2131"/>
        <v>GWth/yr.</v>
      </c>
      <c r="F1897" s="1">
        <f>F1898</f>
        <v>0.15051599333678373</v>
      </c>
      <c r="G1897" s="1">
        <f t="shared" ref="G1897:O1897" si="2142">G1898</f>
        <v>0.17260194193157075</v>
      </c>
      <c r="H1897" s="1">
        <f t="shared" si="2142"/>
        <v>0.17261063042880984</v>
      </c>
      <c r="I1897" s="1">
        <f t="shared" si="2142"/>
        <v>0.1882538224114422</v>
      </c>
      <c r="J1897" s="1">
        <f t="shared" si="2142"/>
        <v>0.20140636555739125</v>
      </c>
      <c r="K1897" s="1">
        <f t="shared" si="2142"/>
        <v>0.22484815326472715</v>
      </c>
      <c r="L1897" s="1">
        <f t="shared" si="2142"/>
        <v>0.2121861147811844</v>
      </c>
      <c r="M1897" s="1">
        <f t="shared" si="2142"/>
        <v>0.21947748210104479</v>
      </c>
      <c r="N1897" s="1">
        <f t="shared" si="2142"/>
        <v>0.21342068258087782</v>
      </c>
      <c r="O1897" s="1">
        <f t="shared" si="2142"/>
        <v>0.20694516385227843</v>
      </c>
      <c r="P1897" s="1">
        <f>P1898</f>
        <v>0.20601478488031949</v>
      </c>
      <c r="Q1897" s="1">
        <f>Q1898</f>
        <v>0.19723882766340436</v>
      </c>
      <c r="S1897" s="3"/>
    </row>
    <row r="1898" spans="2:19" x14ac:dyDescent="0.5">
      <c r="B1898" s="5" t="str">
        <f t="shared" ref="B1898:C1898" si="2143">B1897</f>
        <v>SPS1</v>
      </c>
      <c r="C1898" s="5" t="str">
        <f t="shared" si="2143"/>
        <v>CH</v>
      </c>
      <c r="D1898" t="s">
        <v>1913</v>
      </c>
      <c r="E1898" t="str">
        <f t="shared" si="2131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0.15051599333678373</v>
      </c>
      <c r="G1898" s="1" cm="1">
        <f t="array" ref="G1898">SUMPRODUCT(([1]OUT_FinalEnergyCons!$B$4:$B$10000="Var_cap")*1,(ISNUMBER(SEARCH("SCOM-SHPLTBR",[1]OUT_FinalEnergyCons!$A$4:$A$10000)))*1,[1]OUT_FinalEnergyCons!E$4:E$10000)</f>
        <v>0.17260194193157075</v>
      </c>
      <c r="H1898" s="1" cm="1">
        <f t="array" ref="H1898">SUMPRODUCT(([1]OUT_FinalEnergyCons!$B$4:$B$10000="Var_cap")*1,(ISNUMBER(SEARCH("SCOM-SHPLTBR",[1]OUT_FinalEnergyCons!$A$4:$A$10000)))*1,[1]OUT_FinalEnergyCons!F$4:F$10000)</f>
        <v>0.17261063042880984</v>
      </c>
      <c r="I1898" s="1" cm="1">
        <f t="array" ref="I1898">SUMPRODUCT(([1]OUT_FinalEnergyCons!$B$4:$B$10000="Var_cap")*1,(ISNUMBER(SEARCH("SCOM-SHPLTBR",[1]OUT_FinalEnergyCons!$A$4:$A$10000)))*1,[1]OUT_FinalEnergyCons!G$4:G$10000)</f>
        <v>0.1882538224114422</v>
      </c>
      <c r="J1898" s="1" cm="1">
        <f t="array" ref="J1898">SUMPRODUCT(([1]OUT_FinalEnergyCons!$B$4:$B$10000="Var_cap")*1,(ISNUMBER(SEARCH("SCOM-SHPLTBR",[1]OUT_FinalEnergyCons!$A$4:$A$10000)))*1,[1]OUT_FinalEnergyCons!H$4:H$10000)</f>
        <v>0.20140636555739125</v>
      </c>
      <c r="K1898" s="1" cm="1">
        <f t="array" ref="K1898">SUMPRODUCT(([1]OUT_FinalEnergyCons!$B$4:$B$10000="Var_cap")*1,(ISNUMBER(SEARCH("SCOM-SHPLTBR",[1]OUT_FinalEnergyCons!$A$4:$A$10000)))*1,[1]OUT_FinalEnergyCons!I$4:I$10000)</f>
        <v>0.22484815326472715</v>
      </c>
      <c r="L1898" s="1" cm="1">
        <f t="array" ref="L1898">SUMPRODUCT(([1]OUT_FinalEnergyCons!$B$4:$B$10000="Var_cap")*1,(ISNUMBER(SEARCH("SCOM-SHPLTBR",[1]OUT_FinalEnergyCons!$A$4:$A$10000)))*1,[1]OUT_FinalEnergyCons!J$4:J$10000)</f>
        <v>0.2121861147811844</v>
      </c>
      <c r="M1898" s="1" cm="1">
        <f t="array" ref="M1898">SUMPRODUCT(([1]OUT_FinalEnergyCons!$B$4:$B$10000="Var_cap")*1,(ISNUMBER(SEARCH("SCOM-SHPLTBR",[1]OUT_FinalEnergyCons!$A$4:$A$10000)))*1,[1]OUT_FinalEnergyCons!K$4:K$10000)</f>
        <v>0.21947748210104479</v>
      </c>
      <c r="N1898" s="1" cm="1">
        <f t="array" ref="N1898">SUMPRODUCT(([1]OUT_FinalEnergyCons!$B$4:$B$10000="Var_cap")*1,(ISNUMBER(SEARCH("SCOM-SHPLTBR",[1]OUT_FinalEnergyCons!$A$4:$A$10000)))*1,[1]OUT_FinalEnergyCons!L$4:L$10000)</f>
        <v>0.21342068258087782</v>
      </c>
      <c r="O1898" s="1" cm="1">
        <f t="array" ref="O1898">SUMPRODUCT(([1]OUT_FinalEnergyCons!$B$4:$B$10000="Var_cap")*1,(ISNUMBER(SEARCH("SCOM-SHPLTBR",[1]OUT_FinalEnergyCons!$A$4:$A$10000)))*1,[1]OUT_FinalEnergyCons!M$4:M$10000)</f>
        <v>0.20694516385227843</v>
      </c>
      <c r="P1898" s="1" cm="1">
        <f t="array" ref="P1898">SUMPRODUCT(([1]OUT_FinalEnergyCons!$B$4:$B$10000="Var_cap")*1,(ISNUMBER(SEARCH("SCOM-SHPLTBR",[1]OUT_FinalEnergyCons!$A$4:$A$10000)))*1,[1]OUT_FinalEnergyCons!N$4:N$10000)</f>
        <v>0.20601478488031949</v>
      </c>
      <c r="Q1898" s="1" cm="1">
        <f t="array" ref="Q1898">SUMPRODUCT(([1]OUT_FinalEnergyCons!$B$4:$B$10000="Var_cap")*1,(ISNUMBER(SEARCH("SCOM-SHPLTBR",[1]OUT_FinalEnergyCons!$A$4:$A$10000)))*1,[1]OUT_FinalEnergyCons!O$4:O$10000)</f>
        <v>0.19723882766340436</v>
      </c>
      <c r="S1898" s="3"/>
    </row>
    <row r="1899" spans="2:19" x14ac:dyDescent="0.5">
      <c r="B1899" s="5" t="str">
        <f t="shared" ref="B1899:C1899" si="2144">B1898</f>
        <v>SPS1</v>
      </c>
      <c r="C1899" s="5" t="str">
        <f t="shared" si="2144"/>
        <v>CH</v>
      </c>
      <c r="D1899" t="s">
        <v>1914</v>
      </c>
      <c r="E1899" t="str">
        <f t="shared" si="2131"/>
        <v>GWth/yr.</v>
      </c>
      <c r="F1899" s="1">
        <f>F1900</f>
        <v>9.1101441882106463E-2</v>
      </c>
      <c r="G1899" s="1">
        <f t="shared" ref="G1899:O1899" si="2145">G1900</f>
        <v>9.9921148878271221E-2</v>
      </c>
      <c r="H1899" s="1">
        <f t="shared" si="2145"/>
        <v>9.9925278510937798E-2</v>
      </c>
      <c r="I1899" s="1">
        <f t="shared" si="2145"/>
        <v>9.9935710687748563E-2</v>
      </c>
      <c r="J1899" s="1">
        <f t="shared" si="2145"/>
        <v>0.1000255807646391</v>
      </c>
      <c r="K1899" s="1">
        <f t="shared" si="2145"/>
        <v>0.100029739567826</v>
      </c>
      <c r="L1899" s="1">
        <f t="shared" si="2145"/>
        <v>0.100045857393571</v>
      </c>
      <c r="M1899" s="1">
        <f t="shared" si="2145"/>
        <v>0.10009647595764599</v>
      </c>
      <c r="N1899" s="1">
        <f t="shared" si="2145"/>
        <v>0.10011658475618899</v>
      </c>
      <c r="O1899" s="1">
        <f t="shared" si="2145"/>
        <v>0.100145762442775</v>
      </c>
      <c r="P1899" s="1">
        <f>P1900</f>
        <v>0.100199180278131</v>
      </c>
      <c r="Q1899" s="1">
        <f>Q1900</f>
        <v>0.100377635166069</v>
      </c>
      <c r="S1899" s="3"/>
    </row>
    <row r="1900" spans="2:19" x14ac:dyDescent="0.5">
      <c r="B1900" s="5" t="str">
        <f t="shared" ref="B1900:C1900" si="2146">B1899</f>
        <v>SPS1</v>
      </c>
      <c r="C1900" s="5" t="str">
        <f t="shared" si="2146"/>
        <v>CH</v>
      </c>
      <c r="D1900" t="s">
        <v>1915</v>
      </c>
      <c r="E1900" t="str">
        <f t="shared" si="2131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9.1101441882106463E-2</v>
      </c>
      <c r="G1900" s="1" cm="1">
        <f t="array" ref="G1900">SUMPRODUCT(([1]OUT_FinalEnergyCons!$B$4:$B$10000="Var_cap")*1, (ISNUMBER(SEARCH("SCOM-SHSOLBR",[1]OUT_FinalEnergyCons!$A$4:$A$10000)))*1,[1]OUT_FinalEnergyCons!E$4:E$10000)</f>
        <v>9.9921148878271221E-2</v>
      </c>
      <c r="H1900" s="1" cm="1">
        <f t="array" ref="H1900">SUMPRODUCT(([1]OUT_FinalEnergyCons!$B$4:$B$10000="Var_cap")*1, (ISNUMBER(SEARCH("SCOM-SHSOLBR",[1]OUT_FinalEnergyCons!$A$4:$A$10000)))*1,[1]OUT_FinalEnergyCons!F$4:F$10000)</f>
        <v>9.9925278510937798E-2</v>
      </c>
      <c r="I1900" s="1" cm="1">
        <f t="array" ref="I1900">SUMPRODUCT(([1]OUT_FinalEnergyCons!$B$4:$B$10000="Var_cap")*1, (ISNUMBER(SEARCH("SCOM-SHSOLBR",[1]OUT_FinalEnergyCons!$A$4:$A$10000)))*1,[1]OUT_FinalEnergyCons!G$4:G$10000)</f>
        <v>9.9935710687748563E-2</v>
      </c>
      <c r="J1900" s="1" cm="1">
        <f t="array" ref="J1900">SUMPRODUCT(([1]OUT_FinalEnergyCons!$B$4:$B$10000="Var_cap")*1, (ISNUMBER(SEARCH("SCOM-SHSOLBR",[1]OUT_FinalEnergyCons!$A$4:$A$10000)))*1,[1]OUT_FinalEnergyCons!H$4:H$10000)</f>
        <v>0.1000255807646391</v>
      </c>
      <c r="K1900" s="1" cm="1">
        <f t="array" ref="K1900">SUMPRODUCT(([1]OUT_FinalEnergyCons!$B$4:$B$10000="Var_cap")*1, (ISNUMBER(SEARCH("SCOM-SHSOLBR",[1]OUT_FinalEnergyCons!$A$4:$A$10000)))*1,[1]OUT_FinalEnergyCons!I$4:I$10000)</f>
        <v>0.100029739567826</v>
      </c>
      <c r="L1900" s="1" cm="1">
        <f t="array" ref="L1900">SUMPRODUCT(([1]OUT_FinalEnergyCons!$B$4:$B$10000="Var_cap")*1, (ISNUMBER(SEARCH("SCOM-SHSOLBR",[1]OUT_FinalEnergyCons!$A$4:$A$10000)))*1,[1]OUT_FinalEnergyCons!J$4:J$10000)</f>
        <v>0.100045857393571</v>
      </c>
      <c r="M1900" s="1" cm="1">
        <f t="array" ref="M1900">SUMPRODUCT(([1]OUT_FinalEnergyCons!$B$4:$B$10000="Var_cap")*1, (ISNUMBER(SEARCH("SCOM-SHSOLBR",[1]OUT_FinalEnergyCons!$A$4:$A$10000)))*1,[1]OUT_FinalEnergyCons!K$4:K$10000)</f>
        <v>0.10009647595764599</v>
      </c>
      <c r="N1900" s="1" cm="1">
        <f t="array" ref="N1900">SUMPRODUCT(([1]OUT_FinalEnergyCons!$B$4:$B$10000="Var_cap")*1, (ISNUMBER(SEARCH("SCOM-SHSOLBR",[1]OUT_FinalEnergyCons!$A$4:$A$10000)))*1,[1]OUT_FinalEnergyCons!L$4:L$10000)</f>
        <v>0.10011658475618899</v>
      </c>
      <c r="O1900" s="1" cm="1">
        <f t="array" ref="O1900">SUMPRODUCT(([1]OUT_FinalEnergyCons!$B$4:$B$10000="Var_cap")*1, (ISNUMBER(SEARCH("SCOM-SHSOLBR",[1]OUT_FinalEnergyCons!$A$4:$A$10000)))*1,[1]OUT_FinalEnergyCons!M$4:M$10000)</f>
        <v>0.100145762442775</v>
      </c>
      <c r="P1900" s="1" cm="1">
        <f t="array" ref="P1900">SUMPRODUCT(([1]OUT_FinalEnergyCons!$B$4:$B$10000="Var_cap")*1, (ISNUMBER(SEARCH("SCOM-SHSOLBR",[1]OUT_FinalEnergyCons!$A$4:$A$10000)))*1,[1]OUT_FinalEnergyCons!N$4:N$10000)</f>
        <v>0.100199180278131</v>
      </c>
      <c r="Q1900" s="1" cm="1">
        <f t="array" ref="Q1900">SUMPRODUCT(([1]OUT_FinalEnergyCons!$B$4:$B$10000="Var_cap")*1, (ISNUMBER(SEARCH("SCOM-SHSOLBR",[1]OUT_FinalEnergyCons!$A$4:$A$10000)))*1,[1]OUT_FinalEnergyCons!O$4:O$10000)</f>
        <v>0.100377635166069</v>
      </c>
      <c r="S1900" s="3"/>
    </row>
    <row r="1901" spans="2:19" x14ac:dyDescent="0.5">
      <c r="B1901" s="5" t="str">
        <f t="shared" ref="B1901:C1901" si="2147">B1900</f>
        <v>SPS1</v>
      </c>
      <c r="C1901" s="5" t="str">
        <f t="shared" si="2147"/>
        <v>CH</v>
      </c>
      <c r="D1901" t="s">
        <v>1916</v>
      </c>
      <c r="E1901" t="str">
        <f t="shared" si="2131"/>
        <v>GWth/yr.</v>
      </c>
      <c r="F1901" s="1">
        <f>F1902</f>
        <v>0</v>
      </c>
      <c r="G1901" s="1">
        <f t="shared" ref="G1901:O1901" si="2148">G1902</f>
        <v>0</v>
      </c>
      <c r="H1901" s="1">
        <f t="shared" si="2148"/>
        <v>0</v>
      </c>
      <c r="I1901" s="1">
        <f t="shared" si="2148"/>
        <v>2.08043170996898E-4</v>
      </c>
      <c r="J1901" s="1">
        <f t="shared" si="2148"/>
        <v>4.8180221514002735E-4</v>
      </c>
      <c r="K1901" s="1">
        <f t="shared" si="2148"/>
        <v>7.1943594412255394E-4</v>
      </c>
      <c r="L1901" s="1">
        <f t="shared" si="2148"/>
        <v>5.7824232334987885E-4</v>
      </c>
      <c r="M1901" s="1">
        <f t="shared" si="2148"/>
        <v>2.0582721234962773E-3</v>
      </c>
      <c r="N1901" s="1">
        <f t="shared" si="2148"/>
        <v>1.8689386948217205E-3</v>
      </c>
      <c r="O1901" s="1">
        <f t="shared" si="2148"/>
        <v>7.2372078357195654E-3</v>
      </c>
      <c r="P1901" s="1">
        <f>P1902</f>
        <v>1.2219296421923596E-2</v>
      </c>
      <c r="Q1901" s="1">
        <f>Q1902</f>
        <v>1.2234443472442583E-2</v>
      </c>
      <c r="S1901" s="3"/>
    </row>
    <row r="1902" spans="2:19" x14ac:dyDescent="0.5">
      <c r="B1902" s="5" t="str">
        <f t="shared" ref="B1902:C1902" si="2149">B1901</f>
        <v>SPS1</v>
      </c>
      <c r="C1902" s="5" t="str">
        <f t="shared" si="2149"/>
        <v>CH</v>
      </c>
      <c r="D1902" t="s">
        <v>1917</v>
      </c>
      <c r="E1902" t="str">
        <f t="shared" si="2131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2.08043170996898E-4</v>
      </c>
      <c r="J1902" s="1" cm="1">
        <f t="array" ref="J1902">SUMPRODUCT(([1]OUT_FinalEnergyCons!$B$4:$B$10000="Var_cap")*1, (ISNUMBER(SEARCH("SCOM-SHH2BR",[1]OUT_FinalEnergyCons!$A$4:$A$10000)))*1,[1]OUT_FinalEnergyCons!H$4:H$10000)</f>
        <v>4.8180221514002735E-4</v>
      </c>
      <c r="K1902" s="1" cm="1">
        <f t="array" ref="K1902">SUMPRODUCT(([1]OUT_FinalEnergyCons!$B$4:$B$10000="Var_cap")*1, (ISNUMBER(SEARCH("SCOM-SHH2BR",[1]OUT_FinalEnergyCons!$A$4:$A$10000)))*1,[1]OUT_FinalEnergyCons!I$4:I$10000)</f>
        <v>7.1943594412255394E-4</v>
      </c>
      <c r="L1902" s="1" cm="1">
        <f t="array" ref="L1902">SUMPRODUCT(([1]OUT_FinalEnergyCons!$B$4:$B$10000="Var_cap")*1, (ISNUMBER(SEARCH("SCOM-SHH2BR",[1]OUT_FinalEnergyCons!$A$4:$A$10000)))*1,[1]OUT_FinalEnergyCons!J$4:J$10000)</f>
        <v>5.7824232334987885E-4</v>
      </c>
      <c r="M1902" s="1" cm="1">
        <f t="array" ref="M1902">SUMPRODUCT(([1]OUT_FinalEnergyCons!$B$4:$B$10000="Var_cap")*1, (ISNUMBER(SEARCH("SCOM-SHH2BR",[1]OUT_FinalEnergyCons!$A$4:$A$10000)))*1,[1]OUT_FinalEnergyCons!K$4:K$10000)</f>
        <v>2.0582721234962773E-3</v>
      </c>
      <c r="N1902" s="1" cm="1">
        <f t="array" ref="N1902">SUMPRODUCT(([1]OUT_FinalEnergyCons!$B$4:$B$10000="Var_cap")*1, (ISNUMBER(SEARCH("SCOM-SHH2BR",[1]OUT_FinalEnergyCons!$A$4:$A$10000)))*1,[1]OUT_FinalEnergyCons!L$4:L$10000)</f>
        <v>1.8689386948217205E-3</v>
      </c>
      <c r="O1902" s="1" cm="1">
        <f t="array" ref="O1902">SUMPRODUCT(([1]OUT_FinalEnergyCons!$B$4:$B$10000="Var_cap")*1, (ISNUMBER(SEARCH("SCOM-SHH2BR",[1]OUT_FinalEnergyCons!$A$4:$A$10000)))*1,[1]OUT_FinalEnergyCons!M$4:M$10000)</f>
        <v>7.2372078357195654E-3</v>
      </c>
      <c r="P1902" s="1" cm="1">
        <f t="array" ref="P1902">SUMPRODUCT(([1]OUT_FinalEnergyCons!$B$4:$B$10000="Var_cap")*1, (ISNUMBER(SEARCH("SCOM-SHH2BR",[1]OUT_FinalEnergyCons!$A$4:$A$10000)))*1,[1]OUT_FinalEnergyCons!N$4:N$10000)</f>
        <v>1.2219296421923596E-2</v>
      </c>
      <c r="Q1902" s="1" cm="1">
        <f t="array" ref="Q1902">SUMPRODUCT(([1]OUT_FinalEnergyCons!$B$4:$B$10000="Var_cap")*1, (ISNUMBER(SEARCH("SCOM-SHH2BR",[1]OUT_FinalEnergyCons!$A$4:$A$10000)))*1,[1]OUT_FinalEnergyCons!O$4:O$10000)</f>
        <v>1.2234443472442583E-2</v>
      </c>
      <c r="S1902" s="3"/>
    </row>
    <row r="1903" spans="2:19" x14ac:dyDescent="0.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4.6733723372203473</v>
      </c>
      <c r="G1903" s="3">
        <f t="shared" ref="G1903:K1903" si="2150">SUM(G1904:G1953)</f>
        <v>4.7743778207278575</v>
      </c>
      <c r="H1903" s="3">
        <f t="shared" si="2150"/>
        <v>5.0322116205578711</v>
      </c>
      <c r="I1903" s="3">
        <f t="shared" si="2150"/>
        <v>5.5747222795901683</v>
      </c>
      <c r="J1903" s="3">
        <f t="shared" si="2150"/>
        <v>5.7427131698276224</v>
      </c>
      <c r="K1903" s="3">
        <f t="shared" si="2150"/>
        <v>5.9103033111628989</v>
      </c>
      <c r="L1903" s="3">
        <f t="shared" ref="L1903:O1903" si="2151">SUM(L1904:L1953)</f>
        <v>6.0151587396660808</v>
      </c>
      <c r="M1903" s="3">
        <f t="shared" si="2151"/>
        <v>6.119686500651361</v>
      </c>
      <c r="N1903" s="3">
        <f t="shared" si="2151"/>
        <v>6.4162992452790473</v>
      </c>
      <c r="O1903" s="3">
        <f t="shared" si="2151"/>
        <v>6.5506470446823579</v>
      </c>
      <c r="P1903" s="3">
        <f>SUM(P1904:P1953)</f>
        <v>6.6867102638669902</v>
      </c>
      <c r="Q1903" s="3">
        <f>SUM(Q1904:Q1953)</f>
        <v>6.8538117817830591</v>
      </c>
      <c r="S1903" s="3"/>
    </row>
    <row r="1904" spans="2:19" x14ac:dyDescent="0.5">
      <c r="B1904" s="5" t="str">
        <f t="shared" ref="B1904:B1953" si="2152">B1903</f>
        <v>SPS1</v>
      </c>
      <c r="C1904" s="5" t="str">
        <f t="shared" ref="C1904:C1953" si="2153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4.2038990924400582E-2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3.6373472897734641E-2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2.8009361635003217E-2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1.4009598371957985E-2</v>
      </c>
      <c r="J1904" s="1" cm="1">
        <f t="array" ref="J1904">SUMPRODUCT(("Var_Cap"=[1]OUT_TransportEnergyCons!$B$4:$B$10000)*1,("-"=[1]OUT_TransportEnergyCons!$C$4:$C$10000)*1,ISNUMBER(SEARCH("T_C*bat*ext",[1]OUT_TransportEnergyCons!$A$4:$A$10000))*1,[1]OUT_TransportEnergyCons!H$4:H$10000)</f>
        <v>0</v>
      </c>
      <c r="K1904" s="1" cm="1">
        <f t="array" ref="K1904">SUMPRODUCT(("Var_Cap"=[1]OUT_TransportEnergyCons!$B$4:$B$10000)*1,("-"=[1]OUT_TransportEnergyCons!$C$4:$C$10000)*1,ISNUMBER(SEARCH("T_C*bat*ext",[1]OUT_TransportEnergyCons!$A$4:$A$10000))*1,[1]OUT_TransportEnergyCons!I$4:I$10000)</f>
        <v>0</v>
      </c>
      <c r="L1904" s="1" cm="1">
        <f t="array" ref="L1904">SUMPRODUCT(("Var_Cap"=[1]OUT_TransportEnergyCons!$B$4:$B$10000)*1,("-"=[1]OUT_TransportEnergyCons!$C$4:$C$10000)*1,ISNUMBER(SEARCH("T_C*bat*ext",[1]OUT_TransportEnergyCons!$A$4:$A$10000))*1,[1]OUT_TransportEnergyCons!J$4:J$10000)</f>
        <v>0</v>
      </c>
      <c r="M1904" s="1" cm="1">
        <f t="array" ref="M1904">SUMPRODUCT(("Var_Cap"=[1]OUT_TransportEnergyCons!$B$4:$B$10000)*1,("-"=[1]OUT_TransportEnergyCons!$C$4:$C$10000)*1,ISNUMBER(SEARCH("T_C*bat*ext",[1]OUT_TransportEnergyCons!$A$4:$A$10000))*1,[1]OUT_TransportEnergyCons!K$4:K$10000)</f>
        <v>0</v>
      </c>
      <c r="N1904" s="1" cm="1">
        <f t="array" ref="N1904">SUMPRODUCT(("Var_Cap"=[1]OUT_TransportEnergyCons!$B$4:$B$10000)*1,("-"=[1]OUT_TransportEnergyCons!$C$4:$C$10000)*1,ISNUMBER(SEARCH("T_C*bat*ext",[1]OUT_TransportEnergyCons!$A$4:$A$10000))*1,[1]OUT_TransportEnergyCons!L$4:L$10000)</f>
        <v>0</v>
      </c>
      <c r="O1904" s="1" cm="1">
        <f t="array" ref="O1904">SUMPRODUCT(("Var_Cap"=[1]OUT_TransportEnergyCons!$B$4:$B$10000)*1,("-"=[1]OUT_TransportEnergyCons!$C$4:$C$10000)*1,ISNUMBER(SEARCH("T_C*bat*ext",[1]OUT_TransportEnergyCons!$A$4:$A$10000))*1,[1]OUT_TransportEnergyCons!M$4:M$10000)</f>
        <v>0</v>
      </c>
      <c r="P1904" s="1" cm="1">
        <f t="array" ref="P1904">SUMPRODUCT(("Var_Cap"=[1]OUT_TransportEnergyCons!$B$4:$B$10000)*1,("-"=[1]OUT_TransportEnergyCons!$C$4:$C$10000)*1,ISNUMBER(SEARCH("T_C*bat*ext",[1]OUT_TransportEnergyCons!$A$4:$A$10000))*1,[1]OUT_TransportEnergyCons!N$4:N$10000)</f>
        <v>0</v>
      </c>
      <c r="Q1904" s="1" cm="1">
        <f t="array" ref="Q1904">SUMPRODUCT(("Var_Cap"=[1]OUT_TransportEnergyCons!$B$4:$B$10000)*1,("-"=[1]OUT_TransportEnergyCons!$C$4:$C$10000)*1,ISNUMBER(SEARCH("T_C*bat*ext",[1]OUT_TransportEnergyCons!$A$4:$A$10000))*1,[1]OUT_TransportEnergyCons!O$4:O$10000)</f>
        <v>0</v>
      </c>
      <c r="S1904" s="3"/>
    </row>
    <row r="1905" spans="2:19" x14ac:dyDescent="0.5">
      <c r="B1905" s="5" t="str">
        <f t="shared" si="2152"/>
        <v>SPS1</v>
      </c>
      <c r="C1905" s="5" t="str">
        <f t="shared" si="2153"/>
        <v>CH</v>
      </c>
      <c r="D1905" t="s">
        <v>1922</v>
      </c>
      <c r="E1905" t="str">
        <f t="shared" ref="E1905:E1953" si="2154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1.6322301512920624E-3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5.2762303103237526E-3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5.7649564983361665E-3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5.4068071914908219E-3</v>
      </c>
      <c r="J1905" s="1" cm="1">
        <f t="array" ref="J1905">SUMPRODUCT(("Var_Cap"=[1]OUT_TransportEnergyCons!$B$4:$B$10000)*1,("-"=[1]OUT_TransportEnergyCons!$C$4:$C$10000)*1,ISNUMBER(SEARCH("T_C*bat*s1",[1]OUT_TransportEnergyCons!$A$4:$A$10000))*1,[1]OUT_TransportEnergyCons!H$4:H$10000)</f>
        <v>3.0152475204795214E-3</v>
      </c>
      <c r="K1905" s="1" cm="1">
        <f t="array" ref="K1905">SUMPRODUCT(("Var_Cap"=[1]OUT_TransportEnergyCons!$B$4:$B$10000)*1,("-"=[1]OUT_TransportEnergyCons!$C$4:$C$10000)*1,ISNUMBER(SEARCH("T_C*bat*s1",[1]OUT_TransportEnergyCons!$A$4:$A$10000))*1,[1]OUT_TransportEnergyCons!I$4:I$10000)</f>
        <v>3.8226864241076769E-2</v>
      </c>
      <c r="L1905" s="1" cm="1">
        <f t="array" ref="L1905">SUMPRODUCT(("Var_Cap"=[1]OUT_TransportEnergyCons!$B$4:$B$10000)*1,("-"=[1]OUT_TransportEnergyCons!$C$4:$C$10000)*1,ISNUMBER(SEARCH("T_C*bat*s1",[1]OUT_TransportEnergyCons!$A$4:$A$10000))*1,[1]OUT_TransportEnergyCons!J$4:J$10000)</f>
        <v>0.1161480352309989</v>
      </c>
      <c r="M1905" s="1" cm="1">
        <f t="array" ref="M1905">SUMPRODUCT(("Var_Cap"=[1]OUT_TransportEnergyCons!$B$4:$B$10000)*1,("-"=[1]OUT_TransportEnergyCons!$C$4:$C$10000)*1,ISNUMBER(SEARCH("T_C*bat*s1",[1]OUT_TransportEnergyCons!$A$4:$A$10000))*1,[1]OUT_TransportEnergyCons!K$4:K$10000)</f>
        <v>0.25683884671347107</v>
      </c>
      <c r="N1905" s="1" cm="1">
        <f t="array" ref="N1905">SUMPRODUCT(("Var_Cap"=[1]OUT_TransportEnergyCons!$B$4:$B$10000)*1,("-"=[1]OUT_TransportEnergyCons!$C$4:$C$10000)*1,ISNUMBER(SEARCH("T_C*bat*s1",[1]OUT_TransportEnergyCons!$A$4:$A$10000))*1,[1]OUT_TransportEnergyCons!L$4:L$10000)</f>
        <v>0.28039345013493727</v>
      </c>
      <c r="O1905" s="1" cm="1">
        <f t="array" ref="O1905">SUMPRODUCT(("Var_Cap"=[1]OUT_TransportEnergyCons!$B$4:$B$10000)*1,("-"=[1]OUT_TransportEnergyCons!$C$4:$C$10000)*1,ISNUMBER(SEARCH("T_C*bat*s1",[1]OUT_TransportEnergyCons!$A$4:$A$10000))*1,[1]OUT_TransportEnergyCons!M$4:M$10000)</f>
        <v>0.27891524194679546</v>
      </c>
      <c r="P1905" s="1" cm="1">
        <f t="array" ref="P1905">SUMPRODUCT(("Var_Cap"=[1]OUT_TransportEnergyCons!$B$4:$B$10000)*1,("-"=[1]OUT_TransportEnergyCons!$C$4:$C$10000)*1,ISNUMBER(SEARCH("T_C*bat*s1",[1]OUT_TransportEnergyCons!$A$4:$A$10000))*1,[1]OUT_TransportEnergyCons!N$4:N$10000)</f>
        <v>0.28407847551572085</v>
      </c>
      <c r="Q1905" s="1" cm="1">
        <f t="array" ref="Q1905">SUMPRODUCT(("Var_Cap"=[1]OUT_TransportEnergyCons!$B$4:$B$10000)*1,("-"=[1]OUT_TransportEnergyCons!$C$4:$C$10000)*1,ISNUMBER(SEARCH("T_C*bat*s1",[1]OUT_TransportEnergyCons!$A$4:$A$10000))*1,[1]OUT_TransportEnergyCons!O$4:O$10000)</f>
        <v>0.25546342152729395</v>
      </c>
      <c r="S1905" s="3"/>
    </row>
    <row r="1906" spans="2:19" x14ac:dyDescent="0.5">
      <c r="B1906" s="5" t="str">
        <f t="shared" si="2152"/>
        <v>SPS1</v>
      </c>
      <c r="C1906" s="5" t="str">
        <f t="shared" si="2153"/>
        <v>CH</v>
      </c>
      <c r="D1906" t="s">
        <v>1923</v>
      </c>
      <c r="E1906" t="str">
        <f t="shared" si="2154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7.3922862767318845E-3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1.1762970242787487E-2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0.20696223493519467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0.75283897466382332</v>
      </c>
      <c r="J1906" s="1" cm="1">
        <f t="array" ref="J1906">SUMPRODUCT(("Var_Cap"=[1]OUT_TransportEnergyCons!$B$4:$B$10000)*1,("-"=[1]OUT_TransportEnergyCons!$C$4:$C$10000)*1,ISNUMBER(SEARCH("T_C*bat*s2",[1]OUT_TransportEnergyCons!$A$4:$A$10000))*1,[1]OUT_TransportEnergyCons!H$4:H$10000)</f>
        <v>1.7380805014402185</v>
      </c>
      <c r="K1906" s="1" cm="1">
        <f t="array" ref="K1906">SUMPRODUCT(("Var_Cap"=[1]OUT_TransportEnergyCons!$B$4:$B$10000)*1,("-"=[1]OUT_TransportEnergyCons!$C$4:$C$10000)*1,ISNUMBER(SEARCH("T_C*bat*s2",[1]OUT_TransportEnergyCons!$A$4:$A$10000))*1,[1]OUT_TransportEnergyCons!I$4:I$10000)</f>
        <v>1.8410315227830125</v>
      </c>
      <c r="L1906" s="1" cm="1">
        <f t="array" ref="L1906">SUMPRODUCT(("Var_Cap"=[1]OUT_TransportEnergyCons!$B$4:$B$10000)*1,("-"=[1]OUT_TransportEnergyCons!$C$4:$C$10000)*1,ISNUMBER(SEARCH("T_C*bat*s2",[1]OUT_TransportEnergyCons!$A$4:$A$10000))*1,[1]OUT_TransportEnergyCons!J$4:J$10000)</f>
        <v>1.8608158066248945</v>
      </c>
      <c r="M1906" s="1" cm="1">
        <f t="array" ref="M1906">SUMPRODUCT(("Var_Cap"=[1]OUT_TransportEnergyCons!$B$4:$B$10000)*1,("-"=[1]OUT_TransportEnergyCons!$C$4:$C$10000)*1,ISNUMBER(SEARCH("T_C*bat*s2",[1]OUT_TransportEnergyCons!$A$4:$A$10000))*1,[1]OUT_TransportEnergyCons!K$4:K$10000)</f>
        <v>1.8945773653720264</v>
      </c>
      <c r="N1906" s="1" cm="1">
        <f t="array" ref="N1906">SUMPRODUCT(("Var_Cap"=[1]OUT_TransportEnergyCons!$B$4:$B$10000)*1,("-"=[1]OUT_TransportEnergyCons!$C$4:$C$10000)*1,ISNUMBER(SEARCH("T_C*bat*s2",[1]OUT_TransportEnergyCons!$A$4:$A$10000))*1,[1]OUT_TransportEnergyCons!L$4:L$10000)</f>
        <v>1.8904086465378374</v>
      </c>
      <c r="O1906" s="1" cm="1">
        <f t="array" ref="O1906">SUMPRODUCT(("Var_Cap"=[1]OUT_TransportEnergyCons!$B$4:$B$10000)*1,("-"=[1]OUT_TransportEnergyCons!$C$4:$C$10000)*1,ISNUMBER(SEARCH("T_C*bat*s2",[1]OUT_TransportEnergyCons!$A$4:$A$10000))*1,[1]OUT_TransportEnergyCons!M$4:M$10000)</f>
        <v>1.871617122021711</v>
      </c>
      <c r="P1906" s="1" cm="1">
        <f t="array" ref="P1906">SUMPRODUCT(("Var_Cap"=[1]OUT_TransportEnergyCons!$B$4:$B$10000)*1,("-"=[1]OUT_TransportEnergyCons!$C$4:$C$10000)*1,ISNUMBER(SEARCH("T_C*bat*s2",[1]OUT_TransportEnergyCons!$A$4:$A$10000))*1,[1]OUT_TransportEnergyCons!N$4:N$10000)</f>
        <v>1.8086977228002861</v>
      </c>
      <c r="Q1906" s="1" cm="1">
        <f t="array" ref="Q1906">SUMPRODUCT(("Var_Cap"=[1]OUT_TransportEnergyCons!$B$4:$B$10000)*1,("-"=[1]OUT_TransportEnergyCons!$C$4:$C$10000)*1,ISNUMBER(SEARCH("T_C*bat*s2",[1]OUT_TransportEnergyCons!$A$4:$A$10000))*1,[1]OUT_TransportEnergyCons!O$4:O$10000)</f>
        <v>1.7909739518482766</v>
      </c>
      <c r="S1906" s="3"/>
    </row>
    <row r="1907" spans="2:19" x14ac:dyDescent="0.5">
      <c r="B1907" s="5" t="str">
        <f t="shared" si="2152"/>
        <v>SPS1</v>
      </c>
      <c r="C1907" s="5" t="str">
        <f t="shared" si="2153"/>
        <v>CH</v>
      </c>
      <c r="D1907" t="s">
        <v>1924</v>
      </c>
      <c r="E1907" t="str">
        <f t="shared" si="2154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4.3367748087713943E-3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8.9192731791853646E-3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1.1628756912017516E-2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0.1799324708862047</v>
      </c>
      <c r="J1907" s="1" cm="1">
        <f t="array" ref="J1907">SUMPRODUCT(("Var_Cap"=[1]OUT_TransportEnergyCons!$B$4:$B$10000)*1,("-"=[1]OUT_TransportEnergyCons!$C$4:$C$10000)*1,ISNUMBER(SEARCH("T_C*bat*s3",[1]OUT_TransportEnergyCons!$A$4:$A$10000))*1,[1]OUT_TransportEnergyCons!H$4:H$10000)</f>
        <v>0.52019611189925608</v>
      </c>
      <c r="K1907" s="1" cm="1">
        <f t="array" ref="K1907">SUMPRODUCT(("Var_Cap"=[1]OUT_TransportEnergyCons!$B$4:$B$10000)*1,("-"=[1]OUT_TransportEnergyCons!$C$4:$C$10000)*1,ISNUMBER(SEARCH("T_C*bat*s3",[1]OUT_TransportEnergyCons!$A$4:$A$10000))*1,[1]OUT_TransportEnergyCons!I$4:I$10000)</f>
        <v>0.73680173347379685</v>
      </c>
      <c r="L1907" s="1" cm="1">
        <f t="array" ref="L1907">SUMPRODUCT(("Var_Cap"=[1]OUT_TransportEnergyCons!$B$4:$B$10000)*1,("-"=[1]OUT_TransportEnergyCons!$C$4:$C$10000)*1,ISNUMBER(SEARCH("T_C*bat*s3",[1]OUT_TransportEnergyCons!$A$4:$A$10000))*1,[1]OUT_TransportEnergyCons!J$4:J$10000)</f>
        <v>0.77406561934557805</v>
      </c>
      <c r="M1907" s="1" cm="1">
        <f t="array" ref="M1907">SUMPRODUCT(("Var_Cap"=[1]OUT_TransportEnergyCons!$B$4:$B$10000)*1,("-"=[1]OUT_TransportEnergyCons!$C$4:$C$10000)*1,ISNUMBER(SEARCH("T_C*bat*s3",[1]OUT_TransportEnergyCons!$A$4:$A$10000))*1,[1]OUT_TransportEnergyCons!K$4:K$10000)</f>
        <v>0.75452903546397332</v>
      </c>
      <c r="N1907" s="1" cm="1">
        <f t="array" ref="N1907">SUMPRODUCT(("Var_Cap"=[1]OUT_TransportEnergyCons!$B$4:$B$10000)*1,("-"=[1]OUT_TransportEnergyCons!$C$4:$C$10000)*1,ISNUMBER(SEARCH("T_C*bat*s3",[1]OUT_TransportEnergyCons!$A$4:$A$10000))*1,[1]OUT_TransportEnergyCons!L$4:L$10000)</f>
        <v>0.88951750102287441</v>
      </c>
      <c r="O1907" s="1" cm="1">
        <f t="array" ref="O1907">SUMPRODUCT(("Var_Cap"=[1]OUT_TransportEnergyCons!$B$4:$B$10000)*1,("-"=[1]OUT_TransportEnergyCons!$C$4:$C$10000)*1,ISNUMBER(SEARCH("T_C*bat*s3",[1]OUT_TransportEnergyCons!$A$4:$A$10000))*1,[1]OUT_TransportEnergyCons!M$4:M$10000)</f>
        <v>1.0592017226685742</v>
      </c>
      <c r="P1907" s="1" cm="1">
        <f t="array" ref="P1907">SUMPRODUCT(("Var_Cap"=[1]OUT_TransportEnergyCons!$B$4:$B$10000)*1,("-"=[1]OUT_TransportEnergyCons!$C$4:$C$10000)*1,ISNUMBER(SEARCH("T_C*bat*s3",[1]OUT_TransportEnergyCons!$A$4:$A$10000))*1,[1]OUT_TransportEnergyCons!N$4:N$10000)</f>
        <v>1.3986149452499379</v>
      </c>
      <c r="Q1907" s="1" cm="1">
        <f t="array" ref="Q1907">SUMPRODUCT(("Var_Cap"=[1]OUT_TransportEnergyCons!$B$4:$B$10000)*1,("-"=[1]OUT_TransportEnergyCons!$C$4:$C$10000)*1,ISNUMBER(SEARCH("T_C*bat*s3",[1]OUT_TransportEnergyCons!$A$4:$A$10000))*1,[1]OUT_TransportEnergyCons!O$4:O$10000)</f>
        <v>1.4989527643850857</v>
      </c>
      <c r="S1907" s="3"/>
    </row>
    <row r="1908" spans="2:19" x14ac:dyDescent="0.5">
      <c r="B1908" s="5" t="str">
        <f t="shared" si="2152"/>
        <v>SPS1</v>
      </c>
      <c r="C1908" s="5" t="str">
        <f t="shared" si="2153"/>
        <v>CH</v>
      </c>
      <c r="D1908" t="s">
        <v>1925</v>
      </c>
      <c r="E1908" t="str">
        <f t="shared" si="2154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1.5371959013572441E-2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9.6230736937189573E-2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0.16878250877414433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0.30638167806031402</v>
      </c>
      <c r="J1908" s="1" cm="1">
        <f t="array" ref="J1908">SUMPRODUCT(("Var_Cap"=[1]OUT_TransportEnergyCons!$B$4:$B$10000)*1,("-"=[1]OUT_TransportEnergyCons!$C$4:$C$10000)*1,ISNUMBER(SEARCH("T_C*bat*s4",[1]OUT_TransportEnergyCons!$A$4:$A$10000))*1,[1]OUT_TransportEnergyCons!H$4:H$10000)</f>
        <v>0.33011496198787471</v>
      </c>
      <c r="K1908" s="1" cm="1">
        <f t="array" ref="K1908">SUMPRODUCT(("Var_Cap"=[1]OUT_TransportEnergyCons!$B$4:$B$10000)*1,("-"=[1]OUT_TransportEnergyCons!$C$4:$C$10000)*1,ISNUMBER(SEARCH("T_C*bat*s4",[1]OUT_TransportEnergyCons!$A$4:$A$10000))*1,[1]OUT_TransportEnergyCons!I$4:I$10000)</f>
        <v>0.20740729101487129</v>
      </c>
      <c r="L1908" s="1" cm="1">
        <f t="array" ref="L1908">SUMPRODUCT(("Var_Cap"=[1]OUT_TransportEnergyCons!$B$4:$B$10000)*1,("-"=[1]OUT_TransportEnergyCons!$C$4:$C$10000)*1,ISNUMBER(SEARCH("T_C*bat*s4",[1]OUT_TransportEnergyCons!$A$4:$A$10000))*1,[1]OUT_TransportEnergyCons!J$4:J$10000)</f>
        <v>0.21884289359221806</v>
      </c>
      <c r="M1908" s="1" cm="1">
        <f t="array" ref="M1908">SUMPRODUCT(("Var_Cap"=[1]OUT_TransportEnergyCons!$B$4:$B$10000)*1,("-"=[1]OUT_TransportEnergyCons!$C$4:$C$10000)*1,ISNUMBER(SEARCH("T_C*bat*s4",[1]OUT_TransportEnergyCons!$A$4:$A$10000))*1,[1]OUT_TransportEnergyCons!K$4:K$10000)</f>
        <v>0.22928937437021832</v>
      </c>
      <c r="N1908" s="1" cm="1">
        <f t="array" ref="N1908">SUMPRODUCT(("Var_Cap"=[1]OUT_TransportEnergyCons!$B$4:$B$10000)*1,("-"=[1]OUT_TransportEnergyCons!$C$4:$C$10000)*1,ISNUMBER(SEARCH("T_C*bat*s4",[1]OUT_TransportEnergyCons!$A$4:$A$10000))*1,[1]OUT_TransportEnergyCons!L$4:L$10000)</f>
        <v>0.34333972124752787</v>
      </c>
      <c r="O1908" s="1" cm="1">
        <f t="array" ref="O1908">SUMPRODUCT(("Var_Cap"=[1]OUT_TransportEnergyCons!$B$4:$B$10000)*1,("-"=[1]OUT_TransportEnergyCons!$C$4:$C$10000)*1,ISNUMBER(SEARCH("T_C*bat*s4",[1]OUT_TransportEnergyCons!$A$4:$A$10000))*1,[1]OUT_TransportEnergyCons!M$4:M$10000)</f>
        <v>0.35582946153694583</v>
      </c>
      <c r="P1908" s="1" cm="1">
        <f t="array" ref="P1908">SUMPRODUCT(("Var_Cap"=[1]OUT_TransportEnergyCons!$B$4:$B$10000)*1,("-"=[1]OUT_TransportEnergyCons!$C$4:$C$10000)*1,ISNUMBER(SEARCH("T_C*bat*s4",[1]OUT_TransportEnergyCons!$A$4:$A$10000))*1,[1]OUT_TransportEnergyCons!N$4:N$10000)</f>
        <v>0.26698612766119589</v>
      </c>
      <c r="Q1908" s="1" cm="1">
        <f t="array" ref="Q1908">SUMPRODUCT(("Var_Cap"=[1]OUT_TransportEnergyCons!$B$4:$B$10000)*1,("-"=[1]OUT_TransportEnergyCons!$C$4:$C$10000)*1,ISNUMBER(SEARCH("T_C*bat*s4",[1]OUT_TransportEnergyCons!$A$4:$A$10000))*1,[1]OUT_TransportEnergyCons!O$4:O$10000)</f>
        <v>0.39869264843815294</v>
      </c>
      <c r="S1908" s="3"/>
    </row>
    <row r="1909" spans="2:19" x14ac:dyDescent="0.5">
      <c r="B1909" s="5" t="str">
        <f t="shared" si="2152"/>
        <v>SPS1</v>
      </c>
      <c r="C1909" s="5" t="str">
        <f t="shared" si="2153"/>
        <v>CH</v>
      </c>
      <c r="D1909" t="s">
        <v>1926</v>
      </c>
      <c r="E1909" t="str">
        <f t="shared" si="2154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2.5984282823703697E-5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1.505809275816099E-4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2.69440323300529E-4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3.1562529952130315E-4</v>
      </c>
      <c r="J1909" s="1" cm="1">
        <f t="array" ref="J1909">SUMPRODUCT(("Var_Cap"=[1]OUT_TransportEnergyCons!$B$4:$B$10000)*1,("-"=[1]OUT_TransportEnergyCons!$C$4:$C$10000)*1,ISNUMBER(SEARCH("T_C*pev*GSL*s1",[1]OUT_TransportEnergyCons!$A$4:$A$10000))*1,[1]OUT_TransportEnergyCons!H$4:H$10000)</f>
        <v>3.1145852897176426E-4</v>
      </c>
      <c r="K1909" s="1" cm="1">
        <f t="array" ref="K1909">SUMPRODUCT(("Var_Cap"=[1]OUT_TransportEnergyCons!$B$4:$B$10000)*1,("-"=[1]OUT_TransportEnergyCons!$C$4:$C$10000)*1,ISNUMBER(SEARCH("T_C*pev*GSL*s1",[1]OUT_TransportEnergyCons!$A$4:$A$10000))*1,[1]OUT_TransportEnergyCons!I$4:I$10000)</f>
        <v>3.3210726260143723E-4</v>
      </c>
      <c r="L1909" s="1" cm="1">
        <f t="array" ref="L1909">SUMPRODUCT(("Var_Cap"=[1]OUT_TransportEnergyCons!$B$4:$B$10000)*1,("-"=[1]OUT_TransportEnergyCons!$C$4:$C$10000)*1,ISNUMBER(SEARCH("T_C*pev*GSL*s1",[1]OUT_TransportEnergyCons!$A$4:$A$10000))*1,[1]OUT_TransportEnergyCons!J$4:J$10000)</f>
        <v>4.5653462569489106E-4</v>
      </c>
      <c r="M1909" s="1" cm="1">
        <f t="array" ref="M1909">SUMPRODUCT(("Var_Cap"=[1]OUT_TransportEnergyCons!$B$4:$B$10000)*1,("-"=[1]OUT_TransportEnergyCons!$C$4:$C$10000)*1,ISNUMBER(SEARCH("T_C*pev*GSL*s1",[1]OUT_TransportEnergyCons!$A$4:$A$10000))*1,[1]OUT_TransportEnergyCons!K$4:K$10000)</f>
        <v>4.4090025987612321E-4</v>
      </c>
      <c r="N1909" s="1" cm="1">
        <f t="array" ref="N1909">SUMPRODUCT(("Var_Cap"=[1]OUT_TransportEnergyCons!$B$4:$B$10000)*1,("-"=[1]OUT_TransportEnergyCons!$C$4:$C$10000)*1,ISNUMBER(SEARCH("T_C*pev*GSL*s1",[1]OUT_TransportEnergyCons!$A$4:$A$10000))*1,[1]OUT_TransportEnergyCons!L$4:L$10000)</f>
        <v>8.581253925181862E-4</v>
      </c>
      <c r="O1909" s="1" cm="1">
        <f t="array" ref="O1909">SUMPRODUCT(("Var_Cap"=[1]OUT_TransportEnergyCons!$B$4:$B$10000)*1,("-"=[1]OUT_TransportEnergyCons!$C$4:$C$10000)*1,ISNUMBER(SEARCH("T_C*pev*GSL*s1",[1]OUT_TransportEnergyCons!$A$4:$A$10000))*1,[1]OUT_TransportEnergyCons!M$4:M$10000)</f>
        <v>1.6317505643571248E-3</v>
      </c>
      <c r="P1909" s="1" cm="1">
        <f t="array" ref="P1909">SUMPRODUCT(("Var_Cap"=[1]OUT_TransportEnergyCons!$B$4:$B$10000)*1,("-"=[1]OUT_TransportEnergyCons!$C$4:$C$10000)*1,ISNUMBER(SEARCH("T_C*pev*GSL*s1",[1]OUT_TransportEnergyCons!$A$4:$A$10000))*1,[1]OUT_TransportEnergyCons!N$4:N$10000)</f>
        <v>2.4227788969178651E-3</v>
      </c>
      <c r="Q1909" s="1" cm="1">
        <f t="array" ref="Q1909">SUMPRODUCT(("Var_Cap"=[1]OUT_TransportEnergyCons!$B$4:$B$10000)*1,("-"=[1]OUT_TransportEnergyCons!$C$4:$C$10000)*1,ISNUMBER(SEARCH("T_C*pev*GSL*s1",[1]OUT_TransportEnergyCons!$A$4:$A$10000))*1,[1]OUT_TransportEnergyCons!O$4:O$10000)</f>
        <v>3.7496561870076733E-3</v>
      </c>
      <c r="S1909" s="3"/>
    </row>
    <row r="1910" spans="2:19" x14ac:dyDescent="0.5">
      <c r="B1910" s="5" t="str">
        <f t="shared" si="2152"/>
        <v>SPS1</v>
      </c>
      <c r="C1910" s="5" t="str">
        <f t="shared" si="2153"/>
        <v>CH</v>
      </c>
      <c r="D1910" t="s">
        <v>1927</v>
      </c>
      <c r="E1910" t="str">
        <f t="shared" si="2154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4.8855533380301316E-3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7.5418931414546666E-3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7.5547272998113101E-3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6.3536266626293266E-3</v>
      </c>
      <c r="J1910" s="1" cm="1">
        <f t="array" ref="J1910">SUMPRODUCT(("Var_Cap"=[1]OUT_TransportEnergyCons!$B$4:$B$10000)*1,("-"=[1]OUT_TransportEnergyCons!$C$4:$C$10000)*1,ISNUMBER(SEARCH("T_C*pev*GSL*s2",[1]OUT_TransportEnergyCons!$A$4:$A$10000))*1,[1]OUT_TransportEnergyCons!H$4:H$10000)</f>
        <v>1.5690763077569763E-3</v>
      </c>
      <c r="K1910" s="1" cm="1">
        <f t="array" ref="K1910">SUMPRODUCT(("Var_Cap"=[1]OUT_TransportEnergyCons!$B$4:$B$10000)*1,("-"=[1]OUT_TransportEnergyCons!$C$4:$C$10000)*1,ISNUMBER(SEARCH("T_C*pev*GSL*s2",[1]OUT_TransportEnergyCons!$A$4:$A$10000))*1,[1]OUT_TransportEnergyCons!I$4:I$10000)</f>
        <v>7.0214452362996288E-4</v>
      </c>
      <c r="L1910" s="1" cm="1">
        <f t="array" ref="L1910">SUMPRODUCT(("Var_Cap"=[1]OUT_TransportEnergyCons!$B$4:$B$10000)*1,("-"=[1]OUT_TransportEnergyCons!$C$4:$C$10000)*1,ISNUMBER(SEARCH("T_C*pev*GSL*s2",[1]OUT_TransportEnergyCons!$A$4:$A$10000))*1,[1]OUT_TransportEnergyCons!J$4:J$10000)</f>
        <v>8.9505034398452185E-4</v>
      </c>
      <c r="M1910" s="1" cm="1">
        <f t="array" ref="M1910">SUMPRODUCT(("Var_Cap"=[1]OUT_TransportEnergyCons!$B$4:$B$10000)*1,("-"=[1]OUT_TransportEnergyCons!$C$4:$C$10000)*1,ISNUMBER(SEARCH("T_C*pev*GSL*s2",[1]OUT_TransportEnergyCons!$A$4:$A$10000))*1,[1]OUT_TransportEnergyCons!K$4:K$10000)</f>
        <v>7.4087418859424209E-4</v>
      </c>
      <c r="N1910" s="1" cm="1">
        <f t="array" ref="N1910">SUMPRODUCT(("Var_Cap"=[1]OUT_TransportEnergyCons!$B$4:$B$10000)*1,("-"=[1]OUT_TransportEnergyCons!$C$4:$C$10000)*1,ISNUMBER(SEARCH("T_C*pev*GSL*s2",[1]OUT_TransportEnergyCons!$A$4:$A$10000))*1,[1]OUT_TransportEnergyCons!L$4:L$10000)</f>
        <v>1.4040830296118065E-3</v>
      </c>
      <c r="O1910" s="1" cm="1">
        <f t="array" ref="O1910">SUMPRODUCT(("Var_Cap"=[1]OUT_TransportEnergyCons!$B$4:$B$10000)*1,("-"=[1]OUT_TransportEnergyCons!$C$4:$C$10000)*1,ISNUMBER(SEARCH("T_C*pev*GSL*s2",[1]OUT_TransportEnergyCons!$A$4:$A$10000))*1,[1]OUT_TransportEnergyCons!M$4:M$10000)</f>
        <v>1.3988689838155691E-2</v>
      </c>
      <c r="P1910" s="1" cm="1">
        <f t="array" ref="P1910">SUMPRODUCT(("Var_Cap"=[1]OUT_TransportEnergyCons!$B$4:$B$10000)*1,("-"=[1]OUT_TransportEnergyCons!$C$4:$C$10000)*1,ISNUMBER(SEARCH("T_C*pev*GSL*s2",[1]OUT_TransportEnergyCons!$A$4:$A$10000))*1,[1]OUT_TransportEnergyCons!N$4:N$10000)</f>
        <v>3.2286195960934932E-2</v>
      </c>
      <c r="Q1910" s="1" cm="1">
        <f t="array" ref="Q1910">SUMPRODUCT(("Var_Cap"=[1]OUT_TransportEnergyCons!$B$4:$B$10000)*1,("-"=[1]OUT_TransportEnergyCons!$C$4:$C$10000)*1,ISNUMBER(SEARCH("T_C*pev*GSL*s2",[1]OUT_TransportEnergyCons!$A$4:$A$10000))*1,[1]OUT_TransportEnergyCons!O$4:O$10000)</f>
        <v>4.3400850344729833E-2</v>
      </c>
      <c r="S1910" s="3"/>
    </row>
    <row r="1911" spans="2:19" x14ac:dyDescent="0.5">
      <c r="B1911" s="5" t="str">
        <f t="shared" si="2152"/>
        <v>SPS1</v>
      </c>
      <c r="C1911" s="5" t="str">
        <f t="shared" si="2153"/>
        <v>CH</v>
      </c>
      <c r="D1911" t="s">
        <v>1928</v>
      </c>
      <c r="E1911" t="str">
        <f t="shared" si="2154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4.0683718306792184E-3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1.143731320575813E-2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4.3766132960231262E-2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4.9923419344506177E-2</v>
      </c>
      <c r="J1911" s="1" cm="1">
        <f t="array" ref="J1911">SUMPRODUCT(("Var_Cap"=[1]OUT_TransportEnergyCons!$B$4:$B$10000)*1,("-"=[1]OUT_TransportEnergyCons!$C$4:$C$10000)*1,ISNUMBER(SEARCH("T_C*pev*GSL*s3",[1]OUT_TransportEnergyCons!$A$4:$A$10000))*1,[1]OUT_TransportEnergyCons!H$4:H$10000)</f>
        <v>6.2550865436536998E-2</v>
      </c>
      <c r="K1911" s="1" cm="1">
        <f t="array" ref="K1911">SUMPRODUCT(("Var_Cap"=[1]OUT_TransportEnergyCons!$B$4:$B$10000)*1,("-"=[1]OUT_TransportEnergyCons!$C$4:$C$10000)*1,ISNUMBER(SEARCH("T_C*pev*GSL*s3",[1]OUT_TransportEnergyCons!$A$4:$A$10000))*1,[1]OUT_TransportEnergyCons!I$4:I$10000)</f>
        <v>3.7233490408964148E-2</v>
      </c>
      <c r="L1911" s="1" cm="1">
        <f t="array" ref="L1911">SUMPRODUCT(("Var_Cap"=[1]OUT_TransportEnergyCons!$B$4:$B$10000)*1,("-"=[1]OUT_TransportEnergyCons!$C$4:$C$10000)*1,ISNUMBER(SEARCH("T_C*pev*GSL*s3",[1]OUT_TransportEnergyCons!$A$4:$A$10000))*1,[1]OUT_TransportEnergyCons!J$4:J$10000)</f>
        <v>3.5050588527987175E-2</v>
      </c>
      <c r="M1911" s="1" cm="1">
        <f t="array" ref="M1911">SUMPRODUCT(("Var_Cap"=[1]OUT_TransportEnergyCons!$B$4:$B$10000)*1,("-"=[1]OUT_TransportEnergyCons!$C$4:$C$10000)*1,ISNUMBER(SEARCH("T_C*pev*GSL*s3",[1]OUT_TransportEnergyCons!$A$4:$A$10000))*1,[1]OUT_TransportEnergyCons!K$4:K$10000)</f>
        <v>1.4259653938552467E-2</v>
      </c>
      <c r="N1911" s="1" cm="1">
        <f t="array" ref="N1911">SUMPRODUCT(("Var_Cap"=[1]OUT_TransportEnergyCons!$B$4:$B$10000)*1,("-"=[1]OUT_TransportEnergyCons!$C$4:$C$10000)*1,ISNUMBER(SEARCH("T_C*pev*GSL*s3",[1]OUT_TransportEnergyCons!$A$4:$A$10000))*1,[1]OUT_TransportEnergyCons!L$4:L$10000)</f>
        <v>5.6851570253026465E-2</v>
      </c>
      <c r="O1911" s="1" cm="1">
        <f t="array" ref="O1911">SUMPRODUCT(("Var_Cap"=[1]OUT_TransportEnergyCons!$B$4:$B$10000)*1,("-"=[1]OUT_TransportEnergyCons!$C$4:$C$10000)*1,ISNUMBER(SEARCH("T_C*pev*GSL*s3",[1]OUT_TransportEnergyCons!$A$4:$A$10000))*1,[1]OUT_TransportEnergyCons!M$4:M$10000)</f>
        <v>5.3676801405558756E-2</v>
      </c>
      <c r="P1911" s="1" cm="1">
        <f t="array" ref="P1911">SUMPRODUCT(("Var_Cap"=[1]OUT_TransportEnergyCons!$B$4:$B$10000)*1,("-"=[1]OUT_TransportEnergyCons!$C$4:$C$10000)*1,ISNUMBER(SEARCH("T_C*pev*GSL*s3",[1]OUT_TransportEnergyCons!$A$4:$A$10000))*1,[1]OUT_TransportEnergyCons!N$4:N$10000)</f>
        <v>4.1608001191869227E-2</v>
      </c>
      <c r="Q1911" s="1" cm="1">
        <f t="array" ref="Q1911">SUMPRODUCT(("Var_Cap"=[1]OUT_TransportEnergyCons!$B$4:$B$10000)*1,("-"=[1]OUT_TransportEnergyCons!$C$4:$C$10000)*1,ISNUMBER(SEARCH("T_C*pev*GSL*s3",[1]OUT_TransportEnergyCons!$A$4:$A$10000))*1,[1]OUT_TransportEnergyCons!O$4:O$10000)</f>
        <v>1.2775382947768426E-2</v>
      </c>
      <c r="S1911" s="3"/>
    </row>
    <row r="1912" spans="2:19" x14ac:dyDescent="0.5">
      <c r="B1912" s="5" t="str">
        <f t="shared" si="2152"/>
        <v>SPS1</v>
      </c>
      <c r="C1912" s="5" t="str">
        <f t="shared" si="2153"/>
        <v>CH</v>
      </c>
      <c r="D1912" t="s">
        <v>1929</v>
      </c>
      <c r="E1912" t="str">
        <f t="shared" si="2154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7.2622843210320438E-3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1.270365371159724E-2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1.2564519989731507E-2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1.040112221448781E-2</v>
      </c>
      <c r="J1912" s="1" cm="1">
        <f t="array" ref="J1912">SUMPRODUCT(("Var_Cap"=[1]OUT_TransportEnergyCons!$B$4:$B$10000)*1,("-"=[1]OUT_TransportEnergyCons!$C$4:$C$10000)*1,ISNUMBER(SEARCH("T_C*pev*GSL*s4",[1]OUT_TransportEnergyCons!$A$4:$A$10000))*1,[1]OUT_TransportEnergyCons!H$4:H$10000)</f>
        <v>3.0478361623273165E-3</v>
      </c>
      <c r="K1912" s="1" cm="1">
        <f t="array" ref="K1912">SUMPRODUCT(("Var_Cap"=[1]OUT_TransportEnergyCons!$B$4:$B$10000)*1,("-"=[1]OUT_TransportEnergyCons!$C$4:$C$10000)*1,ISNUMBER(SEARCH("T_C*pev*GSL*s4",[1]OUT_TransportEnergyCons!$A$4:$A$10000))*1,[1]OUT_TransportEnergyCons!I$4:I$10000)</f>
        <v>1.6725386025140847E-3</v>
      </c>
      <c r="L1912" s="1" cm="1">
        <f t="array" ref="L1912">SUMPRODUCT(("Var_Cap"=[1]OUT_TransportEnergyCons!$B$4:$B$10000)*1,("-"=[1]OUT_TransportEnergyCons!$C$4:$C$10000)*1,ISNUMBER(SEARCH("T_C*pev*GSL*s4",[1]OUT_TransportEnergyCons!$A$4:$A$10000))*1,[1]OUT_TransportEnergyCons!J$4:J$10000)</f>
        <v>2.8845161110625491E-3</v>
      </c>
      <c r="M1912" s="1" cm="1">
        <f t="array" ref="M1912">SUMPRODUCT(("Var_Cap"=[1]OUT_TransportEnergyCons!$B$4:$B$10000)*1,("-"=[1]OUT_TransportEnergyCons!$C$4:$C$10000)*1,ISNUMBER(SEARCH("T_C*pev*GSL*s4",[1]OUT_TransportEnergyCons!$A$4:$A$10000))*1,[1]OUT_TransportEnergyCons!K$4:K$10000)</f>
        <v>2.2304109873723574E-3</v>
      </c>
      <c r="N1912" s="1" cm="1">
        <f t="array" ref="N1912">SUMPRODUCT(("Var_Cap"=[1]OUT_TransportEnergyCons!$B$4:$B$10000)*1,("-"=[1]OUT_TransportEnergyCons!$C$4:$C$10000)*1,ISNUMBER(SEARCH("T_C*pev*GSL*s4",[1]OUT_TransportEnergyCons!$A$4:$A$10000))*1,[1]OUT_TransportEnergyCons!L$4:L$10000)</f>
        <v>2.3035411583114156E-2</v>
      </c>
      <c r="O1912" s="1" cm="1">
        <f t="array" ref="O1912">SUMPRODUCT(("Var_Cap"=[1]OUT_TransportEnergyCons!$B$4:$B$10000)*1,("-"=[1]OUT_TransportEnergyCons!$C$4:$C$10000)*1,ISNUMBER(SEARCH("T_C*pev*GSL*s4",[1]OUT_TransportEnergyCons!$A$4:$A$10000))*1,[1]OUT_TransportEnergyCons!M$4:M$10000)</f>
        <v>2.2207798234171704E-2</v>
      </c>
      <c r="P1912" s="1" cm="1">
        <f t="array" ref="P1912">SUMPRODUCT(("Var_Cap"=[1]OUT_TransportEnergyCons!$B$4:$B$10000)*1,("-"=[1]OUT_TransportEnergyCons!$C$4:$C$10000)*1,ISNUMBER(SEARCH("T_C*pev*GSL*s4",[1]OUT_TransportEnergyCons!$A$4:$A$10000))*1,[1]OUT_TransportEnergyCons!N$4:N$10000)</f>
        <v>1.5346986856871197E-2</v>
      </c>
      <c r="Q1912" s="1" cm="1">
        <f t="array" ref="Q1912">SUMPRODUCT(("Var_Cap"=[1]OUT_TransportEnergyCons!$B$4:$B$10000)*1,("-"=[1]OUT_TransportEnergyCons!$C$4:$C$10000)*1,ISNUMBER(SEARCH("T_C*pev*GSL*s4",[1]OUT_TransportEnergyCons!$A$4:$A$10000))*1,[1]OUT_TransportEnergyCons!O$4:O$10000)</f>
        <v>0.10686103093126491</v>
      </c>
      <c r="S1912" s="3"/>
    </row>
    <row r="1913" spans="2:19" x14ac:dyDescent="0.5">
      <c r="B1913" s="5" t="str">
        <f t="shared" si="2152"/>
        <v>SPS1</v>
      </c>
      <c r="C1913" s="5" t="str">
        <f t="shared" si="2153"/>
        <v>CH</v>
      </c>
      <c r="D1913" t="s">
        <v>1930</v>
      </c>
      <c r="E1913" t="str">
        <f t="shared" si="2154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1.4476304785041299E-4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2.8406668936301532E-4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3.7360831822691286E-4</v>
      </c>
      <c r="J1913" s="1" cm="1">
        <f t="array" ref="J1913">SUMPRODUCT(("Var_Cap"=[1]OUT_TransportEnergyCons!$B$4:$B$10000)*1,("-"=[1]OUT_TransportEnergyCons!$C$4:$C$10000)*1,ISNUMBER(SEARCH("T_C*pev*dsl*s1",[1]OUT_TransportEnergyCons!$A$4:$A$10000))*1,[1]OUT_TransportEnergyCons!H$4:H$10000)</f>
        <v>5.0785912904189592E-4</v>
      </c>
      <c r="K1913" s="1" cm="1">
        <f t="array" ref="K1913">SUMPRODUCT(("Var_Cap"=[1]OUT_TransportEnergyCons!$B$4:$B$10000)*1,("-"=[1]OUT_TransportEnergyCons!$C$4:$C$10000)*1,ISNUMBER(SEARCH("T_C*pev*dsl*s1",[1]OUT_TransportEnergyCons!$A$4:$A$10000))*1,[1]OUT_TransportEnergyCons!I$4:I$10000)</f>
        <v>8.6198282400223273E-4</v>
      </c>
      <c r="L1913" s="1" cm="1">
        <f t="array" ref="L1913">SUMPRODUCT(("Var_Cap"=[1]OUT_TransportEnergyCons!$B$4:$B$10000)*1,("-"=[1]OUT_TransportEnergyCons!$C$4:$C$10000)*1,ISNUMBER(SEARCH("T_C*pev*dsl*s1",[1]OUT_TransportEnergyCons!$A$4:$A$10000))*1,[1]OUT_TransportEnergyCons!J$4:J$10000)</f>
        <v>1.0067510775071482E-3</v>
      </c>
      <c r="M1913" s="1" cm="1">
        <f t="array" ref="M1913">SUMPRODUCT(("Var_Cap"=[1]OUT_TransportEnergyCons!$B$4:$B$10000)*1,("-"=[1]OUT_TransportEnergyCons!$C$4:$C$10000)*1,ISNUMBER(SEARCH("T_C*pev*dsl*s1",[1]OUT_TransportEnergyCons!$A$4:$A$10000))*1,[1]OUT_TransportEnergyCons!K$4:K$10000)</f>
        <v>1.7971923087309199E-3</v>
      </c>
      <c r="N1913" s="1" cm="1">
        <f t="array" ref="N1913">SUMPRODUCT(("Var_Cap"=[1]OUT_TransportEnergyCons!$B$4:$B$10000)*1,("-"=[1]OUT_TransportEnergyCons!$C$4:$C$10000)*1,ISNUMBER(SEARCH("T_C*pev*dsl*s1",[1]OUT_TransportEnergyCons!$A$4:$A$10000))*1,[1]OUT_TransportEnergyCons!L$4:L$10000)</f>
        <v>1.3719670790766222E-3</v>
      </c>
      <c r="O1913" s="1" cm="1">
        <f t="array" ref="O1913">SUMPRODUCT(("Var_Cap"=[1]OUT_TransportEnergyCons!$B$4:$B$10000)*1,("-"=[1]OUT_TransportEnergyCons!$C$4:$C$10000)*1,ISNUMBER(SEARCH("T_C*pev*dsl*s1",[1]OUT_TransportEnergyCons!$A$4:$A$10000))*1,[1]OUT_TransportEnergyCons!M$4:M$10000)</f>
        <v>5.0863570513250199E-4</v>
      </c>
      <c r="P1913" s="1" cm="1">
        <f t="array" ref="P1913">SUMPRODUCT(("Var_Cap"=[1]OUT_TransportEnergyCons!$B$4:$B$10000)*1,("-"=[1]OUT_TransportEnergyCons!$C$4:$C$10000)*1,ISNUMBER(SEARCH("T_C*pev*dsl*s1",[1]OUT_TransportEnergyCons!$A$4:$A$10000))*1,[1]OUT_TransportEnergyCons!N$4:N$10000)</f>
        <v>2.0991195330801157E-4</v>
      </c>
      <c r="Q1913" s="1" cm="1">
        <f t="array" ref="Q1913">SUMPRODUCT(("Var_Cap"=[1]OUT_TransportEnergyCons!$B$4:$B$10000)*1,("-"=[1]OUT_TransportEnergyCons!$C$4:$C$10000)*1,ISNUMBER(SEARCH("T_C*pev*dsl*s1",[1]OUT_TransportEnergyCons!$A$4:$A$10000))*1,[1]OUT_TransportEnergyCons!O$4:O$10000)</f>
        <v>1.3483201579493289E-4</v>
      </c>
      <c r="S1913" s="3"/>
    </row>
    <row r="1914" spans="2:19" x14ac:dyDescent="0.5">
      <c r="B1914" s="5" t="str">
        <f t="shared" si="2152"/>
        <v>SPS1</v>
      </c>
      <c r="C1914" s="5" t="str">
        <f t="shared" si="2153"/>
        <v>CH</v>
      </c>
      <c r="D1914" t="s">
        <v>1931</v>
      </c>
      <c r="E1914" t="str">
        <f t="shared" si="2154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1.0281968444035706E-4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5.3670071367668967E-4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8.017720238264242E-4</v>
      </c>
      <c r="J1914" s="1" cm="1">
        <f t="array" ref="J1914">SUMPRODUCT(("Var_Cap"=[1]OUT_TransportEnergyCons!$B$4:$B$10000)*1,("-"=[1]OUT_TransportEnergyCons!$C$4:$C$10000)*1,ISNUMBER(SEARCH("T_C*pev*dsl*s2",[1]OUT_TransportEnergyCons!$A$4:$A$10000))*1,[1]OUT_TransportEnergyCons!H$4:H$10000)</f>
        <v>2.1088359776851315E-3</v>
      </c>
      <c r="K1914" s="1" cm="1">
        <f t="array" ref="K1914">SUMPRODUCT(("Var_Cap"=[1]OUT_TransportEnergyCons!$B$4:$B$10000)*1,("-"=[1]OUT_TransportEnergyCons!$C$4:$C$10000)*1,ISNUMBER(SEARCH("T_C*pev*dsl*s2",[1]OUT_TransportEnergyCons!$A$4:$A$10000))*1,[1]OUT_TransportEnergyCons!I$4:I$10000)</f>
        <v>2.9580968406270089E-3</v>
      </c>
      <c r="L1914" s="1" cm="1">
        <f t="array" ref="L1914">SUMPRODUCT(("Var_Cap"=[1]OUT_TransportEnergyCons!$B$4:$B$10000)*1,("-"=[1]OUT_TransportEnergyCons!$C$4:$C$10000)*1,ISNUMBER(SEARCH("T_C*pev*dsl*s2",[1]OUT_TransportEnergyCons!$A$4:$A$10000))*1,[1]OUT_TransportEnergyCons!J$4:J$10000)</f>
        <v>3.0702606656020383E-3</v>
      </c>
      <c r="M1914" s="1" cm="1">
        <f t="array" ref="M1914">SUMPRODUCT(("Var_Cap"=[1]OUT_TransportEnergyCons!$B$4:$B$10000)*1,("-"=[1]OUT_TransportEnergyCons!$C$4:$C$10000)*1,ISNUMBER(SEARCH("T_C*pev*dsl*s2",[1]OUT_TransportEnergyCons!$A$4:$A$10000))*1,[1]OUT_TransportEnergyCons!K$4:K$10000)</f>
        <v>3.4201539729862614E-3</v>
      </c>
      <c r="N1914" s="1" cm="1">
        <f t="array" ref="N1914">SUMPRODUCT(("Var_Cap"=[1]OUT_TransportEnergyCons!$B$4:$B$10000)*1,("-"=[1]OUT_TransportEnergyCons!$C$4:$C$10000)*1,ISNUMBER(SEARCH("T_C*pev*dsl*s2",[1]OUT_TransportEnergyCons!$A$4:$A$10000))*1,[1]OUT_TransportEnergyCons!L$4:L$10000)</f>
        <v>2.2971910164906132E-3</v>
      </c>
      <c r="O1914" s="1" cm="1">
        <f t="array" ref="O1914">SUMPRODUCT(("Var_Cap"=[1]OUT_TransportEnergyCons!$B$4:$B$10000)*1,("-"=[1]OUT_TransportEnergyCons!$C$4:$C$10000)*1,ISNUMBER(SEARCH("T_C*pev*dsl*s2",[1]OUT_TransportEnergyCons!$A$4:$A$10000))*1,[1]OUT_TransportEnergyCons!M$4:M$10000)</f>
        <v>1.2671361546358214E-3</v>
      </c>
      <c r="P1914" s="1" cm="1">
        <f t="array" ref="P1914">SUMPRODUCT(("Var_Cap"=[1]OUT_TransportEnergyCons!$B$4:$B$10000)*1,("-"=[1]OUT_TransportEnergyCons!$C$4:$C$10000)*1,ISNUMBER(SEARCH("T_C*pev*dsl*s2",[1]OUT_TransportEnergyCons!$A$4:$A$10000))*1,[1]OUT_TransportEnergyCons!N$4:N$10000)</f>
        <v>3.1641610904595708E-4</v>
      </c>
      <c r="Q1914" s="1" cm="1">
        <f t="array" ref="Q1914">SUMPRODUCT(("Var_Cap"=[1]OUT_TransportEnergyCons!$B$4:$B$10000)*1,("-"=[1]OUT_TransportEnergyCons!$C$4:$C$10000)*1,ISNUMBER(SEARCH("T_C*pev*dsl*s2",[1]OUT_TransportEnergyCons!$A$4:$A$10000))*1,[1]OUT_TransportEnergyCons!O$4:O$10000)</f>
        <v>1.4002789225380072E-4</v>
      </c>
      <c r="S1914" s="3"/>
    </row>
    <row r="1915" spans="2:19" x14ac:dyDescent="0.5">
      <c r="B1915" s="5" t="str">
        <f t="shared" si="2152"/>
        <v>SPS1</v>
      </c>
      <c r="C1915" s="5" t="str">
        <f t="shared" si="2153"/>
        <v>CH</v>
      </c>
      <c r="D1915" t="s">
        <v>1932</v>
      </c>
      <c r="E1915" t="str">
        <f t="shared" si="2154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3.0708426055926774E-2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0.10409453091913055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0.38519482296181529</v>
      </c>
      <c r="J1915" s="1" cm="1">
        <f t="array" ref="J1915">SUMPRODUCT(("Var_Cap"=[1]OUT_TransportEnergyCons!$B$4:$B$10000)*1,("-"=[1]OUT_TransportEnergyCons!$C$4:$C$10000)*1,ISNUMBER(SEARCH("T_C*pev*dsl*s3",[1]OUT_TransportEnergyCons!$A$4:$A$10000))*1,[1]OUT_TransportEnergyCons!H$4:H$10000)</f>
        <v>0.62008748011327219</v>
      </c>
      <c r="K1915" s="1" cm="1">
        <f t="array" ref="K1915">SUMPRODUCT(("Var_Cap"=[1]OUT_TransportEnergyCons!$B$4:$B$10000)*1,("-"=[1]OUT_TransportEnergyCons!$C$4:$C$10000)*1,ISNUMBER(SEARCH("T_C*pev*dsl*s3",[1]OUT_TransportEnergyCons!$A$4:$A$10000))*1,[1]OUT_TransportEnergyCons!I$4:I$10000)</f>
        <v>0.439287669189807</v>
      </c>
      <c r="L1915" s="1" cm="1">
        <f t="array" ref="L1915">SUMPRODUCT(("Var_Cap"=[1]OUT_TransportEnergyCons!$B$4:$B$10000)*1,("-"=[1]OUT_TransportEnergyCons!$C$4:$C$10000)*1,ISNUMBER(SEARCH("T_C*pev*dsl*s3",[1]OUT_TransportEnergyCons!$A$4:$A$10000))*1,[1]OUT_TransportEnergyCons!J$4:J$10000)</f>
        <v>0.31676614171086098</v>
      </c>
      <c r="M1915" s="1" cm="1">
        <f t="array" ref="M1915">SUMPRODUCT(("Var_Cap"=[1]OUT_TransportEnergyCons!$B$4:$B$10000)*1,("-"=[1]OUT_TransportEnergyCons!$C$4:$C$10000)*1,ISNUMBER(SEARCH("T_C*pev*dsl*s3",[1]OUT_TransportEnergyCons!$A$4:$A$10000))*1,[1]OUT_TransportEnergyCons!K$4:K$10000)</f>
        <v>0.30455341250299495</v>
      </c>
      <c r="N1915" s="1" cm="1">
        <f t="array" ref="N1915">SUMPRODUCT(("Var_Cap"=[1]OUT_TransportEnergyCons!$B$4:$B$10000)*1,("-"=[1]OUT_TransportEnergyCons!$C$4:$C$10000)*1,ISNUMBER(SEARCH("T_C*pev*dsl*s3",[1]OUT_TransportEnergyCons!$A$4:$A$10000))*1,[1]OUT_TransportEnergyCons!L$4:L$10000)</f>
        <v>0.24407347805607899</v>
      </c>
      <c r="O1915" s="1" cm="1">
        <f t="array" ref="O1915">SUMPRODUCT(("Var_Cap"=[1]OUT_TransportEnergyCons!$B$4:$B$10000)*1,("-"=[1]OUT_TransportEnergyCons!$C$4:$C$10000)*1,ISNUMBER(SEARCH("T_C*pev*dsl*s3",[1]OUT_TransportEnergyCons!$A$4:$A$10000))*1,[1]OUT_TransportEnergyCons!M$4:M$10000)</f>
        <v>0.12988367303396275</v>
      </c>
      <c r="P1915" s="1" cm="1">
        <f t="array" ref="P1915">SUMPRODUCT(("Var_Cap"=[1]OUT_TransportEnergyCons!$B$4:$B$10000)*1,("-"=[1]OUT_TransportEnergyCons!$C$4:$C$10000)*1,ISNUMBER(SEARCH("T_C*pev*dsl*s3",[1]OUT_TransportEnergyCons!$A$4:$A$10000))*1,[1]OUT_TransportEnergyCons!N$4:N$10000)</f>
        <v>1.7695305841362485E-2</v>
      </c>
      <c r="Q1915" s="1" cm="1">
        <f t="array" ref="Q1915">SUMPRODUCT(("Var_Cap"=[1]OUT_TransportEnergyCons!$B$4:$B$10000)*1,("-"=[1]OUT_TransportEnergyCons!$C$4:$C$10000)*1,ISNUMBER(SEARCH("T_C*pev*dsl*s3",[1]OUT_TransportEnergyCons!$A$4:$A$10000))*1,[1]OUT_TransportEnergyCons!O$4:O$10000)</f>
        <v>1.4292302540366012E-4</v>
      </c>
      <c r="S1915" s="3"/>
    </row>
    <row r="1916" spans="2:19" x14ac:dyDescent="0.5">
      <c r="B1916" s="5" t="str">
        <f t="shared" si="2152"/>
        <v>SPS1</v>
      </c>
      <c r="C1916" s="5" t="str">
        <f t="shared" si="2153"/>
        <v>CH</v>
      </c>
      <c r="D1916" t="s">
        <v>1933</v>
      </c>
      <c r="E1916" t="str">
        <f t="shared" si="2154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2.589461401742094E-4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1.093720729206753E-3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1.5669901385604579E-3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1.9138971340919768E-3</v>
      </c>
      <c r="J1916" s="1" cm="1">
        <f t="array" ref="J1916">SUMPRODUCT(("Var_Cap"=[1]OUT_TransportEnergyCons!$B$4:$B$10000)*1,("-"=[1]OUT_TransportEnergyCons!$C$4:$C$10000)*1,ISNUMBER(SEARCH("T_C*pev*dsl*s4",[1]OUT_TransportEnergyCons!$A$4:$A$10000))*1,[1]OUT_TransportEnergyCons!H$4:H$10000)</f>
        <v>0.14083216063612108</v>
      </c>
      <c r="K1916" s="1" cm="1">
        <f t="array" ref="K1916">SUMPRODUCT(("Var_Cap"=[1]OUT_TransportEnergyCons!$B$4:$B$10000)*1,("-"=[1]OUT_TransportEnergyCons!$C$4:$C$10000)*1,ISNUMBER(SEARCH("T_C*pev*dsl*s4",[1]OUT_TransportEnergyCons!$A$4:$A$10000))*1,[1]OUT_TransportEnergyCons!I$4:I$10000)</f>
        <v>0.35614604747637796</v>
      </c>
      <c r="L1916" s="1" cm="1">
        <f t="array" ref="L1916">SUMPRODUCT(("Var_Cap"=[1]OUT_TransportEnergyCons!$B$4:$B$10000)*1,("-"=[1]OUT_TransportEnergyCons!$C$4:$C$10000)*1,ISNUMBER(SEARCH("T_C*pev*dsl*s4",[1]OUT_TransportEnergyCons!$A$4:$A$10000))*1,[1]OUT_TransportEnergyCons!J$4:J$10000)</f>
        <v>0.43759080281845597</v>
      </c>
      <c r="M1916" s="1" cm="1">
        <f t="array" ref="M1916">SUMPRODUCT(("Var_Cap"=[1]OUT_TransportEnergyCons!$B$4:$B$10000)*1,("-"=[1]OUT_TransportEnergyCons!$C$4:$C$10000)*1,ISNUMBER(SEARCH("T_C*pev*dsl*s4",[1]OUT_TransportEnergyCons!$A$4:$A$10000))*1,[1]OUT_TransportEnergyCons!K$4:K$10000)</f>
        <v>0.40952817818163939</v>
      </c>
      <c r="N1916" s="1" cm="1">
        <f t="array" ref="N1916">SUMPRODUCT(("Var_Cap"=[1]OUT_TransportEnergyCons!$B$4:$B$10000)*1,("-"=[1]OUT_TransportEnergyCons!$C$4:$C$10000)*1,ISNUMBER(SEARCH("T_C*pev*dsl*s4",[1]OUT_TransportEnergyCons!$A$4:$A$10000))*1,[1]OUT_TransportEnergyCons!L$4:L$10000)</f>
        <v>0.43543981418742223</v>
      </c>
      <c r="O1916" s="1" cm="1">
        <f t="array" ref="O1916">SUMPRODUCT(("Var_Cap"=[1]OUT_TransportEnergyCons!$B$4:$B$10000)*1,("-"=[1]OUT_TransportEnergyCons!$C$4:$C$10000)*1,ISNUMBER(SEARCH("T_C*pev*dsl*s4",[1]OUT_TransportEnergyCons!$A$4:$A$10000))*1,[1]OUT_TransportEnergyCons!M$4:M$10000)</f>
        <v>0.56001451055125651</v>
      </c>
      <c r="P1916" s="1" cm="1">
        <f t="array" ref="P1916">SUMPRODUCT(("Var_Cap"=[1]OUT_TransportEnergyCons!$B$4:$B$10000)*1,("-"=[1]OUT_TransportEnergyCons!$C$4:$C$10000)*1,ISNUMBER(SEARCH("T_C*pev*dsl*s4",[1]OUT_TransportEnergyCons!$A$4:$A$10000))*1,[1]OUT_TransportEnergyCons!N$4:N$10000)</f>
        <v>0.71597815637280726</v>
      </c>
      <c r="Q1916" s="1" cm="1">
        <f t="array" ref="Q1916">SUMPRODUCT(("Var_Cap"=[1]OUT_TransportEnergyCons!$B$4:$B$10000)*1,("-"=[1]OUT_TransportEnergyCons!$C$4:$C$10000)*1,ISNUMBER(SEARCH("T_C*pev*dsl*s4",[1]OUT_TransportEnergyCons!$A$4:$A$10000))*1,[1]OUT_TransportEnergyCons!O$4:O$10000)</f>
        <v>0.69951680214065948</v>
      </c>
      <c r="S1916" s="3"/>
    </row>
    <row r="1917" spans="2:19" x14ac:dyDescent="0.5">
      <c r="B1917" s="5" t="str">
        <f t="shared" si="2152"/>
        <v>SPS1</v>
      </c>
      <c r="C1917" s="5" t="str">
        <f t="shared" si="2153"/>
        <v>CH</v>
      </c>
      <c r="D1917" t="s">
        <v>1934</v>
      </c>
      <c r="E1917" t="str">
        <f t="shared" si="2154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8.8124324694713108E-6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1.2170428144964195E-5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1.4533393563091697E-6</v>
      </c>
      <c r="J1917" s="1" cm="1">
        <f t="array" ref="J1917">SUMPRODUCT(("Var_Cap"=[1]OUT_TransportEnergyCons!$B$4:$B$10000)*1,("-"=[1]OUT_TransportEnergyCons!$C$4:$C$10000)*1,ISNUMBER(SEARCH("T_C*h2o*s1",[1]OUT_TransportEnergyCons!$A$4:$A$10000))*1,[1]OUT_TransportEnergyCons!H$4:H$10000)</f>
        <v>2.0741825683564195E-6</v>
      </c>
      <c r="K1917" s="1" cm="1">
        <f t="array" ref="K1917">SUMPRODUCT(("Var_Cap"=[1]OUT_TransportEnergyCons!$B$4:$B$10000)*1,("-"=[1]OUT_TransportEnergyCons!$C$4:$C$10000)*1,ISNUMBER(SEARCH("T_C*h2o*s1",[1]OUT_TransportEnergyCons!$A$4:$A$10000))*1,[1]OUT_TransportEnergyCons!I$4:I$10000)</f>
        <v>2.4847808689445679E-6</v>
      </c>
      <c r="L1917" s="1" cm="1">
        <f t="array" ref="L1917">SUMPRODUCT(("Var_Cap"=[1]OUT_TransportEnergyCons!$B$4:$B$10000)*1,("-"=[1]OUT_TransportEnergyCons!$C$4:$C$10000)*1,ISNUMBER(SEARCH("T_C*h2o*s1",[1]OUT_TransportEnergyCons!$A$4:$A$10000))*1,[1]OUT_TransportEnergyCons!J$4:J$10000)</f>
        <v>2.1405035268378676E-6</v>
      </c>
      <c r="M1917" s="1" cm="1">
        <f t="array" ref="M1917">SUMPRODUCT(("Var_Cap"=[1]OUT_TransportEnergyCons!$B$4:$B$10000)*1,("-"=[1]OUT_TransportEnergyCons!$C$4:$C$10000)*1,ISNUMBER(SEARCH("T_C*h2o*s1",[1]OUT_TransportEnergyCons!$A$4:$A$10000))*1,[1]OUT_TransportEnergyCons!K$4:K$10000)</f>
        <v>1.981748085426954E-6</v>
      </c>
      <c r="N1917" s="1" cm="1">
        <f t="array" ref="N1917">SUMPRODUCT(("Var_Cap"=[1]OUT_TransportEnergyCons!$B$4:$B$10000)*1,("-"=[1]OUT_TransportEnergyCons!$C$4:$C$10000)*1,ISNUMBER(SEARCH("T_C*h2o*s1",[1]OUT_TransportEnergyCons!$A$4:$A$10000))*1,[1]OUT_TransportEnergyCons!L$4:L$10000)</f>
        <v>1.7640870384144462E-6</v>
      </c>
      <c r="O1917" s="1" cm="1">
        <f t="array" ref="O1917">SUMPRODUCT(("Var_Cap"=[1]OUT_TransportEnergyCons!$B$4:$B$10000)*1,("-"=[1]OUT_TransportEnergyCons!$C$4:$C$10000)*1,ISNUMBER(SEARCH("T_C*h2o*s1",[1]OUT_TransportEnergyCons!$A$4:$A$10000))*1,[1]OUT_TransportEnergyCons!M$4:M$10000)</f>
        <v>1.4433777222561558E-6</v>
      </c>
      <c r="P1917" s="1" cm="1">
        <f t="array" ref="P1917">SUMPRODUCT(("Var_Cap"=[1]OUT_TransportEnergyCons!$B$4:$B$10000)*1,("-"=[1]OUT_TransportEnergyCons!$C$4:$C$10000)*1,ISNUMBER(SEARCH("T_C*h2o*s1",[1]OUT_TransportEnergyCons!$A$4:$A$10000))*1,[1]OUT_TransportEnergyCons!N$4:N$10000)</f>
        <v>1.0585043973975408E-6</v>
      </c>
      <c r="Q1917" s="1" cm="1">
        <f t="array" ref="Q1917">SUMPRODUCT(("Var_Cap"=[1]OUT_TransportEnergyCons!$B$4:$B$10000)*1,("-"=[1]OUT_TransportEnergyCons!$C$4:$C$10000)*1,ISNUMBER(SEARCH("T_C*h2o*s1",[1]OUT_TransportEnergyCons!$A$4:$A$10000))*1,[1]OUT_TransportEnergyCons!O$4:O$10000)</f>
        <v>5.7633093856731303E-6</v>
      </c>
      <c r="S1917" s="3"/>
    </row>
    <row r="1918" spans="2:19" x14ac:dyDescent="0.5">
      <c r="B1918" s="5" t="str">
        <f t="shared" si="2152"/>
        <v>SPS1</v>
      </c>
      <c r="C1918" s="5" t="str">
        <f t="shared" si="2153"/>
        <v>CH</v>
      </c>
      <c r="D1918" t="s">
        <v>1935</v>
      </c>
      <c r="E1918" t="str">
        <f t="shared" si="2154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6.33333333333333E-6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1.113520535286215E-5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1.3091470731605741E-5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2.0868866846785596E-6</v>
      </c>
      <c r="J1918" s="1" cm="1">
        <f t="array" ref="J1918">SUMPRODUCT(("Var_Cap"=[1]OUT_TransportEnergyCons!$B$4:$B$10000)*1,("-"=[1]OUT_TransportEnergyCons!$C$4:$C$10000)*1,ISNUMBER(SEARCH("T_C*h2o*s2",[1]OUT_TransportEnergyCons!$A$4:$A$10000))*1,[1]OUT_TransportEnergyCons!H$4:H$10000)</f>
        <v>1.93355991701841E-6</v>
      </c>
      <c r="K1918" s="1" cm="1">
        <f t="array" ref="K1918">SUMPRODUCT(("Var_Cap"=[1]OUT_TransportEnergyCons!$B$4:$B$10000)*1,("-"=[1]OUT_TransportEnergyCons!$C$4:$C$10000)*1,ISNUMBER(SEARCH("T_C*h2o*s2",[1]OUT_TransportEnergyCons!$A$4:$A$10000))*1,[1]OUT_TransportEnergyCons!I$4:I$10000)</f>
        <v>1.8799739713612809E-6</v>
      </c>
      <c r="L1918" s="1" cm="1">
        <f t="array" ref="L1918">SUMPRODUCT(("Var_Cap"=[1]OUT_TransportEnergyCons!$B$4:$B$10000)*1,("-"=[1]OUT_TransportEnergyCons!$C$4:$C$10000)*1,ISNUMBER(SEARCH("T_C*h2o*s2",[1]OUT_TransportEnergyCons!$A$4:$A$10000))*1,[1]OUT_TransportEnergyCons!J$4:J$10000)</f>
        <v>1.816895154395246E-6</v>
      </c>
      <c r="M1918" s="1" cm="1">
        <f t="array" ref="M1918">SUMPRODUCT(("Var_Cap"=[1]OUT_TransportEnergyCons!$B$4:$B$10000)*1,("-"=[1]OUT_TransportEnergyCons!$C$4:$C$10000)*1,ISNUMBER(SEARCH("T_C*h2o*s2",[1]OUT_TransportEnergyCons!$A$4:$A$10000))*1,[1]OUT_TransportEnergyCons!K$4:K$10000)</f>
        <v>1.751143422287797E-6</v>
      </c>
      <c r="N1918" s="1" cm="1">
        <f t="array" ref="N1918">SUMPRODUCT(("Var_Cap"=[1]OUT_TransportEnergyCons!$B$4:$B$10000)*1,("-"=[1]OUT_TransportEnergyCons!$C$4:$C$10000)*1,ISNUMBER(SEARCH("T_C*h2o*s2",[1]OUT_TransportEnergyCons!$A$4:$A$10000))*1,[1]OUT_TransportEnergyCons!L$4:L$10000)</f>
        <v>1.7135564769548737E-6</v>
      </c>
      <c r="O1918" s="1" cm="1">
        <f t="array" ref="O1918">SUMPRODUCT(("Var_Cap"=[1]OUT_TransportEnergyCons!$B$4:$B$10000)*1,("-"=[1]OUT_TransportEnergyCons!$C$4:$C$10000)*1,ISNUMBER(SEARCH("T_C*h2o*s2",[1]OUT_TransportEnergyCons!$A$4:$A$10000))*1,[1]OUT_TransportEnergyCons!M$4:M$10000)</f>
        <v>1.6719452579120821E-6</v>
      </c>
      <c r="P1918" s="1" cm="1">
        <f t="array" ref="P1918">SUMPRODUCT(("Var_Cap"=[1]OUT_TransportEnergyCons!$B$4:$B$10000)*1,("-"=[1]OUT_TransportEnergyCons!$C$4:$C$10000)*1,ISNUMBER(SEARCH("T_C*h2o*s2",[1]OUT_TransportEnergyCons!$A$4:$A$10000))*1,[1]OUT_TransportEnergyCons!N$4:N$10000)</f>
        <v>1.650952197882994E-6</v>
      </c>
      <c r="Q1918" s="1" cm="1">
        <f t="array" ref="Q1918">SUMPRODUCT(("Var_Cap"=[1]OUT_TransportEnergyCons!$B$4:$B$10000)*1,("-"=[1]OUT_TransportEnergyCons!$C$4:$C$10000)*1,ISNUMBER(SEARCH("T_C*h2o*s2",[1]OUT_TransportEnergyCons!$A$4:$A$10000))*1,[1]OUT_TransportEnergyCons!O$4:O$10000)</f>
        <v>6.1907859274718503E-6</v>
      </c>
      <c r="S1918" s="3"/>
    </row>
    <row r="1919" spans="2:19" x14ac:dyDescent="0.5">
      <c r="B1919" s="5" t="str">
        <f t="shared" si="2152"/>
        <v>SPS1</v>
      </c>
      <c r="C1919" s="5" t="str">
        <f t="shared" si="2153"/>
        <v>CH</v>
      </c>
      <c r="D1919" t="s">
        <v>1936</v>
      </c>
      <c r="E1919" t="str">
        <f t="shared" si="2154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5.3634829416900648E-5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1.121240329201604E-4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1.0835731947683773E-4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2.7979672603888165E-6</v>
      </c>
      <c r="J1919" s="1" cm="1">
        <f t="array" ref="J1919">SUMPRODUCT(("Var_Cap"=[1]OUT_TransportEnergyCons!$B$4:$B$10000)*1,("-"=[1]OUT_TransportEnergyCons!$C$4:$C$10000)*1,ISNUMBER(SEARCH("T_C*h2o*s3",[1]OUT_TransportEnergyCons!$A$4:$A$10000))*1,[1]OUT_TransportEnergyCons!H$4:H$10000)</f>
        <v>2.0987301969175211E-6</v>
      </c>
      <c r="K1919" s="1" cm="1">
        <f t="array" ref="K1919">SUMPRODUCT(("Var_Cap"=[1]OUT_TransportEnergyCons!$B$4:$B$10000)*1,("-"=[1]OUT_TransportEnergyCons!$C$4:$C$10000)*1,ISNUMBER(SEARCH("T_C*h2o*s3",[1]OUT_TransportEnergyCons!$A$4:$A$10000))*1,[1]OUT_TransportEnergyCons!I$4:I$10000)</f>
        <v>1.6495649472319238E-6</v>
      </c>
      <c r="L1919" s="1" cm="1">
        <f t="array" ref="L1919">SUMPRODUCT(("Var_Cap"=[1]OUT_TransportEnergyCons!$B$4:$B$10000)*1,("-"=[1]OUT_TransportEnergyCons!$C$4:$C$10000)*1,ISNUMBER(SEARCH("T_C*h2o*s3",[1]OUT_TransportEnergyCons!$A$4:$A$10000))*1,[1]OUT_TransportEnergyCons!J$4:J$10000)</f>
        <v>1.7098857149328632E-6</v>
      </c>
      <c r="M1919" s="1" cm="1">
        <f t="array" ref="M1919">SUMPRODUCT(("Var_Cap"=[1]OUT_TransportEnergyCons!$B$4:$B$10000)*1,("-"=[1]OUT_TransportEnergyCons!$C$4:$C$10000)*1,ISNUMBER(SEARCH("T_C*h2o*s3",[1]OUT_TransportEnergyCons!$A$4:$A$10000))*1,[1]OUT_TransportEnergyCons!K$4:K$10000)</f>
        <v>1.699462753828039E-6</v>
      </c>
      <c r="N1919" s="1" cm="1">
        <f t="array" ref="N1919">SUMPRODUCT(("Var_Cap"=[1]OUT_TransportEnergyCons!$B$4:$B$10000)*1,("-"=[1]OUT_TransportEnergyCons!$C$4:$C$10000)*1,ISNUMBER(SEARCH("T_C*h2o*s3",[1]OUT_TransportEnergyCons!$A$4:$A$10000))*1,[1]OUT_TransportEnergyCons!L$4:L$10000)</f>
        <v>1.6381500543369547E-6</v>
      </c>
      <c r="O1919" s="1" cm="1">
        <f t="array" ref="O1919">SUMPRODUCT(("Var_Cap"=[1]OUT_TransportEnergyCons!$B$4:$B$10000)*1,("-"=[1]OUT_TransportEnergyCons!$C$4:$C$10000)*1,ISNUMBER(SEARCH("T_C*h2o*s3",[1]OUT_TransportEnergyCons!$A$4:$A$10000))*1,[1]OUT_TransportEnergyCons!M$4:M$10000)</f>
        <v>1.7581052781868801E-6</v>
      </c>
      <c r="P1919" s="1" cm="1">
        <f t="array" ref="P1919">SUMPRODUCT(("Var_Cap"=[1]OUT_TransportEnergyCons!$B$4:$B$10000)*1,("-"=[1]OUT_TransportEnergyCons!$C$4:$C$10000)*1,ISNUMBER(SEARCH("T_C*h2o*s3",[1]OUT_TransportEnergyCons!$A$4:$A$10000))*1,[1]OUT_TransportEnergyCons!N$4:N$10000)</f>
        <v>1.921745199507819E-6</v>
      </c>
      <c r="Q1919" s="1" cm="1">
        <f t="array" ref="Q1919">SUMPRODUCT(("Var_Cap"=[1]OUT_TransportEnergyCons!$B$4:$B$10000)*1,("-"=[1]OUT_TransportEnergyCons!$C$4:$C$10000)*1,ISNUMBER(SEARCH("T_C*h2o*s3",[1]OUT_TransportEnergyCons!$A$4:$A$10000))*1,[1]OUT_TransportEnergyCons!O$4:O$10000)</f>
        <v>6.5897109996712198E-6</v>
      </c>
      <c r="S1919" s="3"/>
    </row>
    <row r="1920" spans="2:19" x14ac:dyDescent="0.5">
      <c r="B1920" s="5" t="str">
        <f t="shared" si="2152"/>
        <v>SPS1</v>
      </c>
      <c r="C1920" s="5" t="str">
        <f t="shared" si="2153"/>
        <v>CH</v>
      </c>
      <c r="D1920" t="s">
        <v>1937</v>
      </c>
      <c r="E1920" t="str">
        <f t="shared" si="2154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5.3479750358608197E-6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7.1488016663625546E-6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1.70204911841237E-6</v>
      </c>
      <c r="J1920" s="1" cm="1">
        <f t="array" ref="J1920">SUMPRODUCT(("Var_Cap"=[1]OUT_TransportEnergyCons!$B$4:$B$10000)*1,("-"=[1]OUT_TransportEnergyCons!$C$4:$C$10000)*1,ISNUMBER(SEARCH("T_C*h2o*s4",[1]OUT_TransportEnergyCons!$A$4:$A$10000))*1,[1]OUT_TransportEnergyCons!H$4:H$10000)</f>
        <v>1.9339237964963098E-6</v>
      </c>
      <c r="K1920" s="1" cm="1">
        <f t="array" ref="K1920">SUMPRODUCT(("Var_Cap"=[1]OUT_TransportEnergyCons!$B$4:$B$10000)*1,("-"=[1]OUT_TransportEnergyCons!$C$4:$C$10000)*1,ISNUMBER(SEARCH("T_C*h2o*s4",[1]OUT_TransportEnergyCons!$A$4:$A$10000))*1,[1]OUT_TransportEnergyCons!I$4:I$10000)</f>
        <v>1.9193332588188671E-6</v>
      </c>
      <c r="L1920" s="1" cm="1">
        <f t="array" ref="L1920">SUMPRODUCT(("Var_Cap"=[1]OUT_TransportEnergyCons!$B$4:$B$10000)*1,("-"=[1]OUT_TransportEnergyCons!$C$4:$C$10000)*1,ISNUMBER(SEARCH("T_C*h2o*s4",[1]OUT_TransportEnergyCons!$A$4:$A$10000))*1,[1]OUT_TransportEnergyCons!J$4:J$10000)</f>
        <v>1.9083419900349461E-6</v>
      </c>
      <c r="M1920" s="1" cm="1">
        <f t="array" ref="M1920">SUMPRODUCT(("Var_Cap"=[1]OUT_TransportEnergyCons!$B$4:$B$10000)*1,("-"=[1]OUT_TransportEnergyCons!$C$4:$C$10000)*1,ISNUMBER(SEARCH("T_C*h2o*s4",[1]OUT_TransportEnergyCons!$A$4:$A$10000))*1,[1]OUT_TransportEnergyCons!K$4:K$10000)</f>
        <v>1.8035076703491763E-6</v>
      </c>
      <c r="N1920" s="1" cm="1">
        <f t="array" ref="N1920">SUMPRODUCT(("Var_Cap"=[1]OUT_TransportEnergyCons!$B$4:$B$10000)*1,("-"=[1]OUT_TransportEnergyCons!$C$4:$C$10000)*1,ISNUMBER(SEARCH("T_C*h2o*s4",[1]OUT_TransportEnergyCons!$A$4:$A$10000))*1,[1]OUT_TransportEnergyCons!L$4:L$10000)</f>
        <v>1.7389141077000878E-6</v>
      </c>
      <c r="O1920" s="1" cm="1">
        <f t="array" ref="O1920">SUMPRODUCT(("Var_Cap"=[1]OUT_TransportEnergyCons!$B$4:$B$10000)*1,("-"=[1]OUT_TransportEnergyCons!$C$4:$C$10000)*1,ISNUMBER(SEARCH("T_C*h2o*s4",[1]OUT_TransportEnergyCons!$A$4:$A$10000))*1,[1]OUT_TransportEnergyCons!M$4:M$10000)</f>
        <v>1.6310064148682669E-6</v>
      </c>
      <c r="P1920" s="1" cm="1">
        <f t="array" ref="P1920">SUMPRODUCT(("Var_Cap"=[1]OUT_TransportEnergyCons!$B$4:$B$10000)*1,("-"=[1]OUT_TransportEnergyCons!$C$4:$C$10000)*1,ISNUMBER(SEARCH("T_C*h2o*s4",[1]OUT_TransportEnergyCons!$A$4:$A$10000))*1,[1]OUT_TransportEnergyCons!N$4:N$10000)</f>
        <v>1.514140563472203E-6</v>
      </c>
      <c r="Q1920" s="1" cm="1">
        <f t="array" ref="Q1920">SUMPRODUCT(("Var_Cap"=[1]OUT_TransportEnergyCons!$B$4:$B$10000)*1,("-"=[1]OUT_TransportEnergyCons!$C$4:$C$10000)*1,ISNUMBER(SEARCH("T_C*h2o*s4",[1]OUT_TransportEnergyCons!$A$4:$A$10000))*1,[1]OUT_TransportEnergyCons!O$4:O$10000)</f>
        <v>6.1830399943788803E-6</v>
      </c>
      <c r="S1920" s="3"/>
    </row>
    <row r="1921" spans="2:19" x14ac:dyDescent="0.5">
      <c r="B1921" s="5" t="str">
        <f t="shared" si="2152"/>
        <v>SPS1</v>
      </c>
      <c r="C1921" s="5" t="str">
        <f t="shared" si="2153"/>
        <v>CH</v>
      </c>
      <c r="D1921" t="s">
        <v>1938</v>
      </c>
      <c r="E1921" t="str">
        <f t="shared" si="2154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6.5792131885046942E-2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5.7063034851820175E-2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4.3894533432426691E-2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2.1947264349410005E-2</v>
      </c>
      <c r="J1921" s="1" cm="1">
        <f t="array" ref="J1921">SUMPRODUCT(("Var_Cap"=[1]OUT_TransportEnergyCons!$B$4:$B$10000)*1,("-"=[1]OUT_TransportEnergyCons!$C$4:$C$10000)*1,ISNUMBER(SEARCH("T_C*hy*GSL*ext",[1]OUT_TransportEnergyCons!$A$4:$A$10000))*1,[1]OUT_TransportEnergyCons!H$4:H$10000)</f>
        <v>0</v>
      </c>
      <c r="K1921" s="1" cm="1">
        <f t="array" ref="K1921">SUMPRODUCT(("Var_Cap"=[1]OUT_TransportEnergyCons!$B$4:$B$10000)*1,("-"=[1]OUT_TransportEnergyCons!$C$4:$C$10000)*1,ISNUMBER(SEARCH("T_C*hy*GSL*ext",[1]OUT_TransportEnergyCons!$A$4:$A$10000))*1,[1]OUT_TransportEnergyCons!I$4:I$10000)</f>
        <v>0</v>
      </c>
      <c r="L1921" s="1" cm="1">
        <f t="array" ref="L1921">SUMPRODUCT(("Var_Cap"=[1]OUT_TransportEnergyCons!$B$4:$B$10000)*1,("-"=[1]OUT_TransportEnergyCons!$C$4:$C$10000)*1,ISNUMBER(SEARCH("T_C*hy*GSL*ext",[1]OUT_TransportEnergyCons!$A$4:$A$10000))*1,[1]OUT_TransportEnergyCons!J$4:J$10000)</f>
        <v>0</v>
      </c>
      <c r="M1921" s="1" cm="1">
        <f t="array" ref="M1921">SUMPRODUCT(("Var_Cap"=[1]OUT_TransportEnergyCons!$B$4:$B$10000)*1,("-"=[1]OUT_TransportEnergyCons!$C$4:$C$10000)*1,ISNUMBER(SEARCH("T_C*hy*GSL*ext",[1]OUT_TransportEnergyCons!$A$4:$A$10000))*1,[1]OUT_TransportEnergyCons!K$4:K$10000)</f>
        <v>0</v>
      </c>
      <c r="N1921" s="1" cm="1">
        <f t="array" ref="N1921">SUMPRODUCT(("Var_Cap"=[1]OUT_TransportEnergyCons!$B$4:$B$10000)*1,("-"=[1]OUT_TransportEnergyCons!$C$4:$C$10000)*1,ISNUMBER(SEARCH("T_C*hy*GSL*ext",[1]OUT_TransportEnergyCons!$A$4:$A$10000))*1,[1]OUT_TransportEnergyCons!L$4:L$10000)</f>
        <v>0</v>
      </c>
      <c r="O1921" s="1" cm="1">
        <f t="array" ref="O1921">SUMPRODUCT(("Var_Cap"=[1]OUT_TransportEnergyCons!$B$4:$B$10000)*1,("-"=[1]OUT_TransportEnergyCons!$C$4:$C$10000)*1,ISNUMBER(SEARCH("T_C*hy*GSL*ext",[1]OUT_TransportEnergyCons!$A$4:$A$10000))*1,[1]OUT_TransportEnergyCons!M$4:M$10000)</f>
        <v>0</v>
      </c>
      <c r="P1921" s="1" cm="1">
        <f t="array" ref="P1921">SUMPRODUCT(("Var_Cap"=[1]OUT_TransportEnergyCons!$B$4:$B$10000)*1,("-"=[1]OUT_TransportEnergyCons!$C$4:$C$10000)*1,ISNUMBER(SEARCH("T_C*hy*GSL*ext",[1]OUT_TransportEnergyCons!$A$4:$A$10000))*1,[1]OUT_TransportEnergyCons!N$4:N$10000)</f>
        <v>0</v>
      </c>
      <c r="Q1921" s="1" cm="1">
        <f t="array" ref="Q1921">SUMPRODUCT(("Var_Cap"=[1]OUT_TransportEnergyCons!$B$4:$B$10000)*1,("-"=[1]OUT_TransportEnergyCons!$C$4:$C$10000)*1,ISNUMBER(SEARCH("T_C*hy*GSL*ext",[1]OUT_TransportEnergyCons!$A$4:$A$10000))*1,[1]OUT_TransportEnergyCons!O$4:O$10000)</f>
        <v>0</v>
      </c>
      <c r="S1921" s="3"/>
    </row>
    <row r="1922" spans="2:19" x14ac:dyDescent="0.5">
      <c r="B1922" s="5" t="str">
        <f t="shared" si="2152"/>
        <v>SPS1</v>
      </c>
      <c r="C1922" s="5" t="str">
        <f t="shared" si="2153"/>
        <v>CH</v>
      </c>
      <c r="D1922" t="s">
        <v>1939</v>
      </c>
      <c r="E1922" t="str">
        <f t="shared" si="2154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5.6683831509442952E-3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6.8751319798732828E-3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2.4007166546365401E-2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2.2795336292205426E-2</v>
      </c>
      <c r="J1922" s="1" cm="1">
        <f t="array" ref="J1922">SUMPRODUCT(("Var_Cap"=[1]OUT_TransportEnergyCons!$B$4:$B$10000)*1,("-"=[1]OUT_TransportEnergyCons!$C$4:$C$10000)*1,ISNUMBER(SEARCH("T_C*hy*GSL*s1",[1]OUT_TransportEnergyCons!$A$4:$A$10000))*1,[1]OUT_TransportEnergyCons!H$4:H$10000)</f>
        <v>5.3734944148059807E-2</v>
      </c>
      <c r="K1922" s="1" cm="1">
        <f t="array" ref="K1922">SUMPRODUCT(("Var_Cap"=[1]OUT_TransportEnergyCons!$B$4:$B$10000)*1,("-"=[1]OUT_TransportEnergyCons!$C$4:$C$10000)*1,ISNUMBER(SEARCH("T_C*hy*GSL*s1",[1]OUT_TransportEnergyCons!$A$4:$A$10000))*1,[1]OUT_TransportEnergyCons!I$4:I$10000)</f>
        <v>7.9733146843338709E-2</v>
      </c>
      <c r="L1922" s="1" cm="1">
        <f t="array" ref="L1922">SUMPRODUCT(("Var_Cap"=[1]OUT_TransportEnergyCons!$B$4:$B$10000)*1,("-"=[1]OUT_TransportEnergyCons!$C$4:$C$10000)*1,ISNUMBER(SEARCH("T_C*hy*GSL*s1",[1]OUT_TransportEnergyCons!$A$4:$A$10000))*1,[1]OUT_TransportEnergyCons!J$4:J$10000)</f>
        <v>6.0217916480036209E-2</v>
      </c>
      <c r="M1922" s="1" cm="1">
        <f t="array" ref="M1922">SUMPRODUCT(("Var_Cap"=[1]OUT_TransportEnergyCons!$B$4:$B$10000)*1,("-"=[1]OUT_TransportEnergyCons!$C$4:$C$10000)*1,ISNUMBER(SEARCH("T_C*hy*GSL*s1",[1]OUT_TransportEnergyCons!$A$4:$A$10000))*1,[1]OUT_TransportEnergyCons!K$4:K$10000)</f>
        <v>2.5371716489264191E-2</v>
      </c>
      <c r="N1922" s="1" cm="1">
        <f t="array" ref="N1922">SUMPRODUCT(("Var_Cap"=[1]OUT_TransportEnergyCons!$B$4:$B$10000)*1,("-"=[1]OUT_TransportEnergyCons!$C$4:$C$10000)*1,ISNUMBER(SEARCH("T_C*hy*GSL*s1",[1]OUT_TransportEnergyCons!$A$4:$A$10000))*1,[1]OUT_TransportEnergyCons!L$4:L$10000)</f>
        <v>5.0867311397187684E-3</v>
      </c>
      <c r="O1922" s="1" cm="1">
        <f t="array" ref="O1922">SUMPRODUCT(("Var_Cap"=[1]OUT_TransportEnergyCons!$B$4:$B$10000)*1,("-"=[1]OUT_TransportEnergyCons!$C$4:$C$10000)*1,ISNUMBER(SEARCH("T_C*hy*GSL*s1",[1]OUT_TransportEnergyCons!$A$4:$A$10000))*1,[1]OUT_TransportEnergyCons!M$4:M$10000)</f>
        <v>2.3728712411552073E-2</v>
      </c>
      <c r="P1922" s="1" cm="1">
        <f t="array" ref="P1922">SUMPRODUCT(("Var_Cap"=[1]OUT_TransportEnergyCons!$B$4:$B$10000)*1,("-"=[1]OUT_TransportEnergyCons!$C$4:$C$10000)*1,ISNUMBER(SEARCH("T_C*hy*GSL*s1",[1]OUT_TransportEnergyCons!$A$4:$A$10000))*1,[1]OUT_TransportEnergyCons!N$4:N$10000)</f>
        <v>8.0510178343633582E-2</v>
      </c>
      <c r="Q1922" s="1" cm="1">
        <f t="array" ref="Q1922">SUMPRODUCT(("Var_Cap"=[1]OUT_TransportEnergyCons!$B$4:$B$10000)*1,("-"=[1]OUT_TransportEnergyCons!$C$4:$C$10000)*1,ISNUMBER(SEARCH("T_C*hy*GSL*s1",[1]OUT_TransportEnergyCons!$A$4:$A$10000))*1,[1]OUT_TransportEnergyCons!O$4:O$10000)</f>
        <v>0.10756814420236707</v>
      </c>
      <c r="S1922" s="3"/>
    </row>
    <row r="1923" spans="2:19" x14ac:dyDescent="0.5">
      <c r="B1923" s="5" t="str">
        <f t="shared" si="2152"/>
        <v>SPS1</v>
      </c>
      <c r="C1923" s="5" t="str">
        <f t="shared" si="2153"/>
        <v>CH</v>
      </c>
      <c r="D1923" t="s">
        <v>1940</v>
      </c>
      <c r="E1923" t="str">
        <f t="shared" si="2154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1.7226599866990246E-2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3.0028378654475479E-2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3.7825621669370965E-2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3.1430959978140778E-2</v>
      </c>
      <c r="J1923" s="1" cm="1">
        <f t="array" ref="J1923">SUMPRODUCT(("Var_Cap"=[1]OUT_TransportEnergyCons!$B$4:$B$10000)*1,("-"=[1]OUT_TransportEnergyCons!$C$4:$C$10000)*1,ISNUMBER(SEARCH("T_C*hy*GSL*s2",[1]OUT_TransportEnergyCons!$A$4:$A$10000))*1,[1]OUT_TransportEnergyCons!H$4:H$10000)</f>
        <v>9.0688661105430557E-2</v>
      </c>
      <c r="K1923" s="1" cm="1">
        <f t="array" ref="K1923">SUMPRODUCT(("Var_Cap"=[1]OUT_TransportEnergyCons!$B$4:$B$10000)*1,("-"=[1]OUT_TransportEnergyCons!$C$4:$C$10000)*1,ISNUMBER(SEARCH("T_C*hy*GSL*s2",[1]OUT_TransportEnergyCons!$A$4:$A$10000))*1,[1]OUT_TransportEnergyCons!I$4:I$10000)</f>
        <v>7.3894619757503721E-2</v>
      </c>
      <c r="L1923" s="1" cm="1">
        <f t="array" ref="L1923">SUMPRODUCT(("Var_Cap"=[1]OUT_TransportEnergyCons!$B$4:$B$10000)*1,("-"=[1]OUT_TransportEnergyCons!$C$4:$C$10000)*1,ISNUMBER(SEARCH("T_C*hy*GSL*s2",[1]OUT_TransportEnergyCons!$A$4:$A$10000))*1,[1]OUT_TransportEnergyCons!J$4:J$10000)</f>
        <v>5.2204240403712715E-2</v>
      </c>
      <c r="M1923" s="1" cm="1">
        <f t="array" ref="M1923">SUMPRODUCT(("Var_Cap"=[1]OUT_TransportEnergyCons!$B$4:$B$10000)*1,("-"=[1]OUT_TransportEnergyCons!$C$4:$C$10000)*1,ISNUMBER(SEARCH("T_C*hy*GSL*s2",[1]OUT_TransportEnergyCons!$A$4:$A$10000))*1,[1]OUT_TransportEnergyCons!K$4:K$10000)</f>
        <v>1.3825098414747626E-3</v>
      </c>
      <c r="N1923" s="1" cm="1">
        <f t="array" ref="N1923">SUMPRODUCT(("Var_Cap"=[1]OUT_TransportEnergyCons!$B$4:$B$10000)*1,("-"=[1]OUT_TransportEnergyCons!$C$4:$C$10000)*1,ISNUMBER(SEARCH("T_C*hy*GSL*s2",[1]OUT_TransportEnergyCons!$A$4:$A$10000))*1,[1]OUT_TransportEnergyCons!L$4:L$10000)</f>
        <v>1.0113618686993758E-3</v>
      </c>
      <c r="O1923" s="1" cm="1">
        <f t="array" ref="O1923">SUMPRODUCT(("Var_Cap"=[1]OUT_TransportEnergyCons!$B$4:$B$10000)*1,("-"=[1]OUT_TransportEnergyCons!$C$4:$C$10000)*1,ISNUMBER(SEARCH("T_C*hy*GSL*s2",[1]OUT_TransportEnergyCons!$A$4:$A$10000))*1,[1]OUT_TransportEnergyCons!M$4:M$10000)</f>
        <v>1.4274813433378859E-3</v>
      </c>
      <c r="P1923" s="1" cm="1">
        <f t="array" ref="P1923">SUMPRODUCT(("Var_Cap"=[1]OUT_TransportEnergyCons!$B$4:$B$10000)*1,("-"=[1]OUT_TransportEnergyCons!$C$4:$C$10000)*1,ISNUMBER(SEARCH("T_C*hy*GSL*s2",[1]OUT_TransportEnergyCons!$A$4:$A$10000))*1,[1]OUT_TransportEnergyCons!N$4:N$10000)</f>
        <v>2.0702256207018868E-3</v>
      </c>
      <c r="Q1923" s="1" cm="1">
        <f t="array" ref="Q1923">SUMPRODUCT(("Var_Cap"=[1]OUT_TransportEnergyCons!$B$4:$B$10000)*1,("-"=[1]OUT_TransportEnergyCons!$C$4:$C$10000)*1,ISNUMBER(SEARCH("T_C*hy*GSL*s2",[1]OUT_TransportEnergyCons!$A$4:$A$10000))*1,[1]OUT_TransportEnergyCons!O$4:O$10000)</f>
        <v>2.1858776629030759E-3</v>
      </c>
      <c r="S1923" s="3"/>
    </row>
    <row r="1924" spans="2:19" x14ac:dyDescent="0.5">
      <c r="B1924" s="5" t="str">
        <f t="shared" si="2152"/>
        <v>SPS1</v>
      </c>
      <c r="C1924" s="5" t="str">
        <f t="shared" si="2153"/>
        <v>CH</v>
      </c>
      <c r="D1924" t="s">
        <v>1941</v>
      </c>
      <c r="E1924" t="str">
        <f t="shared" si="2154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1.424838317109817E-2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0.19158472557106951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0.18136365889167655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0.14630159933958728</v>
      </c>
      <c r="J1924" s="1" cm="1">
        <f t="array" ref="J1924">SUMPRODUCT(("Var_Cap"=[1]OUT_TransportEnergyCons!$B$4:$B$10000)*1,("-"=[1]OUT_TransportEnergyCons!$C$4:$C$10000)*1,ISNUMBER(SEARCH("T_C*hy*GSL*s3",[1]OUT_TransportEnergyCons!$A$4:$A$10000))*1,[1]OUT_TransportEnergyCons!H$4:H$10000)</f>
        <v>4.7537068337530082E-2</v>
      </c>
      <c r="K1924" s="1" cm="1">
        <f t="array" ref="K1924">SUMPRODUCT(("Var_Cap"=[1]OUT_TransportEnergyCons!$B$4:$B$10000)*1,("-"=[1]OUT_TransportEnergyCons!$C$4:$C$10000)*1,ISNUMBER(SEARCH("T_C*hy*GSL*s3",[1]OUT_TransportEnergyCons!$A$4:$A$10000))*1,[1]OUT_TransportEnergyCons!I$4:I$10000)</f>
        <v>6.1127955310154845E-4</v>
      </c>
      <c r="L1924" s="1" cm="1">
        <f t="array" ref="L1924">SUMPRODUCT(("Var_Cap"=[1]OUT_TransportEnergyCons!$B$4:$B$10000)*1,("-"=[1]OUT_TransportEnergyCons!$C$4:$C$10000)*1,ISNUMBER(SEARCH("T_C*hy*GSL*s3",[1]OUT_TransportEnergyCons!$A$4:$A$10000))*1,[1]OUT_TransportEnergyCons!J$4:J$10000)</f>
        <v>5.8637662866269156E-4</v>
      </c>
      <c r="M1924" s="1" cm="1">
        <f t="array" ref="M1924">SUMPRODUCT(("Var_Cap"=[1]OUT_TransportEnergyCons!$B$4:$B$10000)*1,("-"=[1]OUT_TransportEnergyCons!$C$4:$C$10000)*1,ISNUMBER(SEARCH("T_C*hy*GSL*s3",[1]OUT_TransportEnergyCons!$A$4:$A$10000))*1,[1]OUT_TransportEnergyCons!K$4:K$10000)</f>
        <v>6.9550590931907134E-4</v>
      </c>
      <c r="N1924" s="1" cm="1">
        <f t="array" ref="N1924">SUMPRODUCT(("Var_Cap"=[1]OUT_TransportEnergyCons!$B$4:$B$10000)*1,("-"=[1]OUT_TransportEnergyCons!$C$4:$C$10000)*1,ISNUMBER(SEARCH("T_C*hy*GSL*s3",[1]OUT_TransportEnergyCons!$A$4:$A$10000))*1,[1]OUT_TransportEnergyCons!L$4:L$10000)</f>
        <v>7.1874951099906476E-4</v>
      </c>
      <c r="O1924" s="1" cm="1">
        <f t="array" ref="O1924">SUMPRODUCT(("Var_Cap"=[1]OUT_TransportEnergyCons!$B$4:$B$10000)*1,("-"=[1]OUT_TransportEnergyCons!$C$4:$C$10000)*1,ISNUMBER(SEARCH("T_C*hy*GSL*s3",[1]OUT_TransportEnergyCons!$A$4:$A$10000))*1,[1]OUT_TransportEnergyCons!M$4:M$10000)</f>
        <v>8.9151854995635118E-4</v>
      </c>
      <c r="P1924" s="1" cm="1">
        <f t="array" ref="P1924">SUMPRODUCT(("Var_Cap"=[1]OUT_TransportEnergyCons!$B$4:$B$10000)*1,("-"=[1]OUT_TransportEnergyCons!$C$4:$C$10000)*1,ISNUMBER(SEARCH("T_C*hy*GSL*s3",[1]OUT_TransportEnergyCons!$A$4:$A$10000))*1,[1]OUT_TransportEnergyCons!N$4:N$10000)</f>
        <v>1.1136551293065102E-3</v>
      </c>
      <c r="Q1924" s="1" cm="1">
        <f t="array" ref="Q1924">SUMPRODUCT(("Var_Cap"=[1]OUT_TransportEnergyCons!$B$4:$B$10000)*1,("-"=[1]OUT_TransportEnergyCons!$C$4:$C$10000)*1,ISNUMBER(SEARCH("T_C*hy*GSL*s3",[1]OUT_TransportEnergyCons!$A$4:$A$10000))*1,[1]OUT_TransportEnergyCons!O$4:O$10000)</f>
        <v>1.1631994410130091E-3</v>
      </c>
      <c r="S1924" s="3"/>
    </row>
    <row r="1925" spans="2:19" x14ac:dyDescent="0.5">
      <c r="B1925" s="5" t="str">
        <f t="shared" si="2152"/>
        <v>SPS1</v>
      </c>
      <c r="C1925" s="5" t="str">
        <f t="shared" si="2153"/>
        <v>CH</v>
      </c>
      <c r="D1925" t="s">
        <v>1942</v>
      </c>
      <c r="E1925" t="str">
        <f t="shared" si="2154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8.3200504418288763E-3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1.4420412149070872E-2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4.7385924816605696E-2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0.15334464650674601</v>
      </c>
      <c r="J1925" s="1" cm="1">
        <f t="array" ref="J1925">SUMPRODUCT(("Var_Cap"=[1]OUT_TransportEnergyCons!$B$4:$B$10000)*1,("-"=[1]OUT_TransportEnergyCons!$C$4:$C$10000)*1,ISNUMBER(SEARCH("T_C*hy*GSL*s4",[1]OUT_TransportEnergyCons!$A$4:$A$10000))*1,[1]OUT_TransportEnergyCons!H$4:H$10000)</f>
        <v>0.16191131357433367</v>
      </c>
      <c r="K1925" s="1" cm="1">
        <f t="array" ref="K1925">SUMPRODUCT(("Var_Cap"=[1]OUT_TransportEnergyCons!$B$4:$B$10000)*1,("-"=[1]OUT_TransportEnergyCons!$C$4:$C$10000)*1,ISNUMBER(SEARCH("T_C*hy*GSL*s4",[1]OUT_TransportEnergyCons!$A$4:$A$10000))*1,[1]OUT_TransportEnergyCons!I$4:I$10000)</f>
        <v>0.19910271024762966</v>
      </c>
      <c r="L1925" s="1" cm="1">
        <f t="array" ref="L1925">SUMPRODUCT(("Var_Cap"=[1]OUT_TransportEnergyCons!$B$4:$B$10000)*1,("-"=[1]OUT_TransportEnergyCons!$C$4:$C$10000)*1,ISNUMBER(SEARCH("T_C*hy*GSL*s4",[1]OUT_TransportEnergyCons!$A$4:$A$10000))*1,[1]OUT_TransportEnergyCons!J$4:J$10000)</f>
        <v>0.24033336644645689</v>
      </c>
      <c r="M1925" s="1" cm="1">
        <f t="array" ref="M1925">SUMPRODUCT(("Var_Cap"=[1]OUT_TransportEnergyCons!$B$4:$B$10000)*1,("-"=[1]OUT_TransportEnergyCons!$C$4:$C$10000)*1,ISNUMBER(SEARCH("T_C*hy*GSL*s4",[1]OUT_TransportEnergyCons!$A$4:$A$10000))*1,[1]OUT_TransportEnergyCons!K$4:K$10000)</f>
        <v>0.32589226729263898</v>
      </c>
      <c r="N1925" s="1" cm="1">
        <f t="array" ref="N1925">SUMPRODUCT(("Var_Cap"=[1]OUT_TransportEnergyCons!$B$4:$B$10000)*1,("-"=[1]OUT_TransportEnergyCons!$C$4:$C$10000)*1,ISNUMBER(SEARCH("T_C*hy*GSL*s4",[1]OUT_TransportEnergyCons!$A$4:$A$10000))*1,[1]OUT_TransportEnergyCons!L$4:L$10000)</f>
        <v>0.34652542277260562</v>
      </c>
      <c r="O1925" s="1" cm="1">
        <f t="array" ref="O1925">SUMPRODUCT(("Var_Cap"=[1]OUT_TransportEnergyCons!$B$4:$B$10000)*1,("-"=[1]OUT_TransportEnergyCons!$C$4:$C$10000)*1,ISNUMBER(SEARCH("T_C*hy*GSL*s4",[1]OUT_TransportEnergyCons!$A$4:$A$10000))*1,[1]OUT_TransportEnergyCons!M$4:M$10000)</f>
        <v>0.32729460780122033</v>
      </c>
      <c r="P1925" s="1" cm="1">
        <f t="array" ref="P1925">SUMPRODUCT(("Var_Cap"=[1]OUT_TransportEnergyCons!$B$4:$B$10000)*1,("-"=[1]OUT_TransportEnergyCons!$C$4:$C$10000)*1,ISNUMBER(SEARCH("T_C*hy*GSL*s4",[1]OUT_TransportEnergyCons!$A$4:$A$10000))*1,[1]OUT_TransportEnergyCons!N$4:N$10000)</f>
        <v>0.26964845531492226</v>
      </c>
      <c r="Q1925" s="1" cm="1">
        <f t="array" ref="Q1925">SUMPRODUCT(("Var_Cap"=[1]OUT_TransportEnergyCons!$B$4:$B$10000)*1,("-"=[1]OUT_TransportEnergyCons!$C$4:$C$10000)*1,ISNUMBER(SEARCH("T_C*hy*GSL*s4",[1]OUT_TransportEnergyCons!$A$4:$A$10000))*1,[1]OUT_TransportEnergyCons!O$4:O$10000)</f>
        <v>0.24242439864711182</v>
      </c>
      <c r="S1925" s="3"/>
    </row>
    <row r="1926" spans="2:19" x14ac:dyDescent="0.5">
      <c r="B1926" s="5" t="str">
        <f t="shared" si="2152"/>
        <v>SPS1</v>
      </c>
      <c r="C1926" s="5" t="str">
        <f t="shared" si="2153"/>
        <v>CH</v>
      </c>
      <c r="D1926" t="s">
        <v>1943</v>
      </c>
      <c r="E1926" t="str">
        <f t="shared" si="2154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2.4920981540486409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2.1594646779959148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1.6628845988734433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0.83144228878990578</v>
      </c>
      <c r="J1926" s="1" cm="1">
        <f t="array" ref="J1926">SUMPRODUCT(("Var_Cap"=[1]OUT_TransportEnergyCons!$B$4:$B$10000)*1,("-"=[1]OUT_TransportEnergyCons!$C$4:$C$10000)*1,ISNUMBER(SEARCH("T_C*ICE*GSL*ext",[1]OUT_TransportEnergyCons!$A$4:$A$10000))*1,[1]OUT_TransportEnergyCons!H$4:H$10000)</f>
        <v>0</v>
      </c>
      <c r="K1926" s="1" cm="1">
        <f t="array" ref="K1926">SUMPRODUCT(("Var_Cap"=[1]OUT_TransportEnergyCons!$B$4:$B$10000)*1,("-"=[1]OUT_TransportEnergyCons!$C$4:$C$10000)*1,ISNUMBER(SEARCH("T_C*ICE*GSL*ext",[1]OUT_TransportEnergyCons!$A$4:$A$10000))*1,[1]OUT_TransportEnergyCons!I$4:I$10000)</f>
        <v>0</v>
      </c>
      <c r="L1926" s="1" cm="1">
        <f t="array" ref="L1926">SUMPRODUCT(("Var_Cap"=[1]OUT_TransportEnergyCons!$B$4:$B$10000)*1,("-"=[1]OUT_TransportEnergyCons!$C$4:$C$10000)*1,ISNUMBER(SEARCH("T_C*ICE*GSL*ext",[1]OUT_TransportEnergyCons!$A$4:$A$10000))*1,[1]OUT_TransportEnergyCons!J$4:J$10000)</f>
        <v>0</v>
      </c>
      <c r="M1926" s="1" cm="1">
        <f t="array" ref="M1926">SUMPRODUCT(("Var_Cap"=[1]OUT_TransportEnergyCons!$B$4:$B$10000)*1,("-"=[1]OUT_TransportEnergyCons!$C$4:$C$10000)*1,ISNUMBER(SEARCH("T_C*ICE*GSL*ext",[1]OUT_TransportEnergyCons!$A$4:$A$10000))*1,[1]OUT_TransportEnergyCons!K$4:K$10000)</f>
        <v>0</v>
      </c>
      <c r="N1926" s="1" cm="1">
        <f t="array" ref="N1926">SUMPRODUCT(("Var_Cap"=[1]OUT_TransportEnergyCons!$B$4:$B$10000)*1,("-"=[1]OUT_TransportEnergyCons!$C$4:$C$10000)*1,ISNUMBER(SEARCH("T_C*ICE*GSL*ext",[1]OUT_TransportEnergyCons!$A$4:$A$10000))*1,[1]OUT_TransportEnergyCons!L$4:L$10000)</f>
        <v>0</v>
      </c>
      <c r="O1926" s="1" cm="1">
        <f t="array" ref="O1926">SUMPRODUCT(("Var_Cap"=[1]OUT_TransportEnergyCons!$B$4:$B$10000)*1,("-"=[1]OUT_TransportEnergyCons!$C$4:$C$10000)*1,ISNUMBER(SEARCH("T_C*ICE*GSL*ext",[1]OUT_TransportEnergyCons!$A$4:$A$10000))*1,[1]OUT_TransportEnergyCons!M$4:M$10000)</f>
        <v>0</v>
      </c>
      <c r="P1926" s="1" cm="1">
        <f t="array" ref="P1926">SUMPRODUCT(("Var_Cap"=[1]OUT_TransportEnergyCons!$B$4:$B$10000)*1,("-"=[1]OUT_TransportEnergyCons!$C$4:$C$10000)*1,ISNUMBER(SEARCH("T_C*ICE*GSL*ext",[1]OUT_TransportEnergyCons!$A$4:$A$10000))*1,[1]OUT_TransportEnergyCons!N$4:N$10000)</f>
        <v>0</v>
      </c>
      <c r="Q1926" s="1" cm="1">
        <f t="array" ref="Q1926">SUMPRODUCT(("Var_Cap"=[1]OUT_TransportEnergyCons!$B$4:$B$10000)*1,("-"=[1]OUT_TransportEnergyCons!$C$4:$C$10000)*1,ISNUMBER(SEARCH("T_C*ICE*GSL*ext",[1]OUT_TransportEnergyCons!$A$4:$A$10000))*1,[1]OUT_TransportEnergyCons!O$4:O$10000)</f>
        <v>0</v>
      </c>
      <c r="S1926" s="3"/>
    </row>
    <row r="1927" spans="2:19" x14ac:dyDescent="0.5">
      <c r="B1927" s="5" t="str">
        <f t="shared" si="2152"/>
        <v>SPS1</v>
      </c>
      <c r="C1927" s="5" t="str">
        <f t="shared" si="2153"/>
        <v>CH</v>
      </c>
      <c r="D1927" t="s">
        <v>1944</v>
      </c>
      <c r="E1927" t="str">
        <f t="shared" si="2154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3.6540680869476629E-2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3.9846861076248657E-2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3.9679773970865286E-2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3.0737875166269617E-2</v>
      </c>
      <c r="J1927" s="1" cm="1">
        <f t="array" ref="J1927">SUMPRODUCT(("Var_Cap"=[1]OUT_TransportEnergyCons!$B$4:$B$10000)*1,("-"=[1]OUT_TransportEnergyCons!$C$4:$C$10000)*1,ISNUMBER(SEARCH("T_C*ICE*GSL*s1",[1]OUT_TransportEnergyCons!$A$4:$A$10000))*1,[1]OUT_TransportEnergyCons!H$4:H$10000)</f>
        <v>2.0553933785808125E-3</v>
      </c>
      <c r="K1927" s="1" cm="1">
        <f t="array" ref="K1927">SUMPRODUCT(("Var_Cap"=[1]OUT_TransportEnergyCons!$B$4:$B$10000)*1,("-"=[1]OUT_TransportEnergyCons!$C$4:$C$10000)*1,ISNUMBER(SEARCH("T_C*ICE*GSL*s1",[1]OUT_TransportEnergyCons!$A$4:$A$10000))*1,[1]OUT_TransportEnergyCons!I$4:I$10000)</f>
        <v>6.3756900306536442E-4</v>
      </c>
      <c r="L1927" s="1" cm="1">
        <f t="array" ref="L1927">SUMPRODUCT(("Var_Cap"=[1]OUT_TransportEnergyCons!$B$4:$B$10000)*1,("-"=[1]OUT_TransportEnergyCons!$C$4:$C$10000)*1,ISNUMBER(SEARCH("T_C*ICE*GSL*s1",[1]OUT_TransportEnergyCons!$A$4:$A$10000))*1,[1]OUT_TransportEnergyCons!J$4:J$10000)</f>
        <v>4.3120308440422196E-4</v>
      </c>
      <c r="M1927" s="1" cm="1">
        <f t="array" ref="M1927">SUMPRODUCT(("Var_Cap"=[1]OUT_TransportEnergyCons!$B$4:$B$10000)*1,("-"=[1]OUT_TransportEnergyCons!$C$4:$C$10000)*1,ISNUMBER(SEARCH("T_C*ICE*GSL*s1",[1]OUT_TransportEnergyCons!$A$4:$A$10000))*1,[1]OUT_TransportEnergyCons!K$4:K$10000)</f>
        <v>2.9721860968649489E-4</v>
      </c>
      <c r="N1927" s="1" cm="1">
        <f t="array" ref="N1927">SUMPRODUCT(("Var_Cap"=[1]OUT_TransportEnergyCons!$B$4:$B$10000)*1,("-"=[1]OUT_TransportEnergyCons!$C$4:$C$10000)*1,ISNUMBER(SEARCH("T_C*ICE*GSL*s1",[1]OUT_TransportEnergyCons!$A$4:$A$10000))*1,[1]OUT_TransportEnergyCons!L$4:L$10000)</f>
        <v>1.802703117691268E-4</v>
      </c>
      <c r="O1927" s="1" cm="1">
        <f t="array" ref="O1927">SUMPRODUCT(("Var_Cap"=[1]OUT_TransportEnergyCons!$B$4:$B$10000)*1,("-"=[1]OUT_TransportEnergyCons!$C$4:$C$10000)*1,ISNUMBER(SEARCH("T_C*ICE*GSL*s1",[1]OUT_TransportEnergyCons!$A$4:$A$10000))*1,[1]OUT_TransportEnergyCons!M$4:M$10000)</f>
        <v>1.825221964297423E-4</v>
      </c>
      <c r="P1927" s="1" cm="1">
        <f t="array" ref="P1927">SUMPRODUCT(("Var_Cap"=[1]OUT_TransportEnergyCons!$B$4:$B$10000)*1,("-"=[1]OUT_TransportEnergyCons!$C$4:$C$10000)*1,ISNUMBER(SEARCH("T_C*ICE*GSL*s1",[1]OUT_TransportEnergyCons!$A$4:$A$10000))*1,[1]OUT_TransportEnergyCons!N$4:N$10000)</f>
        <v>2.1239658594679231E-4</v>
      </c>
      <c r="Q1927" s="1" cm="1">
        <f t="array" ref="Q1927">SUMPRODUCT(("Var_Cap"=[1]OUT_TransportEnergyCons!$B$4:$B$10000)*1,("-"=[1]OUT_TransportEnergyCons!$C$4:$C$10000)*1,ISNUMBER(SEARCH("T_C*ICE*GSL*s1",[1]OUT_TransportEnergyCons!$A$4:$A$10000))*1,[1]OUT_TransportEnergyCons!O$4:O$10000)</f>
        <v>2.8192483737236857E-4</v>
      </c>
      <c r="S1927" s="3"/>
    </row>
    <row r="1928" spans="2:19" x14ac:dyDescent="0.5">
      <c r="B1928" s="5" t="str">
        <f t="shared" si="2152"/>
        <v>SPS1</v>
      </c>
      <c r="C1928" s="5" t="str">
        <f t="shared" si="2153"/>
        <v>CH</v>
      </c>
      <c r="D1928" t="s">
        <v>1945</v>
      </c>
      <c r="E1928" t="str">
        <f t="shared" si="2154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0.21743002169160475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0.24345089903637626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0.2426244420632537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0.19256354024689734</v>
      </c>
      <c r="J1928" s="1" cm="1">
        <f t="array" ref="J1928">SUMPRODUCT(("Var_Cap"=[1]OUT_TransportEnergyCons!$B$4:$B$10000)*1,("-"=[1]OUT_TransportEnergyCons!$C$4:$C$10000)*1,ISNUMBER(SEARCH("T_C*ICE*GSL*s2",[1]OUT_TransportEnergyCons!$A$4:$A$10000))*1,[1]OUT_TransportEnergyCons!H$4:H$10000)</f>
        <v>1.2915858511151825E-2</v>
      </c>
      <c r="K1928" s="1" cm="1">
        <f t="array" ref="K1928">SUMPRODUCT(("Var_Cap"=[1]OUT_TransportEnergyCons!$B$4:$B$10000)*1,("-"=[1]OUT_TransportEnergyCons!$C$4:$C$10000)*1,ISNUMBER(SEARCH("T_C*ICE*GSL*s2",[1]OUT_TransportEnergyCons!$A$4:$A$10000))*1,[1]OUT_TransportEnergyCons!I$4:I$10000)</f>
        <v>1.3974679306166392E-3</v>
      </c>
      <c r="L1928" s="1" cm="1">
        <f t="array" ref="L1928">SUMPRODUCT(("Var_Cap"=[1]OUT_TransportEnergyCons!$B$4:$B$10000)*1,("-"=[1]OUT_TransportEnergyCons!$C$4:$C$10000)*1,ISNUMBER(SEARCH("T_C*ICE*GSL*s2",[1]OUT_TransportEnergyCons!$A$4:$A$10000))*1,[1]OUT_TransportEnergyCons!J$4:J$10000)</f>
        <v>7.2557172594307372E-4</v>
      </c>
      <c r="M1928" s="1" cm="1">
        <f t="array" ref="M1928">SUMPRODUCT(("Var_Cap"=[1]OUT_TransportEnergyCons!$B$4:$B$10000)*1,("-"=[1]OUT_TransportEnergyCons!$C$4:$C$10000)*1,ISNUMBER(SEARCH("T_C*ICE*GSL*s2",[1]OUT_TransportEnergyCons!$A$4:$A$10000))*1,[1]OUT_TransportEnergyCons!K$4:K$10000)</f>
        <v>3.9810031391861704E-4</v>
      </c>
      <c r="N1928" s="1" cm="1">
        <f t="array" ref="N1928">SUMPRODUCT(("Var_Cap"=[1]OUT_TransportEnergyCons!$B$4:$B$10000)*1,("-"=[1]OUT_TransportEnergyCons!$C$4:$C$10000)*1,ISNUMBER(SEARCH("T_C*ICE*GSL*s2",[1]OUT_TransportEnergyCons!$A$4:$A$10000))*1,[1]OUT_TransportEnergyCons!L$4:L$10000)</f>
        <v>2.4016061813755325E-4</v>
      </c>
      <c r="O1928" s="1" cm="1">
        <f t="array" ref="O1928">SUMPRODUCT(("Var_Cap"=[1]OUT_TransportEnergyCons!$B$4:$B$10000)*1,("-"=[1]OUT_TransportEnergyCons!$C$4:$C$10000)*1,ISNUMBER(SEARCH("T_C*ICE*GSL*s2",[1]OUT_TransportEnergyCons!$A$4:$A$10000))*1,[1]OUT_TransportEnergyCons!M$4:M$10000)</f>
        <v>2.4836113198400131E-4</v>
      </c>
      <c r="P1928" s="1" cm="1">
        <f t="array" ref="P1928">SUMPRODUCT(("Var_Cap"=[1]OUT_TransportEnergyCons!$B$4:$B$10000)*1,("-"=[1]OUT_TransportEnergyCons!$C$4:$C$10000)*1,ISNUMBER(SEARCH("T_C*ICE*GSL*s2",[1]OUT_TransportEnergyCons!$A$4:$A$10000))*1,[1]OUT_TransportEnergyCons!N$4:N$10000)</f>
        <v>2.9575993757561175E-4</v>
      </c>
      <c r="Q1928" s="1" cm="1">
        <f t="array" ref="Q1928">SUMPRODUCT(("Var_Cap"=[1]OUT_TransportEnergyCons!$B$4:$B$10000)*1,("-"=[1]OUT_TransportEnergyCons!$C$4:$C$10000)*1,ISNUMBER(SEARCH("T_C*ICE*GSL*s2",[1]OUT_TransportEnergyCons!$A$4:$A$10000))*1,[1]OUT_TransportEnergyCons!O$4:O$10000)</f>
        <v>3.8506414852247997E-4</v>
      </c>
      <c r="S1928" s="3"/>
    </row>
    <row r="1929" spans="2:19" x14ac:dyDescent="0.5">
      <c r="B1929" s="5" t="str">
        <f t="shared" si="2152"/>
        <v>SPS1</v>
      </c>
      <c r="C1929" s="5" t="str">
        <f t="shared" si="2153"/>
        <v>CH</v>
      </c>
      <c r="D1929" t="s">
        <v>1946</v>
      </c>
      <c r="E1929" t="str">
        <f t="shared" si="2154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0.18201189457399061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0.20380323969991093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0.26273478373343723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0.22037437424570827</v>
      </c>
      <c r="J1929" s="1" cm="1">
        <f t="array" ref="J1929">SUMPRODUCT(("Var_Cap"=[1]OUT_TransportEnergyCons!$B$4:$B$10000)*1,("-"=[1]OUT_TransportEnergyCons!$C$4:$C$10000)*1,ISNUMBER(SEARCH("T_C*ICE*GSL*s3",[1]OUT_TransportEnergyCons!$A$4:$A$10000))*1,[1]OUT_TransportEnergyCons!H$4:H$10000)</f>
        <v>7.6143840380793401E-2</v>
      </c>
      <c r="K1929" s="1" cm="1">
        <f t="array" ref="K1929">SUMPRODUCT(("Var_Cap"=[1]OUT_TransportEnergyCons!$B$4:$B$10000)*1,("-"=[1]OUT_TransportEnergyCons!$C$4:$C$10000)*1,ISNUMBER(SEARCH("T_C*ICE*GSL*s3",[1]OUT_TransportEnergyCons!$A$4:$A$10000))*1,[1]OUT_TransportEnergyCons!I$4:I$10000)</f>
        <v>3.2231229915675612E-2</v>
      </c>
      <c r="L1929" s="1" cm="1">
        <f t="array" ref="L1929">SUMPRODUCT(("Var_Cap"=[1]OUT_TransportEnergyCons!$B$4:$B$10000)*1,("-"=[1]OUT_TransportEnergyCons!$C$4:$C$10000)*1,ISNUMBER(SEARCH("T_C*ICE*GSL*s3",[1]OUT_TransportEnergyCons!$A$4:$A$10000))*1,[1]OUT_TransportEnergyCons!J$4:J$10000)</f>
        <v>1.7869936532067008E-2</v>
      </c>
      <c r="M1929" s="1" cm="1">
        <f t="array" ref="M1929">SUMPRODUCT(("Var_Cap"=[1]OUT_TransportEnergyCons!$B$4:$B$10000)*1,("-"=[1]OUT_TransportEnergyCons!$C$4:$C$10000)*1,ISNUMBER(SEARCH("T_C*ICE*GSL*s3",[1]OUT_TransportEnergyCons!$A$4:$A$10000))*1,[1]OUT_TransportEnergyCons!K$4:K$10000)</f>
        <v>1.3525088742120338E-3</v>
      </c>
      <c r="N1929" s="1" cm="1">
        <f t="array" ref="N1929">SUMPRODUCT(("Var_Cap"=[1]OUT_TransportEnergyCons!$B$4:$B$10000)*1,("-"=[1]OUT_TransportEnergyCons!$C$4:$C$10000)*1,ISNUMBER(SEARCH("T_C*ICE*GSL*s3",[1]OUT_TransportEnergyCons!$A$4:$A$10000))*1,[1]OUT_TransportEnergyCons!L$4:L$10000)</f>
        <v>4.498460682173544E-4</v>
      </c>
      <c r="O1929" s="1" cm="1">
        <f t="array" ref="O1929">SUMPRODUCT(("Var_Cap"=[1]OUT_TransportEnergyCons!$B$4:$B$10000)*1,("-"=[1]OUT_TransportEnergyCons!$C$4:$C$10000)*1,ISNUMBER(SEARCH("T_C*ICE*GSL*s3",[1]OUT_TransportEnergyCons!$A$4:$A$10000))*1,[1]OUT_TransportEnergyCons!M$4:M$10000)</f>
        <v>3.5991582961204859E-4</v>
      </c>
      <c r="P1929" s="1" cm="1">
        <f t="array" ref="P1929">SUMPRODUCT(("Var_Cap"=[1]OUT_TransportEnergyCons!$B$4:$B$10000)*1,("-"=[1]OUT_TransportEnergyCons!$C$4:$C$10000)*1,ISNUMBER(SEARCH("T_C*ICE*GSL*s3",[1]OUT_TransportEnergyCons!$A$4:$A$10000))*1,[1]OUT_TransportEnergyCons!N$4:N$10000)</f>
        <v>4.0601504841297249E-4</v>
      </c>
      <c r="Q1929" s="1" cm="1">
        <f t="array" ref="Q1929">SUMPRODUCT(("Var_Cap"=[1]OUT_TransportEnergyCons!$B$4:$B$10000)*1,("-"=[1]OUT_TransportEnergyCons!$C$4:$C$10000)*1,ISNUMBER(SEARCH("T_C*ICE*GSL*s3",[1]OUT_TransportEnergyCons!$A$4:$A$10000))*1,[1]OUT_TransportEnergyCons!O$4:O$10000)</f>
        <v>4.8977062883935477E-4</v>
      </c>
      <c r="S1929" s="3"/>
    </row>
    <row r="1930" spans="2:19" x14ac:dyDescent="0.5">
      <c r="B1930" s="5" t="str">
        <f t="shared" si="2152"/>
        <v>SPS1</v>
      </c>
      <c r="C1930" s="5" t="str">
        <f t="shared" si="2153"/>
        <v>CH</v>
      </c>
      <c r="D1930" t="s">
        <v>1947</v>
      </c>
      <c r="E1930" t="str">
        <f t="shared" si="2154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0.15707509217685475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0.17937607472690262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0.45358415919072692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0.87082180145045407</v>
      </c>
      <c r="J1930" s="1" cm="1">
        <f t="array" ref="J1930">SUMPRODUCT(("Var_Cap"=[1]OUT_TransportEnergyCons!$B$4:$B$10000)*1,("-"=[1]OUT_TransportEnergyCons!$C$4:$C$10000)*1,ISNUMBER(SEARCH("T_C*ICE*GSL*s4",[1]OUT_TransportEnergyCons!$A$4:$A$10000))*1,[1]OUT_TransportEnergyCons!H$4:H$10000)</f>
        <v>1.1409958124417907</v>
      </c>
      <c r="K1930" s="1" cm="1">
        <f t="array" ref="K1930">SUMPRODUCT(("Var_Cap"=[1]OUT_TransportEnergyCons!$B$4:$B$10000)*1,("-"=[1]OUT_TransportEnergyCons!$C$4:$C$10000)*1,ISNUMBER(SEARCH("T_C*ICE*GSL*s4",[1]OUT_TransportEnergyCons!$A$4:$A$10000))*1,[1]OUT_TransportEnergyCons!I$4:I$10000)</f>
        <v>1.2047781708156462</v>
      </c>
      <c r="L1930" s="1" cm="1">
        <f t="array" ref="L1930">SUMPRODUCT(("Var_Cap"=[1]OUT_TransportEnergyCons!$B$4:$B$10000)*1,("-"=[1]OUT_TransportEnergyCons!$C$4:$C$10000)*1,ISNUMBER(SEARCH("T_C*ICE*GSL*s4",[1]OUT_TransportEnergyCons!$A$4:$A$10000))*1,[1]OUT_TransportEnergyCons!J$4:J$10000)</f>
        <v>1.2208022020168789</v>
      </c>
      <c r="M1930" s="1" cm="1">
        <f t="array" ref="M1930">SUMPRODUCT(("Var_Cap"=[1]OUT_TransportEnergyCons!$B$4:$B$10000)*1,("-"=[1]OUT_TransportEnergyCons!$C$4:$C$10000)*1,ISNUMBER(SEARCH("T_C*ICE*GSL*s4",[1]OUT_TransportEnergyCons!$A$4:$A$10000))*1,[1]OUT_TransportEnergyCons!K$4:K$10000)</f>
        <v>1.2386497352839454</v>
      </c>
      <c r="N1930" s="1" cm="1">
        <f t="array" ref="N1930">SUMPRODUCT(("Var_Cap"=[1]OUT_TransportEnergyCons!$B$4:$B$10000)*1,("-"=[1]OUT_TransportEnergyCons!$C$4:$C$10000)*1,ISNUMBER(SEARCH("T_C*ICE*GSL*s4",[1]OUT_TransportEnergyCons!$A$4:$A$10000))*1,[1]OUT_TransportEnergyCons!L$4:L$10000)</f>
        <v>1.2420953239514119</v>
      </c>
      <c r="O1930" s="1" cm="1">
        <f t="array" ref="O1930">SUMPRODUCT(("Var_Cap"=[1]OUT_TransportEnergyCons!$B$4:$B$10000)*1,("-"=[1]OUT_TransportEnergyCons!$C$4:$C$10000)*1,ISNUMBER(SEARCH("T_C*ICE*GSL*s4",[1]OUT_TransportEnergyCons!$A$4:$A$10000))*1,[1]OUT_TransportEnergyCons!M$4:M$10000)</f>
        <v>1.2423767056180828</v>
      </c>
      <c r="P1930" s="1" cm="1">
        <f t="array" ref="P1930">SUMPRODUCT(("Var_Cap"=[1]OUT_TransportEnergyCons!$B$4:$B$10000)*1,("-"=[1]OUT_TransportEnergyCons!$C$4:$C$10000)*1,ISNUMBER(SEARCH("T_C*ICE*GSL*s4",[1]OUT_TransportEnergyCons!$A$4:$A$10000))*1,[1]OUT_TransportEnergyCons!N$4:N$10000)</f>
        <v>1.230690890263467</v>
      </c>
      <c r="Q1930" s="1" cm="1">
        <f t="array" ref="Q1930">SUMPRODUCT(("Var_Cap"=[1]OUT_TransportEnergyCons!$B$4:$B$10000)*1,("-"=[1]OUT_TransportEnergyCons!$C$4:$C$10000)*1,ISNUMBER(SEARCH("T_C*ICE*GSL*s4",[1]OUT_TransportEnergyCons!$A$4:$A$10000))*1,[1]OUT_TransportEnergyCons!O$4:O$10000)</f>
        <v>1.1710126165397698</v>
      </c>
      <c r="S1930" s="3"/>
    </row>
    <row r="1931" spans="2:19" x14ac:dyDescent="0.5">
      <c r="B1931" s="5" t="str">
        <f t="shared" si="2152"/>
        <v>SPS1</v>
      </c>
      <c r="C1931" s="5" t="str">
        <f t="shared" si="2153"/>
        <v>CH</v>
      </c>
      <c r="D1931" t="s">
        <v>1948</v>
      </c>
      <c r="E1931" t="str">
        <f t="shared" si="2154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8.7236361346374903E-5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1.7125312950976902E-2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1.71680490921064E-2</v>
      </c>
      <c r="J1931" s="1" cm="1">
        <f t="array" ref="J1931">SUMPRODUCT(("Var_Cap"=[1]OUT_TransportEnergyCons!$B$4:$B$10000)*1,("-"=[1]OUT_TransportEnergyCons!$C$4:$C$10000)*1,ISNUMBER(SEARCH("T_C*mhy*GSL*s1",[1]OUT_TransportEnergyCons!$A$4:$A$10000))*1,[1]OUT_TransportEnergyCons!H$4:H$10000)</f>
        <v>1.2580597198983801E-2</v>
      </c>
      <c r="K1931" s="1" cm="1">
        <f t="array" ref="K1931">SUMPRODUCT(("Var_Cap"=[1]OUT_TransportEnergyCons!$B$4:$B$10000)*1,("-"=[1]OUT_TransportEnergyCons!$C$4:$C$10000)*1,ISNUMBER(SEARCH("T_C*mhy*GSL*s1",[1]OUT_TransportEnergyCons!$A$4:$A$10000))*1,[1]OUT_TransportEnergyCons!I$4:I$10000)</f>
        <v>3.0257278185275198E-3</v>
      </c>
      <c r="L1931" s="1" cm="1">
        <f t="array" ref="L1931">SUMPRODUCT(("Var_Cap"=[1]OUT_TransportEnergyCons!$B$4:$B$10000)*1,("-"=[1]OUT_TransportEnergyCons!$C$4:$C$10000)*1,ISNUMBER(SEARCH("T_C*mhy*GSL*s1",[1]OUT_TransportEnergyCons!$A$4:$A$10000))*1,[1]OUT_TransportEnergyCons!J$4:J$10000)</f>
        <v>3.1845427725990798E-4</v>
      </c>
      <c r="M1931" s="1" cm="1">
        <f t="array" ref="M1931">SUMPRODUCT(("Var_Cap"=[1]OUT_TransportEnergyCons!$B$4:$B$10000)*1,("-"=[1]OUT_TransportEnergyCons!$C$4:$C$10000)*1,ISNUMBER(SEARCH("T_C*mhy*GSL*s1",[1]OUT_TransportEnergyCons!$A$4:$A$10000))*1,[1]OUT_TransportEnergyCons!K$4:K$10000)</f>
        <v>2.6483765830258098E-4</v>
      </c>
      <c r="N1931" s="1" cm="1">
        <f t="array" ref="N1931">SUMPRODUCT(("Var_Cap"=[1]OUT_TransportEnergyCons!$B$4:$B$10000)*1,("-"=[1]OUT_TransportEnergyCons!$C$4:$C$10000)*1,ISNUMBER(SEARCH("T_C*mhy*GSL*s1",[1]OUT_TransportEnergyCons!$A$4:$A$10000))*1,[1]OUT_TransportEnergyCons!L$4:L$10000)</f>
        <v>2.1597985926988901E-4</v>
      </c>
      <c r="O1931" s="1" cm="1">
        <f t="array" ref="O1931">SUMPRODUCT(("Var_Cap"=[1]OUT_TransportEnergyCons!$B$4:$B$10000)*1,("-"=[1]OUT_TransportEnergyCons!$C$4:$C$10000)*1,ISNUMBER(SEARCH("T_C*mhy*GSL*s1",[1]OUT_TransportEnergyCons!$A$4:$A$10000))*1,[1]OUT_TransportEnergyCons!M$4:M$10000)</f>
        <v>3.33164376587384E-4</v>
      </c>
      <c r="P1931" s="1" cm="1">
        <f t="array" ref="P1931">SUMPRODUCT(("Var_Cap"=[1]OUT_TransportEnergyCons!$B$4:$B$10000)*1,("-"=[1]OUT_TransportEnergyCons!$C$4:$C$10000)*1,ISNUMBER(SEARCH("T_C*mhy*GSL*s1",[1]OUT_TransportEnergyCons!$A$4:$A$10000))*1,[1]OUT_TransportEnergyCons!N$4:N$10000)</f>
        <v>7.6504901511617205E-4</v>
      </c>
      <c r="Q1931" s="1" cm="1">
        <f t="array" ref="Q1931">SUMPRODUCT(("Var_Cap"=[1]OUT_TransportEnergyCons!$B$4:$B$10000)*1,("-"=[1]OUT_TransportEnergyCons!$C$4:$C$10000)*1,ISNUMBER(SEARCH("T_C*mhy*GSL*s1",[1]OUT_TransportEnergyCons!$A$4:$A$10000))*1,[1]OUT_TransportEnergyCons!O$4:O$10000)</f>
        <v>1.01764486143988E-3</v>
      </c>
      <c r="S1931" s="3"/>
    </row>
    <row r="1932" spans="2:19" x14ac:dyDescent="0.5">
      <c r="B1932" s="5" t="str">
        <f t="shared" si="2152"/>
        <v>SPS1</v>
      </c>
      <c r="C1932" s="5" t="str">
        <f t="shared" si="2153"/>
        <v>CH</v>
      </c>
      <c r="D1932" t="s">
        <v>1949</v>
      </c>
      <c r="E1932" t="str">
        <f t="shared" si="2154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4.4535376070686798E-5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5.2824497536201401E-4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7.8035852530815005E-4</v>
      </c>
      <c r="J1932" s="1" cm="1">
        <f t="array" ref="J1932">SUMPRODUCT(("Var_Cap"=[1]OUT_TransportEnergyCons!$B$4:$B$10000)*1,("-"=[1]OUT_TransportEnergyCons!$C$4:$C$10000)*1,ISNUMBER(SEARCH("T_C*mhy*GSL*s2",[1]OUT_TransportEnergyCons!$A$4:$A$10000))*1,[1]OUT_TransportEnergyCons!H$4:H$10000)</f>
        <v>7.2098526517749297E-4</v>
      </c>
      <c r="K1932" s="1" cm="1">
        <f t="array" ref="K1932">SUMPRODUCT(("Var_Cap"=[1]OUT_TransportEnergyCons!$B$4:$B$10000)*1,("-"=[1]OUT_TransportEnergyCons!$C$4:$C$10000)*1,ISNUMBER(SEARCH("T_C*mhy*GSL*s2",[1]OUT_TransportEnergyCons!$A$4:$A$10000))*1,[1]OUT_TransportEnergyCons!I$4:I$10000)</f>
        <v>4.7394783866772799E-4</v>
      </c>
      <c r="L1932" s="1" cm="1">
        <f t="array" ref="L1932">SUMPRODUCT(("Var_Cap"=[1]OUT_TransportEnergyCons!$B$4:$B$10000)*1,("-"=[1]OUT_TransportEnergyCons!$C$4:$C$10000)*1,ISNUMBER(SEARCH("T_C*mhy*GSL*s2",[1]OUT_TransportEnergyCons!$A$4:$A$10000))*1,[1]OUT_TransportEnergyCons!J$4:J$10000)</f>
        <v>3.02370718194626E-4</v>
      </c>
      <c r="M1932" s="1" cm="1">
        <f t="array" ref="M1932">SUMPRODUCT(("Var_Cap"=[1]OUT_TransportEnergyCons!$B$4:$B$10000)*1,("-"=[1]OUT_TransportEnergyCons!$C$4:$C$10000)*1,ISNUMBER(SEARCH("T_C*mhy*GSL*s2",[1]OUT_TransportEnergyCons!$A$4:$A$10000))*1,[1]OUT_TransportEnergyCons!K$4:K$10000)</f>
        <v>2.7014005734004302E-4</v>
      </c>
      <c r="N1932" s="1" cm="1">
        <f t="array" ref="N1932">SUMPRODUCT(("Var_Cap"=[1]OUT_TransportEnergyCons!$B$4:$B$10000)*1,("-"=[1]OUT_TransportEnergyCons!$C$4:$C$10000)*1,ISNUMBER(SEARCH("T_C*mhy*GSL*s2",[1]OUT_TransportEnergyCons!$A$4:$A$10000))*1,[1]OUT_TransportEnergyCons!L$4:L$10000)</f>
        <v>2.39011182831542E-4</v>
      </c>
      <c r="O1932" s="1" cm="1">
        <f t="array" ref="O1932">SUMPRODUCT(("Var_Cap"=[1]OUT_TransportEnergyCons!$B$4:$B$10000)*1,("-"=[1]OUT_TransportEnergyCons!$C$4:$C$10000)*1,ISNUMBER(SEARCH("T_C*mhy*GSL*s2",[1]OUT_TransportEnergyCons!$A$4:$A$10000))*1,[1]OUT_TransportEnergyCons!M$4:M$10000)</f>
        <v>3.2619723315833299E-4</v>
      </c>
      <c r="P1932" s="1" cm="1">
        <f t="array" ref="P1932">SUMPRODUCT(("Var_Cap"=[1]OUT_TransportEnergyCons!$B$4:$B$10000)*1,("-"=[1]OUT_TransportEnergyCons!$C$4:$C$10000)*1,ISNUMBER(SEARCH("T_C*mhy*GSL*s2",[1]OUT_TransportEnergyCons!$A$4:$A$10000))*1,[1]OUT_TransportEnergyCons!N$4:N$10000)</f>
        <v>4.9917936632233595E-4</v>
      </c>
      <c r="Q1932" s="1" cm="1">
        <f t="array" ref="Q1932">SUMPRODUCT(("Var_Cap"=[1]OUT_TransportEnergyCons!$B$4:$B$10000)*1,("-"=[1]OUT_TransportEnergyCons!$C$4:$C$10000)*1,ISNUMBER(SEARCH("T_C*mhy*GSL*s2",[1]OUT_TransportEnergyCons!$A$4:$A$10000))*1,[1]OUT_TransportEnergyCons!O$4:O$10000)</f>
        <v>5.7552176811688797E-4</v>
      </c>
      <c r="S1932" s="3"/>
    </row>
    <row r="1933" spans="2:19" x14ac:dyDescent="0.5">
      <c r="B1933" s="5" t="str">
        <f t="shared" si="2152"/>
        <v>SPS1</v>
      </c>
      <c r="C1933" s="5" t="str">
        <f t="shared" si="2153"/>
        <v>CH</v>
      </c>
      <c r="D1933" t="s">
        <v>1950</v>
      </c>
      <c r="E1933" t="str">
        <f t="shared" si="2154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5.6317785717383899E-5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3.0103698923326401E-4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4.48392752243975E-4</v>
      </c>
      <c r="J1933" s="1" cm="1">
        <f t="array" ref="J1933">SUMPRODUCT(("Var_Cap"=[1]OUT_TransportEnergyCons!$B$4:$B$10000)*1,("-"=[1]OUT_TransportEnergyCons!$C$4:$C$10000)*1,ISNUMBER(SEARCH("T_C*mhy*GSL*s3",[1]OUT_TransportEnergyCons!$A$4:$A$10000))*1,[1]OUT_TransportEnergyCons!H$4:H$10000)</f>
        <v>4.38945299948592E-4</v>
      </c>
      <c r="K1933" s="1" cm="1">
        <f t="array" ref="K1933">SUMPRODUCT(("Var_Cap"=[1]OUT_TransportEnergyCons!$B$4:$B$10000)*1,("-"=[1]OUT_TransportEnergyCons!$C$4:$C$10000)*1,ISNUMBER(SEARCH("T_C*mhy*GSL*s3",[1]OUT_TransportEnergyCons!$A$4:$A$10000))*1,[1]OUT_TransportEnergyCons!I$4:I$10000)</f>
        <v>3.5471575518454502E-4</v>
      </c>
      <c r="L1933" s="1" cm="1">
        <f t="array" ref="L1933">SUMPRODUCT(("Var_Cap"=[1]OUT_TransportEnergyCons!$B$4:$B$10000)*1,("-"=[1]OUT_TransportEnergyCons!$C$4:$C$10000)*1,ISNUMBER(SEARCH("T_C*mhy*GSL*s3",[1]OUT_TransportEnergyCons!$A$4:$A$10000))*1,[1]OUT_TransportEnergyCons!J$4:J$10000)</f>
        <v>3.00716730312442E-4</v>
      </c>
      <c r="M1933" s="1" cm="1">
        <f t="array" ref="M1933">SUMPRODUCT(("Var_Cap"=[1]OUT_TransportEnergyCons!$B$4:$B$10000)*1,("-"=[1]OUT_TransportEnergyCons!$C$4:$C$10000)*1,ISNUMBER(SEARCH("T_C*mhy*GSL*s3",[1]OUT_TransportEnergyCons!$A$4:$A$10000))*1,[1]OUT_TransportEnergyCons!K$4:K$10000)</f>
        <v>3.2755425137597898E-4</v>
      </c>
      <c r="N1933" s="1" cm="1">
        <f t="array" ref="N1933">SUMPRODUCT(("Var_Cap"=[1]OUT_TransportEnergyCons!$B$4:$B$10000)*1,("-"=[1]OUT_TransportEnergyCons!$C$4:$C$10000)*1,ISNUMBER(SEARCH("T_C*mhy*GSL*s3",[1]OUT_TransportEnergyCons!$A$4:$A$10000))*1,[1]OUT_TransportEnergyCons!L$4:L$10000)</f>
        <v>3.2855639727044698E-4</v>
      </c>
      <c r="O1933" s="1" cm="1">
        <f t="array" ref="O1933">SUMPRODUCT(("Var_Cap"=[1]OUT_TransportEnergyCons!$B$4:$B$10000)*1,("-"=[1]OUT_TransportEnergyCons!$C$4:$C$10000)*1,ISNUMBER(SEARCH("T_C*mhy*GSL*s3",[1]OUT_TransportEnergyCons!$A$4:$A$10000))*1,[1]OUT_TransportEnergyCons!M$4:M$10000)</f>
        <v>4.41741467783273E-4</v>
      </c>
      <c r="P1933" s="1" cm="1">
        <f t="array" ref="P1933">SUMPRODUCT(("Var_Cap"=[1]OUT_TransportEnergyCons!$B$4:$B$10000)*1,("-"=[1]OUT_TransportEnergyCons!$C$4:$C$10000)*1,ISNUMBER(SEARCH("T_C*mhy*GSL*s3",[1]OUT_TransportEnergyCons!$A$4:$A$10000))*1,[1]OUT_TransportEnergyCons!N$4:N$10000)</f>
        <v>6.4385498261499297E-4</v>
      </c>
      <c r="Q1933" s="1" cm="1">
        <f t="array" ref="Q1933">SUMPRODUCT(("Var_Cap"=[1]OUT_TransportEnergyCons!$B$4:$B$10000)*1,("-"=[1]OUT_TransportEnergyCons!$C$4:$C$10000)*1,ISNUMBER(SEARCH("T_C*mhy*GSL*s3",[1]OUT_TransportEnergyCons!$A$4:$A$10000))*1,[1]OUT_TransportEnergyCons!O$4:O$10000)</f>
        <v>6.8468443392657595E-4</v>
      </c>
      <c r="S1933" s="3"/>
    </row>
    <row r="1934" spans="2:19" x14ac:dyDescent="0.5">
      <c r="B1934" s="5" t="str">
        <f t="shared" si="2152"/>
        <v>SPS1</v>
      </c>
      <c r="C1934" s="5" t="str">
        <f t="shared" si="2153"/>
        <v>CH</v>
      </c>
      <c r="D1934" t="s">
        <v>1951</v>
      </c>
      <c r="E1934" t="str">
        <f t="shared" si="2154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8.4597433908109696E-5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3.3546716093925601E-2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0.141709932221389</v>
      </c>
      <c r="J1934" s="1" cm="1">
        <f t="array" ref="J1934">SUMPRODUCT(("Var_Cap"=[1]OUT_TransportEnergyCons!$B$4:$B$10000)*1,("-"=[1]OUT_TransportEnergyCons!$C$4:$C$10000)*1,ISNUMBER(SEARCH("T_C*mhy*GSL*s4",[1]OUT_TransportEnergyCons!$A$4:$A$10000))*1,[1]OUT_TransportEnergyCons!H$4:H$10000)</f>
        <v>0.15953475583476301</v>
      </c>
      <c r="K1934" s="1" cm="1">
        <f t="array" ref="K1934">SUMPRODUCT(("Var_Cap"=[1]OUT_TransportEnergyCons!$B$4:$B$10000)*1,("-"=[1]OUT_TransportEnergyCons!$C$4:$C$10000)*1,ISNUMBER(SEARCH("T_C*mhy*GSL*s4",[1]OUT_TransportEnergyCons!$A$4:$A$10000))*1,[1]OUT_TransportEnergyCons!I$4:I$10000)</f>
        <v>0.19826996587665899</v>
      </c>
      <c r="L1934" s="1" cm="1">
        <f t="array" ref="L1934">SUMPRODUCT(("Var_Cap"=[1]OUT_TransportEnergyCons!$B$4:$B$10000)*1,("-"=[1]OUT_TransportEnergyCons!$C$4:$C$10000)*1,ISNUMBER(SEARCH("T_C*mhy*GSL*s4",[1]OUT_TransportEnergyCons!$A$4:$A$10000))*1,[1]OUT_TransportEnergyCons!J$4:J$10000)</f>
        <v>0.239221040488375</v>
      </c>
      <c r="M1934" s="1" cm="1">
        <f t="array" ref="M1934">SUMPRODUCT(("Var_Cap"=[1]OUT_TransportEnergyCons!$B$4:$B$10000)*1,("-"=[1]OUT_TransportEnergyCons!$C$4:$C$10000)*1,ISNUMBER(SEARCH("T_C*mhy*GSL*s4",[1]OUT_TransportEnergyCons!$A$4:$A$10000))*1,[1]OUT_TransportEnergyCons!K$4:K$10000)</f>
        <v>0.24805730984462601</v>
      </c>
      <c r="N1934" s="1" cm="1">
        <f t="array" ref="N1934">SUMPRODUCT(("Var_Cap"=[1]OUT_TransportEnergyCons!$B$4:$B$10000)*1,("-"=[1]OUT_TransportEnergyCons!$C$4:$C$10000)*1,ISNUMBER(SEARCH("T_C*mhy*GSL*s4",[1]OUT_TransportEnergyCons!$A$4:$A$10000))*1,[1]OUT_TransportEnergyCons!L$4:L$10000)</f>
        <v>0.25250595314574298</v>
      </c>
      <c r="O1934" s="1" cm="1">
        <f t="array" ref="O1934">SUMPRODUCT(("Var_Cap"=[1]OUT_TransportEnergyCons!$B$4:$B$10000)*1,("-"=[1]OUT_TransportEnergyCons!$C$4:$C$10000)*1,ISNUMBER(SEARCH("T_C*mhy*GSL*s4",[1]OUT_TransportEnergyCons!$A$4:$A$10000))*1,[1]OUT_TransportEnergyCons!M$4:M$10000)</f>
        <v>0.25271776819674602</v>
      </c>
      <c r="P1934" s="1" cm="1">
        <f t="array" ref="P1934">SUMPRODUCT(("Var_Cap"=[1]OUT_TransportEnergyCons!$B$4:$B$10000)*1,("-"=[1]OUT_TransportEnergyCons!$C$4:$C$10000)*1,ISNUMBER(SEARCH("T_C*mhy*GSL*s4",[1]OUT_TransportEnergyCons!$A$4:$A$10000))*1,[1]OUT_TransportEnergyCons!N$4:N$10000)</f>
        <v>0.24484257110350299</v>
      </c>
      <c r="Q1934" s="1" cm="1">
        <f t="array" ref="Q1934">SUMPRODUCT(("Var_Cap"=[1]OUT_TransportEnergyCons!$B$4:$B$10000)*1,("-"=[1]OUT_TransportEnergyCons!$C$4:$C$10000)*1,ISNUMBER(SEARCH("T_C*mhy*GSL*s4",[1]OUT_TransportEnergyCons!$A$4:$A$10000))*1,[1]OUT_TransportEnergyCons!O$4:O$10000)</f>
        <v>0.24126126999269701</v>
      </c>
      <c r="S1934" s="3"/>
    </row>
    <row r="1935" spans="2:19" x14ac:dyDescent="0.5">
      <c r="B1935" s="5" t="str">
        <f t="shared" si="2152"/>
        <v>SPS1</v>
      </c>
      <c r="C1935" s="5" t="str">
        <f t="shared" si="2153"/>
        <v>CH</v>
      </c>
      <c r="D1935" t="s">
        <v>1952</v>
      </c>
      <c r="E1935" t="str">
        <f t="shared" si="2154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SUMPRODUCT(("Var_Cap"=[1]OUT_TransportEnergyCons!$B$4:$B$10000)*1,("-"=[1]OUT_TransportEnergyCons!$C$4:$C$10000)*1,ISNUMBER(SEARCH("T_C*hy*dsl*ext",[1]OUT_TransportEnergyCons!$A$4:$A$10000))*1,[1]OUT_TransportEnergyCons!H$4:H$10000)</f>
        <v>0</v>
      </c>
      <c r="K1935" s="1" cm="1">
        <f t="array" ref="K1935">SUMPRODUCT(("Var_Cap"=[1]OUT_TransportEnergyCons!$B$4:$B$10000)*1,("-"=[1]OUT_TransportEnergyCons!$C$4:$C$10000)*1,ISNUMBER(SEARCH("T_C*hy*dsl*ext",[1]OUT_TransportEnergyCons!$A$4:$A$10000))*1,[1]OUT_TransportEnergyCons!I$4:I$10000)</f>
        <v>0</v>
      </c>
      <c r="L1935" s="1" cm="1">
        <f t="array" ref="L1935">SUMPRODUCT(("Var_Cap"=[1]OUT_TransportEnergyCons!$B$4:$B$10000)*1,("-"=[1]OUT_TransportEnergyCons!$C$4:$C$10000)*1,ISNUMBER(SEARCH("T_C*hy*dsl*ext",[1]OUT_TransportEnergyCons!$A$4:$A$10000))*1,[1]OUT_TransportEnergyCons!J$4:J$10000)</f>
        <v>0</v>
      </c>
      <c r="M1935" s="1" cm="1">
        <f t="array" ref="M1935">SUMPRODUCT(("Var_Cap"=[1]OUT_TransportEnergyCons!$B$4:$B$10000)*1,("-"=[1]OUT_TransportEnergyCons!$C$4:$C$10000)*1,ISNUMBER(SEARCH("T_C*hy*dsl*ext",[1]OUT_TransportEnergyCons!$A$4:$A$10000))*1,[1]OUT_TransportEnergyCons!K$4:K$10000)</f>
        <v>0</v>
      </c>
      <c r="N1935" s="1" cm="1">
        <f t="array" ref="N1935">SUMPRODUCT(("Var_Cap"=[1]OUT_TransportEnergyCons!$B$4:$B$10000)*1,("-"=[1]OUT_TransportEnergyCons!$C$4:$C$10000)*1,ISNUMBER(SEARCH("T_C*hy*dsl*ext",[1]OUT_TransportEnergyCons!$A$4:$A$10000))*1,[1]OUT_TransportEnergyCons!L$4:L$10000)</f>
        <v>0</v>
      </c>
      <c r="O1935" s="1" cm="1">
        <f t="array" ref="O1935">SUMPRODUCT(("Var_Cap"=[1]OUT_TransportEnergyCons!$B$4:$B$10000)*1,("-"=[1]OUT_TransportEnergyCons!$C$4:$C$10000)*1,ISNUMBER(SEARCH("T_C*hy*dsl*ext",[1]OUT_TransportEnergyCons!$A$4:$A$10000))*1,[1]OUT_TransportEnergyCons!M$4:M$10000)</f>
        <v>0</v>
      </c>
      <c r="P1935" s="1" cm="1">
        <f t="array" ref="P1935">SUMPRODUCT(("Var_Cap"=[1]OUT_TransportEnergyCons!$B$4:$B$10000)*1,("-"=[1]OUT_TransportEnergyCons!$C$4:$C$10000)*1,ISNUMBER(SEARCH("T_C*hy*dsl*ext",[1]OUT_TransportEnergyCons!$A$4:$A$10000))*1,[1]OUT_TransportEnergyCons!N$4:N$10000)</f>
        <v>0</v>
      </c>
      <c r="Q1935" s="1" cm="1">
        <f t="array" ref="Q1935">SUMPRODUCT(("Var_Cap"=[1]OUT_TransportEnergyCons!$B$4:$B$10000)*1,("-"=[1]OUT_TransportEnergyCons!$C$4:$C$10000)*1,ISNUMBER(SEARCH("T_C*hy*dsl*ext",[1]OUT_TransportEnergyCons!$A$4:$A$10000))*1,[1]OUT_TransportEnergyCons!O$4:O$10000)</f>
        <v>0</v>
      </c>
      <c r="S1935" s="3"/>
    </row>
    <row r="1936" spans="2:19" x14ac:dyDescent="0.5">
      <c r="B1936" s="5" t="str">
        <f t="shared" si="2152"/>
        <v>SPS1</v>
      </c>
      <c r="C1936" s="5" t="str">
        <f t="shared" si="2153"/>
        <v>CH</v>
      </c>
      <c r="D1936" t="s">
        <v>1953</v>
      </c>
      <c r="E1936" t="str">
        <f t="shared" si="2154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2.6647273317686977E-2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0.10023700805782182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0.22201623008040539</v>
      </c>
      <c r="J1936" s="1" cm="1">
        <f t="array" ref="J1936">SUMPRODUCT(("Var_Cap"=[1]OUT_TransportEnergyCons!$B$4:$B$10000)*1,("-"=[1]OUT_TransportEnergyCons!$C$4:$C$10000)*1,ISNUMBER(SEARCH("T_C*hy*dsl*s1",[1]OUT_TransportEnergyCons!$A$4:$A$10000))*1,[1]OUT_TransportEnergyCons!H$4:H$10000)</f>
        <v>0.29232568997793801</v>
      </c>
      <c r="K1936" s="1" cm="1">
        <f t="array" ref="K1936">SUMPRODUCT(("Var_Cap"=[1]OUT_TransportEnergyCons!$B$4:$B$10000)*1,("-"=[1]OUT_TransportEnergyCons!$C$4:$C$10000)*1,ISNUMBER(SEARCH("T_C*hy*dsl*s1",[1]OUT_TransportEnergyCons!$A$4:$A$10000))*1,[1]OUT_TransportEnergyCons!I$4:I$10000)</f>
        <v>0.23597795275117539</v>
      </c>
      <c r="L1936" s="1" cm="1">
        <f t="array" ref="L1936">SUMPRODUCT(("Var_Cap"=[1]OUT_TransportEnergyCons!$B$4:$B$10000)*1,("-"=[1]OUT_TransportEnergyCons!$C$4:$C$10000)*1,ISNUMBER(SEARCH("T_C*hy*dsl*s1",[1]OUT_TransportEnergyCons!$A$4:$A$10000))*1,[1]OUT_TransportEnergyCons!J$4:J$10000)</f>
        <v>0.18425975114967899</v>
      </c>
      <c r="M1936" s="1" cm="1">
        <f t="array" ref="M1936">SUMPRODUCT(("Var_Cap"=[1]OUT_TransportEnergyCons!$B$4:$B$10000)*1,("-"=[1]OUT_TransportEnergyCons!$C$4:$C$10000)*1,ISNUMBER(SEARCH("T_C*hy*dsl*s1",[1]OUT_TransportEnergyCons!$A$4:$A$10000))*1,[1]OUT_TransportEnergyCons!K$4:K$10000)</f>
        <v>8.4542875245355129E-2</v>
      </c>
      <c r="N1936" s="1" cm="1">
        <f t="array" ref="N1936">SUMPRODUCT(("Var_Cap"=[1]OUT_TransportEnergyCons!$B$4:$B$10000)*1,("-"=[1]OUT_TransportEnergyCons!$C$4:$C$10000)*1,ISNUMBER(SEARCH("T_C*hy*dsl*s1",[1]OUT_TransportEnergyCons!$A$4:$A$10000))*1,[1]OUT_TransportEnergyCons!L$4:L$10000)</f>
        <v>8.2321284249006157E-2</v>
      </c>
      <c r="O1936" s="1" cm="1">
        <f t="array" ref="O1936">SUMPRODUCT(("Var_Cap"=[1]OUT_TransportEnergyCons!$B$4:$B$10000)*1,("-"=[1]OUT_TransportEnergyCons!$C$4:$C$10000)*1,ISNUMBER(SEARCH("T_C*hy*dsl*s1",[1]OUT_TransportEnergyCons!$A$4:$A$10000))*1,[1]OUT_TransportEnergyCons!M$4:M$10000)</f>
        <v>6.4295744821967107E-2</v>
      </c>
      <c r="P1936" s="1" cm="1">
        <f t="array" ref="P1936">SUMPRODUCT(("Var_Cap"=[1]OUT_TransportEnergyCons!$B$4:$B$10000)*1,("-"=[1]OUT_TransportEnergyCons!$C$4:$C$10000)*1,ISNUMBER(SEARCH("T_C*hy*dsl*s1",[1]OUT_TransportEnergyCons!$A$4:$A$10000))*1,[1]OUT_TransportEnergyCons!N$4:N$10000)</f>
        <v>8.9289804531610529E-4</v>
      </c>
      <c r="Q1936" s="1" cm="1">
        <f t="array" ref="Q1936">SUMPRODUCT(("Var_Cap"=[1]OUT_TransportEnergyCons!$B$4:$B$10000)*1,("-"=[1]OUT_TransportEnergyCons!$C$4:$C$10000)*1,ISNUMBER(SEARCH("T_C*hy*dsl*s1",[1]OUT_TransportEnergyCons!$A$4:$A$10000))*1,[1]OUT_TransportEnergyCons!O$4:O$10000)</f>
        <v>9.1667118886989453E-4</v>
      </c>
      <c r="S1936" s="3"/>
    </row>
    <row r="1937" spans="2:19" x14ac:dyDescent="0.5">
      <c r="B1937" s="5" t="str">
        <f t="shared" si="2152"/>
        <v>SPS1</v>
      </c>
      <c r="C1937" s="5" t="str">
        <f t="shared" si="2153"/>
        <v>CH</v>
      </c>
      <c r="D1937" t="s">
        <v>1954</v>
      </c>
      <c r="E1937" t="str">
        <f t="shared" si="2154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2.5976823086611226E-4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0.1181551208855332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0.15200470740182542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0.12569639410931843</v>
      </c>
      <c r="J1937" s="1" cm="1">
        <f t="array" ref="J1937">SUMPRODUCT(("Var_Cap"=[1]OUT_TransportEnergyCons!$B$4:$B$10000)*1,("-"=[1]OUT_TransportEnergyCons!$C$4:$C$10000)*1,ISNUMBER(SEARCH("T_C*hy*dsl*s2",[1]OUT_TransportEnergyCons!$A$4:$A$10000))*1,[1]OUT_TransportEnergyCons!H$4:H$10000)</f>
        <v>5.8862177866717776E-2</v>
      </c>
      <c r="K1937" s="1" cm="1">
        <f t="array" ref="K1937">SUMPRODUCT(("Var_Cap"=[1]OUT_TransportEnergyCons!$B$4:$B$10000)*1,("-"=[1]OUT_TransportEnergyCons!$C$4:$C$10000)*1,ISNUMBER(SEARCH("T_C*hy*dsl*s2",[1]OUT_TransportEnergyCons!$A$4:$A$10000))*1,[1]OUT_TransportEnergyCons!I$4:I$10000)</f>
        <v>7.4299747311698536E-3</v>
      </c>
      <c r="L1937" s="1" cm="1">
        <f t="array" ref="L1937">SUMPRODUCT(("Var_Cap"=[1]OUT_TransportEnergyCons!$B$4:$B$10000)*1,("-"=[1]OUT_TransportEnergyCons!$C$4:$C$10000)*1,ISNUMBER(SEARCH("T_C*hy*dsl*s2",[1]OUT_TransportEnergyCons!$A$4:$A$10000))*1,[1]OUT_TransportEnergyCons!J$4:J$10000)</f>
        <v>3.6832951879283188E-3</v>
      </c>
      <c r="M1937" s="1" cm="1">
        <f t="array" ref="M1937">SUMPRODUCT(("Var_Cap"=[1]OUT_TransportEnergyCons!$B$4:$B$10000)*1,("-"=[1]OUT_TransportEnergyCons!$C$4:$C$10000)*1,ISNUMBER(SEARCH("T_C*hy*dsl*s2",[1]OUT_TransportEnergyCons!$A$4:$A$10000))*1,[1]OUT_TransportEnergyCons!K$4:K$10000)</f>
        <v>2.3566174430430403E-3</v>
      </c>
      <c r="N1937" s="1" cm="1">
        <f t="array" ref="N1937">SUMPRODUCT(("Var_Cap"=[1]OUT_TransportEnergyCons!$B$4:$B$10000)*1,("-"=[1]OUT_TransportEnergyCons!$C$4:$C$10000)*1,ISNUMBER(SEARCH("T_C*hy*dsl*s2",[1]OUT_TransportEnergyCons!$A$4:$A$10000))*1,[1]OUT_TransportEnergyCons!L$4:L$10000)</f>
        <v>1.7498989438929353E-3</v>
      </c>
      <c r="O1937" s="1" cm="1">
        <f t="array" ref="O1937">SUMPRODUCT(("Var_Cap"=[1]OUT_TransportEnergyCons!$B$4:$B$10000)*1,("-"=[1]OUT_TransportEnergyCons!$C$4:$C$10000)*1,ISNUMBER(SEARCH("T_C*hy*dsl*s2",[1]OUT_TransportEnergyCons!$A$4:$A$10000))*1,[1]OUT_TransportEnergyCons!M$4:M$10000)</f>
        <v>2.1877171882595677E-3</v>
      </c>
      <c r="P1937" s="1" cm="1">
        <f t="array" ref="P1937">SUMPRODUCT(("Var_Cap"=[1]OUT_TransportEnergyCons!$B$4:$B$10000)*1,("-"=[1]OUT_TransportEnergyCons!$C$4:$C$10000)*1,ISNUMBER(SEARCH("T_C*hy*dsl*s2",[1]OUT_TransportEnergyCons!$A$4:$A$10000))*1,[1]OUT_TransportEnergyCons!N$4:N$10000)</f>
        <v>4.2035075162138433E-2</v>
      </c>
      <c r="Q1937" s="1" cm="1">
        <f t="array" ref="Q1937">SUMPRODUCT(("Var_Cap"=[1]OUT_TransportEnergyCons!$B$4:$B$10000)*1,("-"=[1]OUT_TransportEnergyCons!$C$4:$C$10000)*1,ISNUMBER(SEARCH("T_C*hy*dsl*s2",[1]OUT_TransportEnergyCons!$A$4:$A$10000))*1,[1]OUT_TransportEnergyCons!O$4:O$10000)</f>
        <v>4.7555130488420874E-2</v>
      </c>
      <c r="S1937" s="3"/>
    </row>
    <row r="1938" spans="2:19" x14ac:dyDescent="0.5">
      <c r="B1938" s="5" t="str">
        <f t="shared" si="2152"/>
        <v>SPS1</v>
      </c>
      <c r="C1938" s="5" t="str">
        <f t="shared" si="2153"/>
        <v>CH</v>
      </c>
      <c r="D1938" t="s">
        <v>1955</v>
      </c>
      <c r="E1938" t="str">
        <f t="shared" si="2154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1.8561888190062508E-3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4.0879240355810335E-3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4.1586408790945922E-3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3.6384177673793156E-3</v>
      </c>
      <c r="J1938" s="1" cm="1">
        <f t="array" ref="J1938">SUMPRODUCT(("Var_Cap"=[1]OUT_TransportEnergyCons!$B$4:$B$10000)*1,("-"=[1]OUT_TransportEnergyCons!$C$4:$C$10000)*1,ISNUMBER(SEARCH("T_C*hy*dsl*s3",[1]OUT_TransportEnergyCons!$A$4:$A$10000))*1,[1]OUT_TransportEnergyCons!H$4:H$10000)</f>
        <v>5.6020990467063403E-3</v>
      </c>
      <c r="K1938" s="1" cm="1">
        <f t="array" ref="K1938">SUMPRODUCT(("Var_Cap"=[1]OUT_TransportEnergyCons!$B$4:$B$10000)*1,("-"=[1]OUT_TransportEnergyCons!$C$4:$C$10000)*1,ISNUMBER(SEARCH("T_C*hy*dsl*s3",[1]OUT_TransportEnergyCons!$A$4:$A$10000))*1,[1]OUT_TransportEnergyCons!I$4:I$10000)</f>
        <v>4.2383580394552221E-2</v>
      </c>
      <c r="L1938" s="1" cm="1">
        <f t="array" ref="L1938">SUMPRODUCT(("Var_Cap"=[1]OUT_TransportEnergyCons!$B$4:$B$10000)*1,("-"=[1]OUT_TransportEnergyCons!$C$4:$C$10000)*1,ISNUMBER(SEARCH("T_C*hy*dsl*s3",[1]OUT_TransportEnergyCons!$A$4:$A$10000))*1,[1]OUT_TransportEnergyCons!J$4:J$10000)</f>
        <v>8.6694072719493448E-2</v>
      </c>
      <c r="M1938" s="1" cm="1">
        <f t="array" ref="M1938">SUMPRODUCT(("Var_Cap"=[1]OUT_TransportEnergyCons!$B$4:$B$10000)*1,("-"=[1]OUT_TransportEnergyCons!$C$4:$C$10000)*1,ISNUMBER(SEARCH("T_C*hy*dsl*s3",[1]OUT_TransportEnergyCons!$A$4:$A$10000))*1,[1]OUT_TransportEnergyCons!K$4:K$10000)</f>
        <v>9.9084142837544534E-2</v>
      </c>
      <c r="N1938" s="1" cm="1">
        <f t="array" ref="N1938">SUMPRODUCT(("Var_Cap"=[1]OUT_TransportEnergyCons!$B$4:$B$10000)*1,("-"=[1]OUT_TransportEnergyCons!$C$4:$C$10000)*1,ISNUMBER(SEARCH("T_C*hy*dsl*s3",[1]OUT_TransportEnergyCons!$A$4:$A$10000))*1,[1]OUT_TransportEnergyCons!L$4:L$10000)</f>
        <v>0.10610006787206197</v>
      </c>
      <c r="O1938" s="1" cm="1">
        <f t="array" ref="O1938">SUMPRODUCT(("Var_Cap"=[1]OUT_TransportEnergyCons!$B$4:$B$10000)*1,("-"=[1]OUT_TransportEnergyCons!$C$4:$C$10000)*1,ISNUMBER(SEARCH("T_C*hy*dsl*s3",[1]OUT_TransportEnergyCons!$A$4:$A$10000))*1,[1]OUT_TransportEnergyCons!M$4:M$10000)</f>
        <v>0.1074094872872137</v>
      </c>
      <c r="P1938" s="1" cm="1">
        <f t="array" ref="P1938">SUMPRODUCT(("Var_Cap"=[1]OUT_TransportEnergyCons!$B$4:$B$10000)*1,("-"=[1]OUT_TransportEnergyCons!$C$4:$C$10000)*1,ISNUMBER(SEARCH("T_C*hy*dsl*s3",[1]OUT_TransportEnergyCons!$A$4:$A$10000))*1,[1]OUT_TransportEnergyCons!N$4:N$10000)</f>
        <v>0.10506417116296768</v>
      </c>
      <c r="Q1938" s="1" cm="1">
        <f t="array" ref="Q1938">SUMPRODUCT(("Var_Cap"=[1]OUT_TransportEnergyCons!$B$4:$B$10000)*1,("-"=[1]OUT_TransportEnergyCons!$C$4:$C$10000)*1,ISNUMBER(SEARCH("T_C*hy*dsl*s3",[1]OUT_TransportEnergyCons!$A$4:$A$10000))*1,[1]OUT_TransportEnergyCons!O$4:O$10000)</f>
        <v>0.10832450927154934</v>
      </c>
      <c r="S1938" s="3"/>
    </row>
    <row r="1939" spans="2:19" x14ac:dyDescent="0.5">
      <c r="B1939" s="5" t="str">
        <f t="shared" si="2152"/>
        <v>SPS1</v>
      </c>
      <c r="C1939" s="5" t="str">
        <f t="shared" si="2153"/>
        <v>CH</v>
      </c>
      <c r="D1939" t="s">
        <v>1956</v>
      </c>
      <c r="E1939" t="str">
        <f t="shared" si="2154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3.7727534712277922E-3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9.230622593462157E-3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8.9736386823315237E-3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7.6483524323851908E-3</v>
      </c>
      <c r="J1939" s="1" cm="1">
        <f t="array" ref="J1939">SUMPRODUCT(("Var_Cap"=[1]OUT_TransportEnergyCons!$B$4:$B$10000)*1,("-"=[1]OUT_TransportEnergyCons!$C$4:$C$10000)*1,ISNUMBER(SEARCH("T_C*hy*dsl*s4",[1]OUT_TransportEnergyCons!$A$4:$A$10000))*1,[1]OUT_TransportEnergyCons!H$4:H$10000)</f>
        <v>2.2095286618188134E-3</v>
      </c>
      <c r="K1939" s="1" cm="1">
        <f t="array" ref="K1939">SUMPRODUCT(("Var_Cap"=[1]OUT_TransportEnergyCons!$B$4:$B$10000)*1,("-"=[1]OUT_TransportEnergyCons!$C$4:$C$10000)*1,ISNUMBER(SEARCH("T_C*hy*dsl*s4",[1]OUT_TransportEnergyCons!$A$4:$A$10000))*1,[1]OUT_TransportEnergyCons!I$4:I$10000)</f>
        <v>1.089926594935697E-3</v>
      </c>
      <c r="L1939" s="1" cm="1">
        <f t="array" ref="L1939">SUMPRODUCT(("Var_Cap"=[1]OUT_TransportEnergyCons!$B$4:$B$10000)*1,("-"=[1]OUT_TransportEnergyCons!$C$4:$C$10000)*1,ISNUMBER(SEARCH("T_C*hy*dsl*s4",[1]OUT_TransportEnergyCons!$A$4:$A$10000))*1,[1]OUT_TransportEnergyCons!J$4:J$10000)</f>
        <v>1.2244329353815944E-2</v>
      </c>
      <c r="M1939" s="1" cm="1">
        <f t="array" ref="M1939">SUMPRODUCT(("Var_Cap"=[1]OUT_TransportEnergyCons!$B$4:$B$10000)*1,("-"=[1]OUT_TransportEnergyCons!$C$4:$C$10000)*1,ISNUMBER(SEARCH("T_C*hy*dsl*s4",[1]OUT_TransportEnergyCons!$A$4:$A$10000))*1,[1]OUT_TransportEnergyCons!K$4:K$10000)</f>
        <v>0.1008979732707484</v>
      </c>
      <c r="N1939" s="1" cm="1">
        <f t="array" ref="N1939">SUMPRODUCT(("Var_Cap"=[1]OUT_TransportEnergyCons!$B$4:$B$10000)*1,("-"=[1]OUT_TransportEnergyCons!$C$4:$C$10000)*1,ISNUMBER(SEARCH("T_C*hy*dsl*s4",[1]OUT_TransportEnergyCons!$A$4:$A$10000))*1,[1]OUT_TransportEnergyCons!L$4:L$10000)</f>
        <v>9.6614895891329433E-2</v>
      </c>
      <c r="O1939" s="1" cm="1">
        <f t="array" ref="O1939">SUMPRODUCT(("Var_Cap"=[1]OUT_TransportEnergyCons!$B$4:$B$10000)*1,("-"=[1]OUT_TransportEnergyCons!$C$4:$C$10000)*1,ISNUMBER(SEARCH("T_C*hy*dsl*s4",[1]OUT_TransportEnergyCons!$A$4:$A$10000))*1,[1]OUT_TransportEnergyCons!M$4:M$10000)</f>
        <v>6.7833472503079056E-2</v>
      </c>
      <c r="P1939" s="1" cm="1">
        <f t="array" ref="P1939">SUMPRODUCT(("Var_Cap"=[1]OUT_TransportEnergyCons!$B$4:$B$10000)*1,("-"=[1]OUT_TransportEnergyCons!$C$4:$C$10000)*1,ISNUMBER(SEARCH("T_C*hy*dsl*s4",[1]OUT_TransportEnergyCons!$A$4:$A$10000))*1,[1]OUT_TransportEnergyCons!N$4:N$10000)</f>
        <v>1.5791449558708346E-2</v>
      </c>
      <c r="Q1939" s="1" cm="1">
        <f t="array" ref="Q1939">SUMPRODUCT(("Var_Cap"=[1]OUT_TransportEnergyCons!$B$4:$B$10000)*1,("-"=[1]OUT_TransportEnergyCons!$C$4:$C$10000)*1,ISNUMBER(SEARCH("T_C*hy*dsl*s4",[1]OUT_TransportEnergyCons!$A$4:$A$10000))*1,[1]OUT_TransportEnergyCons!O$4:O$10000)</f>
        <v>6.9867384739318869E-3</v>
      </c>
      <c r="S1939" s="3"/>
    </row>
    <row r="1940" spans="2:19" x14ac:dyDescent="0.5">
      <c r="B1940" s="5" t="str">
        <f t="shared" si="2152"/>
        <v>SPS1</v>
      </c>
      <c r="C1940" s="5" t="str">
        <f t="shared" si="2153"/>
        <v>CH</v>
      </c>
      <c r="D1940" t="s">
        <v>1957</v>
      </c>
      <c r="E1940" t="str">
        <f t="shared" si="2154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1.0585447024913199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0.91828355932711825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0.70637175941583208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0.35318002106197244</v>
      </c>
      <c r="J1940" s="1" cm="1">
        <f t="array" ref="J1940">SUMPRODUCT(("Var_Cap"=[1]OUT_TransportEnergyCons!$B$4:$B$10000)*1,("-"=[1]OUT_TransportEnergyCons!$C$4:$C$10000)*1,ISNUMBER(SEARCH("T_C*ICE*dsl*ext",[1]OUT_TransportEnergyCons!$A$4:$A$10000))*1,[1]OUT_TransportEnergyCons!H$4:H$10000)</f>
        <v>0</v>
      </c>
      <c r="K1940" s="1" cm="1">
        <f t="array" ref="K1940">SUMPRODUCT(("Var_Cap"=[1]OUT_TransportEnergyCons!$B$4:$B$10000)*1,("-"=[1]OUT_TransportEnergyCons!$C$4:$C$10000)*1,ISNUMBER(SEARCH("T_C*ICE*dsl*ext",[1]OUT_TransportEnergyCons!$A$4:$A$10000))*1,[1]OUT_TransportEnergyCons!I$4:I$10000)</f>
        <v>0</v>
      </c>
      <c r="L1940" s="1" cm="1">
        <f t="array" ref="L1940">SUMPRODUCT(("Var_Cap"=[1]OUT_TransportEnergyCons!$B$4:$B$10000)*1,("-"=[1]OUT_TransportEnergyCons!$C$4:$C$10000)*1,ISNUMBER(SEARCH("T_C*ICE*dsl*ext",[1]OUT_TransportEnergyCons!$A$4:$A$10000))*1,[1]OUT_TransportEnergyCons!J$4:J$10000)</f>
        <v>0</v>
      </c>
      <c r="M1940" s="1" cm="1">
        <f t="array" ref="M1940">SUMPRODUCT(("Var_Cap"=[1]OUT_TransportEnergyCons!$B$4:$B$10000)*1,("-"=[1]OUT_TransportEnergyCons!$C$4:$C$10000)*1,ISNUMBER(SEARCH("T_C*ICE*dsl*ext",[1]OUT_TransportEnergyCons!$A$4:$A$10000))*1,[1]OUT_TransportEnergyCons!K$4:K$10000)</f>
        <v>0</v>
      </c>
      <c r="N1940" s="1" cm="1">
        <f t="array" ref="N1940">SUMPRODUCT(("Var_Cap"=[1]OUT_TransportEnergyCons!$B$4:$B$10000)*1,("-"=[1]OUT_TransportEnergyCons!$C$4:$C$10000)*1,ISNUMBER(SEARCH("T_C*ICE*dsl*ext",[1]OUT_TransportEnergyCons!$A$4:$A$10000))*1,[1]OUT_TransportEnergyCons!L$4:L$10000)</f>
        <v>0</v>
      </c>
      <c r="O1940" s="1" cm="1">
        <f t="array" ref="O1940">SUMPRODUCT(("Var_Cap"=[1]OUT_TransportEnergyCons!$B$4:$B$10000)*1,("-"=[1]OUT_TransportEnergyCons!$C$4:$C$10000)*1,ISNUMBER(SEARCH("T_C*ICE*dsl*ext",[1]OUT_TransportEnergyCons!$A$4:$A$10000))*1,[1]OUT_TransportEnergyCons!M$4:M$10000)</f>
        <v>0</v>
      </c>
      <c r="P1940" s="1" cm="1">
        <f t="array" ref="P1940">SUMPRODUCT(("Var_Cap"=[1]OUT_TransportEnergyCons!$B$4:$B$10000)*1,("-"=[1]OUT_TransportEnergyCons!$C$4:$C$10000)*1,ISNUMBER(SEARCH("T_C*ICE*dsl*ext",[1]OUT_TransportEnergyCons!$A$4:$A$10000))*1,[1]OUT_TransportEnergyCons!N$4:N$10000)</f>
        <v>0</v>
      </c>
      <c r="Q1940" s="1" cm="1">
        <f t="array" ref="Q1940">SUMPRODUCT(("Var_Cap"=[1]OUT_TransportEnergyCons!$B$4:$B$10000)*1,("-"=[1]OUT_TransportEnergyCons!$C$4:$C$10000)*1,ISNUMBER(SEARCH("T_C*ICE*dsl*ext",[1]OUT_TransportEnergyCons!$A$4:$A$10000))*1,[1]OUT_TransportEnergyCons!O$4:O$10000)</f>
        <v>0</v>
      </c>
      <c r="S1940" s="3"/>
    </row>
    <row r="1941" spans="2:19" x14ac:dyDescent="0.5">
      <c r="B1941" s="5" t="str">
        <f t="shared" si="2152"/>
        <v>SPS1</v>
      </c>
      <c r="C1941" s="5" t="str">
        <f t="shared" si="2153"/>
        <v>CH</v>
      </c>
      <c r="D1941" t="s">
        <v>1958</v>
      </c>
      <c r="E1941" t="str">
        <f t="shared" si="2154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4.4448408217013233E-4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5.808772042299185E-4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7.4292581878220259E-4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7.6975514755693987E-4</v>
      </c>
      <c r="J1941" s="1" cm="1">
        <f t="array" ref="J1941">SUMPRODUCT(("Var_Cap"=[1]OUT_TransportEnergyCons!$B$4:$B$10000)*1,("-"=[1]OUT_TransportEnergyCons!$C$4:$C$10000)*1,ISNUMBER(SEARCH("T_C*ICE*dsl*s1",[1]OUT_TransportEnergyCons!$A$4:$A$10000))*1,[1]OUT_TransportEnergyCons!H$4:H$10000)</f>
        <v>6.8690823784181771E-4</v>
      </c>
      <c r="K1941" s="1" cm="1">
        <f t="array" ref="K1941">SUMPRODUCT(("Var_Cap"=[1]OUT_TransportEnergyCons!$B$4:$B$10000)*1,("-"=[1]OUT_TransportEnergyCons!$C$4:$C$10000)*1,ISNUMBER(SEARCH("T_C*ICE*dsl*s1",[1]OUT_TransportEnergyCons!$A$4:$A$10000))*1,[1]OUT_TransportEnergyCons!I$4:I$10000)</f>
        <v>4.3434419557480163E-3</v>
      </c>
      <c r="L1941" s="1" cm="1">
        <f t="array" ref="L1941">SUMPRODUCT(("Var_Cap"=[1]OUT_TransportEnergyCons!$B$4:$B$10000)*1,("-"=[1]OUT_TransportEnergyCons!$C$4:$C$10000)*1,ISNUMBER(SEARCH("T_C*ICE*dsl*s1",[1]OUT_TransportEnergyCons!$A$4:$A$10000))*1,[1]OUT_TransportEnergyCons!J$4:J$10000)</f>
        <v>3.5792982908233518E-3</v>
      </c>
      <c r="M1941" s="1" cm="1">
        <f t="array" ref="M1941">SUMPRODUCT(("Var_Cap"=[1]OUT_TransportEnergyCons!$B$4:$B$10000)*1,("-"=[1]OUT_TransportEnergyCons!$C$4:$C$10000)*1,ISNUMBER(SEARCH("T_C*ICE*dsl*s1",[1]OUT_TransportEnergyCons!$A$4:$A$10000))*1,[1]OUT_TransportEnergyCons!K$4:K$10000)</f>
        <v>2.5423441635944477E-3</v>
      </c>
      <c r="N1941" s="1" cm="1">
        <f t="array" ref="N1941">SUMPRODUCT(("Var_Cap"=[1]OUT_TransportEnergyCons!$B$4:$B$10000)*1,("-"=[1]OUT_TransportEnergyCons!$C$4:$C$10000)*1,ISNUMBER(SEARCH("T_C*ICE*dsl*s1",[1]OUT_TransportEnergyCons!$A$4:$A$10000))*1,[1]OUT_TransportEnergyCons!L$4:L$10000)</f>
        <v>4.6256899057437188E-4</v>
      </c>
      <c r="O1941" s="1" cm="1">
        <f t="array" ref="O1941">SUMPRODUCT(("Var_Cap"=[1]OUT_TransportEnergyCons!$B$4:$B$10000)*1,("-"=[1]OUT_TransportEnergyCons!$C$4:$C$10000)*1,ISNUMBER(SEARCH("T_C*ICE*dsl*s1",[1]OUT_TransportEnergyCons!$A$4:$A$10000))*1,[1]OUT_TransportEnergyCons!M$4:M$10000)</f>
        <v>1.2514734881308504E-4</v>
      </c>
      <c r="P1941" s="1" cm="1">
        <f t="array" ref="P1941">SUMPRODUCT(("Var_Cap"=[1]OUT_TransportEnergyCons!$B$4:$B$10000)*1,("-"=[1]OUT_TransportEnergyCons!$C$4:$C$10000)*1,ISNUMBER(SEARCH("T_C*ICE*dsl*s1",[1]OUT_TransportEnergyCons!$A$4:$A$10000))*1,[1]OUT_TransportEnergyCons!N$4:N$10000)</f>
        <v>7.715015124571378E-5</v>
      </c>
      <c r="Q1941" s="1" cm="1">
        <f t="array" ref="Q1941">SUMPRODUCT(("Var_Cap"=[1]OUT_TransportEnergyCons!$B$4:$B$10000)*1,("-"=[1]OUT_TransportEnergyCons!$C$4:$C$10000)*1,ISNUMBER(SEARCH("T_C*ICE*dsl*s1",[1]OUT_TransportEnergyCons!$A$4:$A$10000))*1,[1]OUT_TransportEnergyCons!O$4:O$10000)</f>
        <v>7.2820262309923657E-5</v>
      </c>
      <c r="S1941" s="3"/>
    </row>
    <row r="1942" spans="2:19" x14ac:dyDescent="0.5">
      <c r="B1942" s="5" t="str">
        <f t="shared" si="2152"/>
        <v>SPS1</v>
      </c>
      <c r="C1942" s="5" t="str">
        <f t="shared" si="2153"/>
        <v>CH</v>
      </c>
      <c r="D1942" t="s">
        <v>1959</v>
      </c>
      <c r="E1942" t="str">
        <f t="shared" si="2154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6.4569015624725321E-2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6.8572017006886865E-2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6.8110063809436669E-2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5.1773140189333523E-2</v>
      </c>
      <c r="J1942" s="1" cm="1">
        <f t="array" ref="J1942">SUMPRODUCT(("Var_Cap"=[1]OUT_TransportEnergyCons!$B$4:$B$10000)*1,("-"=[1]OUT_TransportEnergyCons!$C$4:$C$10000)*1,ISNUMBER(SEARCH("T_C*ICE*dsl*s2",[1]OUT_TransportEnergyCons!$A$4:$A$10000))*1,[1]OUT_TransportEnergyCons!H$4:H$10000)</f>
        <v>2.1470664976998197E-3</v>
      </c>
      <c r="K1942" s="1" cm="1">
        <f t="array" ref="K1942">SUMPRODUCT(("Var_Cap"=[1]OUT_TransportEnergyCons!$B$4:$B$10000)*1,("-"=[1]OUT_TransportEnergyCons!$C$4:$C$10000)*1,ISNUMBER(SEARCH("T_C*ICE*dsl*s2",[1]OUT_TransportEnergyCons!$A$4:$A$10000))*1,[1]OUT_TransportEnergyCons!I$4:I$10000)</f>
        <v>4.1914930672476322E-4</v>
      </c>
      <c r="L1942" s="1" cm="1">
        <f t="array" ref="L1942">SUMPRODUCT(("Var_Cap"=[1]OUT_TransportEnergyCons!$B$4:$B$10000)*1,("-"=[1]OUT_TransportEnergyCons!$C$4:$C$10000)*1,ISNUMBER(SEARCH("T_C*ICE*dsl*s2",[1]OUT_TransportEnergyCons!$A$4:$A$10000))*1,[1]OUT_TransportEnergyCons!J$4:J$10000)</f>
        <v>3.4363859899834719E-4</v>
      </c>
      <c r="M1942" s="1" cm="1">
        <f t="array" ref="M1942">SUMPRODUCT(("Var_Cap"=[1]OUT_TransportEnergyCons!$B$4:$B$10000)*1,("-"=[1]OUT_TransportEnergyCons!$C$4:$C$10000)*1,ISNUMBER(SEARCH("T_C*ICE*dsl*s2",[1]OUT_TransportEnergyCons!$A$4:$A$10000))*1,[1]OUT_TransportEnergyCons!K$4:K$10000)</f>
        <v>3.0295011123088791E-4</v>
      </c>
      <c r="N1942" s="1" cm="1">
        <f t="array" ref="N1942">SUMPRODUCT(("Var_Cap"=[1]OUT_TransportEnergyCons!$B$4:$B$10000)*1,("-"=[1]OUT_TransportEnergyCons!$C$4:$C$10000)*1,ISNUMBER(SEARCH("T_C*ICE*dsl*s2",[1]OUT_TransportEnergyCons!$A$4:$A$10000))*1,[1]OUT_TransportEnergyCons!L$4:L$10000)</f>
        <v>1.9809711547513393E-4</v>
      </c>
      <c r="O1942" s="1" cm="1">
        <f t="array" ref="O1942">SUMPRODUCT(("Var_Cap"=[1]OUT_TransportEnergyCons!$B$4:$B$10000)*1,("-"=[1]OUT_TransportEnergyCons!$C$4:$C$10000)*1,ISNUMBER(SEARCH("T_C*ICE*dsl*s2",[1]OUT_TransportEnergyCons!$A$4:$A$10000))*1,[1]OUT_TransportEnergyCons!M$4:M$10000)</f>
        <v>1.3859770587126415E-4</v>
      </c>
      <c r="P1942" s="1" cm="1">
        <f t="array" ref="P1942">SUMPRODUCT(("Var_Cap"=[1]OUT_TransportEnergyCons!$B$4:$B$10000)*1,("-"=[1]OUT_TransportEnergyCons!$C$4:$C$10000)*1,ISNUMBER(SEARCH("T_C*ICE*dsl*s2",[1]OUT_TransportEnergyCons!$A$4:$A$10000))*1,[1]OUT_TransportEnergyCons!N$4:N$10000)</f>
        <v>8.6358925600309996E-5</v>
      </c>
      <c r="Q1942" s="1" cm="1">
        <f t="array" ref="Q1942">SUMPRODUCT(("Var_Cap"=[1]OUT_TransportEnergyCons!$B$4:$B$10000)*1,("-"=[1]OUT_TransportEnergyCons!$C$4:$C$10000)*1,ISNUMBER(SEARCH("T_C*ICE*dsl*s2",[1]OUT_TransportEnergyCons!$A$4:$A$10000))*1,[1]OUT_TransportEnergyCons!O$4:O$10000)</f>
        <v>8.0059273798952369E-5</v>
      </c>
      <c r="S1942" s="3"/>
    </row>
    <row r="1943" spans="2:19" x14ac:dyDescent="0.5">
      <c r="B1943" s="5" t="str">
        <f t="shared" si="2152"/>
        <v>SPS1</v>
      </c>
      <c r="C1943" s="5" t="str">
        <f t="shared" si="2153"/>
        <v>CH</v>
      </c>
      <c r="D1943" t="s">
        <v>1960</v>
      </c>
      <c r="E1943" t="str">
        <f t="shared" si="2154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0.1832408658654853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0.19507511757414694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0.19314487555377238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0.15015839934179831</v>
      </c>
      <c r="J1943" s="1" cm="1">
        <f t="array" ref="J1943">SUMPRODUCT(("Var_Cap"=[1]OUT_TransportEnergyCons!$B$4:$B$10000)*1,("-"=[1]OUT_TransportEnergyCons!$C$4:$C$10000)*1,ISNUMBER(SEARCH("T_C*ICE*dsl*s3",[1]OUT_TransportEnergyCons!$A$4:$A$10000))*1,[1]OUT_TransportEnergyCons!H$4:H$10000)</f>
        <v>5.8838430058818147E-3</v>
      </c>
      <c r="K1943" s="1" cm="1">
        <f t="array" ref="K1943">SUMPRODUCT(("Var_Cap"=[1]OUT_TransportEnergyCons!$B$4:$B$10000)*1,("-"=[1]OUT_TransportEnergyCons!$C$4:$C$10000)*1,ISNUMBER(SEARCH("T_C*ICE*dsl*s3",[1]OUT_TransportEnergyCons!$A$4:$A$10000))*1,[1]OUT_TransportEnergyCons!I$4:I$10000)</f>
        <v>3.004459852439648E-4</v>
      </c>
      <c r="L1943" s="1" cm="1">
        <f t="array" ref="L1943">SUMPRODUCT(("Var_Cap"=[1]OUT_TransportEnergyCons!$B$4:$B$10000)*1,("-"=[1]OUT_TransportEnergyCons!$C$4:$C$10000)*1,ISNUMBER(SEARCH("T_C*ICE*dsl*s3",[1]OUT_TransportEnergyCons!$A$4:$A$10000))*1,[1]OUT_TransportEnergyCons!J$4:J$10000)</f>
        <v>2.7628545207133455E-4</v>
      </c>
      <c r="M1943" s="1" cm="1">
        <f t="array" ref="M1943">SUMPRODUCT(("Var_Cap"=[1]OUT_TransportEnergyCons!$B$4:$B$10000)*1,("-"=[1]OUT_TransportEnergyCons!$C$4:$C$10000)*1,ISNUMBER(SEARCH("T_C*ICE*dsl*s3",[1]OUT_TransportEnergyCons!$A$4:$A$10000))*1,[1]OUT_TransportEnergyCons!K$4:K$10000)</f>
        <v>3.2531351335539116E-4</v>
      </c>
      <c r="N1943" s="1" cm="1">
        <f t="array" ref="N1943">SUMPRODUCT(("Var_Cap"=[1]OUT_TransportEnergyCons!$B$4:$B$10000)*1,("-"=[1]OUT_TransportEnergyCons!$C$4:$C$10000)*1,ISNUMBER(SEARCH("T_C*ICE*dsl*s3",[1]OUT_TransportEnergyCons!$A$4:$A$10000))*1,[1]OUT_TransportEnergyCons!L$4:L$10000)</f>
        <v>2.4714967145237553E-4</v>
      </c>
      <c r="O1943" s="1" cm="1">
        <f t="array" ref="O1943">SUMPRODUCT(("Var_Cap"=[1]OUT_TransportEnergyCons!$B$4:$B$10000)*1,("-"=[1]OUT_TransportEnergyCons!$C$4:$C$10000)*1,ISNUMBER(SEARCH("T_C*ICE*dsl*s3",[1]OUT_TransportEnergyCons!$A$4:$A$10000))*1,[1]OUT_TransportEnergyCons!M$4:M$10000)</f>
        <v>1.7700325721474515E-4</v>
      </c>
      <c r="P1943" s="1" cm="1">
        <f t="array" ref="P1943">SUMPRODUCT(("Var_Cap"=[1]OUT_TransportEnergyCons!$B$4:$B$10000)*1,("-"=[1]OUT_TransportEnergyCons!$C$4:$C$10000)*1,ISNUMBER(SEARCH("T_C*ICE*dsl*s3",[1]OUT_TransportEnergyCons!$A$4:$A$10000))*1,[1]OUT_TransportEnergyCons!N$4:N$10000)</f>
        <v>9.8475503149759143E-5</v>
      </c>
      <c r="Q1943" s="1" cm="1">
        <f t="array" ref="Q1943">SUMPRODUCT(("Var_Cap"=[1]OUT_TransportEnergyCons!$B$4:$B$10000)*1,("-"=[1]OUT_TransportEnergyCons!$C$4:$C$10000)*1,ISNUMBER(SEARCH("T_C*ICE*dsl*s3",[1]OUT_TransportEnergyCons!$A$4:$A$10000))*1,[1]OUT_TransportEnergyCons!O$4:O$10000)</f>
        <v>8.4095740515134388E-5</v>
      </c>
      <c r="S1943" s="3"/>
    </row>
    <row r="1944" spans="2:19" x14ac:dyDescent="0.5">
      <c r="B1944" s="5" t="str">
        <f t="shared" si="2152"/>
        <v>SPS1</v>
      </c>
      <c r="C1944" s="5" t="str">
        <f t="shared" si="2153"/>
        <v>CH</v>
      </c>
      <c r="D1944" t="s">
        <v>1961</v>
      </c>
      <c r="E1944" t="str">
        <f t="shared" si="2154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7.1261813985126432E-2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7.9369032041981993E-2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7.8285712851166936E-2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6.1173944733268412E-2</v>
      </c>
      <c r="J1944" s="1" cm="1">
        <f t="array" ref="J1944">SUMPRODUCT(("Var_Cap"=[1]OUT_TransportEnergyCons!$B$4:$B$10000)*1,("-"=[1]OUT_TransportEnergyCons!$C$4:$C$10000)*1,ISNUMBER(SEARCH("T_C*ICE*dsl*s4",[1]OUT_TransportEnergyCons!$A$4:$A$10000))*1,[1]OUT_TransportEnergyCons!H$4:H$10000)</f>
        <v>3.54155920122239E-3</v>
      </c>
      <c r="K1944" s="1" cm="1">
        <f t="array" ref="K1944">SUMPRODUCT(("Var_Cap"=[1]OUT_TransportEnergyCons!$B$4:$B$10000)*1,("-"=[1]OUT_TransportEnergyCons!$C$4:$C$10000)*1,ISNUMBER(SEARCH("T_C*ICE*dsl*s4",[1]OUT_TransportEnergyCons!$A$4:$A$10000))*1,[1]OUT_TransportEnergyCons!I$4:I$10000)</f>
        <v>2.6189639258242101E-4</v>
      </c>
      <c r="L1944" s="1" cm="1">
        <f t="array" ref="L1944">SUMPRODUCT(("Var_Cap"=[1]OUT_TransportEnergyCons!$B$4:$B$10000)*1,("-"=[1]OUT_TransportEnergyCons!$C$4:$C$10000)*1,ISNUMBER(SEARCH("T_C*ICE*dsl*s4",[1]OUT_TransportEnergyCons!$A$4:$A$10000))*1,[1]OUT_TransportEnergyCons!J$4:J$10000)</f>
        <v>2.653194948369825E-4</v>
      </c>
      <c r="M1944" s="1" cm="1">
        <f t="array" ref="M1944">SUMPRODUCT(("Var_Cap"=[1]OUT_TransportEnergyCons!$B$4:$B$10000)*1,("-"=[1]OUT_TransportEnergyCons!$C$4:$C$10000)*1,ISNUMBER(SEARCH("T_C*ICE*dsl*s4",[1]OUT_TransportEnergyCons!$A$4:$A$10000))*1,[1]OUT_TransportEnergyCons!K$4:K$10000)</f>
        <v>3.4030935143599094E-4</v>
      </c>
      <c r="N1944" s="1" cm="1">
        <f t="array" ref="N1944">SUMPRODUCT(("Var_Cap"=[1]OUT_TransportEnergyCons!$B$4:$B$10000)*1,("-"=[1]OUT_TransportEnergyCons!$C$4:$C$10000)*1,ISNUMBER(SEARCH("T_C*ICE*dsl*s4",[1]OUT_TransportEnergyCons!$A$4:$A$10000))*1,[1]OUT_TransportEnergyCons!L$4:L$10000)</f>
        <v>2.5736304587422931E-4</v>
      </c>
      <c r="O1944" s="1" cm="1">
        <f t="array" ref="O1944">SUMPRODUCT(("Var_Cap"=[1]OUT_TransportEnergyCons!$B$4:$B$10000)*1,("-"=[1]OUT_TransportEnergyCons!$C$4:$C$10000)*1,ISNUMBER(SEARCH("T_C*ICE*dsl*s4",[1]OUT_TransportEnergyCons!$A$4:$A$10000))*1,[1]OUT_TransportEnergyCons!M$4:M$10000)</f>
        <v>1.80625528798308E-4</v>
      </c>
      <c r="P1944" s="1" cm="1">
        <f t="array" ref="P1944">SUMPRODUCT(("Var_Cap"=[1]OUT_TransportEnergyCons!$B$4:$B$10000)*1,("-"=[1]OUT_TransportEnergyCons!$C$4:$C$10000)*1,ISNUMBER(SEARCH("T_C*ICE*dsl*s4",[1]OUT_TransportEnergyCons!$A$4:$A$10000))*1,[1]OUT_TransportEnergyCons!N$4:N$10000)</f>
        <v>9.2721883672833687E-5</v>
      </c>
      <c r="Q1944" s="1" cm="1">
        <f t="array" ref="Q1944">SUMPRODUCT(("Var_Cap"=[1]OUT_TransportEnergyCons!$B$4:$B$10000)*1,("-"=[1]OUT_TransportEnergyCons!$C$4:$C$10000)*1,ISNUMBER(SEARCH("T_C*ICE*dsl*s4",[1]OUT_TransportEnergyCons!$A$4:$A$10000))*1,[1]OUT_TransportEnergyCons!O$4:O$10000)</f>
        <v>7.8483029241439647E-5</v>
      </c>
      <c r="S1944" s="3"/>
    </row>
    <row r="1945" spans="2:19" x14ac:dyDescent="0.5">
      <c r="B1945" s="5" t="str">
        <f t="shared" si="2152"/>
        <v>SPS1</v>
      </c>
      <c r="C1945" s="5" t="str">
        <f t="shared" si="2153"/>
        <v>CH</v>
      </c>
      <c r="D1945" t="s">
        <v>1962</v>
      </c>
      <c r="E1945" t="str">
        <f t="shared" si="2154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9.5104257232875005E-5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7.4894227411442194E-2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0.20153320471430999</v>
      </c>
      <c r="J1945" s="1" cm="1">
        <f t="array" ref="J1945">SUMPRODUCT(("Var_Cap"=[1]OUT_TransportEnergyCons!$B$4:$B$10000)*1,("-"=[1]OUT_TransportEnergyCons!$C$4:$C$10000)*1,ISNUMBER(SEARCH("T_C*mhy*dsl*s1",[1]OUT_TransportEnergyCons!$A$4:$A$10000))*1,[1]OUT_TransportEnergyCons!H$4:H$10000)</f>
        <v>0.182937196873424</v>
      </c>
      <c r="K1945" s="1" cm="1">
        <f t="array" ref="K1945">SUMPRODUCT(("Var_Cap"=[1]OUT_TransportEnergyCons!$B$4:$B$10000)*1,("-"=[1]OUT_TransportEnergyCons!$C$4:$C$10000)*1,ISNUMBER(SEARCH("T_C*mhy*dsl*s1",[1]OUT_TransportEnergyCons!$A$4:$A$10000))*1,[1]OUT_TransportEnergyCons!I$4:I$10000)</f>
        <v>0.116212765970283</v>
      </c>
      <c r="L1945" s="1" cm="1">
        <f t="array" ref="L1945">SUMPRODUCT(("Var_Cap"=[1]OUT_TransportEnergyCons!$B$4:$B$10000)*1,("-"=[1]OUT_TransportEnergyCons!$C$4:$C$10000)*1,ISNUMBER(SEARCH("T_C*mhy*dsl*s1",[1]OUT_TransportEnergyCons!$A$4:$A$10000))*1,[1]OUT_TransportEnergyCons!J$4:J$10000)</f>
        <v>3.40666402542927E-2</v>
      </c>
      <c r="M1945" s="1" cm="1">
        <f t="array" ref="M1945">SUMPRODUCT(("Var_Cap"=[1]OUT_TransportEnergyCons!$B$4:$B$10000)*1,("-"=[1]OUT_TransportEnergyCons!$C$4:$C$10000)*1,ISNUMBER(SEARCH("T_C*mhy*dsl*s1",[1]OUT_TransportEnergyCons!$A$4:$A$10000))*1,[1]OUT_TransportEnergyCons!K$4:K$10000)</f>
        <v>1.32236966926175E-2</v>
      </c>
      <c r="N1945" s="1" cm="1">
        <f t="array" ref="N1945">SUMPRODUCT(("Var_Cap"=[1]OUT_TransportEnergyCons!$B$4:$B$10000)*1,("-"=[1]OUT_TransportEnergyCons!$C$4:$C$10000)*1,ISNUMBER(SEARCH("T_C*mhy*dsl*s1",[1]OUT_TransportEnergyCons!$A$4:$A$10000))*1,[1]OUT_TransportEnergyCons!L$4:L$10000)</f>
        <v>1.9973370664594999E-3</v>
      </c>
      <c r="O1945" s="1" cm="1">
        <f t="array" ref="O1945">SUMPRODUCT(("Var_Cap"=[1]OUT_TransportEnergyCons!$B$4:$B$10000)*1,("-"=[1]OUT_TransportEnergyCons!$C$4:$C$10000)*1,ISNUMBER(SEARCH("T_C*mhy*dsl*s1",[1]OUT_TransportEnergyCons!$A$4:$A$10000))*1,[1]OUT_TransportEnergyCons!M$4:M$10000)</f>
        <v>3.92289804314118E-4</v>
      </c>
      <c r="P1945" s="1" cm="1">
        <f t="array" ref="P1945">SUMPRODUCT(("Var_Cap"=[1]OUT_TransportEnergyCons!$B$4:$B$10000)*1,("-"=[1]OUT_TransportEnergyCons!$C$4:$C$10000)*1,ISNUMBER(SEARCH("T_C*mhy*dsl*s1",[1]OUT_TransportEnergyCons!$A$4:$A$10000))*1,[1]OUT_TransportEnergyCons!N$4:N$10000)</f>
        <v>4.4086733606839702E-4</v>
      </c>
      <c r="Q1945" s="1" cm="1">
        <f t="array" ref="Q1945">SUMPRODUCT(("Var_Cap"=[1]OUT_TransportEnergyCons!$B$4:$B$10000)*1,("-"=[1]OUT_TransportEnergyCons!$C$4:$C$10000)*1,ISNUMBER(SEARCH("T_C*mhy*dsl*s1",[1]OUT_TransportEnergyCons!$A$4:$A$10000))*1,[1]OUT_TransportEnergyCons!O$4:O$10000)</f>
        <v>4.5730456343119098E-4</v>
      </c>
      <c r="S1945" s="3"/>
    </row>
    <row r="1946" spans="2:19" x14ac:dyDescent="0.5">
      <c r="B1946" s="5" t="str">
        <f t="shared" si="2152"/>
        <v>SPS1</v>
      </c>
      <c r="C1946" s="5" t="str">
        <f t="shared" si="2153"/>
        <v>CH</v>
      </c>
      <c r="D1946" t="s">
        <v>1963</v>
      </c>
      <c r="E1946" t="str">
        <f t="shared" si="2154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4.4945958799119497E-5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3.4487394721867003E-4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7.3287442738741398E-4</v>
      </c>
      <c r="J1946" s="1" cm="1">
        <f t="array" ref="J1946">SUMPRODUCT(("Var_Cap"=[1]OUT_TransportEnergyCons!$B$4:$B$10000)*1,("-"=[1]OUT_TransportEnergyCons!$C$4:$C$10000)*1,ISNUMBER(SEARCH("T_C*mhy*dsl*s2",[1]OUT_TransportEnergyCons!$A$4:$A$10000))*1,[1]OUT_TransportEnergyCons!H$4:H$10000)</f>
        <v>1.7982949539086699E-3</v>
      </c>
      <c r="K1946" s="1" cm="1">
        <f t="array" ref="K1946">SUMPRODUCT(("Var_Cap"=[1]OUT_TransportEnergyCons!$B$4:$B$10000)*1,("-"=[1]OUT_TransportEnergyCons!$C$4:$C$10000)*1,ISNUMBER(SEARCH("T_C*mhy*dsl*s2",[1]OUT_TransportEnergyCons!$A$4:$A$10000))*1,[1]OUT_TransportEnergyCons!I$4:I$10000)</f>
        <v>1.9281602345732299E-3</v>
      </c>
      <c r="L1946" s="1" cm="1">
        <f t="array" ref="L1946">SUMPRODUCT(("Var_Cap"=[1]OUT_TransportEnergyCons!$B$4:$B$10000)*1,("-"=[1]OUT_TransportEnergyCons!$C$4:$C$10000)*1,ISNUMBER(SEARCH("T_C*mhy*dsl*s2",[1]OUT_TransportEnergyCons!$A$4:$A$10000))*1,[1]OUT_TransportEnergyCons!J$4:J$10000)</f>
        <v>1.5291657741514E-3</v>
      </c>
      <c r="M1946" s="1" cm="1">
        <f t="array" ref="M1946">SUMPRODUCT(("Var_Cap"=[1]OUT_TransportEnergyCons!$B$4:$B$10000)*1,("-"=[1]OUT_TransportEnergyCons!$C$4:$C$10000)*1,ISNUMBER(SEARCH("T_C*mhy*dsl*s2",[1]OUT_TransportEnergyCons!$A$4:$A$10000))*1,[1]OUT_TransportEnergyCons!K$4:K$10000)</f>
        <v>7.7629168561855002E-4</v>
      </c>
      <c r="N1946" s="1" cm="1">
        <f t="array" ref="N1946">SUMPRODUCT(("Var_Cap"=[1]OUT_TransportEnergyCons!$B$4:$B$10000)*1,("-"=[1]OUT_TransportEnergyCons!$C$4:$C$10000)*1,ISNUMBER(SEARCH("T_C*mhy*dsl*s2",[1]OUT_TransportEnergyCons!$A$4:$A$10000))*1,[1]OUT_TransportEnergyCons!L$4:L$10000)</f>
        <v>5.3794711915737504E-4</v>
      </c>
      <c r="O1946" s="1" cm="1">
        <f t="array" ref="O1946">SUMPRODUCT(("Var_Cap"=[1]OUT_TransportEnergyCons!$B$4:$B$10000)*1,("-"=[1]OUT_TransportEnergyCons!$C$4:$C$10000)*1,ISNUMBER(SEARCH("T_C*mhy*dsl*s2",[1]OUT_TransportEnergyCons!$A$4:$A$10000))*1,[1]OUT_TransportEnergyCons!M$4:M$10000)</f>
        <v>6.6082298890455398E-4</v>
      </c>
      <c r="P1946" s="1" cm="1">
        <f t="array" ref="P1946">SUMPRODUCT(("Var_Cap"=[1]OUT_TransportEnergyCons!$B$4:$B$10000)*1,("-"=[1]OUT_TransportEnergyCons!$C$4:$C$10000)*1,ISNUMBER(SEARCH("T_C*mhy*dsl*s2",[1]OUT_TransportEnergyCons!$A$4:$A$10000))*1,[1]OUT_TransportEnergyCons!N$4:N$10000)</f>
        <v>9.3152842170048295E-4</v>
      </c>
      <c r="Q1946" s="1" cm="1">
        <f t="array" ref="Q1946">SUMPRODUCT(("Var_Cap"=[1]OUT_TransportEnergyCons!$B$4:$B$10000)*1,("-"=[1]OUT_TransportEnergyCons!$C$4:$C$10000)*1,ISNUMBER(SEARCH("T_C*mhy*dsl*s2",[1]OUT_TransportEnergyCons!$A$4:$A$10000))*1,[1]OUT_TransportEnergyCons!O$4:O$10000)</f>
        <v>1.2407201175472699E-3</v>
      </c>
      <c r="S1946" s="3"/>
    </row>
    <row r="1947" spans="2:19" x14ac:dyDescent="0.5">
      <c r="B1947" s="5" t="str">
        <f t="shared" si="2152"/>
        <v>SPS1</v>
      </c>
      <c r="C1947" s="5" t="str">
        <f t="shared" si="2153"/>
        <v>CH</v>
      </c>
      <c r="D1947" t="s">
        <v>1964</v>
      </c>
      <c r="E1947" t="str">
        <f t="shared" si="2154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5.5706863433131801E-5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2.37030974709766E-4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4.67840151221709E-4</v>
      </c>
      <c r="J1947" s="1" cm="1">
        <f t="array" ref="J1947">SUMPRODUCT(("Var_Cap"=[1]OUT_TransportEnergyCons!$B$4:$B$10000)*1,("-"=[1]OUT_TransportEnergyCons!$C$4:$C$10000)*1,ISNUMBER(SEARCH("T_C*mhy*dsl*s3",[1]OUT_TransportEnergyCons!$A$4:$A$10000))*1,[1]OUT_TransportEnergyCons!H$4:H$10000)</f>
        <v>4.7242225502948003E-3</v>
      </c>
      <c r="K1947" s="1" cm="1">
        <f t="array" ref="K1947">SUMPRODUCT(("Var_Cap"=[1]OUT_TransportEnergyCons!$B$4:$B$10000)*1,("-"=[1]OUT_TransportEnergyCons!$C$4:$C$10000)*1,ISNUMBER(SEARCH("T_C*mhy*dsl*s3",[1]OUT_TransportEnergyCons!$A$4:$A$10000))*1,[1]OUT_TransportEnergyCons!I$4:I$10000)</f>
        <v>4.2170218167243902E-2</v>
      </c>
      <c r="L1947" s="1" cm="1">
        <f t="array" ref="L1947">SUMPRODUCT(("Var_Cap"=[1]OUT_TransportEnergyCons!$B$4:$B$10000)*1,("-"=[1]OUT_TransportEnergyCons!$C$4:$C$10000)*1,ISNUMBER(SEARCH("T_C*mhy*dsl*s3",[1]OUT_TransportEnergyCons!$A$4:$A$10000))*1,[1]OUT_TransportEnergyCons!J$4:J$10000)</f>
        <v>8.6422464728871398E-2</v>
      </c>
      <c r="M1947" s="1" cm="1">
        <f t="array" ref="M1947">SUMPRODUCT(("Var_Cap"=[1]OUT_TransportEnergyCons!$B$4:$B$10000)*1,("-"=[1]OUT_TransportEnergyCons!$C$4:$C$10000)*1,ISNUMBER(SEARCH("T_C*mhy*dsl*s3",[1]OUT_TransportEnergyCons!$A$4:$A$10000))*1,[1]OUT_TransportEnergyCons!K$4:K$10000)</f>
        <v>9.8720523998171494E-2</v>
      </c>
      <c r="N1947" s="1" cm="1">
        <f t="array" ref="N1947">SUMPRODUCT(("Var_Cap"=[1]OUT_TransportEnergyCons!$B$4:$B$10000)*1,("-"=[1]OUT_TransportEnergyCons!$C$4:$C$10000)*1,ISNUMBER(SEARCH("T_C*mhy*dsl*s3",[1]OUT_TransportEnergyCons!$A$4:$A$10000))*1,[1]OUT_TransportEnergyCons!L$4:L$10000)</f>
        <v>0.105697632754923</v>
      </c>
      <c r="O1947" s="1" cm="1">
        <f t="array" ref="O1947">SUMPRODUCT(("Var_Cap"=[1]OUT_TransportEnergyCons!$B$4:$B$10000)*1,("-"=[1]OUT_TransportEnergyCons!$C$4:$C$10000)*1,ISNUMBER(SEARCH("T_C*mhy*dsl*s3",[1]OUT_TransportEnergyCons!$A$4:$A$10000))*1,[1]OUT_TransportEnergyCons!M$4:M$10000)</f>
        <v>0.10689789424721099</v>
      </c>
      <c r="P1947" s="1" cm="1">
        <f t="array" ref="P1947">SUMPRODUCT(("Var_Cap"=[1]OUT_TransportEnergyCons!$B$4:$B$10000)*1,("-"=[1]OUT_TransportEnergyCons!$C$4:$C$10000)*1,ISNUMBER(SEARCH("T_C*mhy*dsl*s3",[1]OUT_TransportEnergyCons!$A$4:$A$10000))*1,[1]OUT_TransportEnergyCons!N$4:N$10000)</f>
        <v>0.10442676435954699</v>
      </c>
      <c r="Q1947" s="1" cm="1">
        <f t="array" ref="Q1947">SUMPRODUCT(("Var_Cap"=[1]OUT_TransportEnergyCons!$B$4:$B$10000)*1,("-"=[1]OUT_TransportEnergyCons!$C$4:$C$10000)*1,ISNUMBER(SEARCH("T_C*mhy*dsl*s3",[1]OUT_TransportEnergyCons!$A$4:$A$10000))*1,[1]OUT_TransportEnergyCons!O$4:O$10000)</f>
        <v>0.10730310999057401</v>
      </c>
      <c r="S1947" s="3"/>
    </row>
    <row r="1948" spans="2:19" x14ac:dyDescent="0.5">
      <c r="B1948" s="5" t="str">
        <f t="shared" si="2152"/>
        <v>SPS1</v>
      </c>
      <c r="C1948" s="5" t="str">
        <f t="shared" si="2153"/>
        <v>CH</v>
      </c>
      <c r="D1948" t="s">
        <v>1965</v>
      </c>
      <c r="E1948" t="str">
        <f t="shared" si="2154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3.9605912275829299E-5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1.13603353000489E-4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1.7472884886184599E-4</v>
      </c>
      <c r="J1948" s="1" cm="1">
        <f t="array" ref="J1948">SUMPRODUCT(("Var_Cap"=[1]OUT_TransportEnergyCons!$B$4:$B$10000)*1,("-"=[1]OUT_TransportEnergyCons!$C$4:$C$10000)*1,ISNUMBER(SEARCH("T_C*mhy*dsl*s4",[1]OUT_TransportEnergyCons!$A$4:$A$10000))*1,[1]OUT_TransportEnergyCons!H$4:H$10000)</f>
        <v>2.8049237352952201E-4</v>
      </c>
      <c r="K1948" s="1" cm="1">
        <f t="array" ref="K1948">SUMPRODUCT(("Var_Cap"=[1]OUT_TransportEnergyCons!$B$4:$B$10000)*1,("-"=[1]OUT_TransportEnergyCons!$C$4:$C$10000)*1,ISNUMBER(SEARCH("T_C*mhy*dsl*s4",[1]OUT_TransportEnergyCons!$A$4:$A$10000))*1,[1]OUT_TransportEnergyCons!I$4:I$10000)</f>
        <v>5.8008626423663697E-4</v>
      </c>
      <c r="L1948" s="1" cm="1">
        <f t="array" ref="L1948">SUMPRODUCT(("Var_Cap"=[1]OUT_TransportEnergyCons!$B$4:$B$10000)*1,("-"=[1]OUT_TransportEnergyCons!$C$4:$C$10000)*1,ISNUMBER(SEARCH("T_C*mhy*dsl*s4",[1]OUT_TransportEnergyCons!$A$4:$A$10000))*1,[1]OUT_TransportEnergyCons!J$4:J$10000)</f>
        <v>8.5460672017005396E-4</v>
      </c>
      <c r="M1948" s="1" cm="1">
        <f t="array" ref="M1948">SUMPRODUCT(("Var_Cap"=[1]OUT_TransportEnergyCons!$B$4:$B$10000)*1,("-"=[1]OUT_TransportEnergyCons!$C$4:$C$10000)*1,ISNUMBER(SEARCH("T_C*mhy*dsl*s4",[1]OUT_TransportEnergyCons!$A$4:$A$10000))*1,[1]OUT_TransportEnergyCons!K$4:K$10000)</f>
        <v>1.3751531753201801E-3</v>
      </c>
      <c r="N1948" s="1" cm="1">
        <f t="array" ref="N1948">SUMPRODUCT(("Var_Cap"=[1]OUT_TransportEnergyCons!$B$4:$B$10000)*1,("-"=[1]OUT_TransportEnergyCons!$C$4:$C$10000)*1,ISNUMBER(SEARCH("T_C*mhy*dsl*s4",[1]OUT_TransportEnergyCons!$A$4:$A$10000))*1,[1]OUT_TransportEnergyCons!L$4:L$10000)</f>
        <v>1.49324044079233E-3</v>
      </c>
      <c r="O1948" s="1" cm="1">
        <f t="array" ref="O1948">SUMPRODUCT(("Var_Cap"=[1]OUT_TransportEnergyCons!$B$4:$B$10000)*1,("-"=[1]OUT_TransportEnergyCons!$C$4:$C$10000)*1,ISNUMBER(SEARCH("T_C*mhy*dsl*s4",[1]OUT_TransportEnergyCons!$A$4:$A$10000))*1,[1]OUT_TransportEnergyCons!M$4:M$10000)</f>
        <v>1.2435694265142401E-3</v>
      </c>
      <c r="P1948" s="1" cm="1">
        <f t="array" ref="P1948">SUMPRODUCT(("Var_Cap"=[1]OUT_TransportEnergyCons!$B$4:$B$10000)*1,("-"=[1]OUT_TransportEnergyCons!$C$4:$C$10000)*1,ISNUMBER(SEARCH("T_C*mhy*dsl*s4",[1]OUT_TransportEnergyCons!$A$4:$A$10000))*1,[1]OUT_TransportEnergyCons!N$4:N$10000)</f>
        <v>8.0012550362321101E-4</v>
      </c>
      <c r="Q1948" s="1" cm="1">
        <f t="array" ref="Q1948">SUMPRODUCT(("Var_Cap"=[1]OUT_TransportEnergyCons!$B$4:$B$10000)*1,("-"=[1]OUT_TransportEnergyCons!$C$4:$C$10000)*1,ISNUMBER(SEARCH("T_C*mhy*dsl*s4",[1]OUT_TransportEnergyCons!$A$4:$A$10000))*1,[1]OUT_TransportEnergyCons!O$4:O$10000)</f>
        <v>8.0534867398831796E-4</v>
      </c>
      <c r="S1948" s="3"/>
    </row>
    <row r="1949" spans="2:19" x14ac:dyDescent="0.5">
      <c r="B1949" s="5" t="str">
        <f t="shared" si="2152"/>
        <v>SPS1</v>
      </c>
      <c r="C1949" s="5" t="str">
        <f t="shared" si="2153"/>
        <v>CH</v>
      </c>
      <c r="D1949" t="s">
        <v>1966</v>
      </c>
      <c r="E1949" t="str">
        <f t="shared" si="2154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SUMPRODUCT(("Var_Cap"=[1]OUT_TransportEnergyCons!$B$4:$B$10000)*1,("-"=[1]OUT_TransportEnergyCons!$C$4:$C$10000)*1,ISNUMBER(SEARCH("T_C*ICE*nga*ext",[1]OUT_TransportEnergyCons!$A$4:$A$10000))*1,[1]OUT_TransportEnergyCons!H$4:H$10000)</f>
        <v>0</v>
      </c>
      <c r="K1949" s="1" cm="1">
        <f t="array" ref="K1949">SUMPRODUCT(("Var_Cap"=[1]OUT_TransportEnergyCons!$B$4:$B$10000)*1,("-"=[1]OUT_TransportEnergyCons!$C$4:$C$10000)*1,ISNUMBER(SEARCH("T_C*ICE*nga*ext",[1]OUT_TransportEnergyCons!$A$4:$A$10000))*1,[1]OUT_TransportEnergyCons!I$4:I$10000)</f>
        <v>0</v>
      </c>
      <c r="L1949" s="1" cm="1">
        <f t="array" ref="L1949">SUMPRODUCT(("Var_Cap"=[1]OUT_TransportEnergyCons!$B$4:$B$10000)*1,("-"=[1]OUT_TransportEnergyCons!$C$4:$C$10000)*1,ISNUMBER(SEARCH("T_C*ICE*nga*ext",[1]OUT_TransportEnergyCons!$A$4:$A$10000))*1,[1]OUT_TransportEnergyCons!J$4:J$10000)</f>
        <v>0</v>
      </c>
      <c r="M1949" s="1" cm="1">
        <f t="array" ref="M1949">SUMPRODUCT(("Var_Cap"=[1]OUT_TransportEnergyCons!$B$4:$B$10000)*1,("-"=[1]OUT_TransportEnergyCons!$C$4:$C$10000)*1,ISNUMBER(SEARCH("T_C*ICE*nga*ext",[1]OUT_TransportEnergyCons!$A$4:$A$10000))*1,[1]OUT_TransportEnergyCons!K$4:K$10000)</f>
        <v>0</v>
      </c>
      <c r="N1949" s="1" cm="1">
        <f t="array" ref="N1949">SUMPRODUCT(("Var_Cap"=[1]OUT_TransportEnergyCons!$B$4:$B$10000)*1,("-"=[1]OUT_TransportEnergyCons!$C$4:$C$10000)*1,ISNUMBER(SEARCH("T_C*ICE*nga*ext",[1]OUT_TransportEnergyCons!$A$4:$A$10000))*1,[1]OUT_TransportEnergyCons!L$4:L$10000)</f>
        <v>0</v>
      </c>
      <c r="O1949" s="1" cm="1">
        <f t="array" ref="O1949">SUMPRODUCT(("Var_Cap"=[1]OUT_TransportEnergyCons!$B$4:$B$10000)*1,("-"=[1]OUT_TransportEnergyCons!$C$4:$C$10000)*1,ISNUMBER(SEARCH("T_C*ICE*nga*ext",[1]OUT_TransportEnergyCons!$A$4:$A$10000))*1,[1]OUT_TransportEnergyCons!M$4:M$10000)</f>
        <v>0</v>
      </c>
      <c r="P1949" s="1" cm="1">
        <f t="array" ref="P1949">SUMPRODUCT(("Var_Cap"=[1]OUT_TransportEnergyCons!$B$4:$B$10000)*1,("-"=[1]OUT_TransportEnergyCons!$C$4:$C$10000)*1,ISNUMBER(SEARCH("T_C*ICE*nga*ext",[1]OUT_TransportEnergyCons!$A$4:$A$10000))*1,[1]OUT_TransportEnergyCons!N$4:N$10000)</f>
        <v>0</v>
      </c>
      <c r="Q1949" s="1" cm="1">
        <f t="array" ref="Q1949">SUMPRODUCT(("Var_Cap"=[1]OUT_TransportEnergyCons!$B$4:$B$10000)*1,("-"=[1]OUT_TransportEnergyCons!$C$4:$C$10000)*1,ISNUMBER(SEARCH("T_C*ICE*nga*ext",[1]OUT_TransportEnergyCons!$A$4:$A$10000))*1,[1]OUT_TransportEnergyCons!O$4:O$10000)</f>
        <v>0</v>
      </c>
      <c r="S1949" s="3"/>
    </row>
    <row r="1950" spans="2:19" x14ac:dyDescent="0.5">
      <c r="B1950" s="5" t="str">
        <f t="shared" si="2152"/>
        <v>SPS1</v>
      </c>
      <c r="C1950" s="5" t="str">
        <f t="shared" si="2153"/>
        <v>CH</v>
      </c>
      <c r="D1950" t="s">
        <v>1967</v>
      </c>
      <c r="E1950" t="str">
        <f t="shared" si="2154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2.5568783143094682E-4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2.6146599150371258E-4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2.6725006214666592E-4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1.3520049017677794E-5</v>
      </c>
      <c r="J1950" s="1" cm="1">
        <f t="array" ref="J1950">SUMPRODUCT(("Var_Cap"=[1]OUT_TransportEnergyCons!$B$4:$B$10000)*1,("-"=[1]OUT_TransportEnergyCons!$C$4:$C$10000)*1,ISNUMBER(SEARCH("T_C*ICE*nga*s1",[1]OUT_TransportEnergyCons!$A$4:$A$10000))*1,[1]OUT_TransportEnergyCons!H$4:H$10000)</f>
        <v>6.5200254768997793E-6</v>
      </c>
      <c r="K1950" s="1" cm="1">
        <f t="array" ref="K1950">SUMPRODUCT(("Var_Cap"=[1]OUT_TransportEnergyCons!$B$4:$B$10000)*1,("-"=[1]OUT_TransportEnergyCons!$C$4:$C$10000)*1,ISNUMBER(SEARCH("T_C*ICE*nga*s1",[1]OUT_TransportEnergyCons!$A$4:$A$10000))*1,[1]OUT_TransportEnergyCons!I$4:I$10000)</f>
        <v>5.9220512545452521E-6</v>
      </c>
      <c r="L1950" s="1" cm="1">
        <f t="array" ref="L1950">SUMPRODUCT(("Var_Cap"=[1]OUT_TransportEnergyCons!$B$4:$B$10000)*1,("-"=[1]OUT_TransportEnergyCons!$C$4:$C$10000)*1,ISNUMBER(SEARCH("T_C*ICE*nga*s1",[1]OUT_TransportEnergyCons!$A$4:$A$10000))*1,[1]OUT_TransportEnergyCons!J$4:J$10000)</f>
        <v>5.5769485491805482E-6</v>
      </c>
      <c r="M1950" s="1" cm="1">
        <f t="array" ref="M1950">SUMPRODUCT(("Var_Cap"=[1]OUT_TransportEnergyCons!$B$4:$B$10000)*1,("-"=[1]OUT_TransportEnergyCons!$C$4:$C$10000)*1,ISNUMBER(SEARCH("T_C*ICE*nga*s1",[1]OUT_TransportEnergyCons!$A$4:$A$10000))*1,[1]OUT_TransportEnergyCons!K$4:K$10000)</f>
        <v>5.904751751678153E-6</v>
      </c>
      <c r="N1950" s="1" cm="1">
        <f t="array" ref="N1950">SUMPRODUCT(("Var_Cap"=[1]OUT_TransportEnergyCons!$B$4:$B$10000)*1,("-"=[1]OUT_TransportEnergyCons!$C$4:$C$10000)*1,ISNUMBER(SEARCH("T_C*ICE*nga*s1",[1]OUT_TransportEnergyCons!$A$4:$A$10000))*1,[1]OUT_TransportEnergyCons!L$4:L$10000)</f>
        <v>5.8071840147215203E-6</v>
      </c>
      <c r="O1950" s="1" cm="1">
        <f t="array" ref="O1950">SUMPRODUCT(("Var_Cap"=[1]OUT_TransportEnergyCons!$B$4:$B$10000)*1,("-"=[1]OUT_TransportEnergyCons!$C$4:$C$10000)*1,ISNUMBER(SEARCH("T_C*ICE*nga*s1",[1]OUT_TransportEnergyCons!$A$4:$A$10000))*1,[1]OUT_TransportEnergyCons!M$4:M$10000)</f>
        <v>6.0580959983790665E-6</v>
      </c>
      <c r="P1950" s="1" cm="1">
        <f t="array" ref="P1950">SUMPRODUCT(("Var_Cap"=[1]OUT_TransportEnergyCons!$B$4:$B$10000)*1,("-"=[1]OUT_TransportEnergyCons!$C$4:$C$10000)*1,ISNUMBER(SEARCH("T_C*ICE*nga*s1",[1]OUT_TransportEnergyCons!$A$4:$A$10000))*1,[1]OUT_TransportEnergyCons!N$4:N$10000)</f>
        <v>6.2649144208206082E-6</v>
      </c>
      <c r="Q1950" s="1" cm="1">
        <f t="array" ref="Q1950">SUMPRODUCT(("Var_Cap"=[1]OUT_TransportEnergyCons!$B$4:$B$10000)*1,("-"=[1]OUT_TransportEnergyCons!$C$4:$C$10000)*1,ISNUMBER(SEARCH("T_C*ICE*nga*s1",[1]OUT_TransportEnergyCons!$A$4:$A$10000))*1,[1]OUT_TransportEnergyCons!O$4:O$10000)</f>
        <v>6.5974837941850769E-6</v>
      </c>
      <c r="S1950" s="3"/>
    </row>
    <row r="1951" spans="2:19" x14ac:dyDescent="0.5">
      <c r="B1951" s="5" t="str">
        <f t="shared" si="2152"/>
        <v>SPS1</v>
      </c>
      <c r="C1951" s="5" t="str">
        <f t="shared" si="2153"/>
        <v>CH</v>
      </c>
      <c r="D1951" t="s">
        <v>1968</v>
      </c>
      <c r="E1951" t="str">
        <f t="shared" si="2154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2.6565786279392723E-3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2.4081101640388717E-3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2.3804189254224869E-3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4.4018205597987255E-6</v>
      </c>
      <c r="J1951" s="1" cm="1">
        <f t="array" ref="J1951">SUMPRODUCT(("Var_Cap"=[1]OUT_TransportEnergyCons!$B$4:$B$10000)*1,("-"=[1]OUT_TransportEnergyCons!$C$4:$C$10000)*1,ISNUMBER(SEARCH("T_C*ICE*nga*s2",[1]OUT_TransportEnergyCons!$A$4:$A$10000))*1,[1]OUT_TransportEnergyCons!H$4:H$10000)</f>
        <v>5.6548058322074507E-6</v>
      </c>
      <c r="K1951" s="1" cm="1">
        <f t="array" ref="K1951">SUMPRODUCT(("Var_Cap"=[1]OUT_TransportEnergyCons!$B$4:$B$10000)*1,("-"=[1]OUT_TransportEnergyCons!$C$4:$C$10000)*1,ISNUMBER(SEARCH("T_C*ICE*nga*s2",[1]OUT_TransportEnergyCons!$A$4:$A$10000))*1,[1]OUT_TransportEnergyCons!I$4:I$10000)</f>
        <v>6.3517278300360608E-6</v>
      </c>
      <c r="L1951" s="1" cm="1">
        <f t="array" ref="L1951">SUMPRODUCT(("Var_Cap"=[1]OUT_TransportEnergyCons!$B$4:$B$10000)*1,("-"=[1]OUT_TransportEnergyCons!$C$4:$C$10000)*1,ISNUMBER(SEARCH("T_C*ICE*nga*s2",[1]OUT_TransportEnergyCons!$A$4:$A$10000))*1,[1]OUT_TransportEnergyCons!J$4:J$10000)</f>
        <v>6.4580384190539132E-6</v>
      </c>
      <c r="M1951" s="1" cm="1">
        <f t="array" ref="M1951">SUMPRODUCT(("Var_Cap"=[1]OUT_TransportEnergyCons!$B$4:$B$10000)*1,("-"=[1]OUT_TransportEnergyCons!$C$4:$C$10000)*1,ISNUMBER(SEARCH("T_C*ICE*nga*s2",[1]OUT_TransportEnergyCons!$A$4:$A$10000))*1,[1]OUT_TransportEnergyCons!K$4:K$10000)</f>
        <v>6.475090009787515E-6</v>
      </c>
      <c r="N1951" s="1" cm="1">
        <f t="array" ref="N1951">SUMPRODUCT(("Var_Cap"=[1]OUT_TransportEnergyCons!$B$4:$B$10000)*1,("-"=[1]OUT_TransportEnergyCons!$C$4:$C$10000)*1,ISNUMBER(SEARCH("T_C*ICE*nga*s2",[1]OUT_TransportEnergyCons!$A$4:$A$10000))*1,[1]OUT_TransportEnergyCons!L$4:L$10000)</f>
        <v>6.5517784843819949E-6</v>
      </c>
      <c r="O1951" s="1" cm="1">
        <f t="array" ref="O1951">SUMPRODUCT(("Var_Cap"=[1]OUT_TransportEnergyCons!$B$4:$B$10000)*1,("-"=[1]OUT_TransportEnergyCons!$C$4:$C$10000)*1,ISNUMBER(SEARCH("T_C*ICE*nga*s2",[1]OUT_TransportEnergyCons!$A$4:$A$10000))*1,[1]OUT_TransportEnergyCons!M$4:M$10000)</f>
        <v>6.702214216235071E-6</v>
      </c>
      <c r="P1951" s="1" cm="1">
        <f t="array" ref="P1951">SUMPRODUCT(("Var_Cap"=[1]OUT_TransportEnergyCons!$B$4:$B$10000)*1,("-"=[1]OUT_TransportEnergyCons!$C$4:$C$10000)*1,ISNUMBER(SEARCH("T_C*ICE*nga*s2",[1]OUT_TransportEnergyCons!$A$4:$A$10000))*1,[1]OUT_TransportEnergyCons!N$4:N$10000)</f>
        <v>6.8234343290006201E-6</v>
      </c>
      <c r="Q1951" s="1" cm="1">
        <f t="array" ref="Q1951">SUMPRODUCT(("Var_Cap"=[1]OUT_TransportEnergyCons!$B$4:$B$10000)*1,("-"=[1]OUT_TransportEnergyCons!$C$4:$C$10000)*1,ISNUMBER(SEARCH("T_C*ICE*nga*s2",[1]OUT_TransportEnergyCons!$A$4:$A$10000))*1,[1]OUT_TransportEnergyCons!O$4:O$10000)</f>
        <v>6.9503787476326562E-6</v>
      </c>
      <c r="S1951" s="3"/>
    </row>
    <row r="1952" spans="2:19" x14ac:dyDescent="0.5">
      <c r="B1952" s="5" t="str">
        <f t="shared" si="2152"/>
        <v>SPS1</v>
      </c>
      <c r="C1952" s="5" t="str">
        <f t="shared" si="2153"/>
        <v>CH</v>
      </c>
      <c r="D1952" t="s">
        <v>1969</v>
      </c>
      <c r="E1952" t="str">
        <f t="shared" si="2154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1.5084118427880909E-4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1.6312523775424383E-4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1.6591696626189434E-4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1.6092727467892208E-5</v>
      </c>
      <c r="J1952" s="1" cm="1">
        <f t="array" ref="J1952">SUMPRODUCT(("Var_Cap"=[1]OUT_TransportEnergyCons!$B$4:$B$10000)*1,("-"=[1]OUT_TransportEnergyCons!$C$4:$C$10000)*1,ISNUMBER(SEARCH("T_C*ICE*nga*s3",[1]OUT_TransportEnergyCons!$A$4:$A$10000))*1,[1]OUT_TransportEnergyCons!H$4:H$10000)</f>
        <v>7.6339706792926407E-6</v>
      </c>
      <c r="K1952" s="1" cm="1">
        <f t="array" ref="K1952">SUMPRODUCT(("Var_Cap"=[1]OUT_TransportEnergyCons!$B$4:$B$10000)*1,("-"=[1]OUT_TransportEnergyCons!$C$4:$C$10000)*1,ISNUMBER(SEARCH("T_C*ICE*nga*s3",[1]OUT_TransportEnergyCons!$A$4:$A$10000))*1,[1]OUT_TransportEnergyCons!I$4:I$10000)</f>
        <v>6.5727973343032326E-6</v>
      </c>
      <c r="L1952" s="1" cm="1">
        <f t="array" ref="L1952">SUMPRODUCT(("Var_Cap"=[1]OUT_TransportEnergyCons!$B$4:$B$10000)*1,("-"=[1]OUT_TransportEnergyCons!$C$4:$C$10000)*1,ISNUMBER(SEARCH("T_C*ICE*nga*s3",[1]OUT_TransportEnergyCons!$A$4:$A$10000))*1,[1]OUT_TransportEnergyCons!J$4:J$10000)</f>
        <v>6.7472648668748707E-6</v>
      </c>
      <c r="M1952" s="1" cm="1">
        <f t="array" ref="M1952">SUMPRODUCT(("Var_Cap"=[1]OUT_TransportEnergyCons!$B$4:$B$10000)*1,("-"=[1]OUT_TransportEnergyCons!$C$4:$C$10000)*1,ISNUMBER(SEARCH("T_C*ICE*nga*s3",[1]OUT_TransportEnergyCons!$A$4:$A$10000))*1,[1]OUT_TransportEnergyCons!K$4:K$10000)</f>
        <v>6.785163532528691E-6</v>
      </c>
      <c r="N1952" s="1" cm="1">
        <f t="array" ref="N1952">SUMPRODUCT(("Var_Cap"=[1]OUT_TransportEnergyCons!$B$4:$B$10000)*1,("-"=[1]OUT_TransportEnergyCons!$C$4:$C$10000)*1,ISNUMBER(SEARCH("T_C*ICE*nga*s3",[1]OUT_TransportEnergyCons!$A$4:$A$10000))*1,[1]OUT_TransportEnergyCons!L$4:L$10000)</f>
        <v>6.9740441969548741E-6</v>
      </c>
      <c r="O1952" s="1" cm="1">
        <f t="array" ref="O1952">SUMPRODUCT(("Var_Cap"=[1]OUT_TransportEnergyCons!$B$4:$B$10000)*1,("-"=[1]OUT_TransportEnergyCons!$C$4:$C$10000)*1,ISNUMBER(SEARCH("T_C*ICE*nga*s3",[1]OUT_TransportEnergyCons!$A$4:$A$10000))*1,[1]OUT_TransportEnergyCons!M$4:M$10000)</f>
        <v>7.0367230047495309E-6</v>
      </c>
      <c r="P1952" s="1" cm="1">
        <f t="array" ref="P1952">SUMPRODUCT(("Var_Cap"=[1]OUT_TransportEnergyCons!$B$4:$B$10000)*1,("-"=[1]OUT_TransportEnergyCons!$C$4:$C$10000)*1,ISNUMBER(SEARCH("T_C*ICE*nga*s3",[1]OUT_TransportEnergyCons!$A$4:$A$10000))*1,[1]OUT_TransportEnergyCons!N$4:N$10000)</f>
        <v>7.0793218168803185E-6</v>
      </c>
      <c r="Q1952" s="1" cm="1">
        <f t="array" ref="Q1952">SUMPRODUCT(("Var_Cap"=[1]OUT_TransportEnergyCons!$B$4:$B$10000)*1,("-"=[1]OUT_TransportEnergyCons!$C$4:$C$10000)*1,ISNUMBER(SEARCH("T_C*ICE*nga*s3",[1]OUT_TransportEnergyCons!$A$4:$A$10000))*1,[1]OUT_TransportEnergyCons!O$4:O$10000)</f>
        <v>7.0438334719063856E-6</v>
      </c>
      <c r="S1952" s="3"/>
    </row>
    <row r="1953" spans="2:19" x14ac:dyDescent="0.5">
      <c r="B1953" s="5" t="str">
        <f t="shared" si="2152"/>
        <v>SPS1</v>
      </c>
      <c r="C1953" s="5" t="str">
        <f t="shared" si="2153"/>
        <v>CH</v>
      </c>
      <c r="D1953" t="s">
        <v>1970</v>
      </c>
      <c r="E1953" t="str">
        <f t="shared" si="2154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2.5388159406705209E-3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2.3672964414128226E-3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3.079656236662032E-6</v>
      </c>
      <c r="J1953" s="1" cm="1">
        <f t="array" ref="J1953">SUMPRODUCT(("Var_Cap"=[1]OUT_TransportEnergyCons!$B$4:$B$10000)*1,("-"=[1]OUT_TransportEnergyCons!$C$4:$C$10000)*1,ISNUMBER(SEARCH("T_C*ICE*nga*s4",[1]OUT_TransportEnergyCons!$A$4:$A$10000))*1,[1]OUT_TransportEnergyCons!H$4:H$10000)</f>
        <v>5.6707660856616959E-6</v>
      </c>
      <c r="K1953" s="1" cm="1">
        <f t="array" ref="K1953">SUMPRODUCT(("Var_Cap"=[1]OUT_TransportEnergyCons!$B$4:$B$10000)*1,("-"=[1]OUT_TransportEnergyCons!$C$4:$C$10000)*1,ISNUMBER(SEARCH("T_C*ICE*nga*s4",[1]OUT_TransportEnergyCons!$A$4:$A$10000))*1,[1]OUT_TransportEnergyCons!I$4:I$10000)</f>
        <v>6.8921880682740856E-6</v>
      </c>
      <c r="L1953" s="1" cm="1">
        <f t="array" ref="L1953">SUMPRODUCT(("Var_Cap"=[1]OUT_TransportEnergyCons!$B$4:$B$10000)*1,("-"=[1]OUT_TransportEnergyCons!$C$4:$C$10000)*1,ISNUMBER(SEARCH("T_C*ICE*nga*s4",[1]OUT_TransportEnergyCons!$A$4:$A$10000))*1,[1]OUT_TransportEnergyCons!J$4:J$10000)</f>
        <v>7.117855578546795E-6</v>
      </c>
      <c r="M1953" s="1" cm="1">
        <f t="array" ref="M1953">SUMPRODUCT(("Var_Cap"=[1]OUT_TransportEnergyCons!$B$4:$B$10000)*1,("-"=[1]OUT_TransportEnergyCons!$C$4:$C$10000)*1,ISNUMBER(SEARCH("T_C*ICE*nga*s4",[1]OUT_TransportEnergyCons!$A$4:$A$10000))*1,[1]OUT_TransportEnergyCons!K$4:K$10000)</f>
        <v>7.1056095596458896E-6</v>
      </c>
      <c r="N1953" s="1" cm="1">
        <f t="array" ref="N1953">SUMPRODUCT(("Var_Cap"=[1]OUT_TransportEnergyCons!$B$4:$B$10000)*1,("-"=[1]OUT_TransportEnergyCons!$C$4:$C$10000)*1,ISNUMBER(SEARCH("T_C*ICE*nga*s4",[1]OUT_TransportEnergyCons!$A$4:$A$10000))*1,[1]OUT_TransportEnergyCons!L$4:L$10000)</f>
        <v>7.24803648555883E-6</v>
      </c>
      <c r="O1953" s="1" cm="1">
        <f t="array" ref="O1953">SUMPRODUCT(("Var_Cap"=[1]OUT_TransportEnergyCons!$B$4:$B$10000)*1,("-"=[1]OUT_TransportEnergyCons!$C$4:$C$10000)*1,ISNUMBER(SEARCH("T_C*ICE*nga*s4",[1]OUT_TransportEnergyCons!$A$4:$A$10000))*1,[1]OUT_TransportEnergyCons!M$4:M$10000)</f>
        <v>7.1312885976277249E-6</v>
      </c>
      <c r="P1953" s="1" cm="1">
        <f t="array" ref="P1953">SUMPRODUCT(("Var_Cap"=[1]OUT_TransportEnergyCons!$B$4:$B$10000)*1,("-"=[1]OUT_TransportEnergyCons!$C$4:$C$10000)*1,ISNUMBER(SEARCH("T_C*ICE*nga*s4",[1]OUT_TransportEnergyCons!$A$4:$A$10000))*1,[1]OUT_TransportEnergyCons!N$4:N$10000)</f>
        <v>7.1097185481430154E-6</v>
      </c>
      <c r="Q1953" s="1" cm="1">
        <f t="array" ref="Q1953">SUMPRODUCT(("Var_Cap"=[1]OUT_TransportEnergyCons!$B$4:$B$10000)*1,("-"=[1]OUT_TransportEnergyCons!$C$4:$C$10000)*1,ISNUMBER(SEARCH("T_C*ICE*nga*s4",[1]OUT_TransportEnergyCons!$A$4:$A$10000))*1,[1]OUT_TransportEnergyCons!O$4:O$10000)</f>
        <v>7.0633187878102322E-6</v>
      </c>
      <c r="S1953" s="3"/>
    </row>
    <row r="1954" spans="2:19" x14ac:dyDescent="0.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5.7140266422876236</v>
      </c>
      <c r="G1954" s="3">
        <f t="shared" ref="G1954:K1954" si="2155">SUM(G1955:G1977)</f>
        <v>5.6899793379758954</v>
      </c>
      <c r="H1954" s="3">
        <f t="shared" si="2155"/>
        <v>5.8508622349714985</v>
      </c>
      <c r="I1954" s="3">
        <f t="shared" si="2155"/>
        <v>6.5999092596630247</v>
      </c>
      <c r="J1954" s="3">
        <f t="shared" si="2155"/>
        <v>6.8473301376373561</v>
      </c>
      <c r="K1954" s="3">
        <f t="shared" si="2155"/>
        <v>7.0990420384916577</v>
      </c>
      <c r="L1954" s="3">
        <f t="shared" ref="L1954:O1954" si="2156">SUM(L1955:L1977)</f>
        <v>7.3668314104535169</v>
      </c>
      <c r="M1954" s="3">
        <f t="shared" si="2156"/>
        <v>7.6366103393973104</v>
      </c>
      <c r="N1954" s="3">
        <f t="shared" si="2156"/>
        <v>7.8854977054006987</v>
      </c>
      <c r="O1954" s="3">
        <f t="shared" si="2156"/>
        <v>8.1752993330873398</v>
      </c>
      <c r="P1954" s="3">
        <f>SUM(P1955:P1977)</f>
        <v>8.5081629688824094</v>
      </c>
      <c r="Q1954" s="3">
        <f>SUM(Q1955:Q1977)</f>
        <v>8.8882519102980897</v>
      </c>
      <c r="S1954" s="3"/>
    </row>
    <row r="1955" spans="2:19" x14ac:dyDescent="0.5">
      <c r="B1955" s="5" t="str">
        <f t="shared" ref="B1955:B1977" si="2157">B1954</f>
        <v>SPS1</v>
      </c>
      <c r="C1955" s="5" t="str">
        <f t="shared" ref="C1955:C1977" si="2158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3.7782406565222776E-2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(SUMPRODUCT(("Var_Cap"=[1]OUT_TransportEnergyCons!$B$4:$B$10000)*1,ISNUMBER(SEARCH("T_B_u*bev*ext",[1]OUT_TransportEnergyCons!$A$4:$A$10000))*1,[1]OUT_TransportEnergyCons!H$4:H$10000))*1000</f>
        <v>0</v>
      </c>
      <c r="K1955" s="1" cm="1">
        <f t="array" ref="K1955">(SUMPRODUCT(("Var_Cap"=[1]OUT_TransportEnergyCons!$B$4:$B$10000)*1,ISNUMBER(SEARCH("T_B_u*bev*ext",[1]OUT_TransportEnergyCons!$A$4:$A$10000))*1,[1]OUT_TransportEnergyCons!I$4:I$10000))*1000</f>
        <v>0</v>
      </c>
      <c r="L1955" s="1" cm="1">
        <f t="array" ref="L1955">(SUMPRODUCT(("Var_Cap"=[1]OUT_TransportEnergyCons!$B$4:$B$10000)*1,ISNUMBER(SEARCH("T_B_u*bev*ext",[1]OUT_TransportEnergyCons!$A$4:$A$10000))*1,[1]OUT_TransportEnergyCons!J$4:J$10000))*1000</f>
        <v>0</v>
      </c>
      <c r="M1955" s="1" cm="1">
        <f t="array" ref="M1955">(SUMPRODUCT(("Var_Cap"=[1]OUT_TransportEnergyCons!$B$4:$B$10000)*1,ISNUMBER(SEARCH("T_B_u*bev*ext",[1]OUT_TransportEnergyCons!$A$4:$A$10000))*1,[1]OUT_TransportEnergyCons!K$4:K$10000))*1000</f>
        <v>0</v>
      </c>
      <c r="N1955" s="1" cm="1">
        <f t="array" ref="N1955">(SUMPRODUCT(("Var_Cap"=[1]OUT_TransportEnergyCons!$B$4:$B$10000)*1,ISNUMBER(SEARCH("T_B_u*bev*ext",[1]OUT_TransportEnergyCons!$A$4:$A$10000))*1,[1]OUT_TransportEnergyCons!L$4:L$10000))*1000</f>
        <v>0</v>
      </c>
      <c r="O1955" s="1" cm="1">
        <f t="array" ref="O1955">(SUMPRODUCT(("Var_Cap"=[1]OUT_TransportEnergyCons!$B$4:$B$10000)*1,ISNUMBER(SEARCH("T_B_u*bev*ext",[1]OUT_TransportEnergyCons!$A$4:$A$10000))*1,[1]OUT_TransportEnergyCons!M$4:M$10000))*1000</f>
        <v>0</v>
      </c>
      <c r="P1955" s="1" cm="1">
        <f t="array" ref="P1955">(SUMPRODUCT(("Var_Cap"=[1]OUT_TransportEnergyCons!$B$4:$B$10000)*1,ISNUMBER(SEARCH("T_B_u*bev*ext",[1]OUT_TransportEnergyCons!$A$4:$A$10000))*1,[1]OUT_TransportEnergyCons!N$4:N$10000))*1000</f>
        <v>0</v>
      </c>
      <c r="Q1955" s="1" cm="1">
        <f t="array" ref="Q1955">(SUMPRODUCT(("Var_Cap"=[1]OUT_TransportEnergyCons!$B$4:$B$10000)*1,ISNUMBER(SEARCH("T_B_u*bev*ext",[1]OUT_TransportEnergyCons!$A$4:$A$10000))*1,[1]OUT_TransportEnergyCons!O$4:O$10000))*1000</f>
        <v>0</v>
      </c>
      <c r="S1955" s="3"/>
    </row>
    <row r="1956" spans="2:19" x14ac:dyDescent="0.5">
      <c r="B1956" s="5" t="str">
        <f t="shared" si="2157"/>
        <v>SPS1</v>
      </c>
      <c r="C1956" s="5" t="str">
        <f t="shared" si="2158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1.2326527962415254E-2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3.2022102494298134E-2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2.5586902004018657</v>
      </c>
      <c r="J1956" s="1" cm="1">
        <f t="array" ref="J1956">(SUMPRODUCT(("Var_Cap"=[1]OUT_TransportEnergyCons!$B$4:$B$10000)*1,ISNUMBER(SEARCH("T_B_u*bev*s1",[1]OUT_TransportEnergyCons!$A$4:$A$10000))*1,[1]OUT_TransportEnergyCons!H$4:H$10000))*1000</f>
        <v>2.6221740247181096</v>
      </c>
      <c r="K1956" s="1" cm="1">
        <f t="array" ref="K1956">(SUMPRODUCT(("Var_Cap"=[1]OUT_TransportEnergyCons!$B$4:$B$10000)*1,ISNUMBER(SEARCH("T_B_u*bev*s1",[1]OUT_TransportEnergyCons!$A$4:$A$10000))*1,[1]OUT_TransportEnergyCons!I$4:I$10000))*1000</f>
        <v>2.6910503152600467</v>
      </c>
      <c r="L1956" s="1" cm="1">
        <f t="array" ref="L1956">(SUMPRODUCT(("Var_Cap"=[1]OUT_TransportEnergyCons!$B$4:$B$10000)*1,ISNUMBER(SEARCH("T_B_u*bev*s1",[1]OUT_TransportEnergyCons!$A$4:$A$10000))*1,[1]OUT_TransportEnergyCons!J$4:J$10000))*1000</f>
        <v>2.7917816504915609</v>
      </c>
      <c r="M1956" s="1" cm="1">
        <f t="array" ref="M1956">(SUMPRODUCT(("Var_Cap"=[1]OUT_TransportEnergyCons!$B$4:$B$10000)*1,ISNUMBER(SEARCH("T_B_u*bev*s1",[1]OUT_TransportEnergyCons!$A$4:$A$10000))*1,[1]OUT_TransportEnergyCons!K$4:K$10000))*1000</f>
        <v>2.8705578690128628</v>
      </c>
      <c r="N1956" s="1" cm="1">
        <f t="array" ref="N1956">(SUMPRODUCT(("Var_Cap"=[1]OUT_TransportEnergyCons!$B$4:$B$10000)*1,ISNUMBER(SEARCH("T_B_u*bev*s1",[1]OUT_TransportEnergyCons!$A$4:$A$10000))*1,[1]OUT_TransportEnergyCons!L$4:L$10000))*1000</f>
        <v>2.946118209223016</v>
      </c>
      <c r="O1956" s="1" cm="1">
        <f t="array" ref="O1956">(SUMPRODUCT(("Var_Cap"=[1]OUT_TransportEnergyCons!$B$4:$B$10000)*1,ISNUMBER(SEARCH("T_B_u*bev*s1",[1]OUT_TransportEnergyCons!$A$4:$A$10000))*1,[1]OUT_TransportEnergyCons!M$4:M$10000))*1000</f>
        <v>2.9323548822940024</v>
      </c>
      <c r="P1956" s="1" cm="1">
        <f t="array" ref="P1956">(SUMPRODUCT(("Var_Cap"=[1]OUT_TransportEnergyCons!$B$4:$B$10000)*1,ISNUMBER(SEARCH("T_B_u*bev*s1",[1]OUT_TransportEnergyCons!$A$4:$A$10000))*1,[1]OUT_TransportEnergyCons!N$4:N$10000))*1000</f>
        <v>2.3432101305475768</v>
      </c>
      <c r="Q1956" s="1" cm="1">
        <f t="array" ref="Q1956">(SUMPRODUCT(("Var_Cap"=[1]OUT_TransportEnergyCons!$B$4:$B$10000)*1,ISNUMBER(SEARCH("T_B_u*bev*s1",[1]OUT_TransportEnergyCons!$A$4:$A$10000))*1,[1]OUT_TransportEnergyCons!O$4:O$10000))*1000</f>
        <v>2.0184381924936696</v>
      </c>
      <c r="S1956" s="3"/>
    </row>
    <row r="1957" spans="2:19" x14ac:dyDescent="0.5">
      <c r="B1957" s="5" t="str">
        <f t="shared" si="2157"/>
        <v>SPS1</v>
      </c>
      <c r="C1957" s="5" t="str">
        <f t="shared" si="2158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7.8464557672864102E-3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1.4034168062891749E-2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2.6883887006419308E-2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0.74816821217741303</v>
      </c>
      <c r="J1957" s="1" cm="1">
        <f t="array" ref="J1957">(SUMPRODUCT(("Var_Cap"=[1]OUT_TransportEnergyCons!$B$4:$B$10000)*1,ISNUMBER(SEARCH("T_B_u*bev*s2",[1]OUT_TransportEnergyCons!$A$4:$A$10000))*1,[1]OUT_TransportEnergyCons!H$4:H$10000))*1000</f>
        <v>0.77976792436427889</v>
      </c>
      <c r="K1957" s="1" cm="1">
        <f t="array" ref="K1957">(SUMPRODUCT(("Var_Cap"=[1]OUT_TransportEnergyCons!$B$4:$B$10000)*1,ISNUMBER(SEARCH("T_B_u*bev*s2",[1]OUT_TransportEnergyCons!$A$4:$A$10000))*1,[1]OUT_TransportEnergyCons!I$4:I$10000))*1000</f>
        <v>0.81103321470186396</v>
      </c>
      <c r="L1957" s="1" cm="1">
        <f t="array" ref="L1957">(SUMPRODUCT(("Var_Cap"=[1]OUT_TransportEnergyCons!$B$4:$B$10000)*1,ISNUMBER(SEARCH("T_B_u*bev*s2",[1]OUT_TransportEnergyCons!$A$4:$A$10000))*1,[1]OUT_TransportEnergyCons!J$4:J$10000))*1000</f>
        <v>0.83512327644574813</v>
      </c>
      <c r="M1957" s="1" cm="1">
        <f t="array" ref="M1957">(SUMPRODUCT(("Var_Cap"=[1]OUT_TransportEnergyCons!$B$4:$B$10000)*1,ISNUMBER(SEARCH("T_B_u*bev*s2",[1]OUT_TransportEnergyCons!$A$4:$A$10000))*1,[1]OUT_TransportEnergyCons!K$4:K$10000))*1000</f>
        <v>0.85718672978692045</v>
      </c>
      <c r="N1957" s="1" cm="1">
        <f t="array" ref="N1957">(SUMPRODUCT(("Var_Cap"=[1]OUT_TransportEnergyCons!$B$4:$B$10000)*1,ISNUMBER(SEARCH("T_B_u*bev*s2",[1]OUT_TransportEnergyCons!$A$4:$A$10000))*1,[1]OUT_TransportEnergyCons!L$4:L$10000))*1000</f>
        <v>0.87196994917842507</v>
      </c>
      <c r="O1957" s="1" cm="1">
        <f t="array" ref="O1957">(SUMPRODUCT(("Var_Cap"=[1]OUT_TransportEnergyCons!$B$4:$B$10000)*1,ISNUMBER(SEARCH("T_B_u*bev*s2",[1]OUT_TransportEnergyCons!$A$4:$A$10000))*1,[1]OUT_TransportEnergyCons!M$4:M$10000))*1000</f>
        <v>0.88567462957114773</v>
      </c>
      <c r="P1957" s="1" cm="1">
        <f t="array" ref="P1957">(SUMPRODUCT(("Var_Cap"=[1]OUT_TransportEnergyCons!$B$4:$B$10000)*1,ISNUMBER(SEARCH("T_B_u*bev*s2",[1]OUT_TransportEnergyCons!$A$4:$A$10000))*1,[1]OUT_TransportEnergyCons!N$4:N$10000))*1000</f>
        <v>0.89914251244569876</v>
      </c>
      <c r="Q1957" s="1" cm="1">
        <f t="array" ref="Q1957">(SUMPRODUCT(("Var_Cap"=[1]OUT_TransportEnergyCons!$B$4:$B$10000)*1,ISNUMBER(SEARCH("T_B_u*bev*s2",[1]OUT_TransportEnergyCons!$A$4:$A$10000))*1,[1]OUT_TransportEnergyCons!O$4:O$10000))*1000</f>
        <v>0.90707340639302936</v>
      </c>
      <c r="S1957" s="3"/>
    </row>
    <row r="1958" spans="2:19" x14ac:dyDescent="0.5">
      <c r="B1958" s="5" t="str">
        <f t="shared" si="2157"/>
        <v>SPS1</v>
      </c>
      <c r="C1958" s="5" t="str">
        <f t="shared" si="2158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1.9200886530462799E-2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2.2478244336965936E-2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2.7343704091550739E-2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1.9787037404501395</v>
      </c>
      <c r="J1958" s="1" cm="1">
        <f t="array" ref="J1958">(SUMPRODUCT(("Var_Cap"=[1]OUT_TransportEnergyCons!$B$4:$B$10000)*1,ISNUMBER(SEARCH("T_B_u*bev*s3",[1]OUT_TransportEnergyCons!$A$4:$A$10000))*1,[1]OUT_TransportEnergyCons!H$4:H$10000))*1000</f>
        <v>1.8986363413474887</v>
      </c>
      <c r="K1958" s="1" cm="1">
        <f t="array" ref="K1958">(SUMPRODUCT(("Var_Cap"=[1]OUT_TransportEnergyCons!$B$4:$B$10000)*1,ISNUMBER(SEARCH("T_B_u*bev*s3",[1]OUT_TransportEnergyCons!$A$4:$A$10000))*1,[1]OUT_TransportEnergyCons!I$4:I$10000))*1000</f>
        <v>1.7985446208146201</v>
      </c>
      <c r="L1958" s="1" cm="1">
        <f t="array" ref="L1958">(SUMPRODUCT(("Var_Cap"=[1]OUT_TransportEnergyCons!$B$4:$B$10000)*1,ISNUMBER(SEARCH("T_B_u*bev*s3",[1]OUT_TransportEnergyCons!$A$4:$A$10000))*1,[1]OUT_TransportEnergyCons!J$4:J$10000))*1000</f>
        <v>1.6739083009583133</v>
      </c>
      <c r="M1958" s="1" cm="1">
        <f t="array" ref="M1958">(SUMPRODUCT(("Var_Cap"=[1]OUT_TransportEnergyCons!$B$4:$B$10000)*1,ISNUMBER(SEARCH("T_B_u*bev*s3",[1]OUT_TransportEnergyCons!$A$4:$A$10000))*1,[1]OUT_TransportEnergyCons!K$4:K$10000))*1000</f>
        <v>1.5724357096949551</v>
      </c>
      <c r="N1958" s="1" cm="1">
        <f t="array" ref="N1958">(SUMPRODUCT(("Var_Cap"=[1]OUT_TransportEnergyCons!$B$4:$B$10000)*1,ISNUMBER(SEARCH("T_B_u*bev*s3",[1]OUT_TransportEnergyCons!$A$4:$A$10000))*1,[1]OUT_TransportEnergyCons!L$4:L$10000))*1000</f>
        <v>1.4828006539398415</v>
      </c>
      <c r="O1958" s="1" cm="1">
        <f t="array" ref="O1958">(SUMPRODUCT(("Var_Cap"=[1]OUT_TransportEnergyCons!$B$4:$B$10000)*1,ISNUMBER(SEARCH("T_B_u*bev*s3",[1]OUT_TransportEnergyCons!$A$4:$A$10000))*1,[1]OUT_TransportEnergyCons!M$4:M$10000))*1000</f>
        <v>1.4826312036354239</v>
      </c>
      <c r="P1958" s="1" cm="1">
        <f t="array" ref="P1958">(SUMPRODUCT(("Var_Cap"=[1]OUT_TransportEnergyCons!$B$4:$B$10000)*1,ISNUMBER(SEARCH("T_B_u*bev*s3",[1]OUT_TransportEnergyCons!$A$4:$A$10000))*1,[1]OUT_TransportEnergyCons!N$4:N$10000))*1000</f>
        <v>2.0580383280683541</v>
      </c>
      <c r="Q1958" s="1" cm="1">
        <f t="array" ref="Q1958">(SUMPRODUCT(("Var_Cap"=[1]OUT_TransportEnergyCons!$B$4:$B$10000)*1,ISNUMBER(SEARCH("T_B_u*bev*s3",[1]OUT_TransportEnergyCons!$A$4:$A$10000))*1,[1]OUT_TransportEnergyCons!O$4:O$10000))*1000</f>
        <v>2.373262549609449</v>
      </c>
      <c r="S1958" s="3"/>
    </row>
    <row r="1959" spans="2:19" x14ac:dyDescent="0.5">
      <c r="B1959" s="5" t="str">
        <f t="shared" si="2157"/>
        <v>SPS1</v>
      </c>
      <c r="C1959" s="5" t="str">
        <f t="shared" si="2158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4.2334739803094297E-4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1.2909598177675979E-3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1.894094780126677E-3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1.1006086035722745E-3</v>
      </c>
      <c r="J1959" s="1" cm="1">
        <f t="array" ref="J1959">(SUMPRODUCT(("Var_Cap"=[1]OUT_TransportEnergyCons!$B$4:$B$10000)*1,ISNUMBER(SEARCH("T_B_u*bev*s4",[1]OUT_TransportEnergyCons!$A$4:$A$10000))*1,[1]OUT_TransportEnergyCons!H$4:H$10000))*1000</f>
        <v>1.33850817270363E-3</v>
      </c>
      <c r="K1959" s="1" cm="1">
        <f t="array" ref="K1959">(SUMPRODUCT(("Var_Cap"=[1]OUT_TransportEnergyCons!$B$4:$B$10000)*1,ISNUMBER(SEARCH("T_B_u*bev*s4",[1]OUT_TransportEnergyCons!$A$4:$A$10000))*1,[1]OUT_TransportEnergyCons!I$4:I$10000))*1000</f>
        <v>1.6483034246724188E-3</v>
      </c>
      <c r="L1959" s="1" cm="1">
        <f t="array" ref="L1959">(SUMPRODUCT(("Var_Cap"=[1]OUT_TransportEnergyCons!$B$4:$B$10000)*1,ISNUMBER(SEARCH("T_B_u*bev*s4",[1]OUT_TransportEnergyCons!$A$4:$A$10000))*1,[1]OUT_TransportEnergyCons!J$4:J$10000))*1000</f>
        <v>1.811746932873854E-3</v>
      </c>
      <c r="M1959" s="1" cm="1">
        <f t="array" ref="M1959">(SUMPRODUCT(("Var_Cap"=[1]OUT_TransportEnergyCons!$B$4:$B$10000)*1,ISNUMBER(SEARCH("T_B_u*bev*s4",[1]OUT_TransportEnergyCons!$A$4:$A$10000))*1,[1]OUT_TransportEnergyCons!K$4:K$10000))*1000</f>
        <v>2.7634928266622788E-3</v>
      </c>
      <c r="N1959" s="1" cm="1">
        <f t="array" ref="N1959">(SUMPRODUCT(("Var_Cap"=[1]OUT_TransportEnergyCons!$B$4:$B$10000)*1,ISNUMBER(SEARCH("T_B_u*bev*s4",[1]OUT_TransportEnergyCons!$A$4:$A$10000))*1,[1]OUT_TransportEnergyCons!L$4:L$10000))*1000</f>
        <v>2.2745467365480514E-3</v>
      </c>
      <c r="O1959" s="1" cm="1">
        <f t="array" ref="O1959">(SUMPRODUCT(("Var_Cap"=[1]OUT_TransportEnergyCons!$B$4:$B$10000)*1,ISNUMBER(SEARCH("T_B_u*bev*s4",[1]OUT_TransportEnergyCons!$A$4:$A$10000))*1,[1]OUT_TransportEnergyCons!M$4:M$10000))*1000</f>
        <v>2.6984433268046719E-3</v>
      </c>
      <c r="P1959" s="1" cm="1">
        <f t="array" ref="P1959">(SUMPRODUCT(("Var_Cap"=[1]OUT_TransportEnergyCons!$B$4:$B$10000)*1,ISNUMBER(SEARCH("T_B_u*bev*s4",[1]OUT_TransportEnergyCons!$A$4:$A$10000))*1,[1]OUT_TransportEnergyCons!N$4:N$10000))*1000</f>
        <v>3.1604891007372873E-3</v>
      </c>
      <c r="Q1959" s="1" cm="1">
        <f t="array" ref="Q1959">(SUMPRODUCT(("Var_Cap"=[1]OUT_TransportEnergyCons!$B$4:$B$10000)*1,ISNUMBER(SEARCH("T_B_u*bev*s4",[1]OUT_TransportEnergyCons!$A$4:$A$10000))*1,[1]OUT_TransportEnergyCons!O$4:O$10000))*1000</f>
        <v>4.8283022848119939E-3</v>
      </c>
      <c r="S1959" s="3"/>
    </row>
    <row r="1960" spans="2:19" x14ac:dyDescent="0.5">
      <c r="B1960" s="5" t="str">
        <f t="shared" si="2157"/>
        <v>SPS1</v>
      </c>
      <c r="C1960" s="5" t="str">
        <f t="shared" si="2158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2.5784310955023099E-5</v>
      </c>
      <c r="J1960" s="1" cm="1">
        <f t="array" ref="J1960">(SUMPRODUCT(("Var_Cap"=[1]OUT_TransportEnergyCons!$B$4:$B$10000)*1,ISNUMBER(SEARCH("T_B_u*h2o*s1",[1]OUT_TransportEnergyCons!$A$4:$A$10000))*1,[1]OUT_TransportEnergyCons!H$4:H$10000))*1000</f>
        <v>2.1668429766228904E-5</v>
      </c>
      <c r="K1960" s="1" cm="1">
        <f t="array" ref="K1960">(SUMPRODUCT(("Var_Cap"=[1]OUT_TransportEnergyCons!$B$4:$B$10000)*1,ISNUMBER(SEARCH("T_B_u*h2o*s1",[1]OUT_TransportEnergyCons!$A$4:$A$10000))*1,[1]OUT_TransportEnergyCons!I$4:I$10000))*1000</f>
        <v>1.7289580646600401E-5</v>
      </c>
      <c r="L1960" s="1" cm="1">
        <f t="array" ref="L1960">(SUMPRODUCT(("Var_Cap"=[1]OUT_TransportEnergyCons!$B$4:$B$10000)*1,ISNUMBER(SEARCH("T_B_u*h2o*s1",[1]OUT_TransportEnergyCons!$A$4:$A$10000))*1,[1]OUT_TransportEnergyCons!J$4:J$10000))*1000</f>
        <v>1.70259809717705E-5</v>
      </c>
      <c r="M1960" s="1" cm="1">
        <f t="array" ref="M1960">(SUMPRODUCT(("Var_Cap"=[1]OUT_TransportEnergyCons!$B$4:$B$10000)*1,ISNUMBER(SEARCH("T_B_u*h2o*s1",[1]OUT_TransportEnergyCons!$A$4:$A$10000))*1,[1]OUT_TransportEnergyCons!K$4:K$10000))*1000</f>
        <v>1.08686865890254E-5</v>
      </c>
      <c r="N1960" s="1" cm="1">
        <f t="array" ref="N1960">(SUMPRODUCT(("Var_Cap"=[1]OUT_TransportEnergyCons!$B$4:$B$10000)*1,ISNUMBER(SEARCH("T_B_u*h2o*s1",[1]OUT_TransportEnergyCons!$A$4:$A$10000))*1,[1]OUT_TransportEnergyCons!L$4:L$10000))*1000</f>
        <v>1.6177565886765403E-5</v>
      </c>
      <c r="O1960" s="1" cm="1">
        <f t="array" ref="O1960">(SUMPRODUCT(("Var_Cap"=[1]OUT_TransportEnergyCons!$B$4:$B$10000)*1,ISNUMBER(SEARCH("T_B_u*h2o*s1",[1]OUT_TransportEnergyCons!$A$4:$A$10000))*1,[1]OUT_TransportEnergyCons!M$4:M$10000))*1000</f>
        <v>2.32274151130766E-5</v>
      </c>
      <c r="P1960" s="1" cm="1">
        <f t="array" ref="P1960">(SUMPRODUCT(("Var_Cap"=[1]OUT_TransportEnergyCons!$B$4:$B$10000)*1,ISNUMBER(SEARCH("T_B_u*h2o*s1",[1]OUT_TransportEnergyCons!$A$4:$A$10000))*1,[1]OUT_TransportEnergyCons!N$4:N$10000))*1000</f>
        <v>1.39381791793896E-5</v>
      </c>
      <c r="Q1960" s="1" cm="1">
        <f t="array" ref="Q1960">(SUMPRODUCT(("Var_Cap"=[1]OUT_TransportEnergyCons!$B$4:$B$10000)*1,ISNUMBER(SEARCH("T_B_u*h2o*s1",[1]OUT_TransportEnergyCons!$A$4:$A$10000))*1,[1]OUT_TransportEnergyCons!O$4:O$10000))*1000</f>
        <v>2.5520017631586898E-5</v>
      </c>
      <c r="S1960" s="3"/>
    </row>
    <row r="1961" spans="2:19" x14ac:dyDescent="0.5">
      <c r="B1961" s="5" t="str">
        <f t="shared" si="2157"/>
        <v>SPS1</v>
      </c>
      <c r="C1961" s="5" t="str">
        <f t="shared" si="2158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1.09270758764547E-5</v>
      </c>
      <c r="J1961" s="1" cm="1">
        <f t="array" ref="J1961">IF((SUMPRODUCT(("Var_Cap"=[1]OUT_TransportEnergyCons!$B$4:$B$10000)*1,ISNUMBER(SEARCH("T_B_u*h2o*s2",[1]OUT_TransportEnergyCons!$A$4:$A$10000))*1,[1]OUT_TransportEnergyCons!H$4:H$10000))*1000&lt;0,0,(SUMPRODUCT(("Var_Cap"=[1]OUT_TransportEnergyCons!$B$4:$B$10000)*1,ISNUMBER(SEARCH("T_B_u*h2o*s2",[1]OUT_TransportEnergyCons!$A$4:$A$10000))*1,[1]OUT_TransportEnergyCons!H$4:H$10000))*1000)</f>
        <v>1.09270758764547E-5</v>
      </c>
      <c r="K1961" s="1" cm="1">
        <f t="array" ref="K1961">IF((SUMPRODUCT(("Var_Cap"=[1]OUT_TransportEnergyCons!$B$4:$B$10000)*1,ISNUMBER(SEARCH("T_B_u*h2o*s2",[1]OUT_TransportEnergyCons!$A$4:$A$10000))*1,[1]OUT_TransportEnergyCons!I$4:I$10000))*1000&lt;0,0,(SUMPRODUCT(("Var_Cap"=[1]OUT_TransportEnergyCons!$B$4:$B$10000)*1,ISNUMBER(SEARCH("T_B_u*h2o*s2",[1]OUT_TransportEnergyCons!$A$4:$A$10000))*1,[1]OUT_TransportEnergyCons!I$4:I$10000))*1000)</f>
        <v>2.2946524738852698E-6</v>
      </c>
      <c r="L1961" s="1" cm="1">
        <f t="array" ref="L1961">IF((SUMPRODUCT(("Var_Cap"=[1]OUT_TransportEnergyCons!$B$4:$B$10000)*1,ISNUMBER(SEARCH("T_B_u*h2o*s2",[1]OUT_TransportEnergyCons!$A$4:$A$10000))*1,[1]OUT_TransportEnergyCons!J$4:J$10000))*1000&lt;0,0,(SUMPRODUCT(("Var_Cap"=[1]OUT_TransportEnergyCons!$B$4:$B$10000)*1,ISNUMBER(SEARCH("T_B_u*h2o*s2",[1]OUT_TransportEnergyCons!$A$4:$A$10000))*1,[1]OUT_TransportEnergyCons!J$4:J$10000))*1000)</f>
        <v>0</v>
      </c>
      <c r="M1961" s="1" cm="1">
        <f t="array" ref="M1961">IF((SUMPRODUCT(("Var_Cap"=[1]OUT_TransportEnergyCons!$B$4:$B$10000)*1,ISNUMBER(SEARCH("T_B_u*h2o*s2",[1]OUT_TransportEnergyCons!$A$4:$A$10000))*1,[1]OUT_TransportEnergyCons!K$4:K$10000))*1000&lt;0,0,(SUMPRODUCT(("Var_Cap"=[1]OUT_TransportEnergyCons!$B$4:$B$10000)*1,ISNUMBER(SEARCH("T_B_u*h2o*s2",[1]OUT_TransportEnergyCons!$A$4:$A$10000))*1,[1]OUT_TransportEnergyCons!K$4:K$10000))*1000)</f>
        <v>0</v>
      </c>
      <c r="N1961" s="1" cm="1">
        <f t="array" ref="N1961">IF((SUMPRODUCT(("Var_Cap"=[1]OUT_TransportEnergyCons!$B$4:$B$10000)*1,ISNUMBER(SEARCH("T_B_u*h2o*s2",[1]OUT_TransportEnergyCons!$A$4:$A$10000))*1,[1]OUT_TransportEnergyCons!L$4:L$10000))*1000&lt;0,0,(SUMPRODUCT(("Var_Cap"=[1]OUT_TransportEnergyCons!$B$4:$B$10000)*1,ISNUMBER(SEARCH("T_B_u*h2o*s2",[1]OUT_TransportEnergyCons!$A$4:$A$10000))*1,[1]OUT_TransportEnergyCons!L$4:L$10000))*1000)</f>
        <v>0</v>
      </c>
      <c r="O1961" s="1" cm="1">
        <f t="array" ref="O1961">IF((SUMPRODUCT(("Var_Cap"=[1]OUT_TransportEnergyCons!$B$4:$B$10000)*1,ISNUMBER(SEARCH("T_B_u*h2o*s2",[1]OUT_TransportEnergyCons!$A$4:$A$10000))*1,[1]OUT_TransportEnergyCons!M$4:M$10000))*1000&lt;0,0,(SUMPRODUCT(("Var_Cap"=[1]OUT_TransportEnergyCons!$B$4:$B$10000)*1,ISNUMBER(SEARCH("T_B_u*h2o*s2",[1]OUT_TransportEnergyCons!$A$4:$A$10000))*1,[1]OUT_TransportEnergyCons!M$4:M$10000))*1000)</f>
        <v>0</v>
      </c>
      <c r="P1961" s="1" cm="1">
        <f t="array" ref="P1961">IF((SUMPRODUCT(("Var_Cap"=[1]OUT_TransportEnergyCons!$B$4:$B$10000)*1,ISNUMBER(SEARCH("T_B_u*h2o*s2",[1]OUT_TransportEnergyCons!$A$4:$A$10000))*1,[1]OUT_TransportEnergyCons!N$4:N$10000))*1000&lt;0,0,(SUMPRODUCT(("Var_Cap"=[1]OUT_TransportEnergyCons!$B$4:$B$10000)*1,ISNUMBER(SEARCH("T_B_u*h2o*s2",[1]OUT_TransportEnergyCons!$A$4:$A$10000))*1,[1]OUT_TransportEnergyCons!N$4:N$10000))*1000)</f>
        <v>0</v>
      </c>
      <c r="Q1961" s="1" cm="1">
        <f t="array" ref="Q1961">IF((SUMPRODUCT(("Var_Cap"=[1]OUT_TransportEnergyCons!$B$4:$B$10000)*1,ISNUMBER(SEARCH("T_B_u*h2o*s2",[1]OUT_TransportEnergyCons!$A$4:$A$10000))*1,[1]OUT_TransportEnergyCons!O$4:O$10000))*1000&lt;0,0,(SUMPRODUCT(("Var_Cap"=[1]OUT_TransportEnergyCons!$B$4:$B$10000)*1,ISNUMBER(SEARCH("T_B_u*h2o*s2",[1]OUT_TransportEnergyCons!$A$4:$A$10000))*1,[1]OUT_TransportEnergyCons!O$4:O$10000))*1000)</f>
        <v>0</v>
      </c>
      <c r="S1961" s="3"/>
    </row>
    <row r="1962" spans="2:19" x14ac:dyDescent="0.5">
      <c r="B1962" s="5" t="str">
        <f t="shared" si="2157"/>
        <v>SPS1</v>
      </c>
      <c r="C1962" s="5" t="str">
        <f t="shared" si="2158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0</v>
      </c>
      <c r="J1962" s="1" cm="1">
        <f t="array" ref="J1962">IF((SUMPRODUCT(("Var_Cap"=[1]OUT_TransportEnergyCons!$B$4:$B$10000)*1,ISNUMBER(SEARCH("T_B_u*h2o*s3",[1]OUT_TransportEnergyCons!$A$4:$A$10000))*1,[1]OUT_TransportEnergyCons!H$4:H$10000))*1000&lt;0,0,(SUMPRODUCT(("Var_Cap"=[1]OUT_TransportEnergyCons!$B$4:$B$10000)*1,ISNUMBER(SEARCH("T_B_u*h2o*s3",[1]OUT_TransportEnergyCons!$A$4:$A$10000))*1,[1]OUT_TransportEnergyCons!H$4:H$10000))*1000)</f>
        <v>0</v>
      </c>
      <c r="K1962" s="1" cm="1">
        <f t="array" ref="K1962">IF((SUMPRODUCT(("Var_Cap"=[1]OUT_TransportEnergyCons!$B$4:$B$10000)*1,ISNUMBER(SEARCH("T_B_u*h2o*s3",[1]OUT_TransportEnergyCons!$A$4:$A$10000))*1,[1]OUT_TransportEnergyCons!I$4:I$10000))*1000&lt;0,0,(SUMPRODUCT(("Var_Cap"=[1]OUT_TransportEnergyCons!$B$4:$B$10000)*1,ISNUMBER(SEARCH("T_B_u*h2o*s3",[1]OUT_TransportEnergyCons!$A$4:$A$10000))*1,[1]OUT_TransportEnergyCons!I$4:I$10000))*1000)</f>
        <v>0</v>
      </c>
      <c r="L1962" s="1" cm="1">
        <f t="array" ref="L1962">IF((SUMPRODUCT(("Var_Cap"=[1]OUT_TransportEnergyCons!$B$4:$B$10000)*1,ISNUMBER(SEARCH("T_B_u*h2o*s3",[1]OUT_TransportEnergyCons!$A$4:$A$10000))*1,[1]OUT_TransportEnergyCons!J$4:J$10000))*1000&lt;0,0,(SUMPRODUCT(("Var_Cap"=[1]OUT_TransportEnergyCons!$B$4:$B$10000)*1,ISNUMBER(SEARCH("T_B_u*h2o*s3",[1]OUT_TransportEnergyCons!$A$4:$A$10000))*1,[1]OUT_TransportEnergyCons!J$4:J$10000))*1000)</f>
        <v>0</v>
      </c>
      <c r="M1962" s="1" cm="1">
        <f t="array" ref="M1962">IF((SUMPRODUCT(("Var_Cap"=[1]OUT_TransportEnergyCons!$B$4:$B$10000)*1,ISNUMBER(SEARCH("T_B_u*h2o*s3",[1]OUT_TransportEnergyCons!$A$4:$A$10000))*1,[1]OUT_TransportEnergyCons!K$4:K$10000))*1000&lt;0,0,(SUMPRODUCT(("Var_Cap"=[1]OUT_TransportEnergyCons!$B$4:$B$10000)*1,ISNUMBER(SEARCH("T_B_u*h2o*s3",[1]OUT_TransportEnergyCons!$A$4:$A$10000))*1,[1]OUT_TransportEnergyCons!K$4:K$10000))*1000)</f>
        <v>0</v>
      </c>
      <c r="N1962" s="1" cm="1">
        <f t="array" ref="N1962">IF((SUMPRODUCT(("Var_Cap"=[1]OUT_TransportEnergyCons!$B$4:$B$10000)*1,ISNUMBER(SEARCH("T_B_u*h2o*s3",[1]OUT_TransportEnergyCons!$A$4:$A$10000))*1,[1]OUT_TransportEnergyCons!L$4:L$10000))*1000&lt;0,0,(SUMPRODUCT(("Var_Cap"=[1]OUT_TransportEnergyCons!$B$4:$B$10000)*1,ISNUMBER(SEARCH("T_B_u*h2o*s3",[1]OUT_TransportEnergyCons!$A$4:$A$10000))*1,[1]OUT_TransportEnergyCons!L$4:L$10000))*1000)</f>
        <v>0</v>
      </c>
      <c r="O1962" s="1" cm="1">
        <f t="array" ref="O1962">IF((SUMPRODUCT(("Var_Cap"=[1]OUT_TransportEnergyCons!$B$4:$B$10000)*1,ISNUMBER(SEARCH("T_B_u*h2o*s3",[1]OUT_TransportEnergyCons!$A$4:$A$10000))*1,[1]OUT_TransportEnergyCons!M$4:M$10000))*1000&lt;0,0,(SUMPRODUCT(("Var_Cap"=[1]OUT_TransportEnergyCons!$B$4:$B$10000)*1,ISNUMBER(SEARCH("T_B_u*h2o*s3",[1]OUT_TransportEnergyCons!$A$4:$A$10000))*1,[1]OUT_TransportEnergyCons!M$4:M$10000))*1000)</f>
        <v>0</v>
      </c>
      <c r="P1962" s="1" cm="1">
        <f t="array" ref="P1962">IF((SUMPRODUCT(("Var_Cap"=[1]OUT_TransportEnergyCons!$B$4:$B$10000)*1,ISNUMBER(SEARCH("T_B_u*h2o*s3",[1]OUT_TransportEnergyCons!$A$4:$A$10000))*1,[1]OUT_TransportEnergyCons!N$4:N$10000))*1000&lt;0,0,(SUMPRODUCT(("Var_Cap"=[1]OUT_TransportEnergyCons!$B$4:$B$10000)*1,ISNUMBER(SEARCH("T_B_u*h2o*s3",[1]OUT_TransportEnergyCons!$A$4:$A$10000))*1,[1]OUT_TransportEnergyCons!N$4:N$10000))*1000)</f>
        <v>0</v>
      </c>
      <c r="Q1962" s="1" cm="1">
        <f t="array" ref="Q1962">IF((SUMPRODUCT(("Var_Cap"=[1]OUT_TransportEnergyCons!$B$4:$B$10000)*1,ISNUMBER(SEARCH("T_B_u*h2o*s3",[1]OUT_TransportEnergyCons!$A$4:$A$10000))*1,[1]OUT_TransportEnergyCons!O$4:O$10000))*1000&lt;0,0,(SUMPRODUCT(("Var_Cap"=[1]OUT_TransportEnergyCons!$B$4:$B$10000)*1,ISNUMBER(SEARCH("T_B_u*h2o*s3",[1]OUT_TransportEnergyCons!$A$4:$A$10000))*1,[1]OUT_TransportEnergyCons!O$4:O$10000))*1000)</f>
        <v>0</v>
      </c>
      <c r="S1962" s="3"/>
    </row>
    <row r="1963" spans="2:19" x14ac:dyDescent="0.5">
      <c r="B1963" s="5" t="str">
        <f t="shared" si="2157"/>
        <v>SPS1</v>
      </c>
      <c r="C1963" s="5" t="str">
        <f t="shared" si="2158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[1]OUT_TransportEnergyCons!$B$4:$B$10000)*1,ISNUMBER(SEARCH("T_B_u*h2o*s4",[1]OUT_TransportEnergyCons!$A$4:$A$10000))*1,[1]OUT_TransportEnergyCons!H$4:H$10000))*1000&lt;0,0,(SUMPRODUCT(("Var_Cap"=[1]OUT_TransportEnergyCons!$B$4:$B$10000)*1,ISNUMBER(SEARCH("T_B_u*h2o*s4",[1]OUT_TransportEnergyCons!$A$4:$A$10000))*1,[1]OUT_TransportEnergyCons!H$4:H$10000))*1000)</f>
        <v>0</v>
      </c>
      <c r="K1963" s="1" cm="1">
        <f t="array" ref="K1963">IF((SUMPRODUCT(("Var_Cap"=[1]OUT_TransportEnergyCons!$B$4:$B$10000)*1,ISNUMBER(SEARCH("T_B_u*h2o*s4",[1]OUT_TransportEnergyCons!$A$4:$A$10000))*1,[1]OUT_TransportEnergyCons!I$4:I$10000))*1000&lt;0,0,(SUMPRODUCT(("Var_Cap"=[1]OUT_TransportEnergyCons!$B$4:$B$10000)*1,ISNUMBER(SEARCH("T_B_u*h2o*s4",[1]OUT_TransportEnergyCons!$A$4:$A$10000))*1,[1]OUT_TransportEnergyCons!I$4:I$10000))*1000)</f>
        <v>0</v>
      </c>
      <c r="L1963" s="1" cm="1">
        <f t="array" ref="L1963">IF((SUMPRODUCT(("Var_Cap"=[1]OUT_TransportEnergyCons!$B$4:$B$10000)*1,ISNUMBER(SEARCH("T_B_u*h2o*s4",[1]OUT_TransportEnergyCons!$A$4:$A$10000))*1,[1]OUT_TransportEnergyCons!J$4:J$10000))*1000&lt;0,0,(SUMPRODUCT(("Var_Cap"=[1]OUT_TransportEnergyCons!$B$4:$B$10000)*1,ISNUMBER(SEARCH("T_B_u*h2o*s4",[1]OUT_TransportEnergyCons!$A$4:$A$10000))*1,[1]OUT_TransportEnergyCons!J$4:J$10000))*1000)</f>
        <v>0</v>
      </c>
      <c r="M1963" s="1" cm="1">
        <f t="array" ref="M1963">IF((SUMPRODUCT(("Var_Cap"=[1]OUT_TransportEnergyCons!$B$4:$B$10000)*1,ISNUMBER(SEARCH("T_B_u*h2o*s4",[1]OUT_TransportEnergyCons!$A$4:$A$10000))*1,[1]OUT_TransportEnergyCons!K$4:K$10000))*1000&lt;0,0,(SUMPRODUCT(("Var_Cap"=[1]OUT_TransportEnergyCons!$B$4:$B$10000)*1,ISNUMBER(SEARCH("T_B_u*h2o*s4",[1]OUT_TransportEnergyCons!$A$4:$A$10000))*1,[1]OUT_TransportEnergyCons!K$4:K$10000))*1000)</f>
        <v>0</v>
      </c>
      <c r="N1963" s="1" cm="1">
        <f t="array" ref="N1963">IF((SUMPRODUCT(("Var_Cap"=[1]OUT_TransportEnergyCons!$B$4:$B$10000)*1,ISNUMBER(SEARCH("T_B_u*h2o*s4",[1]OUT_TransportEnergyCons!$A$4:$A$10000))*1,[1]OUT_TransportEnergyCons!L$4:L$10000))*1000&lt;0,0,(SUMPRODUCT(("Var_Cap"=[1]OUT_TransportEnergyCons!$B$4:$B$10000)*1,ISNUMBER(SEARCH("T_B_u*h2o*s4",[1]OUT_TransportEnergyCons!$A$4:$A$10000))*1,[1]OUT_TransportEnergyCons!L$4:L$10000))*1000)</f>
        <v>0</v>
      </c>
      <c r="O1963" s="1" cm="1">
        <f t="array" ref="O1963">IF((SUMPRODUCT(("Var_Cap"=[1]OUT_TransportEnergyCons!$B$4:$B$10000)*1,ISNUMBER(SEARCH("T_B_u*h2o*s4",[1]OUT_TransportEnergyCons!$A$4:$A$10000))*1,[1]OUT_TransportEnergyCons!M$4:M$10000))*1000&lt;0,0,(SUMPRODUCT(("Var_Cap"=[1]OUT_TransportEnergyCons!$B$4:$B$10000)*1,ISNUMBER(SEARCH("T_B_u*h2o*s4",[1]OUT_TransportEnergyCons!$A$4:$A$10000))*1,[1]OUT_TransportEnergyCons!M$4:M$10000))*1000)</f>
        <v>0</v>
      </c>
      <c r="P1963" s="1" cm="1">
        <f t="array" ref="P1963">IF((SUMPRODUCT(("Var_Cap"=[1]OUT_TransportEnergyCons!$B$4:$B$10000)*1,ISNUMBER(SEARCH("T_B_u*h2o*s4",[1]OUT_TransportEnergyCons!$A$4:$A$10000))*1,[1]OUT_TransportEnergyCons!N$4:N$10000))*1000&lt;0,0,(SUMPRODUCT(("Var_Cap"=[1]OUT_TransportEnergyCons!$B$4:$B$10000)*1,ISNUMBER(SEARCH("T_B_u*h2o*s4",[1]OUT_TransportEnergyCons!$A$4:$A$10000))*1,[1]OUT_TransportEnergyCons!N$4:N$10000))*1000)</f>
        <v>0</v>
      </c>
      <c r="Q1963" s="1" cm="1">
        <f t="array" ref="Q1963">IF((SUMPRODUCT(("Var_Cap"=[1]OUT_TransportEnergyCons!$B$4:$B$10000)*1,ISNUMBER(SEARCH("T_B_u*h2o*s4",[1]OUT_TransportEnergyCons!$A$4:$A$10000))*1,[1]OUT_TransportEnergyCons!O$4:O$10000))*1000&lt;0,0,(SUMPRODUCT(("Var_Cap"=[1]OUT_TransportEnergyCons!$B$4:$B$10000)*1,ISNUMBER(SEARCH("T_B_u*h2o*s4",[1]OUT_TransportEnergyCons!$A$4:$A$10000))*1,[1]OUT_TransportEnergyCons!O$4:O$10000))*1000)</f>
        <v>0</v>
      </c>
      <c r="S1963" s="3"/>
    </row>
    <row r="1964" spans="2:19" x14ac:dyDescent="0.5">
      <c r="B1964" s="5" t="str">
        <f t="shared" si="2157"/>
        <v>SPS1</v>
      </c>
      <c r="C1964" s="5" t="str">
        <f t="shared" si="2158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2.3379188817831402E-2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2.7315690455714824E-2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3.865031410175101E-3</v>
      </c>
      <c r="J1964" s="1" cm="1">
        <f t="array" ref="J1964">(SUMPRODUCT(("Var_Cap"=[1]OUT_TransportEnergyCons!$B$4:$B$10000)*1,ISNUMBER(SEARCH("T_B_u*hyb*DSL*s1",[1]OUT_TransportEnergyCons!$A$4:$A$10000))*1,[1]OUT_TransportEnergyCons!H$4:H$10000))*1000</f>
        <v>9.7758360455026602E-3</v>
      </c>
      <c r="K1964" s="1" cm="1">
        <f t="array" ref="K1964">(SUMPRODUCT(("Var_Cap"=[1]OUT_TransportEnergyCons!$B$4:$B$10000)*1,ISNUMBER(SEARCH("T_B_u*hyb*DSL*s1",[1]OUT_TransportEnergyCons!$A$4:$A$10000))*1,[1]OUT_TransportEnergyCons!I$4:I$10000))*1000</f>
        <v>1.3708329445073792E-2</v>
      </c>
      <c r="L1964" s="1" cm="1">
        <f t="array" ref="L1964">(SUMPRODUCT(("Var_Cap"=[1]OUT_TransportEnergyCons!$B$4:$B$10000)*1,ISNUMBER(SEARCH("T_B_u*hyb*DSL*s1",[1]OUT_TransportEnergyCons!$A$4:$A$10000))*1,[1]OUT_TransportEnergyCons!J$4:J$10000))*1000</f>
        <v>2.6483338343433454E-2</v>
      </c>
      <c r="M1964" s="1" cm="1">
        <f t="array" ref="M1964">(SUMPRODUCT(("Var_Cap"=[1]OUT_TransportEnergyCons!$B$4:$B$10000)*1,ISNUMBER(SEARCH("T_B_u*hyb*DSL*s1",[1]OUT_TransportEnergyCons!$A$4:$A$10000))*1,[1]OUT_TransportEnergyCons!K$4:K$10000))*1000</f>
        <v>6.1105210231121469E-2</v>
      </c>
      <c r="N1964" s="1" cm="1">
        <f t="array" ref="N1964">(SUMPRODUCT(("Var_Cap"=[1]OUT_TransportEnergyCons!$B$4:$B$10000)*1,ISNUMBER(SEARCH("T_B_u*hyb*DSL*s1",[1]OUT_TransportEnergyCons!$A$4:$A$10000))*1,[1]OUT_TransportEnergyCons!L$4:L$10000))*1000</f>
        <v>0.10470571687057068</v>
      </c>
      <c r="O1964" s="1" cm="1">
        <f t="array" ref="O1964">(SUMPRODUCT(("Var_Cap"=[1]OUT_TransportEnergyCons!$B$4:$B$10000)*1,ISNUMBER(SEARCH("T_B_u*hyb*DSL*s1",[1]OUT_TransportEnergyCons!$A$4:$A$10000))*1,[1]OUT_TransportEnergyCons!M$4:M$10000))*1000</f>
        <v>0.26740524896940476</v>
      </c>
      <c r="P1964" s="1" cm="1">
        <f t="array" ref="P1964">(SUMPRODUCT(("Var_Cap"=[1]OUT_TransportEnergyCons!$B$4:$B$10000)*1,ISNUMBER(SEARCH("T_B_u*hyb*DSL*s1",[1]OUT_TransportEnergyCons!$A$4:$A$10000))*1,[1]OUT_TransportEnergyCons!N$4:N$10000))*1000</f>
        <v>1.0389194554315049</v>
      </c>
      <c r="Q1964" s="1" cm="1">
        <f t="array" ref="Q1964">(SUMPRODUCT(("Var_Cap"=[1]OUT_TransportEnergyCons!$B$4:$B$10000)*1,ISNUMBER(SEARCH("T_B_u*hyb*DSL*s1",[1]OUT_TransportEnergyCons!$A$4:$A$10000))*1,[1]OUT_TransportEnergyCons!O$4:O$10000))*1000</f>
        <v>1.5597220911603433</v>
      </c>
      <c r="S1964" s="3"/>
    </row>
    <row r="1965" spans="2:19" x14ac:dyDescent="0.5">
      <c r="B1965" s="5" t="str">
        <f t="shared" si="2157"/>
        <v>SPS1</v>
      </c>
      <c r="C1965" s="5" t="str">
        <f t="shared" si="2158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2.3354207929584597E-3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4.1735328348412801E-3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4.1155870406691395E-3</v>
      </c>
      <c r="J1965" s="1" cm="1">
        <f t="array" ref="J1965">IF((SUMPRODUCT(("Var_Cap"=[1]OUT_TransportEnergyCons!$B$4:$B$10000)*1,ISNUMBER(SEARCH("T_B_u*hyb*DSL*s2",[1]OUT_TransportEnergyCons!$A$4:$A$10000))*1,[1]OUT_TransportEnergyCons!H$4:H$10000))*1000&lt;0,0,(SUMPRODUCT(("Var_Cap"=[1]OUT_TransportEnergyCons!$B$4:$B$10000)*1,ISNUMBER(SEARCH("T_B_u*hyb*DSL*s2",[1]OUT_TransportEnergyCons!$A$4:$A$10000))*1,[1]OUT_TransportEnergyCons!H$4:H$10000))*1000)</f>
        <v>6.5116976167898548E-3</v>
      </c>
      <c r="K1965" s="1" cm="1">
        <f t="array" ref="K1965">IF((SUMPRODUCT(("Var_Cap"=[1]OUT_TransportEnergyCons!$B$4:$B$10000)*1,ISNUMBER(SEARCH("T_B_u*hyb*DSL*s2",[1]OUT_TransportEnergyCons!$A$4:$A$10000))*1,[1]OUT_TransportEnergyCons!I$4:I$10000))*1000&lt;0,0,(SUMPRODUCT(("Var_Cap"=[1]OUT_TransportEnergyCons!$B$4:$B$10000)*1,ISNUMBER(SEARCH("T_B_u*hyb*DSL*s2",[1]OUT_TransportEnergyCons!$A$4:$A$10000))*1,[1]OUT_TransportEnergyCons!I$4:I$10000))*1000)</f>
        <v>8.3659216169341011E-3</v>
      </c>
      <c r="L1965" s="1" cm="1">
        <f t="array" ref="L1965">IF((SUMPRODUCT(("Var_Cap"=[1]OUT_TransportEnergyCons!$B$4:$B$10000)*1,ISNUMBER(SEARCH("T_B_u*hyb*DSL*s2",[1]OUT_TransportEnergyCons!$A$4:$A$10000))*1,[1]OUT_TransportEnergyCons!J$4:J$10000))*1000&lt;0,0,(SUMPRODUCT(("Var_Cap"=[1]OUT_TransportEnergyCons!$B$4:$B$10000)*1,ISNUMBER(SEARCH("T_B_u*hyb*DSL*s2",[1]OUT_TransportEnergyCons!$A$4:$A$10000))*1,[1]OUT_TransportEnergyCons!J$4:J$10000))*1000)</f>
        <v>1.3484547815709402E-2</v>
      </c>
      <c r="M1965" s="1" cm="1">
        <f t="array" ref="M1965">IF((SUMPRODUCT(("Var_Cap"=[1]OUT_TransportEnergyCons!$B$4:$B$10000)*1,ISNUMBER(SEARCH("T_B_u*hyb*DSL*s2",[1]OUT_TransportEnergyCons!$A$4:$A$10000))*1,[1]OUT_TransportEnergyCons!K$4:K$10000))*1000&lt;0,0,(SUMPRODUCT(("Var_Cap"=[1]OUT_TransportEnergyCons!$B$4:$B$10000)*1,ISNUMBER(SEARCH("T_B_u*hyb*DSL*s2",[1]OUT_TransportEnergyCons!$A$4:$A$10000))*1,[1]OUT_TransportEnergyCons!K$4:K$10000))*1000)</f>
        <v>2.15485127428326E-2</v>
      </c>
      <c r="N1965" s="1" cm="1">
        <f t="array" ref="N1965">IF((SUMPRODUCT(("Var_Cap"=[1]OUT_TransportEnergyCons!$B$4:$B$10000)*1,ISNUMBER(SEARCH("T_B_u*hyb*DSL*s2",[1]OUT_TransportEnergyCons!$A$4:$A$10000))*1,[1]OUT_TransportEnergyCons!L$4:L$10000))*1000&lt;0,0,(SUMPRODUCT(("Var_Cap"=[1]OUT_TransportEnergyCons!$B$4:$B$10000)*1,ISNUMBER(SEARCH("T_B_u*hyb*DSL*s2",[1]OUT_TransportEnergyCons!$A$4:$A$10000))*1,[1]OUT_TransportEnergyCons!L$4:L$10000))*1000)</f>
        <v>3.0117168477273037E-2</v>
      </c>
      <c r="O1965" s="1" cm="1">
        <f t="array" ref="O1965">IF((SUMPRODUCT(("Var_Cap"=[1]OUT_TransportEnergyCons!$B$4:$B$10000)*1,ISNUMBER(SEARCH("T_B_u*hyb*DSL*s2",[1]OUT_TransportEnergyCons!$A$4:$A$10000))*1,[1]OUT_TransportEnergyCons!M$4:M$10000))*1000&lt;0,0,(SUMPRODUCT(("Var_Cap"=[1]OUT_TransportEnergyCons!$B$4:$B$10000)*1,ISNUMBER(SEARCH("T_B_u*hyb*DSL*s2",[1]OUT_TransportEnergyCons!$A$4:$A$10000))*1,[1]OUT_TransportEnergyCons!M$4:M$10000))*1000)</f>
        <v>4.4698638507780643E-2</v>
      </c>
      <c r="P1965" s="1" cm="1">
        <f t="array" ref="P1965">IF((SUMPRODUCT(("Var_Cap"=[1]OUT_TransportEnergyCons!$B$4:$B$10000)*1,ISNUMBER(SEARCH("T_B_u*hyb*DSL*s2",[1]OUT_TransportEnergyCons!$A$4:$A$10000))*1,[1]OUT_TransportEnergyCons!N$4:N$10000))*1000&lt;0,0,(SUMPRODUCT(("Var_Cap"=[1]OUT_TransportEnergyCons!$B$4:$B$10000)*1,ISNUMBER(SEARCH("T_B_u*hyb*DSL*s2",[1]OUT_TransportEnergyCons!$A$4:$A$10000))*1,[1]OUT_TransportEnergyCons!N$4:N$10000))*1000)</f>
        <v>5.76696080420133E-2</v>
      </c>
      <c r="Q1965" s="1" cm="1">
        <f t="array" ref="Q1965">IF((SUMPRODUCT(("Var_Cap"=[1]OUT_TransportEnergyCons!$B$4:$B$10000)*1,ISNUMBER(SEARCH("T_B_u*hyb*DSL*s2",[1]OUT_TransportEnergyCons!$A$4:$A$10000))*1,[1]OUT_TransportEnergyCons!O$4:O$10000))*1000&lt;0,0,(SUMPRODUCT(("Var_Cap"=[1]OUT_TransportEnergyCons!$B$4:$B$10000)*1,ISNUMBER(SEARCH("T_B_u*hyb*DSL*s2",[1]OUT_TransportEnergyCons!$A$4:$A$10000))*1,[1]OUT_TransportEnergyCons!O$4:O$10000))*1000)</f>
        <v>8.800105118611766E-2</v>
      </c>
      <c r="S1965" s="3"/>
    </row>
    <row r="1966" spans="2:19" x14ac:dyDescent="0.5">
      <c r="B1966" s="5" t="str">
        <f t="shared" si="2157"/>
        <v>SPS1</v>
      </c>
      <c r="C1966" s="5" t="str">
        <f t="shared" si="2158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5.5725237925786E-2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0.89086727629972595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1.3047813877036198</v>
      </c>
      <c r="J1966" s="1" cm="1">
        <f t="array" ref="J1966">IF((SUMPRODUCT(("Var_Cap"=[1]OUT_TransportEnergyCons!$B$4:$B$10000)*1,ISNUMBER(SEARCH("T_B_u*hyb*DSL*s3",[1]OUT_TransportEnergyCons!$A$4:$A$10000))*1,[1]OUT_TransportEnergyCons!H$4:H$10000))*1000&lt;0,0,(SUMPRODUCT(("Var_Cap"=[1]OUT_TransportEnergyCons!$B$4:$B$10000)*1,ISNUMBER(SEARCH("T_B_u*hyb*DSL*s3",[1]OUT_TransportEnergyCons!$A$4:$A$10000))*1,[1]OUT_TransportEnergyCons!H$4:H$10000))*1000)</f>
        <v>1.5287079336432301</v>
      </c>
      <c r="K1966" s="1" cm="1">
        <f t="array" ref="K1966">IF((SUMPRODUCT(("Var_Cap"=[1]OUT_TransportEnergyCons!$B$4:$B$10000)*1,ISNUMBER(SEARCH("T_B_u*hyb*DSL*s3",[1]OUT_TransportEnergyCons!$A$4:$A$10000))*1,[1]OUT_TransportEnergyCons!I$4:I$10000))*1000&lt;0,0,(SUMPRODUCT(("Var_Cap"=[1]OUT_TransportEnergyCons!$B$4:$B$10000)*1,ISNUMBER(SEARCH("T_B_u*hyb*DSL*s3",[1]OUT_TransportEnergyCons!$A$4:$A$10000))*1,[1]OUT_TransportEnergyCons!I$4:I$10000))*1000)</f>
        <v>1.77408211864973</v>
      </c>
      <c r="L1966" s="1" cm="1">
        <f t="array" ref="L1966">IF((SUMPRODUCT(("Var_Cap"=[1]OUT_TransportEnergyCons!$B$4:$B$10000)*1,ISNUMBER(SEARCH("T_B_u*hyb*DSL*s3",[1]OUT_TransportEnergyCons!$A$4:$A$10000))*1,[1]OUT_TransportEnergyCons!J$4:J$10000))*1000&lt;0,0,(SUMPRODUCT(("Var_Cap"=[1]OUT_TransportEnergyCons!$B$4:$B$10000)*1,ISNUMBER(SEARCH("T_B_u*hyb*DSL*s3",[1]OUT_TransportEnergyCons!$A$4:$A$10000))*1,[1]OUT_TransportEnergyCons!J$4:J$10000))*1000)</f>
        <v>2.0236545345597605</v>
      </c>
      <c r="M1966" s="1" cm="1">
        <f t="array" ref="M1966">IF((SUMPRODUCT(("Var_Cap"=[1]OUT_TransportEnergyCons!$B$4:$B$10000)*1,ISNUMBER(SEARCH("T_B_u*hyb*DSL*s3",[1]OUT_TransportEnergyCons!$A$4:$A$10000))*1,[1]OUT_TransportEnergyCons!K$4:K$10000))*1000&lt;0,0,(SUMPRODUCT(("Var_Cap"=[1]OUT_TransportEnergyCons!$B$4:$B$10000)*1,ISNUMBER(SEARCH("T_B_u*hyb*DSL*s3",[1]OUT_TransportEnergyCons!$A$4:$A$10000))*1,[1]OUT_TransportEnergyCons!K$4:K$10000))*1000)</f>
        <v>2.2502442376698899</v>
      </c>
      <c r="N1966" s="1" cm="1">
        <f t="array" ref="N1966">IF((SUMPRODUCT(("Var_Cap"=[1]OUT_TransportEnergyCons!$B$4:$B$10000)*1,ISNUMBER(SEARCH("T_B_u*hyb*DSL*s3",[1]OUT_TransportEnergyCons!$A$4:$A$10000))*1,[1]OUT_TransportEnergyCons!L$4:L$10000))*1000&lt;0,0,(SUMPRODUCT(("Var_Cap"=[1]OUT_TransportEnergyCons!$B$4:$B$10000)*1,ISNUMBER(SEARCH("T_B_u*hyb*DSL*s3",[1]OUT_TransportEnergyCons!$A$4:$A$10000))*1,[1]OUT_TransportEnergyCons!L$4:L$10000))*1000)</f>
        <v>2.4466535905126281</v>
      </c>
      <c r="O1966" s="1" cm="1">
        <f t="array" ref="O1966">IF((SUMPRODUCT(("Var_Cap"=[1]OUT_TransportEnergyCons!$B$4:$B$10000)*1,ISNUMBER(SEARCH("T_B_u*hyb*DSL*s3",[1]OUT_TransportEnergyCons!$A$4:$A$10000))*1,[1]OUT_TransportEnergyCons!M$4:M$10000))*1000&lt;0,0,(SUMPRODUCT(("Var_Cap"=[1]OUT_TransportEnergyCons!$B$4:$B$10000)*1,ISNUMBER(SEARCH("T_B_u*hyb*DSL*s3",[1]OUT_TransportEnergyCons!$A$4:$A$10000))*1,[1]OUT_TransportEnergyCons!M$4:M$10000))*1000)</f>
        <v>2.5590320572389098</v>
      </c>
      <c r="P1966" s="1" cm="1">
        <f t="array" ref="P1966">IF((SUMPRODUCT(("Var_Cap"=[1]OUT_TransportEnergyCons!$B$4:$B$10000)*1,ISNUMBER(SEARCH("T_B_u*hyb*DSL*s3",[1]OUT_TransportEnergyCons!$A$4:$A$10000))*1,[1]OUT_TransportEnergyCons!N$4:N$10000))*1000&lt;0,0,(SUMPRODUCT(("Var_Cap"=[1]OUT_TransportEnergyCons!$B$4:$B$10000)*1,ISNUMBER(SEARCH("T_B_u*hyb*DSL*s3",[1]OUT_TransportEnergyCons!$A$4:$A$10000))*1,[1]OUT_TransportEnergyCons!N$4:N$10000))*1000)</f>
        <v>2.1068863672193907</v>
      </c>
      <c r="Q1966" s="1" cm="1">
        <f t="array" ref="Q1966">IF((SUMPRODUCT(("Var_Cap"=[1]OUT_TransportEnergyCons!$B$4:$B$10000)*1,ISNUMBER(SEARCH("T_B_u*hyb*DSL*s3",[1]OUT_TransportEnergyCons!$A$4:$A$10000))*1,[1]OUT_TransportEnergyCons!O$4:O$10000))*1000&lt;0,0,(SUMPRODUCT(("Var_Cap"=[1]OUT_TransportEnergyCons!$B$4:$B$10000)*1,ISNUMBER(SEARCH("T_B_u*hyb*DSL*s3",[1]OUT_TransportEnergyCons!$A$4:$A$10000))*1,[1]OUT_TransportEnergyCons!O$4:O$10000))*1000)</f>
        <v>1.9354753491158401</v>
      </c>
      <c r="S1966" s="3"/>
    </row>
    <row r="1967" spans="2:19" x14ac:dyDescent="0.5">
      <c r="B1967" s="5" t="str">
        <f t="shared" si="2157"/>
        <v>SPS1</v>
      </c>
      <c r="C1967" s="5" t="str">
        <f t="shared" si="2158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2.0590952887361599E-4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3.8170721487653004E-4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3.5809810519207797E-4</v>
      </c>
      <c r="J1967" s="1" cm="1">
        <f t="array" ref="J1967">IF((SUMPRODUCT(("Var_Cap"=[1]OUT_TransportEnergyCons!$B$4:$B$10000)*1,ISNUMBER(SEARCH("T_B_u*hyb*DSL*s4",[1]OUT_TransportEnergyCons!$A$4:$A$10000))*1,[1]OUT_TransportEnergyCons!H$4:H$10000))*1000&lt;0,0,(SUMPRODUCT(("Var_Cap"=[1]OUT_TransportEnergyCons!$B$4:$B$10000)*1,ISNUMBER(SEARCH("T_B_u*hyb*DSL*s4",[1]OUT_TransportEnergyCons!$A$4:$A$10000))*1,[1]OUT_TransportEnergyCons!H$4:H$10000))*1000)</f>
        <v>3.49053340197739E-4</v>
      </c>
      <c r="K1967" s="1" cm="1">
        <f t="array" ref="K1967">IF((SUMPRODUCT(("Var_Cap"=[1]OUT_TransportEnergyCons!$B$4:$B$10000)*1,ISNUMBER(SEARCH("T_B_u*hyb*DSL*s4",[1]OUT_TransportEnergyCons!$A$4:$A$10000))*1,[1]OUT_TransportEnergyCons!I$4:I$10000))*1000&lt;0,0,(SUMPRODUCT(("Var_Cap"=[1]OUT_TransportEnergyCons!$B$4:$B$10000)*1,ISNUMBER(SEARCH("T_B_u*hyb*DSL*s4",[1]OUT_TransportEnergyCons!$A$4:$A$10000))*1,[1]OUT_TransportEnergyCons!I$4:I$10000))*1000)</f>
        <v>5.6493258384658098E-4</v>
      </c>
      <c r="L1967" s="1" cm="1">
        <f t="array" ref="L1967">IF((SUMPRODUCT(("Var_Cap"=[1]OUT_TransportEnergyCons!$B$4:$B$10000)*1,ISNUMBER(SEARCH("T_B_u*hyb*DSL*s4",[1]OUT_TransportEnergyCons!$A$4:$A$10000))*1,[1]OUT_TransportEnergyCons!J$4:J$10000))*1000&lt;0,0,(SUMPRODUCT(("Var_Cap"=[1]OUT_TransportEnergyCons!$B$4:$B$10000)*1,ISNUMBER(SEARCH("T_B_u*hyb*DSL*s4",[1]OUT_TransportEnergyCons!$A$4:$A$10000))*1,[1]OUT_TransportEnergyCons!J$4:J$10000))*1000)</f>
        <v>5.3721498842896405E-4</v>
      </c>
      <c r="M1967" s="1" cm="1">
        <f t="array" ref="M1967">IF((SUMPRODUCT(("Var_Cap"=[1]OUT_TransportEnergyCons!$B$4:$B$10000)*1,ISNUMBER(SEARCH("T_B_u*hyb*DSL*s4",[1]OUT_TransportEnergyCons!$A$4:$A$10000))*1,[1]OUT_TransportEnergyCons!K$4:K$10000))*1000&lt;0,0,(SUMPRODUCT(("Var_Cap"=[1]OUT_TransportEnergyCons!$B$4:$B$10000)*1,ISNUMBER(SEARCH("T_B_u*hyb*DSL*s4",[1]OUT_TransportEnergyCons!$A$4:$A$10000))*1,[1]OUT_TransportEnergyCons!K$4:K$10000))*1000)</f>
        <v>7.1665124977618802E-4</v>
      </c>
      <c r="N1967" s="1" cm="1">
        <f t="array" ref="N1967">IF((SUMPRODUCT(("Var_Cap"=[1]OUT_TransportEnergyCons!$B$4:$B$10000)*1,ISNUMBER(SEARCH("T_B_u*hyb*DSL*s4",[1]OUT_TransportEnergyCons!$A$4:$A$10000))*1,[1]OUT_TransportEnergyCons!L$4:L$10000))*1000&lt;0,0,(SUMPRODUCT(("Var_Cap"=[1]OUT_TransportEnergyCons!$B$4:$B$10000)*1,ISNUMBER(SEARCH("T_B_u*hyb*DSL*s4",[1]OUT_TransportEnergyCons!$A$4:$A$10000))*1,[1]OUT_TransportEnergyCons!L$4:L$10000))*1000)</f>
        <v>7.8465823162834599E-4</v>
      </c>
      <c r="O1967" s="1" cm="1">
        <f t="array" ref="O1967">IF((SUMPRODUCT(("Var_Cap"=[1]OUT_TransportEnergyCons!$B$4:$B$10000)*1,ISNUMBER(SEARCH("T_B_u*hyb*DSL*s4",[1]OUT_TransportEnergyCons!$A$4:$A$10000))*1,[1]OUT_TransportEnergyCons!M$4:M$10000))*1000&lt;0,0,(SUMPRODUCT(("Var_Cap"=[1]OUT_TransportEnergyCons!$B$4:$B$10000)*1,ISNUMBER(SEARCH("T_B_u*hyb*DSL*s4",[1]OUT_TransportEnergyCons!$A$4:$A$10000))*1,[1]OUT_TransportEnergyCons!M$4:M$10000))*1000)</f>
        <v>7.1613601161297103E-4</v>
      </c>
      <c r="P1967" s="1" cm="1">
        <f t="array" ref="P1967">IF((SUMPRODUCT(("Var_Cap"=[1]OUT_TransportEnergyCons!$B$4:$B$10000)*1,ISNUMBER(SEARCH("T_B_u*hyb*DSL*s4",[1]OUT_TransportEnergyCons!$A$4:$A$10000))*1,[1]OUT_TransportEnergyCons!N$4:N$10000))*1000&lt;0,0,(SUMPRODUCT(("Var_Cap"=[1]OUT_TransportEnergyCons!$B$4:$B$10000)*1,ISNUMBER(SEARCH("T_B_u*hyb*DSL*s4",[1]OUT_TransportEnergyCons!$A$4:$A$10000))*1,[1]OUT_TransportEnergyCons!N$4:N$10000))*1000)</f>
        <v>1.06773909750038E-3</v>
      </c>
      <c r="Q1967" s="1" cm="1">
        <f t="array" ref="Q1967">IF((SUMPRODUCT(("Var_Cap"=[1]OUT_TransportEnergyCons!$B$4:$B$10000)*1,ISNUMBER(SEARCH("T_B_u*hyb*DSL*s4",[1]OUT_TransportEnergyCons!$A$4:$A$10000))*1,[1]OUT_TransportEnergyCons!O$4:O$10000))*1000&lt;0,0,(SUMPRODUCT(("Var_Cap"=[1]OUT_TransportEnergyCons!$B$4:$B$10000)*1,ISNUMBER(SEARCH("T_B_u*hyb*DSL*s4",[1]OUT_TransportEnergyCons!$A$4:$A$10000))*1,[1]OUT_TransportEnergyCons!O$4:O$10000))*1000)</f>
        <v>1.35455078591301E-3</v>
      </c>
      <c r="S1967" s="3"/>
    </row>
    <row r="1968" spans="2:19" x14ac:dyDescent="0.5">
      <c r="B1968" s="5" t="str">
        <f t="shared" si="2157"/>
        <v>SPS1</v>
      </c>
      <c r="C1968" s="5" t="str">
        <f t="shared" si="2158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4.567811489657152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3.6541777956954808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2.2833461253834475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(SUMPRODUCT(("Var_Cap"=[1]OUT_TransportEnergyCons!$B$4:$B$10000)*1,ISNUMBER(SEARCH("T_B_u*ICE*DSL*ext",[1]OUT_TransportEnergyCons!$A$4:$A$10000))*1,[1]OUT_TransportEnergyCons!H$4:H$10000))*1000</f>
        <v>0</v>
      </c>
      <c r="K1968" s="1" cm="1">
        <f t="array" ref="K1968">(SUMPRODUCT(("Var_Cap"=[1]OUT_TransportEnergyCons!$B$4:$B$10000)*1,ISNUMBER(SEARCH("T_B_u*ICE*DSL*ext",[1]OUT_TransportEnergyCons!$A$4:$A$10000))*1,[1]OUT_TransportEnergyCons!I$4:I$10000))*1000</f>
        <v>0</v>
      </c>
      <c r="L1968" s="1" cm="1">
        <f t="array" ref="L1968">(SUMPRODUCT(("Var_Cap"=[1]OUT_TransportEnergyCons!$B$4:$B$10000)*1,ISNUMBER(SEARCH("T_B_u*ICE*DSL*ext",[1]OUT_TransportEnergyCons!$A$4:$A$10000))*1,[1]OUT_TransportEnergyCons!J$4:J$10000))*1000</f>
        <v>0</v>
      </c>
      <c r="M1968" s="1" cm="1">
        <f t="array" ref="M1968">(SUMPRODUCT(("Var_Cap"=[1]OUT_TransportEnergyCons!$B$4:$B$10000)*1,ISNUMBER(SEARCH("T_B_u*ICE*DSL*ext",[1]OUT_TransportEnergyCons!$A$4:$A$10000))*1,[1]OUT_TransportEnergyCons!K$4:K$10000))*1000</f>
        <v>0</v>
      </c>
      <c r="N1968" s="1" cm="1">
        <f t="array" ref="N1968">(SUMPRODUCT(("Var_Cap"=[1]OUT_TransportEnergyCons!$B$4:$B$10000)*1,ISNUMBER(SEARCH("T_B_u*ICE*DSL*ext",[1]OUT_TransportEnergyCons!$A$4:$A$10000))*1,[1]OUT_TransportEnergyCons!L$4:L$10000))*1000</f>
        <v>0</v>
      </c>
      <c r="O1968" s="1" cm="1">
        <f t="array" ref="O1968">(SUMPRODUCT(("Var_Cap"=[1]OUT_TransportEnergyCons!$B$4:$B$10000)*1,ISNUMBER(SEARCH("T_B_u*ICE*DSL*ext",[1]OUT_TransportEnergyCons!$A$4:$A$10000))*1,[1]OUT_TransportEnergyCons!M$4:M$10000))*1000</f>
        <v>0</v>
      </c>
      <c r="P1968" s="1" cm="1">
        <f t="array" ref="P1968">(SUMPRODUCT(("Var_Cap"=[1]OUT_TransportEnergyCons!$B$4:$B$10000)*1,ISNUMBER(SEARCH("T_B_u*ICE*DSL*ext",[1]OUT_TransportEnergyCons!$A$4:$A$10000))*1,[1]OUT_TransportEnergyCons!N$4:N$10000))*1000</f>
        <v>0</v>
      </c>
      <c r="Q1968" s="1" cm="1">
        <f t="array" ref="Q1968">(SUMPRODUCT(("Var_Cap"=[1]OUT_TransportEnergyCons!$B$4:$B$10000)*1,ISNUMBER(SEARCH("T_B_u*ICE*DSL*ext",[1]OUT_TransportEnergyCons!$A$4:$A$10000))*1,[1]OUT_TransportEnergyCons!O$4:O$10000))*1000</f>
        <v>0</v>
      </c>
      <c r="S1968" s="3"/>
    </row>
    <row r="1969" spans="2:19" x14ac:dyDescent="0.5">
      <c r="B1969" s="5" t="str">
        <f t="shared" si="2157"/>
        <v>SPS1</v>
      </c>
      <c r="C1969" s="5" t="str">
        <f t="shared" si="2158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0.61960990901898949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1.1250672338570058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5.7070628666465451E-5</v>
      </c>
      <c r="J1969" s="1" cm="1">
        <f t="array" ref="J1969">(SUMPRODUCT(("Var_Cap"=[1]OUT_TransportEnergyCons!$B$4:$B$10000)*1,ISNUMBER(SEARCH("T_B_u*ICE*DSL*s1",[1]OUT_TransportEnergyCons!$A$4:$A$10000))*1,[1]OUT_TransportEnergyCons!H$4:H$10000))*1000</f>
        <v>4.3143435279956004E-6</v>
      </c>
      <c r="K1969" s="1" cm="1">
        <f t="array" ref="K1969">(SUMPRODUCT(("Var_Cap"=[1]OUT_TransportEnergyCons!$B$4:$B$10000)*1,ISNUMBER(SEARCH("T_B_u*ICE*DSL*s1",[1]OUT_TransportEnergyCons!$A$4:$A$10000))*1,[1]OUT_TransportEnergyCons!I$4:I$10000))*1000</f>
        <v>0</v>
      </c>
      <c r="L1969" s="1" cm="1">
        <f t="array" ref="L1969">(SUMPRODUCT(("Var_Cap"=[1]OUT_TransportEnergyCons!$B$4:$B$10000)*1,ISNUMBER(SEARCH("T_B_u*ICE*DSL*s1",[1]OUT_TransportEnergyCons!$A$4:$A$10000))*1,[1]OUT_TransportEnergyCons!J$4:J$10000))*1000</f>
        <v>0</v>
      </c>
      <c r="M1969" s="1" cm="1">
        <f t="array" ref="M1969">(SUMPRODUCT(("Var_Cap"=[1]OUT_TransportEnergyCons!$B$4:$B$10000)*1,ISNUMBER(SEARCH("T_B_u*ICE*DSL*s1",[1]OUT_TransportEnergyCons!$A$4:$A$10000))*1,[1]OUT_TransportEnergyCons!K$4:K$10000))*1000</f>
        <v>1.09943808852156E-5</v>
      </c>
      <c r="N1969" s="1" cm="1">
        <f t="array" ref="N1969">(SUMPRODUCT(("Var_Cap"=[1]OUT_TransportEnergyCons!$B$4:$B$10000)*1,ISNUMBER(SEARCH("T_B_u*ICE*DSL*s1",[1]OUT_TransportEnergyCons!$A$4:$A$10000))*1,[1]OUT_TransportEnergyCons!L$4:L$10000))*1000</f>
        <v>2.3732961052913899E-5</v>
      </c>
      <c r="O1969" s="1" cm="1">
        <f t="array" ref="O1969">(SUMPRODUCT(("Var_Cap"=[1]OUT_TransportEnergyCons!$B$4:$B$10000)*1,ISNUMBER(SEARCH("T_B_u*ICE*DSL*s1",[1]OUT_TransportEnergyCons!$A$4:$A$10000))*1,[1]OUT_TransportEnergyCons!M$4:M$10000))*1000</f>
        <v>3.0099173678269297E-5</v>
      </c>
      <c r="P1969" s="1" cm="1">
        <f t="array" ref="P1969">(SUMPRODUCT(("Var_Cap"=[1]OUT_TransportEnergyCons!$B$4:$B$10000)*1,ISNUMBER(SEARCH("T_B_u*ICE*DSL*s1",[1]OUT_TransportEnergyCons!$A$4:$A$10000))*1,[1]OUT_TransportEnergyCons!N$4:N$10000))*1000</f>
        <v>2.5373803247159202E-5</v>
      </c>
      <c r="Q1969" s="1" cm="1">
        <f t="array" ref="Q1969">(SUMPRODUCT(("Var_Cap"=[1]OUT_TransportEnergyCons!$B$4:$B$10000)*1,ISNUMBER(SEARCH("T_B_u*ICE*DSL*s1",[1]OUT_TransportEnergyCons!$A$4:$A$10000))*1,[1]OUT_TransportEnergyCons!O$4:O$10000))*1000</f>
        <v>3.24856308871821E-5</v>
      </c>
      <c r="S1969" s="3"/>
    </row>
    <row r="1970" spans="2:19" x14ac:dyDescent="0.5">
      <c r="B1970" s="5" t="str">
        <f t="shared" si="2157"/>
        <v>SPS1</v>
      </c>
      <c r="C1970" s="5" t="str">
        <f t="shared" si="2158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0.18447905069268075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0.22516434313425904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0.38040679839802538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[1]OUT_TransportEnergyCons!$B$4:$B$10000)*1,ISNUMBER(SEARCH("T_B_u*ICE*DSL*s2",[1]OUT_TransportEnergyCons!$A$4:$A$10000))*1,[1]OUT_TransportEnergyCons!H$4:H$10000))*1000&lt;0,0,(SUMPRODUCT(("Var_Cap"=[1]OUT_TransportEnergyCons!$B$4:$B$10000)*1,ISNUMBER(SEARCH("T_B_u*ICE*DSL*s2",[1]OUT_TransportEnergyCons!$A$4:$A$10000))*1,[1]OUT_TransportEnergyCons!H$4:H$10000))*1000)</f>
        <v>2.3815129680993972E-6</v>
      </c>
      <c r="K1970" s="1" cm="1">
        <f t="array" ref="K1970">IF((SUMPRODUCT(("Var_Cap"=[1]OUT_TransportEnergyCons!$B$4:$B$10000)*1,ISNUMBER(SEARCH("T_B_u*ICE*DSL*s2",[1]OUT_TransportEnergyCons!$A$4:$A$10000))*1,[1]OUT_TransportEnergyCons!I$4:I$10000))*1000&lt;0,0,(SUMPRODUCT(("Var_Cap"=[1]OUT_TransportEnergyCons!$B$4:$B$10000)*1,ISNUMBER(SEARCH("T_B_u*ICE*DSL*s2",[1]OUT_TransportEnergyCons!$A$4:$A$10000))*1,[1]OUT_TransportEnergyCons!I$4:I$10000))*1000)</f>
        <v>0</v>
      </c>
      <c r="L1970" s="1" cm="1">
        <f t="array" ref="L1970">IF((SUMPRODUCT(("Var_Cap"=[1]OUT_TransportEnergyCons!$B$4:$B$10000)*1,ISNUMBER(SEARCH("T_B_u*ICE*DSL*s2",[1]OUT_TransportEnergyCons!$A$4:$A$10000))*1,[1]OUT_TransportEnergyCons!J$4:J$10000))*1000&lt;0,0,(SUMPRODUCT(("Var_Cap"=[1]OUT_TransportEnergyCons!$B$4:$B$10000)*1,ISNUMBER(SEARCH("T_B_u*ICE*DSL*s2",[1]OUT_TransportEnergyCons!$A$4:$A$10000))*1,[1]OUT_TransportEnergyCons!J$4:J$10000))*1000)</f>
        <v>0</v>
      </c>
      <c r="M1970" s="1" cm="1">
        <f t="array" ref="M1970">IF((SUMPRODUCT(("Var_Cap"=[1]OUT_TransportEnergyCons!$B$4:$B$10000)*1,ISNUMBER(SEARCH("T_B_u*ICE*DSL*s2",[1]OUT_TransportEnergyCons!$A$4:$A$10000))*1,[1]OUT_TransportEnergyCons!K$4:K$10000))*1000&lt;0,0,(SUMPRODUCT(("Var_Cap"=[1]OUT_TransportEnergyCons!$B$4:$B$10000)*1,ISNUMBER(SEARCH("T_B_u*ICE*DSL*s2",[1]OUT_TransportEnergyCons!$A$4:$A$10000))*1,[1]OUT_TransportEnergyCons!K$4:K$10000))*1000)</f>
        <v>0</v>
      </c>
      <c r="N1970" s="1" cm="1">
        <f t="array" ref="N1970">IF((SUMPRODUCT(("Var_Cap"=[1]OUT_TransportEnergyCons!$B$4:$B$10000)*1,ISNUMBER(SEARCH("T_B_u*ICE*DSL*s2",[1]OUT_TransportEnergyCons!$A$4:$A$10000))*1,[1]OUT_TransportEnergyCons!L$4:L$10000))*1000&lt;0,0,(SUMPRODUCT(("Var_Cap"=[1]OUT_TransportEnergyCons!$B$4:$B$10000)*1,ISNUMBER(SEARCH("T_B_u*ICE*DSL*s2",[1]OUT_TransportEnergyCons!$A$4:$A$10000))*1,[1]OUT_TransportEnergyCons!L$4:L$10000))*1000)</f>
        <v>0</v>
      </c>
      <c r="O1970" s="1" cm="1">
        <f t="array" ref="O1970">IF((SUMPRODUCT(("Var_Cap"=[1]OUT_TransportEnergyCons!$B$4:$B$10000)*1,ISNUMBER(SEARCH("T_B_u*ICE*DSL*s2",[1]OUT_TransportEnergyCons!$A$4:$A$10000))*1,[1]OUT_TransportEnergyCons!M$4:M$10000))*1000&lt;0,0,(SUMPRODUCT(("Var_Cap"=[1]OUT_TransportEnergyCons!$B$4:$B$10000)*1,ISNUMBER(SEARCH("T_B_u*ICE*DSL*s2",[1]OUT_TransportEnergyCons!$A$4:$A$10000))*1,[1]OUT_TransportEnergyCons!M$4:M$10000))*1000)</f>
        <v>0</v>
      </c>
      <c r="P1970" s="1" cm="1">
        <f t="array" ref="P1970">IF((SUMPRODUCT(("Var_Cap"=[1]OUT_TransportEnergyCons!$B$4:$B$10000)*1,ISNUMBER(SEARCH("T_B_u*ICE*DSL*s2",[1]OUT_TransportEnergyCons!$A$4:$A$10000))*1,[1]OUT_TransportEnergyCons!N$4:N$10000))*1000&lt;0,0,(SUMPRODUCT(("Var_Cap"=[1]OUT_TransportEnergyCons!$B$4:$B$10000)*1,ISNUMBER(SEARCH("T_B_u*ICE*DSL*s2",[1]OUT_TransportEnergyCons!$A$4:$A$10000))*1,[1]OUT_TransportEnergyCons!N$4:N$10000))*1000)</f>
        <v>0</v>
      </c>
      <c r="Q1970" s="1" cm="1">
        <f t="array" ref="Q1970">IF((SUMPRODUCT(("Var_Cap"=[1]OUT_TransportEnergyCons!$B$4:$B$10000)*1,ISNUMBER(SEARCH("T_B_u*ICE*DSL*s2",[1]OUT_TransportEnergyCons!$A$4:$A$10000))*1,[1]OUT_TransportEnergyCons!O$4:O$10000))*1000&lt;0,0,(SUMPRODUCT(("Var_Cap"=[1]OUT_TransportEnergyCons!$B$4:$B$10000)*1,ISNUMBER(SEARCH("T_B_u*ICE*DSL*s2",[1]OUT_TransportEnergyCons!$A$4:$A$10000))*1,[1]OUT_TransportEnergyCons!O$4:O$10000))*1000)</f>
        <v>0</v>
      </c>
      <c r="S1970" s="3"/>
    </row>
    <row r="1971" spans="2:19" x14ac:dyDescent="0.5">
      <c r="B1971" s="5" t="str">
        <f t="shared" si="2157"/>
        <v>SPS1</v>
      </c>
      <c r="C1971" s="5" t="str">
        <f t="shared" si="2158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0.80664732027218111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0.95925281898615211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0.96062438106892267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[1]OUT_TransportEnergyCons!$B$4:$B$10000)*1,ISNUMBER(SEARCH("T_B_u*ICE*DSL*s3",[1]OUT_TransportEnergyCons!$A$4:$A$10000))*1,[1]OUT_TransportEnergyCons!H$4:H$10000))*1000&lt;0,0,(SUMPRODUCT(("Var_Cap"=[1]OUT_TransportEnergyCons!$B$4:$B$10000)*1,ISNUMBER(SEARCH("T_B_u*ICE*DSL*s3",[1]OUT_TransportEnergyCons!$A$4:$A$10000))*1,[1]OUT_TransportEnergyCons!H$4:H$10000))*1000)</f>
        <v>0</v>
      </c>
      <c r="K1971" s="1" cm="1">
        <f t="array" ref="K1971">IF((SUMPRODUCT(("Var_Cap"=[1]OUT_TransportEnergyCons!$B$4:$B$10000)*1,ISNUMBER(SEARCH("T_B_u*ICE*DSL*s3",[1]OUT_TransportEnergyCons!$A$4:$A$10000))*1,[1]OUT_TransportEnergyCons!I$4:I$10000))*1000&lt;0,0,(SUMPRODUCT(("Var_Cap"=[1]OUT_TransportEnergyCons!$B$4:$B$10000)*1,ISNUMBER(SEARCH("T_B_u*ICE*DSL*s3",[1]OUT_TransportEnergyCons!$A$4:$A$10000))*1,[1]OUT_TransportEnergyCons!I$4:I$10000))*1000)</f>
        <v>0</v>
      </c>
      <c r="L1971" s="1" cm="1">
        <f t="array" ref="L1971">IF((SUMPRODUCT(("Var_Cap"=[1]OUT_TransportEnergyCons!$B$4:$B$10000)*1,ISNUMBER(SEARCH("T_B_u*ICE*DSL*s3",[1]OUT_TransportEnergyCons!$A$4:$A$10000))*1,[1]OUT_TransportEnergyCons!J$4:J$10000))*1000&lt;0,0,(SUMPRODUCT(("Var_Cap"=[1]OUT_TransportEnergyCons!$B$4:$B$10000)*1,ISNUMBER(SEARCH("T_B_u*ICE*DSL*s3",[1]OUT_TransportEnergyCons!$A$4:$A$10000))*1,[1]OUT_TransportEnergyCons!J$4:J$10000))*1000)</f>
        <v>0</v>
      </c>
      <c r="M1971" s="1" cm="1">
        <f t="array" ref="M1971">IF((SUMPRODUCT(("Var_Cap"=[1]OUT_TransportEnergyCons!$B$4:$B$10000)*1,ISNUMBER(SEARCH("T_B_u*ICE*DSL*s3",[1]OUT_TransportEnergyCons!$A$4:$A$10000))*1,[1]OUT_TransportEnergyCons!K$4:K$10000))*1000&lt;0,0,(SUMPRODUCT(("Var_Cap"=[1]OUT_TransportEnergyCons!$B$4:$B$10000)*1,ISNUMBER(SEARCH("T_B_u*ICE*DSL*s3",[1]OUT_TransportEnergyCons!$A$4:$A$10000))*1,[1]OUT_TransportEnergyCons!K$4:K$10000))*1000)</f>
        <v>0</v>
      </c>
      <c r="N1971" s="1" cm="1">
        <f t="array" ref="N1971">IF((SUMPRODUCT(("Var_Cap"=[1]OUT_TransportEnergyCons!$B$4:$B$10000)*1,ISNUMBER(SEARCH("T_B_u*ICE*DSL*s3",[1]OUT_TransportEnergyCons!$A$4:$A$10000))*1,[1]OUT_TransportEnergyCons!L$4:L$10000))*1000&lt;0,0,(SUMPRODUCT(("Var_Cap"=[1]OUT_TransportEnergyCons!$B$4:$B$10000)*1,ISNUMBER(SEARCH("T_B_u*ICE*DSL*s3",[1]OUT_TransportEnergyCons!$A$4:$A$10000))*1,[1]OUT_TransportEnergyCons!L$4:L$10000))*1000)</f>
        <v>0</v>
      </c>
      <c r="O1971" s="1" cm="1">
        <f t="array" ref="O1971">IF((SUMPRODUCT(("Var_Cap"=[1]OUT_TransportEnergyCons!$B$4:$B$10000)*1,ISNUMBER(SEARCH("T_B_u*ICE*DSL*s3",[1]OUT_TransportEnergyCons!$A$4:$A$10000))*1,[1]OUT_TransportEnergyCons!M$4:M$10000))*1000&lt;0,0,(SUMPRODUCT(("Var_Cap"=[1]OUT_TransportEnergyCons!$B$4:$B$10000)*1,ISNUMBER(SEARCH("T_B_u*ICE*DSL*s3",[1]OUT_TransportEnergyCons!$A$4:$A$10000))*1,[1]OUT_TransportEnergyCons!M$4:M$10000))*1000)</f>
        <v>0</v>
      </c>
      <c r="P1971" s="1" cm="1">
        <f t="array" ref="P1971">IF((SUMPRODUCT(("Var_Cap"=[1]OUT_TransportEnergyCons!$B$4:$B$10000)*1,ISNUMBER(SEARCH("T_B_u*ICE*DSL*s3",[1]OUT_TransportEnergyCons!$A$4:$A$10000))*1,[1]OUT_TransportEnergyCons!N$4:N$10000))*1000&lt;0,0,(SUMPRODUCT(("Var_Cap"=[1]OUT_TransportEnergyCons!$B$4:$B$10000)*1,ISNUMBER(SEARCH("T_B_u*ICE*DSL*s3",[1]OUT_TransportEnergyCons!$A$4:$A$10000))*1,[1]OUT_TransportEnergyCons!N$4:N$10000))*1000)</f>
        <v>0</v>
      </c>
      <c r="Q1971" s="1" cm="1">
        <f t="array" ref="Q1971">IF((SUMPRODUCT(("Var_Cap"=[1]OUT_TransportEnergyCons!$B$4:$B$10000)*1,ISNUMBER(SEARCH("T_B_u*ICE*DSL*s3",[1]OUT_TransportEnergyCons!$A$4:$A$10000))*1,[1]OUT_TransportEnergyCons!O$4:O$10000))*1000&lt;0,0,(SUMPRODUCT(("Var_Cap"=[1]OUT_TransportEnergyCons!$B$4:$B$10000)*1,ISNUMBER(SEARCH("T_B_u*ICE*DSL*s3",[1]OUT_TransportEnergyCons!$A$4:$A$10000))*1,[1]OUT_TransportEnergyCons!O$4:O$10000))*1000)</f>
        <v>0</v>
      </c>
      <c r="S1971" s="3"/>
    </row>
    <row r="1972" spans="2:19" x14ac:dyDescent="0.5">
      <c r="B1972" s="5" t="str">
        <f t="shared" si="2157"/>
        <v>SPS1</v>
      </c>
      <c r="C1972" s="5" t="str">
        <f t="shared" si="2158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5.5664415427290692E-3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1.4050386984724044E-3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1.369484832014249E-3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[1]OUT_TransportEnergyCons!$B$4:$B$10000)*1,ISNUMBER(SEARCH("T_B_u*ICE*DSL*s4",[1]OUT_TransportEnergyCons!$A$4:$A$10000))*1,[1]OUT_TransportEnergyCons!H$4:H$10000))*1000&lt;0,0,(SUMPRODUCT(("Var_Cap"=[1]OUT_TransportEnergyCons!$B$4:$B$10000)*1,ISNUMBER(SEARCH("T_B_u*ICE*DSL*s4",[1]OUT_TransportEnergyCons!$A$4:$A$10000))*1,[1]OUT_TransportEnergyCons!H$4:H$10000))*1000)</f>
        <v>0</v>
      </c>
      <c r="K1972" s="1" cm="1">
        <f t="array" ref="K1972">IF((SUMPRODUCT(("Var_Cap"=[1]OUT_TransportEnergyCons!$B$4:$B$10000)*1,ISNUMBER(SEARCH("T_B_u*ICE*DSL*s4",[1]OUT_TransportEnergyCons!$A$4:$A$10000))*1,[1]OUT_TransportEnergyCons!I$4:I$10000))*1000&lt;0,0,(SUMPRODUCT(("Var_Cap"=[1]OUT_TransportEnergyCons!$B$4:$B$10000)*1,ISNUMBER(SEARCH("T_B_u*ICE*DSL*s4",[1]OUT_TransportEnergyCons!$A$4:$A$10000))*1,[1]OUT_TransportEnergyCons!I$4:I$10000))*1000)</f>
        <v>0</v>
      </c>
      <c r="L1972" s="1" cm="1">
        <f t="array" ref="L1972">IF((SUMPRODUCT(("Var_Cap"=[1]OUT_TransportEnergyCons!$B$4:$B$10000)*1,ISNUMBER(SEARCH("T_B_u*ICE*DSL*s4",[1]OUT_TransportEnergyCons!$A$4:$A$10000))*1,[1]OUT_TransportEnergyCons!J$4:J$10000))*1000&lt;0,0,(SUMPRODUCT(("Var_Cap"=[1]OUT_TransportEnergyCons!$B$4:$B$10000)*1,ISNUMBER(SEARCH("T_B_u*ICE*DSL*s4",[1]OUT_TransportEnergyCons!$A$4:$A$10000))*1,[1]OUT_TransportEnergyCons!J$4:J$10000))*1000)</f>
        <v>0</v>
      </c>
      <c r="M1972" s="1" cm="1">
        <f t="array" ref="M1972">IF((SUMPRODUCT(("Var_Cap"=[1]OUT_TransportEnergyCons!$B$4:$B$10000)*1,ISNUMBER(SEARCH("T_B_u*ICE*DSL*s4",[1]OUT_TransportEnergyCons!$A$4:$A$10000))*1,[1]OUT_TransportEnergyCons!K$4:K$10000))*1000&lt;0,0,(SUMPRODUCT(("Var_Cap"=[1]OUT_TransportEnergyCons!$B$4:$B$10000)*1,ISNUMBER(SEARCH("T_B_u*ICE*DSL*s4",[1]OUT_TransportEnergyCons!$A$4:$A$10000))*1,[1]OUT_TransportEnergyCons!K$4:K$10000))*1000)</f>
        <v>0</v>
      </c>
      <c r="N1972" s="1" cm="1">
        <f t="array" ref="N1972">IF((SUMPRODUCT(("Var_Cap"=[1]OUT_TransportEnergyCons!$B$4:$B$10000)*1,ISNUMBER(SEARCH("T_B_u*ICE*DSL*s4",[1]OUT_TransportEnergyCons!$A$4:$A$10000))*1,[1]OUT_TransportEnergyCons!L$4:L$10000))*1000&lt;0,0,(SUMPRODUCT(("Var_Cap"=[1]OUT_TransportEnergyCons!$B$4:$B$10000)*1,ISNUMBER(SEARCH("T_B_u*ICE*DSL*s4",[1]OUT_TransportEnergyCons!$A$4:$A$10000))*1,[1]OUT_TransportEnergyCons!L$4:L$10000))*1000)</f>
        <v>0</v>
      </c>
      <c r="O1972" s="1" cm="1">
        <f t="array" ref="O1972">IF((SUMPRODUCT(("Var_Cap"=[1]OUT_TransportEnergyCons!$B$4:$B$10000)*1,ISNUMBER(SEARCH("T_B_u*ICE*DSL*s4",[1]OUT_TransportEnergyCons!$A$4:$A$10000))*1,[1]OUT_TransportEnergyCons!M$4:M$10000))*1000&lt;0,0,(SUMPRODUCT(("Var_Cap"=[1]OUT_TransportEnergyCons!$B$4:$B$10000)*1,ISNUMBER(SEARCH("T_B_u*ICE*DSL*s4",[1]OUT_TransportEnergyCons!$A$4:$A$10000))*1,[1]OUT_TransportEnergyCons!M$4:M$10000))*1000)</f>
        <v>0</v>
      </c>
      <c r="P1972" s="1" cm="1">
        <f t="array" ref="P1972">IF((SUMPRODUCT(("Var_Cap"=[1]OUT_TransportEnergyCons!$B$4:$B$10000)*1,ISNUMBER(SEARCH("T_B_u*ICE*DSL*s4",[1]OUT_TransportEnergyCons!$A$4:$A$10000))*1,[1]OUT_TransportEnergyCons!N$4:N$10000))*1000&lt;0,0,(SUMPRODUCT(("Var_Cap"=[1]OUT_TransportEnergyCons!$B$4:$B$10000)*1,ISNUMBER(SEARCH("T_B_u*ICE*DSL*s4",[1]OUT_TransportEnergyCons!$A$4:$A$10000))*1,[1]OUT_TransportEnergyCons!N$4:N$10000))*1000)</f>
        <v>0</v>
      </c>
      <c r="Q1972" s="1" cm="1">
        <f t="array" ref="Q1972">IF((SUMPRODUCT(("Var_Cap"=[1]OUT_TransportEnergyCons!$B$4:$B$10000)*1,ISNUMBER(SEARCH("T_B_u*ICE*DSL*s4",[1]OUT_TransportEnergyCons!$A$4:$A$10000))*1,[1]OUT_TransportEnergyCons!O$4:O$10000))*1000&lt;0,0,(SUMPRODUCT(("Var_Cap"=[1]OUT_TransportEnergyCons!$B$4:$B$10000)*1,ISNUMBER(SEARCH("T_B_u*ICE*DSL*s4",[1]OUT_TransportEnergyCons!$A$4:$A$10000))*1,[1]OUT_TransportEnergyCons!O$4:O$10000))*1000)</f>
        <v>0</v>
      </c>
      <c r="S1972" s="3"/>
    </row>
    <row r="1973" spans="2:19" x14ac:dyDescent="0.5">
      <c r="B1973" s="5" t="str">
        <f t="shared" si="2157"/>
        <v>SPS1</v>
      </c>
      <c r="C1973" s="5" t="str">
        <f t="shared" si="2158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8.3534363411806728E-2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4.1787700865265807E-2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(SUMPRODUCT(("Var_Cap"=[1]OUT_TransportEnergyCons!$B$4:$B$10000)*1,ISNUMBER(SEARCH("T_B_u*ICE*nga*ext",[1]OUT_TransportEnergyCons!$A$4:$A$10000))*1,[1]OUT_TransportEnergyCons!H$4:H$10000))*1000</f>
        <v>0</v>
      </c>
      <c r="K1973" s="1" cm="1">
        <f t="array" ref="K1973">(SUMPRODUCT(("Var_Cap"=[1]OUT_TransportEnergyCons!$B$4:$B$10000)*1,ISNUMBER(SEARCH("T_B_u*ICE*nga*ext",[1]OUT_TransportEnergyCons!$A$4:$A$10000))*1,[1]OUT_TransportEnergyCons!I$4:I$10000))*1000</f>
        <v>0</v>
      </c>
      <c r="L1973" s="1" cm="1">
        <f t="array" ref="L1973">(SUMPRODUCT(("Var_Cap"=[1]OUT_TransportEnergyCons!$B$4:$B$10000)*1,ISNUMBER(SEARCH("T_B_u*ICE*nga*ext",[1]OUT_TransportEnergyCons!$A$4:$A$10000))*1,[1]OUT_TransportEnergyCons!J$4:J$10000))*1000</f>
        <v>0</v>
      </c>
      <c r="M1973" s="1" cm="1">
        <f t="array" ref="M1973">(SUMPRODUCT(("Var_Cap"=[1]OUT_TransportEnergyCons!$B$4:$B$10000)*1,ISNUMBER(SEARCH("T_B_u*ICE*nga*ext",[1]OUT_TransportEnergyCons!$A$4:$A$10000))*1,[1]OUT_TransportEnergyCons!K$4:K$10000))*1000</f>
        <v>0</v>
      </c>
      <c r="N1973" s="1" cm="1">
        <f t="array" ref="N1973">(SUMPRODUCT(("Var_Cap"=[1]OUT_TransportEnergyCons!$B$4:$B$10000)*1,ISNUMBER(SEARCH("T_B_u*ICE*nga*ext",[1]OUT_TransportEnergyCons!$A$4:$A$10000))*1,[1]OUT_TransportEnergyCons!L$4:L$10000))*1000</f>
        <v>0</v>
      </c>
      <c r="O1973" s="1" cm="1">
        <f t="array" ref="O1973">(SUMPRODUCT(("Var_Cap"=[1]OUT_TransportEnergyCons!$B$4:$B$10000)*1,ISNUMBER(SEARCH("T_B_u*ICE*nga*ext",[1]OUT_TransportEnergyCons!$A$4:$A$10000))*1,[1]OUT_TransportEnergyCons!M$4:M$10000))*1000</f>
        <v>0</v>
      </c>
      <c r="P1973" s="1" cm="1">
        <f t="array" ref="P1973">(SUMPRODUCT(("Var_Cap"=[1]OUT_TransportEnergyCons!$B$4:$B$10000)*1,ISNUMBER(SEARCH("T_B_u*ICE*nga*ext",[1]OUT_TransportEnergyCons!$A$4:$A$10000))*1,[1]OUT_TransportEnergyCons!N$4:N$10000))*1000</f>
        <v>0</v>
      </c>
      <c r="Q1973" s="1" cm="1">
        <f t="array" ref="Q1973">(SUMPRODUCT(("Var_Cap"=[1]OUT_TransportEnergyCons!$B$4:$B$10000)*1,ISNUMBER(SEARCH("T_B_u*ICE*nga*ext",[1]OUT_TransportEnergyCons!$A$4:$A$10000))*1,[1]OUT_TransportEnergyCons!O$4:O$10000))*1000</f>
        <v>0</v>
      </c>
      <c r="S1973" s="3"/>
    </row>
    <row r="1974" spans="2:19" x14ac:dyDescent="0.5">
      <c r="B1974" s="5" t="str">
        <f t="shared" si="2157"/>
        <v>SPS1</v>
      </c>
      <c r="C1974" s="5" t="str">
        <f t="shared" si="2158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7.7736290431317803E-4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6.7544894874742804E-3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2.4544780202920039E-5</v>
      </c>
      <c r="J1974" s="1" cm="1">
        <f t="array" ref="J1974">(SUMPRODUCT(("Var_Cap"=[1]OUT_TransportEnergyCons!$B$4:$B$10000)*1,ISNUMBER(SEARCH("T_B_u*ICE*nga*s1",[1]OUT_TransportEnergyCons!$A$4:$A$10000))*1,[1]OUT_TransportEnergyCons!H$4:H$10000))*1000</f>
        <v>2.7253543361460163E-5</v>
      </c>
      <c r="K1974" s="1" cm="1">
        <f t="array" ref="K1974">(SUMPRODUCT(("Var_Cap"=[1]OUT_TransportEnergyCons!$B$4:$B$10000)*1,ISNUMBER(SEARCH("T_B_u*ICE*nga*s1",[1]OUT_TransportEnergyCons!$A$4:$A$10000))*1,[1]OUT_TransportEnergyCons!I$4:I$10000))*1000</f>
        <v>2.4697761749585601E-5</v>
      </c>
      <c r="L1974" s="1" cm="1">
        <f t="array" ref="L1974">(SUMPRODUCT(("Var_Cap"=[1]OUT_TransportEnergyCons!$B$4:$B$10000)*1,ISNUMBER(SEARCH("T_B_u*ICE*nga*s1",[1]OUT_TransportEnergyCons!$A$4:$A$10000))*1,[1]OUT_TransportEnergyCons!J$4:J$10000))*1000</f>
        <v>2.9773936717254897E-5</v>
      </c>
      <c r="M1974" s="1" cm="1">
        <f t="array" ref="M1974">(SUMPRODUCT(("Var_Cap"=[1]OUT_TransportEnergyCons!$B$4:$B$10000)*1,ISNUMBER(SEARCH("T_B_u*ICE*nga*s1",[1]OUT_TransportEnergyCons!$A$4:$A$10000))*1,[1]OUT_TransportEnergyCons!K$4:K$10000))*1000</f>
        <v>3.00631148159017E-5</v>
      </c>
      <c r="N1974" s="1" cm="1">
        <f t="array" ref="N1974">(SUMPRODUCT(("Var_Cap"=[1]OUT_TransportEnergyCons!$B$4:$B$10000)*1,ISNUMBER(SEARCH("T_B_u*ICE*nga*s1",[1]OUT_TransportEnergyCons!$A$4:$A$10000))*1,[1]OUT_TransportEnergyCons!L$4:L$10000))*1000</f>
        <v>3.3301703827328394E-5</v>
      </c>
      <c r="O1974" s="1" cm="1">
        <f t="array" ref="O1974">(SUMPRODUCT(("Var_Cap"=[1]OUT_TransportEnergyCons!$B$4:$B$10000)*1,ISNUMBER(SEARCH("T_B_u*ICE*nga*s1",[1]OUT_TransportEnergyCons!$A$4:$A$10000))*1,[1]OUT_TransportEnergyCons!M$4:M$10000))*1000</f>
        <v>3.4766943461713694E-5</v>
      </c>
      <c r="P1974" s="1" cm="1">
        <f t="array" ref="P1974">(SUMPRODUCT(("Var_Cap"=[1]OUT_TransportEnergyCons!$B$4:$B$10000)*1,ISNUMBER(SEARCH("T_B_u*ICE*nga*s1",[1]OUT_TransportEnergyCons!$A$4:$A$10000))*1,[1]OUT_TransportEnergyCons!N$4:N$10000))*1000</f>
        <v>2.9026947206252899E-5</v>
      </c>
      <c r="Q1974" s="1" cm="1">
        <f t="array" ref="Q1974">(SUMPRODUCT(("Var_Cap"=[1]OUT_TransportEnergyCons!$B$4:$B$10000)*1,ISNUMBER(SEARCH("T_B_u*ICE*nga*s1",[1]OUT_TransportEnergyCons!$A$4:$A$10000))*1,[1]OUT_TransportEnergyCons!O$4:O$10000))*1000</f>
        <v>3.8411620395400101E-5</v>
      </c>
      <c r="S1974" s="3"/>
    </row>
    <row r="1975" spans="2:19" x14ac:dyDescent="0.5">
      <c r="B1975" s="5" t="str">
        <f t="shared" si="2157"/>
        <v>SPS1</v>
      </c>
      <c r="C1975" s="5" t="str">
        <f t="shared" si="2158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4.24776574575444E-4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2.0478982572787199E-2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4.3232485217017317E-6</v>
      </c>
      <c r="J1975" s="1" cm="1">
        <f t="array" ref="J1975">(SUMPRODUCT(("Var_Cap"=[1]OUT_TransportEnergyCons!$B$4:$B$10000)*1,ISNUMBER(SEARCH("T_B_u*ICE*nga*s2",[1]OUT_TransportEnergyCons!$A$4:$A$10000))*1,[1]OUT_TransportEnergyCons!H$4:H$10000))*1000</f>
        <v>2.2734835549001925E-6</v>
      </c>
      <c r="K1975" s="1" cm="1">
        <f t="array" ref="K1975">(SUMPRODUCT(("Var_Cap"=[1]OUT_TransportEnergyCons!$B$4:$B$10000)*1,ISNUMBER(SEARCH("T_B_u*ICE*nga*s2",[1]OUT_TransportEnergyCons!$A$4:$A$10000))*1,[1]OUT_TransportEnergyCons!I$4:I$10000))*1000</f>
        <v>0</v>
      </c>
      <c r="L1975" s="1" cm="1">
        <f t="array" ref="L1975">(SUMPRODUCT(("Var_Cap"=[1]OUT_TransportEnergyCons!$B$4:$B$10000)*1,ISNUMBER(SEARCH("T_B_u*ICE*nga*s2",[1]OUT_TransportEnergyCons!$A$4:$A$10000))*1,[1]OUT_TransportEnergyCons!J$4:J$10000))*1000</f>
        <v>0</v>
      </c>
      <c r="M1975" s="1" cm="1">
        <f t="array" ref="M1975">(SUMPRODUCT(("Var_Cap"=[1]OUT_TransportEnergyCons!$B$4:$B$10000)*1,ISNUMBER(SEARCH("T_B_u*ICE*nga*s2",[1]OUT_TransportEnergyCons!$A$4:$A$10000))*1,[1]OUT_TransportEnergyCons!K$4:K$10000))*1000</f>
        <v>0</v>
      </c>
      <c r="N1975" s="1" cm="1">
        <f t="array" ref="N1975">(SUMPRODUCT(("Var_Cap"=[1]OUT_TransportEnergyCons!$B$4:$B$10000)*1,ISNUMBER(SEARCH("T_B_u*ICE*nga*s2",[1]OUT_TransportEnergyCons!$A$4:$A$10000))*1,[1]OUT_TransportEnergyCons!L$4:L$10000))*1000</f>
        <v>0</v>
      </c>
      <c r="O1975" s="1" cm="1">
        <f t="array" ref="O1975">(SUMPRODUCT(("Var_Cap"=[1]OUT_TransportEnergyCons!$B$4:$B$10000)*1,ISNUMBER(SEARCH("T_B_u*ICE*nga*s2",[1]OUT_TransportEnergyCons!$A$4:$A$10000))*1,[1]OUT_TransportEnergyCons!M$4:M$10000))*1000</f>
        <v>0</v>
      </c>
      <c r="P1975" s="1" cm="1">
        <f t="array" ref="P1975">(SUMPRODUCT(("Var_Cap"=[1]OUT_TransportEnergyCons!$B$4:$B$10000)*1,ISNUMBER(SEARCH("T_B_u*ICE*nga*s2",[1]OUT_TransportEnergyCons!$A$4:$A$10000))*1,[1]OUT_TransportEnergyCons!N$4:N$10000))*1000</f>
        <v>0</v>
      </c>
      <c r="Q1975" s="1" cm="1">
        <f t="array" ref="Q1975">(SUMPRODUCT(("Var_Cap"=[1]OUT_TransportEnergyCons!$B$4:$B$10000)*1,ISNUMBER(SEARCH("T_B_u*ICE*nga*s2",[1]OUT_TransportEnergyCons!$A$4:$A$10000))*1,[1]OUT_TransportEnergyCons!O$4:O$10000))*1000</f>
        <v>0</v>
      </c>
      <c r="S1975" s="3"/>
    </row>
    <row r="1976" spans="2:19" x14ac:dyDescent="0.5">
      <c r="B1976" s="5" t="str">
        <f t="shared" si="2157"/>
        <v>SPS1</v>
      </c>
      <c r="C1976" s="5" t="str">
        <f t="shared" si="2158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2.44985523084357E-4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1.0848147885402901E-3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2.3050551755748761E-6</v>
      </c>
      <c r="J1976" s="1" cm="1">
        <f t="array" ref="J1976">IF((SUMPRODUCT(("Var_Cap"=[1]OUT_TransportEnergyCons!$B$4:$B$10000)*1,ISNUMBER(SEARCH("T_B_u*ICE*nga*s3",[1]OUT_TransportEnergyCons!$A$4:$A$10000))*1,[1]OUT_TransportEnergyCons!H$4:H$10000))*1000&lt;0,0,(SUMPRODUCT(("Var_Cap"=[1]OUT_TransportEnergyCons!$B$4:$B$10000)*1,ISNUMBER(SEARCH("T_B_u*ICE*nga*s3",[1]OUT_TransportEnergyCons!$A$4:$A$10000))*1,[1]OUT_TransportEnergyCons!H$4:H$10000))*1000)</f>
        <v>0</v>
      </c>
      <c r="K1976" s="1" cm="1">
        <f t="array" ref="K1976">IF((SUMPRODUCT(("Var_Cap"=[1]OUT_TransportEnergyCons!$B$4:$B$10000)*1,ISNUMBER(SEARCH("T_B_u*ICE*nga*s3",[1]OUT_TransportEnergyCons!$A$4:$A$10000))*1,[1]OUT_TransportEnergyCons!I$4:I$10000))*1000&lt;0,0,(SUMPRODUCT(("Var_Cap"=[1]OUT_TransportEnergyCons!$B$4:$B$10000)*1,ISNUMBER(SEARCH("T_B_u*ICE*nga*s3",[1]OUT_TransportEnergyCons!$A$4:$A$10000))*1,[1]OUT_TransportEnergyCons!I$4:I$10000))*1000)</f>
        <v>0</v>
      </c>
      <c r="L1976" s="1" cm="1">
        <f t="array" ref="L1976">IF((SUMPRODUCT(("Var_Cap"=[1]OUT_TransportEnergyCons!$B$4:$B$10000)*1,ISNUMBER(SEARCH("T_B_u*ICE*nga*s3",[1]OUT_TransportEnergyCons!$A$4:$A$10000))*1,[1]OUT_TransportEnergyCons!J$4:J$10000))*1000&lt;0,0,(SUMPRODUCT(("Var_Cap"=[1]OUT_TransportEnergyCons!$B$4:$B$10000)*1,ISNUMBER(SEARCH("T_B_u*ICE*nga*s3",[1]OUT_TransportEnergyCons!$A$4:$A$10000))*1,[1]OUT_TransportEnergyCons!J$4:J$10000))*1000)</f>
        <v>0</v>
      </c>
      <c r="M1976" s="1" cm="1">
        <f t="array" ref="M1976">IF((SUMPRODUCT(("Var_Cap"=[1]OUT_TransportEnergyCons!$B$4:$B$10000)*1,ISNUMBER(SEARCH("T_B_u*ICE*nga*s3",[1]OUT_TransportEnergyCons!$A$4:$A$10000))*1,[1]OUT_TransportEnergyCons!K$4:K$10000))*1000&lt;0,0,(SUMPRODUCT(("Var_Cap"=[1]OUT_TransportEnergyCons!$B$4:$B$10000)*1,ISNUMBER(SEARCH("T_B_u*ICE*nga*s3",[1]OUT_TransportEnergyCons!$A$4:$A$10000))*1,[1]OUT_TransportEnergyCons!K$4:K$10000))*1000)</f>
        <v>0</v>
      </c>
      <c r="N1976" s="1" cm="1">
        <f t="array" ref="N1976">IF((SUMPRODUCT(("Var_Cap"=[1]OUT_TransportEnergyCons!$B$4:$B$10000)*1,ISNUMBER(SEARCH("T_B_u*ICE*nga*s3",[1]OUT_TransportEnergyCons!$A$4:$A$10000))*1,[1]OUT_TransportEnergyCons!L$4:L$10000))*1000&lt;0,0,(SUMPRODUCT(("Var_Cap"=[1]OUT_TransportEnergyCons!$B$4:$B$10000)*1,ISNUMBER(SEARCH("T_B_u*ICE*nga*s3",[1]OUT_TransportEnergyCons!$A$4:$A$10000))*1,[1]OUT_TransportEnergyCons!L$4:L$10000))*1000)</f>
        <v>0</v>
      </c>
      <c r="O1976" s="1" cm="1">
        <f t="array" ref="O1976">IF((SUMPRODUCT(("Var_Cap"=[1]OUT_TransportEnergyCons!$B$4:$B$10000)*1,ISNUMBER(SEARCH("T_B_u*ICE*nga*s3",[1]OUT_TransportEnergyCons!$A$4:$A$10000))*1,[1]OUT_TransportEnergyCons!M$4:M$10000))*1000&lt;0,0,(SUMPRODUCT(("Var_Cap"=[1]OUT_TransportEnergyCons!$B$4:$B$10000)*1,ISNUMBER(SEARCH("T_B_u*ICE*nga*s3",[1]OUT_TransportEnergyCons!$A$4:$A$10000))*1,[1]OUT_TransportEnergyCons!M$4:M$10000))*1000)</f>
        <v>0</v>
      </c>
      <c r="P1976" s="1" cm="1">
        <f t="array" ref="P1976">IF((SUMPRODUCT(("Var_Cap"=[1]OUT_TransportEnergyCons!$B$4:$B$10000)*1,ISNUMBER(SEARCH("T_B_u*ICE*nga*s3",[1]OUT_TransportEnergyCons!$A$4:$A$10000))*1,[1]OUT_TransportEnergyCons!N$4:N$10000))*1000&lt;0,0,(SUMPRODUCT(("Var_Cap"=[1]OUT_TransportEnergyCons!$B$4:$B$10000)*1,ISNUMBER(SEARCH("T_B_u*ICE*nga*s3",[1]OUT_TransportEnergyCons!$A$4:$A$10000))*1,[1]OUT_TransportEnergyCons!N$4:N$10000))*1000)</f>
        <v>0</v>
      </c>
      <c r="Q1976" s="1" cm="1">
        <f t="array" ref="Q1976">IF((SUMPRODUCT(("Var_Cap"=[1]OUT_TransportEnergyCons!$B$4:$B$10000)*1,ISNUMBER(SEARCH("T_B_u*ICE*nga*s3",[1]OUT_TransportEnergyCons!$A$4:$A$10000))*1,[1]OUT_TransportEnergyCons!O$4:O$10000))*1000&lt;0,0,(SUMPRODUCT(("Var_Cap"=[1]OUT_TransportEnergyCons!$B$4:$B$10000)*1,ISNUMBER(SEARCH("T_B_u*ICE*nga*s3",[1]OUT_TransportEnergyCons!$A$4:$A$10000))*1,[1]OUT_TransportEnergyCons!O$4:O$10000))*1000)</f>
        <v>0</v>
      </c>
      <c r="S1976" s="3"/>
    </row>
    <row r="1977" spans="2:19" x14ac:dyDescent="0.5">
      <c r="B1977" s="5" t="str">
        <f t="shared" si="2157"/>
        <v>SPS1</v>
      </c>
      <c r="C1977" s="5" t="str">
        <f t="shared" si="2158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5.4684805710674103E-5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1.6545103737187401E-4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1.4386709818693937E-6</v>
      </c>
      <c r="J1977" s="1" cm="1">
        <f t="array" ref="J1977">IF((SUMPRODUCT(("Var_Cap"=[1]OUT_TransportEnergyCons!$B$4:$B$10000)*1,ISNUMBER(SEARCH("T_B_u*ICE*nga*s4",[1]OUT_TransportEnergyCons!$A$4:$A$10000))*1,[1]OUT_TransportEnergyCons!H$4:H$10000))*1000&lt;0,0,(SUMPRODUCT(("Var_Cap"=[1]OUT_TransportEnergyCons!$B$4:$B$10000)*1,ISNUMBER(SEARCH("T_B_u*ICE*nga*s4",[1]OUT_TransportEnergyCons!$A$4:$A$10000))*1,[1]OUT_TransportEnergyCons!H$4:H$10000))*1000)</f>
        <v>0</v>
      </c>
      <c r="K1977" s="1" cm="1">
        <f t="array" ref="K1977">IF((SUMPRODUCT(("Var_Cap"=[1]OUT_TransportEnergyCons!$B$4:$B$10000)*1,ISNUMBER(SEARCH("T_B_u*ICE*nga*s4",[1]OUT_TransportEnergyCons!$A$4:$A$10000))*1,[1]OUT_TransportEnergyCons!I$4:I$10000))*1000&lt;0,0,(SUMPRODUCT(("Var_Cap"=[1]OUT_TransportEnergyCons!$B$4:$B$10000)*1,ISNUMBER(SEARCH("T_B_u*ICE*nga*s4",[1]OUT_TransportEnergyCons!$A$4:$A$10000))*1,[1]OUT_TransportEnergyCons!I$4:I$10000))*1000)</f>
        <v>0</v>
      </c>
      <c r="L1977" s="1" cm="1">
        <f t="array" ref="L1977">IF((SUMPRODUCT(("Var_Cap"=[1]OUT_TransportEnergyCons!$B$4:$B$10000)*1,ISNUMBER(SEARCH("T_B_u*ICE*nga*s4",[1]OUT_TransportEnergyCons!$A$4:$A$10000))*1,[1]OUT_TransportEnergyCons!J$4:J$10000))*1000&lt;0,0,(SUMPRODUCT(("Var_Cap"=[1]OUT_TransportEnergyCons!$B$4:$B$10000)*1,ISNUMBER(SEARCH("T_B_u*ICE*nga*s4",[1]OUT_TransportEnergyCons!$A$4:$A$10000))*1,[1]OUT_TransportEnergyCons!J$4:J$10000))*1000)</f>
        <v>0</v>
      </c>
      <c r="M1977" s="1" cm="1">
        <f t="array" ref="M1977">IF((SUMPRODUCT(("Var_Cap"=[1]OUT_TransportEnergyCons!$B$4:$B$10000)*1,ISNUMBER(SEARCH("T_B_u*ICE*nga*s4",[1]OUT_TransportEnergyCons!$A$4:$A$10000))*1,[1]OUT_TransportEnergyCons!K$4:K$10000))*1000&lt;0,0,(SUMPRODUCT(("Var_Cap"=[1]OUT_TransportEnergyCons!$B$4:$B$10000)*1,ISNUMBER(SEARCH("T_B_u*ICE*nga*s4",[1]OUT_TransportEnergyCons!$A$4:$A$10000))*1,[1]OUT_TransportEnergyCons!K$4:K$10000))*1000)</f>
        <v>0</v>
      </c>
      <c r="N1977" s="1" cm="1">
        <f t="array" ref="N1977">IF((SUMPRODUCT(("Var_Cap"=[1]OUT_TransportEnergyCons!$B$4:$B$10000)*1,ISNUMBER(SEARCH("T_B_u*ICE*nga*s4",[1]OUT_TransportEnergyCons!$A$4:$A$10000))*1,[1]OUT_TransportEnergyCons!L$4:L$10000))*1000&lt;0,0,(SUMPRODUCT(("Var_Cap"=[1]OUT_TransportEnergyCons!$B$4:$B$10000)*1,ISNUMBER(SEARCH("T_B_u*ICE*nga*s4",[1]OUT_TransportEnergyCons!$A$4:$A$10000))*1,[1]OUT_TransportEnergyCons!L$4:L$10000))*1000)</f>
        <v>0</v>
      </c>
      <c r="O1977" s="1" cm="1">
        <f t="array" ref="O1977">IF((SUMPRODUCT(("Var_Cap"=[1]OUT_TransportEnergyCons!$B$4:$B$10000)*1,ISNUMBER(SEARCH("T_B_u*ICE*nga*s4",[1]OUT_TransportEnergyCons!$A$4:$A$10000))*1,[1]OUT_TransportEnergyCons!M$4:M$10000))*1000&lt;0,0,(SUMPRODUCT(("Var_Cap"=[1]OUT_TransportEnergyCons!$B$4:$B$10000)*1,ISNUMBER(SEARCH("T_B_u*ICE*nga*s4",[1]OUT_TransportEnergyCons!$A$4:$A$10000))*1,[1]OUT_TransportEnergyCons!M$4:M$10000))*1000)</f>
        <v>0</v>
      </c>
      <c r="P1977" s="1" cm="1">
        <f t="array" ref="P1977">IF((SUMPRODUCT(("Var_Cap"=[1]OUT_TransportEnergyCons!$B$4:$B$10000)*1,ISNUMBER(SEARCH("T_B_u*ICE*nga*s4",[1]OUT_TransportEnergyCons!$A$4:$A$10000))*1,[1]OUT_TransportEnergyCons!N$4:N$10000))*1000&lt;0,0,(SUMPRODUCT(("Var_Cap"=[1]OUT_TransportEnergyCons!$B$4:$B$10000)*1,ISNUMBER(SEARCH("T_B_u*ICE*nga*s4",[1]OUT_TransportEnergyCons!$A$4:$A$10000))*1,[1]OUT_TransportEnergyCons!N$4:N$10000))*1000)</f>
        <v>0</v>
      </c>
      <c r="Q1977" s="1" cm="1">
        <f t="array" ref="Q1977">IF((SUMPRODUCT(("Var_Cap"=[1]OUT_TransportEnergyCons!$B$4:$B$10000)*1,ISNUMBER(SEARCH("T_B_u*ICE*nga*s4",[1]OUT_TransportEnergyCons!$A$4:$A$10000))*1,[1]OUT_TransportEnergyCons!O$4:O$10000))*1000&lt;0,0,(SUMPRODUCT(("Var_Cap"=[1]OUT_TransportEnergyCons!$B$4:$B$10000)*1,ISNUMBER(SEARCH("T_B_u*ICE*nga*s4",[1]OUT_TransportEnergyCons!$A$4:$A$10000))*1,[1]OUT_TransportEnergyCons!O$4:O$10000))*1000)</f>
        <v>0</v>
      </c>
      <c r="S1977" s="3"/>
    </row>
    <row r="1978" spans="2:19" x14ac:dyDescent="0.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2.8535643346985955</v>
      </c>
      <c r="G1978" s="3">
        <f t="shared" ref="G1978" si="2159">SUM(G1979:G2001)</f>
        <v>2.9563398485935033</v>
      </c>
      <c r="H1978" s="3">
        <f t="shared" ref="H1978" si="2160">SUM(H1979:H2001)</f>
        <v>2.895415507394886</v>
      </c>
      <c r="I1978" s="3">
        <f t="shared" ref="I1978" si="2161">SUM(I1979:I2001)</f>
        <v>2.9276228813552945</v>
      </c>
      <c r="J1978" s="3">
        <f t="shared" ref="J1978" si="2162">SUM(J1979:J2001)</f>
        <v>2.9275009789937321</v>
      </c>
      <c r="K1978" s="3">
        <f t="shared" ref="K1978" si="2163">SUM(K1979:K2001)</f>
        <v>2.9325849890136904</v>
      </c>
      <c r="L1978" s="3">
        <f t="shared" ref="L1978:O1978" si="2164">SUM(L1979:L2001)</f>
        <v>2.9484082697976155</v>
      </c>
      <c r="M1978" s="3">
        <f t="shared" si="2164"/>
        <v>2.9916722796520077</v>
      </c>
      <c r="N1978" s="3">
        <f t="shared" si="2164"/>
        <v>3.0881810867145796</v>
      </c>
      <c r="O1978" s="3">
        <f t="shared" si="2164"/>
        <v>3.179676062473543</v>
      </c>
      <c r="P1978" s="3">
        <f>SUM(P1979:P2001)</f>
        <v>3.2677302292551822</v>
      </c>
      <c r="Q1978" s="3">
        <f>SUM(Q1979:Q2001)</f>
        <v>3.3523494872172583</v>
      </c>
      <c r="S1978" s="3"/>
    </row>
    <row r="1979" spans="2:19" x14ac:dyDescent="0.5">
      <c r="B1979" s="5" t="str">
        <f t="shared" ref="B1979:B2001" si="2165">B1978</f>
        <v>SPS1</v>
      </c>
      <c r="C1979" s="5" t="str">
        <f t="shared" ref="C1979:C2001" si="2166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(SUMPRODUCT(("Var_Cap"=[1]OUT_TransportEnergyCons!$B$4:$B$10000)*1,ISNUMBER(SEARCH("T_b_c*bev*ext",[1]OUT_TransportEnergyCons!$A$4:$A$10000))*1,[1]OUT_TransportEnergyCons!H$4:H$10000))*1000</f>
        <v>0</v>
      </c>
      <c r="K1979" s="1" cm="1">
        <f t="array" ref="K1979">(SUMPRODUCT(("Var_Cap"=[1]OUT_TransportEnergyCons!$B$4:$B$10000)*1,ISNUMBER(SEARCH("T_b_c*bev*ext",[1]OUT_TransportEnergyCons!$A$4:$A$10000))*1,[1]OUT_TransportEnergyCons!I$4:I$10000))*1000</f>
        <v>0</v>
      </c>
      <c r="L1979" s="1" cm="1">
        <f t="array" ref="L1979">(SUMPRODUCT(("Var_Cap"=[1]OUT_TransportEnergyCons!$B$4:$B$10000)*1,ISNUMBER(SEARCH("T_b_c*bev*ext",[1]OUT_TransportEnergyCons!$A$4:$A$10000))*1,[1]OUT_TransportEnergyCons!J$4:J$10000))*1000</f>
        <v>0</v>
      </c>
      <c r="M1979" s="1" cm="1">
        <f t="array" ref="M1979">(SUMPRODUCT(("Var_Cap"=[1]OUT_TransportEnergyCons!$B$4:$B$10000)*1,ISNUMBER(SEARCH("T_b_c*bev*ext",[1]OUT_TransportEnergyCons!$A$4:$A$10000))*1,[1]OUT_TransportEnergyCons!K$4:K$10000))*1000</f>
        <v>0</v>
      </c>
      <c r="N1979" s="1" cm="1">
        <f t="array" ref="N1979">(SUMPRODUCT(("Var_Cap"=[1]OUT_TransportEnergyCons!$B$4:$B$10000)*1,ISNUMBER(SEARCH("T_b_c*bev*ext",[1]OUT_TransportEnergyCons!$A$4:$A$10000))*1,[1]OUT_TransportEnergyCons!L$4:L$10000))*1000</f>
        <v>0</v>
      </c>
      <c r="O1979" s="1" cm="1">
        <f t="array" ref="O1979">(SUMPRODUCT(("Var_Cap"=[1]OUT_TransportEnergyCons!$B$4:$B$10000)*1,ISNUMBER(SEARCH("T_b_c*bev*ext",[1]OUT_TransportEnergyCons!$A$4:$A$10000))*1,[1]OUT_TransportEnergyCons!M$4:M$10000))*1000</f>
        <v>0</v>
      </c>
      <c r="P1979" s="1" cm="1">
        <f t="array" ref="P1979">(SUMPRODUCT(("Var_Cap"=[1]OUT_TransportEnergyCons!$B$4:$B$10000)*1,ISNUMBER(SEARCH("T_b_c*bev*ext",[1]OUT_TransportEnergyCons!$A$4:$A$10000))*1,[1]OUT_TransportEnergyCons!N$4:N$10000))*1000</f>
        <v>0</v>
      </c>
      <c r="Q1979" s="1" cm="1">
        <f t="array" ref="Q1979">(SUMPRODUCT(("Var_Cap"=[1]OUT_TransportEnergyCons!$B$4:$B$10000)*1,ISNUMBER(SEARCH("T_b_c*bev*ext",[1]OUT_TransportEnergyCons!$A$4:$A$10000))*1,[1]OUT_TransportEnergyCons!O$4:O$10000))*1000</f>
        <v>0</v>
      </c>
      <c r="S1979" s="3"/>
    </row>
    <row r="1980" spans="2:19" x14ac:dyDescent="0.5">
      <c r="B1980" s="5" t="str">
        <f t="shared" si="2165"/>
        <v>SPS1</v>
      </c>
      <c r="C1980" s="5" t="str">
        <f t="shared" si="2166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7.0223740374257097E-3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1.2743420290280413E-2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1.4002817480409371</v>
      </c>
      <c r="J1980" s="1" cm="1">
        <f t="array" ref="J1980">(SUMPRODUCT(("Var_Cap"=[1]OUT_TransportEnergyCons!$B$4:$B$10000)*1,ISNUMBER(SEARCH("T_b_c*bev*s1",[1]OUT_TransportEnergyCons!$A$4:$A$10000))*1,[1]OUT_TransportEnergyCons!H$4:H$10000))*1000</f>
        <v>1.3564203231730902</v>
      </c>
      <c r="K1980" s="1" cm="1">
        <f t="array" ref="K1980">(SUMPRODUCT(("Var_Cap"=[1]OUT_TransportEnergyCons!$B$4:$B$10000)*1,ISNUMBER(SEARCH("T_b_c*bev*s1",[1]OUT_TransportEnergyCons!$A$4:$A$10000))*1,[1]OUT_TransportEnergyCons!I$4:I$10000))*1000</f>
        <v>1.3449239272452811</v>
      </c>
      <c r="L1980" s="1" cm="1">
        <f t="array" ref="L1980">(SUMPRODUCT(("Var_Cap"=[1]OUT_TransportEnergyCons!$B$4:$B$10000)*1,ISNUMBER(SEARCH("T_b_c*bev*s1",[1]OUT_TransportEnergyCons!$A$4:$A$10000))*1,[1]OUT_TransportEnergyCons!J$4:J$10000))*1000</f>
        <v>1.3036648300232754</v>
      </c>
      <c r="M1980" s="1" cm="1">
        <f t="array" ref="M1980">(SUMPRODUCT(("Var_Cap"=[1]OUT_TransportEnergyCons!$B$4:$B$10000)*1,ISNUMBER(SEARCH("T_b_c*bev*s1",[1]OUT_TransportEnergyCons!$A$4:$A$10000))*1,[1]OUT_TransportEnergyCons!K$4:K$10000))*1000</f>
        <v>1.2480279831471961</v>
      </c>
      <c r="N1980" s="1" cm="1">
        <f t="array" ref="N1980">(SUMPRODUCT(("Var_Cap"=[1]OUT_TransportEnergyCons!$B$4:$B$10000)*1,ISNUMBER(SEARCH("T_b_c*bev*s1",[1]OUT_TransportEnergyCons!$A$4:$A$10000))*1,[1]OUT_TransportEnergyCons!L$4:L$10000))*1000</f>
        <v>1.2376904104554998</v>
      </c>
      <c r="O1980" s="1" cm="1">
        <f t="array" ref="O1980">(SUMPRODUCT(("Var_Cap"=[1]OUT_TransportEnergyCons!$B$4:$B$10000)*1,ISNUMBER(SEARCH("T_b_c*bev*s1",[1]OUT_TransportEnergyCons!$A$4:$A$10000))*1,[1]OUT_TransportEnergyCons!M$4:M$10000))*1000</f>
        <v>1.2144533649222691</v>
      </c>
      <c r="P1980" s="1" cm="1">
        <f t="array" ref="P1980">(SUMPRODUCT(("Var_Cap"=[1]OUT_TransportEnergyCons!$B$4:$B$10000)*1,ISNUMBER(SEARCH("T_b_c*bev*s1",[1]OUT_TransportEnergyCons!$A$4:$A$10000))*1,[1]OUT_TransportEnergyCons!N$4:N$10000))*1000</f>
        <v>1.2486166158002538</v>
      </c>
      <c r="Q1980" s="1" cm="1">
        <f t="array" ref="Q1980">(SUMPRODUCT(("Var_Cap"=[1]OUT_TransportEnergyCons!$B$4:$B$10000)*1,ISNUMBER(SEARCH("T_b_c*bev*s1",[1]OUT_TransportEnergyCons!$A$4:$A$10000))*1,[1]OUT_TransportEnergyCons!O$4:O$10000))*1000</f>
        <v>1.1818252459671337</v>
      </c>
      <c r="S1980" s="3"/>
    </row>
    <row r="1981" spans="2:19" x14ac:dyDescent="0.5">
      <c r="B1981" s="5" t="str">
        <f t="shared" si="2165"/>
        <v>SPS1</v>
      </c>
      <c r="C1981" s="5" t="str">
        <f t="shared" si="2166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5.55506238561739E-3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6.547204374546851E-3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1.0499496758358961E-2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0.60364425866591664</v>
      </c>
      <c r="J1981" s="1" cm="1">
        <f t="array" ref="J1981">(SUMPRODUCT(("Var_Cap"=[1]OUT_TransportEnergyCons!$B$4:$B$10000)*1,ISNUMBER(SEARCH("T_b_c*bev*s2",[1]OUT_TransportEnergyCons!$A$4:$A$10000))*1,[1]OUT_TransportEnergyCons!H$4:H$10000))*1000</f>
        <v>0.63925066953197185</v>
      </c>
      <c r="K1981" s="1" cm="1">
        <f t="array" ref="K1981">(SUMPRODUCT(("Var_Cap"=[1]OUT_TransportEnergyCons!$B$4:$B$10000)*1,ISNUMBER(SEARCH("T_b_c*bev*s2",[1]OUT_TransportEnergyCons!$A$4:$A$10000))*1,[1]OUT_TransportEnergyCons!I$4:I$10000))*1000</f>
        <v>0.64051191575254884</v>
      </c>
      <c r="L1981" s="1" cm="1">
        <f t="array" ref="L1981">(SUMPRODUCT(("Var_Cap"=[1]OUT_TransportEnergyCons!$B$4:$B$10000)*1,ISNUMBER(SEARCH("T_b_c*bev*s2",[1]OUT_TransportEnergyCons!$A$4:$A$10000))*1,[1]OUT_TransportEnergyCons!J$4:J$10000))*1000</f>
        <v>0.67187820326881109</v>
      </c>
      <c r="M1981" s="1" cm="1">
        <f t="array" ref="M1981">(SUMPRODUCT(("Var_Cap"=[1]OUT_TransportEnergyCons!$B$4:$B$10000)*1,ISNUMBER(SEARCH("T_b_c*bev*s2",[1]OUT_TransportEnergyCons!$A$4:$A$10000))*1,[1]OUT_TransportEnergyCons!K$4:K$10000))*1000</f>
        <v>0.71204229392913976</v>
      </c>
      <c r="N1981" s="1" cm="1">
        <f t="array" ref="N1981">(SUMPRODUCT(("Var_Cap"=[1]OUT_TransportEnergyCons!$B$4:$B$10000)*1,ISNUMBER(SEARCH("T_b_c*bev*s2",[1]OUT_TransportEnergyCons!$A$4:$A$10000))*1,[1]OUT_TransportEnergyCons!L$4:L$10000))*1000</f>
        <v>0.71479927764247664</v>
      </c>
      <c r="O1981" s="1" cm="1">
        <f t="array" ref="O1981">(SUMPRODUCT(("Var_Cap"=[1]OUT_TransportEnergyCons!$B$4:$B$10000)*1,ISNUMBER(SEARCH("T_b_c*bev*s2",[1]OUT_TransportEnergyCons!$A$4:$A$10000))*1,[1]OUT_TransportEnergyCons!M$4:M$10000))*1000</f>
        <v>0.7126175611419755</v>
      </c>
      <c r="P1981" s="1" cm="1">
        <f t="array" ref="P1981">(SUMPRODUCT(("Var_Cap"=[1]OUT_TransportEnergyCons!$B$4:$B$10000)*1,ISNUMBER(SEARCH("T_b_c*bev*s2",[1]OUT_TransportEnergyCons!$A$4:$A$10000))*1,[1]OUT_TransportEnergyCons!N$4:N$10000))*1000</f>
        <v>0.6475193699816002</v>
      </c>
      <c r="Q1981" s="1" cm="1">
        <f t="array" ref="Q1981">(SUMPRODUCT(("Var_Cap"=[1]OUT_TransportEnergyCons!$B$4:$B$10000)*1,ISNUMBER(SEARCH("T_b_c*bev*s2",[1]OUT_TransportEnergyCons!$A$4:$A$10000))*1,[1]OUT_TransportEnergyCons!O$4:O$10000))*1000</f>
        <v>0.63939682081269522</v>
      </c>
      <c r="S1981" s="3"/>
    </row>
    <row r="1982" spans="2:19" x14ac:dyDescent="0.5">
      <c r="B1982" s="5" t="str">
        <f t="shared" si="2165"/>
        <v>SPS1</v>
      </c>
      <c r="C1982" s="5" t="str">
        <f t="shared" si="2166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1.7938299539537331E-3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3.1925354523313562E-3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4.4303225551641798E-3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6.92798433781938E-3</v>
      </c>
      <c r="J1982" s="1" cm="1">
        <f t="array" ref="J1982">(SUMPRODUCT(("Var_Cap"=[1]OUT_TransportEnergyCons!$B$4:$B$10000)*1,ISNUMBER(SEARCH("T_b_c*bev*s3",[1]OUT_TransportEnergyCons!$A$4:$A$10000))*1,[1]OUT_TransportEnergyCons!H$4:H$10000))*1000</f>
        <v>1.5267109092654755E-2</v>
      </c>
      <c r="K1982" s="1" cm="1">
        <f t="array" ref="K1982">(SUMPRODUCT(("Var_Cap"=[1]OUT_TransportEnergyCons!$B$4:$B$10000)*1,ISNUMBER(SEARCH("T_b_c*bev*s3",[1]OUT_TransportEnergyCons!$A$4:$A$10000))*1,[1]OUT_TransportEnergyCons!I$4:I$10000))*1000</f>
        <v>2.5017360853920898E-2</v>
      </c>
      <c r="L1982" s="1" cm="1">
        <f t="array" ref="L1982">(SUMPRODUCT(("Var_Cap"=[1]OUT_TransportEnergyCons!$B$4:$B$10000)*1,ISNUMBER(SEARCH("T_b_c*bev*s3",[1]OUT_TransportEnergyCons!$A$4:$A$10000))*1,[1]OUT_TransportEnergyCons!J$4:J$10000))*1000</f>
        <v>3.5081442811031573E-2</v>
      </c>
      <c r="M1982" s="1" cm="1">
        <f t="array" ref="M1982">(SUMPRODUCT(("Var_Cap"=[1]OUT_TransportEnergyCons!$B$4:$B$10000)*1,ISNUMBER(SEARCH("T_b_c*bev*s3",[1]OUT_TransportEnergyCons!$A$4:$A$10000))*1,[1]OUT_TransportEnergyCons!K$4:K$10000))*1000</f>
        <v>5.0096697403553665E-2</v>
      </c>
      <c r="N1982" s="1" cm="1">
        <f t="array" ref="N1982">(SUMPRODUCT(("Var_Cap"=[1]OUT_TransportEnergyCons!$B$4:$B$10000)*1,ISNUMBER(SEARCH("T_b_c*bev*s3",[1]OUT_TransportEnergyCons!$A$4:$A$10000))*1,[1]OUT_TransportEnergyCons!L$4:L$10000))*1000</f>
        <v>5.7769190969700596E-2</v>
      </c>
      <c r="O1982" s="1" cm="1">
        <f t="array" ref="O1982">(SUMPRODUCT(("Var_Cap"=[1]OUT_TransportEnergyCons!$B$4:$B$10000)*1,ISNUMBER(SEARCH("T_b_c*bev*s3",[1]OUT_TransportEnergyCons!$A$4:$A$10000))*1,[1]OUT_TransportEnergyCons!M$4:M$10000))*1000</f>
        <v>8.3308575705192373E-2</v>
      </c>
      <c r="P1982" s="1" cm="1">
        <f t="array" ref="P1982">(SUMPRODUCT(("Var_Cap"=[1]OUT_TransportEnergyCons!$B$4:$B$10000)*1,ISNUMBER(SEARCH("T_b_c*bev*s3",[1]OUT_TransportEnergyCons!$A$4:$A$10000))*1,[1]OUT_TransportEnergyCons!N$4:N$10000))*1000</f>
        <v>0.11342460876047922</v>
      </c>
      <c r="Q1982" s="1" cm="1">
        <f t="array" ref="Q1982">(SUMPRODUCT(("Var_Cap"=[1]OUT_TransportEnergyCons!$B$4:$B$10000)*1,ISNUMBER(SEARCH("T_b_c*bev*s3",[1]OUT_TransportEnergyCons!$A$4:$A$10000))*1,[1]OUT_TransportEnergyCons!O$4:O$10000))*1000</f>
        <v>0.18744173127547983</v>
      </c>
      <c r="S1982" s="3"/>
    </row>
    <row r="1983" spans="2:19" x14ac:dyDescent="0.5">
      <c r="B1983" s="5" t="str">
        <f t="shared" si="2165"/>
        <v>SPS1</v>
      </c>
      <c r="C1983" s="5" t="str">
        <f t="shared" si="2166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4.8655077067507197E-4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9.5611069799435592E-4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1.0110486599384997E-3</v>
      </c>
      <c r="J1983" s="1" cm="1">
        <f t="array" ref="J1983">(SUMPRODUCT(("Var_Cap"=[1]OUT_TransportEnergyCons!$B$4:$B$10000)*1,ISNUMBER(SEARCH("T_b_c*bev*s4",[1]OUT_TransportEnergyCons!$A$4:$A$10000))*1,[1]OUT_TransportEnergyCons!H$4:H$10000))*1000</f>
        <v>1.0744399433030201E-3</v>
      </c>
      <c r="K1983" s="1" cm="1">
        <f t="array" ref="K1983">(SUMPRODUCT(("Var_Cap"=[1]OUT_TransportEnergyCons!$B$4:$B$10000)*1,ISNUMBER(SEARCH("T_b_c*bev*s4",[1]OUT_TransportEnergyCons!$A$4:$A$10000))*1,[1]OUT_TransportEnergyCons!I$4:I$10000))*1000</f>
        <v>1.7018355500255265E-3</v>
      </c>
      <c r="L1983" s="1" cm="1">
        <f t="array" ref="L1983">(SUMPRODUCT(("Var_Cap"=[1]OUT_TransportEnergyCons!$B$4:$B$10000)*1,ISNUMBER(SEARCH("T_b_c*bev*s4",[1]OUT_TransportEnergyCons!$A$4:$A$10000))*1,[1]OUT_TransportEnergyCons!J$4:J$10000))*1000</f>
        <v>1.6875845717998922E-3</v>
      </c>
      <c r="M1983" s="1" cm="1">
        <f t="array" ref="M1983">(SUMPRODUCT(("Var_Cap"=[1]OUT_TransportEnergyCons!$B$4:$B$10000)*1,ISNUMBER(SEARCH("T_b_c*bev*s4",[1]OUT_TransportEnergyCons!$A$4:$A$10000))*1,[1]OUT_TransportEnergyCons!K$4:K$10000))*1000</f>
        <v>2.2941993411911858E-3</v>
      </c>
      <c r="N1983" s="1" cm="1">
        <f t="array" ref="N1983">(SUMPRODUCT(("Var_Cap"=[1]OUT_TransportEnergyCons!$B$4:$B$10000)*1,ISNUMBER(SEARCH("T_b_c*bev*s4",[1]OUT_TransportEnergyCons!$A$4:$A$10000))*1,[1]OUT_TransportEnergyCons!L$4:L$10000))*1000</f>
        <v>2.2850159079861828E-3</v>
      </c>
      <c r="O1983" s="1" cm="1">
        <f t="array" ref="O1983">(SUMPRODUCT(("Var_Cap"=[1]OUT_TransportEnergyCons!$B$4:$B$10000)*1,ISNUMBER(SEARCH("T_b_c*bev*s4",[1]OUT_TransportEnergyCons!$A$4:$A$10000))*1,[1]OUT_TransportEnergyCons!M$4:M$10000))*1000</f>
        <v>2.2392751376803101E-3</v>
      </c>
      <c r="P1983" s="1" cm="1">
        <f t="array" ref="P1983">(SUMPRODUCT(("Var_Cap"=[1]OUT_TransportEnergyCons!$B$4:$B$10000)*1,ISNUMBER(SEARCH("T_b_c*bev*s4",[1]OUT_TransportEnergyCons!$A$4:$A$10000))*1,[1]OUT_TransportEnergyCons!N$4:N$10000))*1000</f>
        <v>3.125831408670341E-3</v>
      </c>
      <c r="Q1983" s="1" cm="1">
        <f t="array" ref="Q1983">(SUMPRODUCT(("Var_Cap"=[1]OUT_TransportEnergyCons!$B$4:$B$10000)*1,ISNUMBER(SEARCH("T_b_c*bev*s4",[1]OUT_TransportEnergyCons!$A$4:$A$10000))*1,[1]OUT_TransportEnergyCons!O$4:O$10000))*1000</f>
        <v>4.0198841822252996E-3</v>
      </c>
      <c r="S1983" s="3"/>
    </row>
    <row r="1984" spans="2:19" x14ac:dyDescent="0.5">
      <c r="B1984" s="5" t="str">
        <f t="shared" si="2165"/>
        <v>SPS1</v>
      </c>
      <c r="C1984" s="5" t="str">
        <f t="shared" si="2166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1.1012915087666501E-5</v>
      </c>
      <c r="J1984" s="1" cm="1">
        <f t="array" ref="J1984">IF((SUMPRODUCT(("Var_Cap"=[1]OUT_TransportEnergyCons!$B$4:$B$10000)*1,ISNUMBER(SEARCH("T_b_c*h2o*s1",[1]OUT_TransportEnergyCons!$A$4:$A$10000))*1,[1]OUT_TransportEnergyCons!H$4:H$10000))*1000&lt;0,0,(SUMPRODUCT(("Var_Cap"=[1]OUT_TransportEnergyCons!$B$4:$B$10000)*1,ISNUMBER(SEARCH("T_b_c*h2o*s1",[1]OUT_TransportEnergyCons!$A$4:$A$10000))*1,[1]OUT_TransportEnergyCons!H$4:H$10000))*1000)</f>
        <v>1.1012915087666501E-5</v>
      </c>
      <c r="K1984" s="1" cm="1">
        <f t="array" ref="K1984">IF((SUMPRODUCT(("Var_Cap"=[1]OUT_TransportEnergyCons!$B$4:$B$10000)*1,ISNUMBER(SEARCH("T_b_c*h2o*s1",[1]OUT_TransportEnergyCons!$A$4:$A$10000))*1,[1]OUT_TransportEnergyCons!I$4:I$10000))*1000&lt;0,0,(SUMPRODUCT(("Var_Cap"=[1]OUT_TransportEnergyCons!$B$4:$B$10000)*1,ISNUMBER(SEARCH("T_b_c*h2o*s1",[1]OUT_TransportEnergyCons!$A$4:$A$10000))*1,[1]OUT_TransportEnergyCons!I$4:I$10000))*1000)</f>
        <v>2.3126784453885801E-6</v>
      </c>
      <c r="L1984" s="1" cm="1">
        <f t="array" ref="L1984">IF((SUMPRODUCT(("Var_Cap"=[1]OUT_TransportEnergyCons!$B$4:$B$10000)*1,ISNUMBER(SEARCH("T_b_c*h2o*s1",[1]OUT_TransportEnergyCons!$A$4:$A$10000))*1,[1]OUT_TransportEnergyCons!J$4:J$10000))*1000&lt;0,0,(SUMPRODUCT(("Var_Cap"=[1]OUT_TransportEnergyCons!$B$4:$B$10000)*1,ISNUMBER(SEARCH("T_b_c*h2o*s1",[1]OUT_TransportEnergyCons!$A$4:$A$10000))*1,[1]OUT_TransportEnergyCons!J$4:J$10000))*1000)</f>
        <v>0</v>
      </c>
      <c r="M1984" s="1" cm="1">
        <f t="array" ref="M1984">IF((SUMPRODUCT(("Var_Cap"=[1]OUT_TransportEnergyCons!$B$4:$B$10000)*1,ISNUMBER(SEARCH("T_b_c*h2o*s1",[1]OUT_TransportEnergyCons!$A$4:$A$10000))*1,[1]OUT_TransportEnergyCons!K$4:K$10000))*1000&lt;0,0,(SUMPRODUCT(("Var_Cap"=[1]OUT_TransportEnergyCons!$B$4:$B$10000)*1,ISNUMBER(SEARCH("T_b_c*h2o*s1",[1]OUT_TransportEnergyCons!$A$4:$A$10000))*1,[1]OUT_TransportEnergyCons!K$4:K$10000))*1000)</f>
        <v>0</v>
      </c>
      <c r="N1984" s="1" cm="1">
        <f t="array" ref="N1984">IF((SUMPRODUCT(("Var_Cap"=[1]OUT_TransportEnergyCons!$B$4:$B$10000)*1,ISNUMBER(SEARCH("T_b_c*h2o*s1",[1]OUT_TransportEnergyCons!$A$4:$A$10000))*1,[1]OUT_TransportEnergyCons!L$4:L$10000))*1000&lt;0,0,(SUMPRODUCT(("Var_Cap"=[1]OUT_TransportEnergyCons!$B$4:$B$10000)*1,ISNUMBER(SEARCH("T_b_c*h2o*s1",[1]OUT_TransportEnergyCons!$A$4:$A$10000))*1,[1]OUT_TransportEnergyCons!L$4:L$10000))*1000)</f>
        <v>0</v>
      </c>
      <c r="O1984" s="1" cm="1">
        <f t="array" ref="O1984">IF((SUMPRODUCT(("Var_Cap"=[1]OUT_TransportEnergyCons!$B$4:$B$10000)*1,ISNUMBER(SEARCH("T_b_c*h2o*s1",[1]OUT_TransportEnergyCons!$A$4:$A$10000))*1,[1]OUT_TransportEnergyCons!M$4:M$10000))*1000&lt;0,0,(SUMPRODUCT(("Var_Cap"=[1]OUT_TransportEnergyCons!$B$4:$B$10000)*1,ISNUMBER(SEARCH("T_b_c*h2o*s1",[1]OUT_TransportEnergyCons!$A$4:$A$10000))*1,[1]OUT_TransportEnergyCons!M$4:M$10000))*1000)</f>
        <v>0</v>
      </c>
      <c r="P1984" s="1" cm="1">
        <f t="array" ref="P1984">IF((SUMPRODUCT(("Var_Cap"=[1]OUT_TransportEnergyCons!$B$4:$B$10000)*1,ISNUMBER(SEARCH("T_b_c*h2o*s1",[1]OUT_TransportEnergyCons!$A$4:$A$10000))*1,[1]OUT_TransportEnergyCons!N$4:N$10000))*1000&lt;0,0,(SUMPRODUCT(("Var_Cap"=[1]OUT_TransportEnergyCons!$B$4:$B$10000)*1,ISNUMBER(SEARCH("T_b_c*h2o*s1",[1]OUT_TransportEnergyCons!$A$4:$A$10000))*1,[1]OUT_TransportEnergyCons!N$4:N$10000))*1000)</f>
        <v>0</v>
      </c>
      <c r="Q1984" s="1" cm="1">
        <f t="array" ref="Q1984">IF((SUMPRODUCT(("Var_Cap"=[1]OUT_TransportEnergyCons!$B$4:$B$10000)*1,ISNUMBER(SEARCH("T_b_c*h2o*s1",[1]OUT_TransportEnergyCons!$A$4:$A$10000))*1,[1]OUT_TransportEnergyCons!O$4:O$10000))*1000&lt;0,0,(SUMPRODUCT(("Var_Cap"=[1]OUT_TransportEnergyCons!$B$4:$B$10000)*1,ISNUMBER(SEARCH("T_b_c*h2o*s1",[1]OUT_TransportEnergyCons!$A$4:$A$10000))*1,[1]OUT_TransportEnergyCons!O$4:O$10000))*1000)</f>
        <v>0</v>
      </c>
      <c r="S1984" s="3"/>
    </row>
    <row r="1985" spans="2:19" x14ac:dyDescent="0.5">
      <c r="B1985" s="5" t="str">
        <f t="shared" si="2165"/>
        <v>SPS1</v>
      </c>
      <c r="C1985" s="5" t="str">
        <f t="shared" si="2166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1.0924821832379201E-5</v>
      </c>
      <c r="J1985" s="1" cm="1">
        <f t="array" ref="J1985">IF((SUMPRODUCT(("Var_Cap"=[1]OUT_TransportEnergyCons!$B$4:$B$10000)*1,ISNUMBER(SEARCH("T_b_c*h2o*s2",[1]OUT_TransportEnergyCons!$A$4:$A$10000))*1,[1]OUT_TransportEnergyCons!H$4:H$10000))*1000&lt;0,0,(SUMPRODUCT(("Var_Cap"=[1]OUT_TransportEnergyCons!$B$4:$B$10000)*1,ISNUMBER(SEARCH("T_b_c*h2o*s2",[1]OUT_TransportEnergyCons!$A$4:$A$10000))*1,[1]OUT_TransportEnergyCons!H$4:H$10000))*1000)</f>
        <v>1.0924821832379201E-5</v>
      </c>
      <c r="K1985" s="1" cm="1">
        <f t="array" ref="K1985">IF((SUMPRODUCT(("Var_Cap"=[1]OUT_TransportEnergyCons!$B$4:$B$10000)*1,ISNUMBER(SEARCH("T_b_c*h2o*s2",[1]OUT_TransportEnergyCons!$A$4:$A$10000))*1,[1]OUT_TransportEnergyCons!I$4:I$10000))*1000&lt;0,0,(SUMPRODUCT(("Var_Cap"=[1]OUT_TransportEnergyCons!$B$4:$B$10000)*1,ISNUMBER(SEARCH("T_b_c*h2o*s2",[1]OUT_TransportEnergyCons!$A$4:$A$10000))*1,[1]OUT_TransportEnergyCons!I$4:I$10000))*1000)</f>
        <v>2.2941791315315998E-6</v>
      </c>
      <c r="L1985" s="1" cm="1">
        <f t="array" ref="L1985">IF((SUMPRODUCT(("Var_Cap"=[1]OUT_TransportEnergyCons!$B$4:$B$10000)*1,ISNUMBER(SEARCH("T_b_c*h2o*s2",[1]OUT_TransportEnergyCons!$A$4:$A$10000))*1,[1]OUT_TransportEnergyCons!J$4:J$10000))*1000&lt;0,0,(SUMPRODUCT(("Var_Cap"=[1]OUT_TransportEnergyCons!$B$4:$B$10000)*1,ISNUMBER(SEARCH("T_b_c*h2o*s2",[1]OUT_TransportEnergyCons!$A$4:$A$10000))*1,[1]OUT_TransportEnergyCons!J$4:J$10000))*1000)</f>
        <v>0</v>
      </c>
      <c r="M1985" s="1" cm="1">
        <f t="array" ref="M1985">IF((SUMPRODUCT(("Var_Cap"=[1]OUT_TransportEnergyCons!$B$4:$B$10000)*1,ISNUMBER(SEARCH("T_b_c*h2o*s2",[1]OUT_TransportEnergyCons!$A$4:$A$10000))*1,[1]OUT_TransportEnergyCons!K$4:K$10000))*1000&lt;0,0,(SUMPRODUCT(("Var_Cap"=[1]OUT_TransportEnergyCons!$B$4:$B$10000)*1,ISNUMBER(SEARCH("T_b_c*h2o*s2",[1]OUT_TransportEnergyCons!$A$4:$A$10000))*1,[1]OUT_TransportEnergyCons!K$4:K$10000))*1000)</f>
        <v>0</v>
      </c>
      <c r="N1985" s="1" cm="1">
        <f t="array" ref="N1985">IF((SUMPRODUCT(("Var_Cap"=[1]OUT_TransportEnergyCons!$B$4:$B$10000)*1,ISNUMBER(SEARCH("T_b_c*h2o*s2",[1]OUT_TransportEnergyCons!$A$4:$A$10000))*1,[1]OUT_TransportEnergyCons!L$4:L$10000))*1000&lt;0,0,(SUMPRODUCT(("Var_Cap"=[1]OUT_TransportEnergyCons!$B$4:$B$10000)*1,ISNUMBER(SEARCH("T_b_c*h2o*s2",[1]OUT_TransportEnergyCons!$A$4:$A$10000))*1,[1]OUT_TransportEnergyCons!L$4:L$10000))*1000)</f>
        <v>0</v>
      </c>
      <c r="O1985" s="1" cm="1">
        <f t="array" ref="O1985">IF((SUMPRODUCT(("Var_Cap"=[1]OUT_TransportEnergyCons!$B$4:$B$10000)*1,ISNUMBER(SEARCH("T_b_c*h2o*s2",[1]OUT_TransportEnergyCons!$A$4:$A$10000))*1,[1]OUT_TransportEnergyCons!M$4:M$10000))*1000&lt;0,0,(SUMPRODUCT(("Var_Cap"=[1]OUT_TransportEnergyCons!$B$4:$B$10000)*1,ISNUMBER(SEARCH("T_b_c*h2o*s2",[1]OUT_TransportEnergyCons!$A$4:$A$10000))*1,[1]OUT_TransportEnergyCons!M$4:M$10000))*1000)</f>
        <v>0</v>
      </c>
      <c r="P1985" s="1" cm="1">
        <f t="array" ref="P1985">IF((SUMPRODUCT(("Var_Cap"=[1]OUT_TransportEnergyCons!$B$4:$B$10000)*1,ISNUMBER(SEARCH("T_b_c*h2o*s2",[1]OUT_TransportEnergyCons!$A$4:$A$10000))*1,[1]OUT_TransportEnergyCons!N$4:N$10000))*1000&lt;0,0,(SUMPRODUCT(("Var_Cap"=[1]OUT_TransportEnergyCons!$B$4:$B$10000)*1,ISNUMBER(SEARCH("T_b_c*h2o*s2",[1]OUT_TransportEnergyCons!$A$4:$A$10000))*1,[1]OUT_TransportEnergyCons!N$4:N$10000))*1000)</f>
        <v>0</v>
      </c>
      <c r="Q1985" s="1" cm="1">
        <f t="array" ref="Q1985">IF((SUMPRODUCT(("Var_Cap"=[1]OUT_TransportEnergyCons!$B$4:$B$10000)*1,ISNUMBER(SEARCH("T_b_c*h2o*s2",[1]OUT_TransportEnergyCons!$A$4:$A$10000))*1,[1]OUT_TransportEnergyCons!O$4:O$10000))*1000&lt;0,0,(SUMPRODUCT(("Var_Cap"=[1]OUT_TransportEnergyCons!$B$4:$B$10000)*1,ISNUMBER(SEARCH("T_b_c*h2o*s2",[1]OUT_TransportEnergyCons!$A$4:$A$10000))*1,[1]OUT_TransportEnergyCons!O$4:O$10000))*1000)</f>
        <v>0</v>
      </c>
      <c r="S1985" s="3"/>
    </row>
    <row r="1986" spans="2:19" x14ac:dyDescent="0.5">
      <c r="B1986" s="5" t="str">
        <f t="shared" si="2165"/>
        <v>SPS1</v>
      </c>
      <c r="C1986" s="5" t="str">
        <f t="shared" si="2166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1.3324890839318001E-5</v>
      </c>
      <c r="J1986" s="1" cm="1">
        <f t="array" ref="J1986">IF((SUMPRODUCT(("Var_Cap"=[1]OUT_TransportEnergyCons!$B$4:$B$10000)*1,ISNUMBER(SEARCH("T_b_c*h2o*s3",[1]OUT_TransportEnergyCons!$A$4:$A$10000))*1,[1]OUT_TransportEnergyCons!H$4:H$10000))*1000&lt;0,0,(SUMPRODUCT(("Var_Cap"=[1]OUT_TransportEnergyCons!$B$4:$B$10000)*1,ISNUMBER(SEARCH("T_b_c*h2o*s3",[1]OUT_TransportEnergyCons!$A$4:$A$10000))*1,[1]OUT_TransportEnergyCons!H$4:H$10000))*1000)</f>
        <v>1.01160189306417E-5</v>
      </c>
      <c r="K1986" s="1" cm="1">
        <f t="array" ref="K1986">IF((SUMPRODUCT(("Var_Cap"=[1]OUT_TransportEnergyCons!$B$4:$B$10000)*1,ISNUMBER(SEARCH("T_b_c*h2o*s3",[1]OUT_TransportEnergyCons!$A$4:$A$10000))*1,[1]OUT_TransportEnergyCons!I$4:I$10000))*1000&lt;0,0,(SUMPRODUCT(("Var_Cap"=[1]OUT_TransportEnergyCons!$B$4:$B$10000)*1,ISNUMBER(SEARCH("T_b_c*h2o*s3",[1]OUT_TransportEnergyCons!$A$4:$A$10000))*1,[1]OUT_TransportEnergyCons!I$4:I$10000))*1000)</f>
        <v>0</v>
      </c>
      <c r="L1986" s="1" cm="1">
        <f t="array" ref="L1986">IF((SUMPRODUCT(("Var_Cap"=[1]OUT_TransportEnergyCons!$B$4:$B$10000)*1,ISNUMBER(SEARCH("T_b_c*h2o*s3",[1]OUT_TransportEnergyCons!$A$4:$A$10000))*1,[1]OUT_TransportEnergyCons!J$4:J$10000))*1000&lt;0,0,(SUMPRODUCT(("Var_Cap"=[1]OUT_TransportEnergyCons!$B$4:$B$10000)*1,ISNUMBER(SEARCH("T_b_c*h2o*s3",[1]OUT_TransportEnergyCons!$A$4:$A$10000))*1,[1]OUT_TransportEnergyCons!J$4:J$10000))*1000)</f>
        <v>0</v>
      </c>
      <c r="M1986" s="1" cm="1">
        <f t="array" ref="M1986">IF((SUMPRODUCT(("Var_Cap"=[1]OUT_TransportEnergyCons!$B$4:$B$10000)*1,ISNUMBER(SEARCH("T_b_c*h2o*s3",[1]OUT_TransportEnergyCons!$A$4:$A$10000))*1,[1]OUT_TransportEnergyCons!K$4:K$10000))*1000&lt;0,0,(SUMPRODUCT(("Var_Cap"=[1]OUT_TransportEnergyCons!$B$4:$B$10000)*1,ISNUMBER(SEARCH("T_b_c*h2o*s3",[1]OUT_TransportEnergyCons!$A$4:$A$10000))*1,[1]OUT_TransportEnergyCons!K$4:K$10000))*1000)</f>
        <v>0</v>
      </c>
      <c r="N1986" s="1" cm="1">
        <f t="array" ref="N1986">IF((SUMPRODUCT(("Var_Cap"=[1]OUT_TransportEnergyCons!$B$4:$B$10000)*1,ISNUMBER(SEARCH("T_b_c*h2o*s3",[1]OUT_TransportEnergyCons!$A$4:$A$10000))*1,[1]OUT_TransportEnergyCons!L$4:L$10000))*1000&lt;0,0,(SUMPRODUCT(("Var_Cap"=[1]OUT_TransportEnergyCons!$B$4:$B$10000)*1,ISNUMBER(SEARCH("T_b_c*h2o*s3",[1]OUT_TransportEnergyCons!$A$4:$A$10000))*1,[1]OUT_TransportEnergyCons!L$4:L$10000))*1000)</f>
        <v>0</v>
      </c>
      <c r="O1986" s="1" cm="1">
        <f t="array" ref="O1986">IF((SUMPRODUCT(("Var_Cap"=[1]OUT_TransportEnergyCons!$B$4:$B$10000)*1,ISNUMBER(SEARCH("T_b_c*h2o*s3",[1]OUT_TransportEnergyCons!$A$4:$A$10000))*1,[1]OUT_TransportEnergyCons!M$4:M$10000))*1000&lt;0,0,(SUMPRODUCT(("Var_Cap"=[1]OUT_TransportEnergyCons!$B$4:$B$10000)*1,ISNUMBER(SEARCH("T_b_c*h2o*s3",[1]OUT_TransportEnergyCons!$A$4:$A$10000))*1,[1]OUT_TransportEnergyCons!M$4:M$10000))*1000)</f>
        <v>0</v>
      </c>
      <c r="P1986" s="1" cm="1">
        <f t="array" ref="P1986">IF((SUMPRODUCT(("Var_Cap"=[1]OUT_TransportEnergyCons!$B$4:$B$10000)*1,ISNUMBER(SEARCH("T_b_c*h2o*s3",[1]OUT_TransportEnergyCons!$A$4:$A$10000))*1,[1]OUT_TransportEnergyCons!N$4:N$10000))*1000&lt;0,0,(SUMPRODUCT(("Var_Cap"=[1]OUT_TransportEnergyCons!$B$4:$B$10000)*1,ISNUMBER(SEARCH("T_b_c*h2o*s3",[1]OUT_TransportEnergyCons!$A$4:$A$10000))*1,[1]OUT_TransportEnergyCons!N$4:N$10000))*1000)</f>
        <v>0</v>
      </c>
      <c r="Q1986" s="1" cm="1">
        <f t="array" ref="Q1986">IF((SUMPRODUCT(("Var_Cap"=[1]OUT_TransportEnergyCons!$B$4:$B$10000)*1,ISNUMBER(SEARCH("T_b_c*h2o*s3",[1]OUT_TransportEnergyCons!$A$4:$A$10000))*1,[1]OUT_TransportEnergyCons!O$4:O$10000))*1000&lt;0,0,(SUMPRODUCT(("Var_Cap"=[1]OUT_TransportEnergyCons!$B$4:$B$10000)*1,ISNUMBER(SEARCH("T_b_c*h2o*s3",[1]OUT_TransportEnergyCons!$A$4:$A$10000))*1,[1]OUT_TransportEnergyCons!O$4:O$10000))*1000)</f>
        <v>0</v>
      </c>
      <c r="S1986" s="3"/>
    </row>
    <row r="1987" spans="2:19" x14ac:dyDescent="0.5">
      <c r="B1987" s="5" t="str">
        <f t="shared" si="2165"/>
        <v>SPS1</v>
      </c>
      <c r="C1987" s="5" t="str">
        <f t="shared" si="2166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1.01063185927492E-5</v>
      </c>
      <c r="J1987" s="1" cm="1">
        <f t="array" ref="J1987">IF((SUMPRODUCT(("Var_Cap"=[1]OUT_TransportEnergyCons!$B$4:$B$10000)*1,ISNUMBER(SEARCH("T_b_c*h2o*s4",[1]OUT_TransportEnergyCons!$A$4:$A$10000))*1,[1]OUT_TransportEnergyCons!H$4:H$10000))*1000&lt;0,0,(SUMPRODUCT(("Var_Cap"=[1]OUT_TransportEnergyCons!$B$4:$B$10000)*1,ISNUMBER(SEARCH("T_b_c*h2o*s4",[1]OUT_TransportEnergyCons!$A$4:$A$10000))*1,[1]OUT_TransportEnergyCons!H$4:H$10000))*1000)</f>
        <v>2.6209172353642099E-6</v>
      </c>
      <c r="K1987" s="1" cm="1">
        <f t="array" ref="K1987">IF((SUMPRODUCT(("Var_Cap"=[1]OUT_TransportEnergyCons!$B$4:$B$10000)*1,ISNUMBER(SEARCH("T_b_c*h2o*s4",[1]OUT_TransportEnergyCons!$A$4:$A$10000))*1,[1]OUT_TransportEnergyCons!I$4:I$10000))*1000&lt;0,0,(SUMPRODUCT(("Var_Cap"=[1]OUT_TransportEnergyCons!$B$4:$B$10000)*1,ISNUMBER(SEARCH("T_b_c*h2o*s4",[1]OUT_TransportEnergyCons!$A$4:$A$10000))*1,[1]OUT_TransportEnergyCons!I$4:I$10000))*1000)</f>
        <v>0</v>
      </c>
      <c r="L1987" s="1" cm="1">
        <f t="array" ref="L1987">IF((SUMPRODUCT(("Var_Cap"=[1]OUT_TransportEnergyCons!$B$4:$B$10000)*1,ISNUMBER(SEARCH("T_b_c*h2o*s4",[1]OUT_TransportEnergyCons!$A$4:$A$10000))*1,[1]OUT_TransportEnergyCons!J$4:J$10000))*1000&lt;0,0,(SUMPRODUCT(("Var_Cap"=[1]OUT_TransportEnergyCons!$B$4:$B$10000)*1,ISNUMBER(SEARCH("T_b_c*h2o*s4",[1]OUT_TransportEnergyCons!$A$4:$A$10000))*1,[1]OUT_TransportEnergyCons!J$4:J$10000))*1000)</f>
        <v>0</v>
      </c>
      <c r="M1987" s="1" cm="1">
        <f t="array" ref="M1987">IF((SUMPRODUCT(("Var_Cap"=[1]OUT_TransportEnergyCons!$B$4:$B$10000)*1,ISNUMBER(SEARCH("T_b_c*h2o*s4",[1]OUT_TransportEnergyCons!$A$4:$A$10000))*1,[1]OUT_TransportEnergyCons!K$4:K$10000))*1000&lt;0,0,(SUMPRODUCT(("Var_Cap"=[1]OUT_TransportEnergyCons!$B$4:$B$10000)*1,ISNUMBER(SEARCH("T_b_c*h2o*s4",[1]OUT_TransportEnergyCons!$A$4:$A$10000))*1,[1]OUT_TransportEnergyCons!K$4:K$10000))*1000)</f>
        <v>0</v>
      </c>
      <c r="N1987" s="1" cm="1">
        <f t="array" ref="N1987">IF((SUMPRODUCT(("Var_Cap"=[1]OUT_TransportEnergyCons!$B$4:$B$10000)*1,ISNUMBER(SEARCH("T_b_c*h2o*s4",[1]OUT_TransportEnergyCons!$A$4:$A$10000))*1,[1]OUT_TransportEnergyCons!L$4:L$10000))*1000&lt;0,0,(SUMPRODUCT(("Var_Cap"=[1]OUT_TransportEnergyCons!$B$4:$B$10000)*1,ISNUMBER(SEARCH("T_b_c*h2o*s4",[1]OUT_TransportEnergyCons!$A$4:$A$10000))*1,[1]OUT_TransportEnergyCons!L$4:L$10000))*1000)</f>
        <v>0</v>
      </c>
      <c r="O1987" s="1" cm="1">
        <f t="array" ref="O1987">IF((SUMPRODUCT(("Var_Cap"=[1]OUT_TransportEnergyCons!$B$4:$B$10000)*1,ISNUMBER(SEARCH("T_b_c*h2o*s4",[1]OUT_TransportEnergyCons!$A$4:$A$10000))*1,[1]OUT_TransportEnergyCons!M$4:M$10000))*1000&lt;0,0,(SUMPRODUCT(("Var_Cap"=[1]OUT_TransportEnergyCons!$B$4:$B$10000)*1,ISNUMBER(SEARCH("T_b_c*h2o*s4",[1]OUT_TransportEnergyCons!$A$4:$A$10000))*1,[1]OUT_TransportEnergyCons!M$4:M$10000))*1000)</f>
        <v>0</v>
      </c>
      <c r="P1987" s="1" cm="1">
        <f t="array" ref="P1987">IF((SUMPRODUCT(("Var_Cap"=[1]OUT_TransportEnergyCons!$B$4:$B$10000)*1,ISNUMBER(SEARCH("T_b_c*h2o*s4",[1]OUT_TransportEnergyCons!$A$4:$A$10000))*1,[1]OUT_TransportEnergyCons!N$4:N$10000))*1000&lt;0,0,(SUMPRODUCT(("Var_Cap"=[1]OUT_TransportEnergyCons!$B$4:$B$10000)*1,ISNUMBER(SEARCH("T_b_c*h2o*s4",[1]OUT_TransportEnergyCons!$A$4:$A$10000))*1,[1]OUT_TransportEnergyCons!N$4:N$10000))*1000)</f>
        <v>0</v>
      </c>
      <c r="Q1987" s="1" cm="1">
        <f t="array" ref="Q1987">IF((SUMPRODUCT(("Var_Cap"=[1]OUT_TransportEnergyCons!$B$4:$B$10000)*1,ISNUMBER(SEARCH("T_b_c*h2o*s4",[1]OUT_TransportEnergyCons!$A$4:$A$10000))*1,[1]OUT_TransportEnergyCons!O$4:O$10000))*1000&lt;0,0,(SUMPRODUCT(("Var_Cap"=[1]OUT_TransportEnergyCons!$B$4:$B$10000)*1,ISNUMBER(SEARCH("T_b_c*h2o*s4",[1]OUT_TransportEnergyCons!$A$4:$A$10000))*1,[1]OUT_TransportEnergyCons!O$4:O$10000))*1000)</f>
        <v>0</v>
      </c>
      <c r="S1987" s="3"/>
    </row>
    <row r="1988" spans="2:19" x14ac:dyDescent="0.5">
      <c r="B1988" s="5" t="str">
        <f t="shared" si="2165"/>
        <v>SPS1</v>
      </c>
      <c r="C1988" s="5" t="str">
        <f t="shared" si="2166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1.25657500409128E-2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1.6777437845632945E-2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1.0558749219021731E-2</v>
      </c>
      <c r="J1988" s="1" cm="1">
        <f t="array" ref="J1988">(SUMPRODUCT(("Var_Cap"=[1]OUT_TransportEnergyCons!$B$4:$B$10000)*1,ISNUMBER(SEARCH("T_b_c*hyb*DSL*s1",[1]OUT_TransportEnergyCons!$A$4:$A$10000))*1,[1]OUT_TransportEnergyCons!H$4:H$10000))*1000</f>
        <v>5.2024950991071447E-2</v>
      </c>
      <c r="K1988" s="1" cm="1">
        <f t="array" ref="K1988">(SUMPRODUCT(("Var_Cap"=[1]OUT_TransportEnergyCons!$B$4:$B$10000)*1,ISNUMBER(SEARCH("T_b_c*hyb*DSL*s1",[1]OUT_TransportEnergyCons!$A$4:$A$10000))*1,[1]OUT_TransportEnergyCons!I$4:I$10000))*1000</f>
        <v>6.6289571685050716E-2</v>
      </c>
      <c r="L1988" s="1" cm="1">
        <f t="array" ref="L1988">(SUMPRODUCT(("Var_Cap"=[1]OUT_TransportEnergyCons!$B$4:$B$10000)*1,ISNUMBER(SEARCH("T_b_c*hyb*DSL*s1",[1]OUT_TransportEnergyCons!$A$4:$A$10000))*1,[1]OUT_TransportEnergyCons!J$4:J$10000))*1000</f>
        <v>0.11856459832378899</v>
      </c>
      <c r="M1988" s="1" cm="1">
        <f t="array" ref="M1988">(SUMPRODUCT(("Var_Cap"=[1]OUT_TransportEnergyCons!$B$4:$B$10000)*1,ISNUMBER(SEARCH("T_b_c*hyb*DSL*s1",[1]OUT_TransportEnergyCons!$A$4:$A$10000))*1,[1]OUT_TransportEnergyCons!K$4:K$10000))*1000</f>
        <v>0.21052663444861783</v>
      </c>
      <c r="N1988" s="1" cm="1">
        <f t="array" ref="N1988">(SUMPRODUCT(("Var_Cap"=[1]OUT_TransportEnergyCons!$B$4:$B$10000)*1,ISNUMBER(SEARCH("T_b_c*hyb*DSL*s1",[1]OUT_TransportEnergyCons!$A$4:$A$10000))*1,[1]OUT_TransportEnergyCons!L$4:L$10000))*1000</f>
        <v>0.27081122783178374</v>
      </c>
      <c r="O1988" s="1" cm="1">
        <f t="array" ref="O1988">(SUMPRODUCT(("Var_Cap"=[1]OUT_TransportEnergyCons!$B$4:$B$10000)*1,ISNUMBER(SEARCH("T_b_c*hyb*DSL*s1",[1]OUT_TransportEnergyCons!$A$4:$A$10000))*1,[1]OUT_TransportEnergyCons!M$4:M$10000))*1000</f>
        <v>0.33742274946968093</v>
      </c>
      <c r="P1988" s="1" cm="1">
        <f t="array" ref="P1988">(SUMPRODUCT(("Var_Cap"=[1]OUT_TransportEnergyCons!$B$4:$B$10000)*1,ISNUMBER(SEARCH("T_b_c*hyb*DSL*s1",[1]OUT_TransportEnergyCons!$A$4:$A$10000))*1,[1]OUT_TransportEnergyCons!N$4:N$10000))*1000</f>
        <v>0.34601604622839044</v>
      </c>
      <c r="Q1988" s="1" cm="1">
        <f t="array" ref="Q1988">(SUMPRODUCT(("Var_Cap"=[1]OUT_TransportEnergyCons!$B$4:$B$10000)*1,ISNUMBER(SEARCH("T_b_c*hyb*DSL*s1",[1]OUT_TransportEnergyCons!$A$4:$A$10000))*1,[1]OUT_TransportEnergyCons!O$4:O$10000))*1000</f>
        <v>0.45014051562597029</v>
      </c>
      <c r="S1988" s="3"/>
    </row>
    <row r="1989" spans="2:19" x14ac:dyDescent="0.5">
      <c r="B1989" s="5" t="str">
        <f t="shared" si="2165"/>
        <v>SPS1</v>
      </c>
      <c r="C1989" s="5" t="str">
        <f t="shared" si="2166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2.9240693892214902E-3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0.11293804421530899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0.64454094848042998</v>
      </c>
      <c r="J1989" s="1" cm="1">
        <f t="array" ref="J1989">(SUMPRODUCT(("Var_Cap"=[1]OUT_TransportEnergyCons!$B$4:$B$10000)*1,ISNUMBER(SEARCH("T_b_c*hyb*DSL*s2",[1]OUT_TransportEnergyCons!$A$4:$A$10000))*1,[1]OUT_TransportEnergyCons!H$4:H$10000))*1000</f>
        <v>0.61084311739427333</v>
      </c>
      <c r="K1989" s="1" cm="1">
        <f t="array" ref="K1989">(SUMPRODUCT(("Var_Cap"=[1]OUT_TransportEnergyCons!$B$4:$B$10000)*1,ISNUMBER(SEARCH("T_b_c*hyb*DSL*s2",[1]OUT_TransportEnergyCons!$A$4:$A$10000))*1,[1]OUT_TransportEnergyCons!I$4:I$10000))*1000</f>
        <v>0.61078354736359208</v>
      </c>
      <c r="L1989" s="1" cm="1">
        <f t="array" ref="L1989">(SUMPRODUCT(("Var_Cap"=[1]OUT_TransportEnergyCons!$B$4:$B$10000)*1,ISNUMBER(SEARCH("T_b_c*hyb*DSL*s2",[1]OUT_TransportEnergyCons!$A$4:$A$10000))*1,[1]OUT_TransportEnergyCons!J$4:J$10000))*1000</f>
        <v>0.58313700916055289</v>
      </c>
      <c r="M1989" s="1" cm="1">
        <f t="array" ref="M1989">(SUMPRODUCT(("Var_Cap"=[1]OUT_TransportEnergyCons!$B$4:$B$10000)*1,ISNUMBER(SEARCH("T_b_c*hyb*DSL*s2",[1]OUT_TransportEnergyCons!$A$4:$A$10000))*1,[1]OUT_TransportEnergyCons!K$4:K$10000))*1000</f>
        <v>0.5482822799132413</v>
      </c>
      <c r="N1989" s="1" cm="1">
        <f t="array" ref="N1989">(SUMPRODUCT(("Var_Cap"=[1]OUT_TransportEnergyCons!$B$4:$B$10000)*1,ISNUMBER(SEARCH("T_b_c*hyb*DSL*s2",[1]OUT_TransportEnergyCons!$A$4:$A$10000))*1,[1]OUT_TransportEnergyCons!L$4:L$10000))*1000</f>
        <v>0.58354208997984836</v>
      </c>
      <c r="O1989" s="1" cm="1">
        <f t="array" ref="O1989">(SUMPRODUCT(("Var_Cap"=[1]OUT_TransportEnergyCons!$B$4:$B$10000)*1,ISNUMBER(SEARCH("T_b_c*hyb*DSL*s2",[1]OUT_TransportEnergyCons!$A$4:$A$10000))*1,[1]OUT_TransportEnergyCons!M$4:M$10000))*1000</f>
        <v>0.62573942423055484</v>
      </c>
      <c r="P1989" s="1" cm="1">
        <f t="array" ref="P1989">(SUMPRODUCT(("Var_Cap"=[1]OUT_TransportEnergyCons!$B$4:$B$10000)*1,ISNUMBER(SEARCH("T_b_c*hyb*DSL*s2",[1]OUT_TransportEnergyCons!$A$4:$A$10000))*1,[1]OUT_TransportEnergyCons!N$4:N$10000))*1000</f>
        <v>0.72698212145638375</v>
      </c>
      <c r="Q1989" s="1" cm="1">
        <f t="array" ref="Q1989">(SUMPRODUCT(("Var_Cap"=[1]OUT_TransportEnergyCons!$B$4:$B$10000)*1,ISNUMBER(SEARCH("T_b_c*hyb*DSL*s2",[1]OUT_TransportEnergyCons!$A$4:$A$10000))*1,[1]OUT_TransportEnergyCons!O$4:O$10000))*1000</f>
        <v>0.77300651505002582</v>
      </c>
      <c r="S1989" s="3"/>
    </row>
    <row r="1990" spans="2:19" x14ac:dyDescent="0.5">
      <c r="B1990" s="5" t="str">
        <f t="shared" si="2165"/>
        <v>SPS1</v>
      </c>
      <c r="C1990" s="5" t="str">
        <f t="shared" si="2166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1.2711121974876799E-3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1.3792139680464001E-2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0.26012989571659201</v>
      </c>
      <c r="J1990" s="1" cm="1">
        <f t="array" ref="J1990">(SUMPRODUCT(("Var_Cap"=[1]OUT_TransportEnergyCons!$B$4:$B$10000)*1,ISNUMBER(SEARCH("T_b_c*hyb*DSL*s3",[1]OUT_TransportEnergyCons!$A$4:$A$10000))*1,[1]OUT_TransportEnergyCons!H$4:H$10000))*1000</f>
        <v>0.25220657756062009</v>
      </c>
      <c r="K1990" s="1" cm="1">
        <f t="array" ref="K1990">(SUMPRODUCT(("Var_Cap"=[1]OUT_TransportEnergyCons!$B$4:$B$10000)*1,ISNUMBER(SEARCH("T_b_c*hyb*DSL*s3",[1]OUT_TransportEnergyCons!$A$4:$A$10000))*1,[1]OUT_TransportEnergyCons!I$4:I$10000))*1000</f>
        <v>0.24274076988250601</v>
      </c>
      <c r="L1990" s="1" cm="1">
        <f t="array" ref="L1990">(SUMPRODUCT(("Var_Cap"=[1]OUT_TransportEnergyCons!$B$4:$B$10000)*1,ISNUMBER(SEARCH("T_b_c*hyb*DSL*s3",[1]OUT_TransportEnergyCons!$A$4:$A$10000))*1,[1]OUT_TransportEnergyCons!J$4:J$10000))*1000</f>
        <v>0.23379047900247438</v>
      </c>
      <c r="M1990" s="1" cm="1">
        <f t="array" ref="M1990">(SUMPRODUCT(("Var_Cap"=[1]OUT_TransportEnergyCons!$B$4:$B$10000)*1,ISNUMBER(SEARCH("T_b_c*hyb*DSL*s3",[1]OUT_TransportEnergyCons!$A$4:$A$10000))*1,[1]OUT_TransportEnergyCons!K$4:K$10000))*1000</f>
        <v>0.219624265484647</v>
      </c>
      <c r="N1990" s="1" cm="1">
        <f t="array" ref="N1990">(SUMPRODUCT(("Var_Cap"=[1]OUT_TransportEnergyCons!$B$4:$B$10000)*1,ISNUMBER(SEARCH("T_b_c*hyb*DSL*s3",[1]OUT_TransportEnergyCons!$A$4:$A$10000))*1,[1]OUT_TransportEnergyCons!L$4:L$10000))*1000</f>
        <v>0.22039484576076745</v>
      </c>
      <c r="O1990" s="1" cm="1">
        <f t="array" ref="O1990">(SUMPRODUCT(("Var_Cap"=[1]OUT_TransportEnergyCons!$B$4:$B$10000)*1,ISNUMBER(SEARCH("T_b_c*hyb*DSL*s3",[1]OUT_TransportEnergyCons!$A$4:$A$10000))*1,[1]OUT_TransportEnergyCons!M$4:M$10000))*1000</f>
        <v>0.20312434412399799</v>
      </c>
      <c r="P1990" s="1" cm="1">
        <f t="array" ref="P1990">(SUMPRODUCT(("Var_Cap"=[1]OUT_TransportEnergyCons!$B$4:$B$10000)*1,ISNUMBER(SEARCH("T_b_c*hyb*DSL*s3",[1]OUT_TransportEnergyCons!$A$4:$A$10000))*1,[1]OUT_TransportEnergyCons!N$4:N$10000))*1000</f>
        <v>0.18091803647486174</v>
      </c>
      <c r="Q1990" s="1" cm="1">
        <f t="array" ref="Q1990">(SUMPRODUCT(("Var_Cap"=[1]OUT_TransportEnergyCons!$B$4:$B$10000)*1,ISNUMBER(SEARCH("T_b_c*hyb*DSL*s3",[1]OUT_TransportEnergyCons!$A$4:$A$10000))*1,[1]OUT_TransportEnergyCons!O$4:O$10000))*1000</f>
        <v>0.115108884300603</v>
      </c>
      <c r="S1990" s="3"/>
    </row>
    <row r="1991" spans="2:19" x14ac:dyDescent="0.5">
      <c r="B1991" s="5" t="str">
        <f t="shared" si="2165"/>
        <v>SPS1</v>
      </c>
      <c r="C1991" s="5" t="str">
        <f t="shared" si="2166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2.6528919363566202E-4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4.8815873637374701E-4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4.82739415162176E-4</v>
      </c>
      <c r="J1991" s="1" cm="1">
        <f t="array" ref="J1991">IF((SUMPRODUCT(("Var_Cap"=[1]OUT_TransportEnergyCons!$B$4:$B$10000)*1,ISNUMBER(SEARCH("T_b_c*hyb*DSL*s4",[1]OUT_TransportEnergyCons!$A$4:$A$10000))*1,[1]OUT_TransportEnergyCons!H$4:H$10000))*1000&lt;0,0,(SUMPRODUCT(("Var_Cap"=[1]OUT_TransportEnergyCons!$B$4:$B$10000)*1,ISNUMBER(SEARCH("T_b_c*hyb*DSL*s4",[1]OUT_TransportEnergyCons!$A$4:$A$10000))*1,[1]OUT_TransportEnergyCons!H$4:H$10000))*1000)</f>
        <v>3.7106541498565501E-4</v>
      </c>
      <c r="K1991" s="1" cm="1">
        <f t="array" ref="K1991">IF((SUMPRODUCT(("Var_Cap"=[1]OUT_TransportEnergyCons!$B$4:$B$10000)*1,ISNUMBER(SEARCH("T_b_c*hyb*DSL*s4",[1]OUT_TransportEnergyCons!$A$4:$A$10000))*1,[1]OUT_TransportEnergyCons!I$4:I$10000))*1000&lt;0,0,(SUMPRODUCT(("Var_Cap"=[1]OUT_TransportEnergyCons!$B$4:$B$10000)*1,ISNUMBER(SEARCH("T_b_c*hyb*DSL*s4",[1]OUT_TransportEnergyCons!$A$4:$A$10000))*1,[1]OUT_TransportEnergyCons!I$4:I$10000))*1000)</f>
        <v>6.1145382318805903E-4</v>
      </c>
      <c r="L1991" s="1" cm="1">
        <f t="array" ref="L1991">IF((SUMPRODUCT(("Var_Cap"=[1]OUT_TransportEnergyCons!$B$4:$B$10000)*1,ISNUMBER(SEARCH("T_b_c*hyb*DSL*s4",[1]OUT_TransportEnergyCons!$A$4:$A$10000))*1,[1]OUT_TransportEnergyCons!J$4:J$10000))*1000&lt;0,0,(SUMPRODUCT(("Var_Cap"=[1]OUT_TransportEnergyCons!$B$4:$B$10000)*1,ISNUMBER(SEARCH("T_b_c*hyb*DSL*s4",[1]OUT_TransportEnergyCons!$A$4:$A$10000))*1,[1]OUT_TransportEnergyCons!J$4:J$10000))*1000)</f>
        <v>6.0412263588118398E-4</v>
      </c>
      <c r="M1991" s="1" cm="1">
        <f t="array" ref="M1991">IF((SUMPRODUCT(("Var_Cap"=[1]OUT_TransportEnergyCons!$B$4:$B$10000)*1,ISNUMBER(SEARCH("T_b_c*hyb*DSL*s4",[1]OUT_TransportEnergyCons!$A$4:$A$10000))*1,[1]OUT_TransportEnergyCons!K$4:K$10000))*1000&lt;0,0,(SUMPRODUCT(("Var_Cap"=[1]OUT_TransportEnergyCons!$B$4:$B$10000)*1,ISNUMBER(SEARCH("T_b_c*hyb*DSL*s4",[1]OUT_TransportEnergyCons!$A$4:$A$10000))*1,[1]OUT_TransportEnergyCons!K$4:K$10000))*1000)</f>
        <v>7.77925984420385E-4</v>
      </c>
      <c r="N1991" s="1" cm="1">
        <f t="array" ref="N1991">IF((SUMPRODUCT(("Var_Cap"=[1]OUT_TransportEnergyCons!$B$4:$B$10000)*1,ISNUMBER(SEARCH("T_b_c*hyb*DSL*s4",[1]OUT_TransportEnergyCons!$A$4:$A$10000))*1,[1]OUT_TransportEnergyCons!L$4:L$10000))*1000&lt;0,0,(SUMPRODUCT(("Var_Cap"=[1]OUT_TransportEnergyCons!$B$4:$B$10000)*1,ISNUMBER(SEARCH("T_b_c*hyb*DSL*s4",[1]OUT_TransportEnergyCons!$A$4:$A$10000))*1,[1]OUT_TransportEnergyCons!L$4:L$10000))*1000)</f>
        <v>8.8902816651697093E-4</v>
      </c>
      <c r="O1991" s="1" cm="1">
        <f t="array" ref="O1991">IF((SUMPRODUCT(("Var_Cap"=[1]OUT_TransportEnergyCons!$B$4:$B$10000)*1,ISNUMBER(SEARCH("T_b_c*hyb*DSL*s4",[1]OUT_TransportEnergyCons!$A$4:$A$10000))*1,[1]OUT_TransportEnergyCons!M$4:M$10000))*1000&lt;0,0,(SUMPRODUCT(("Var_Cap"=[1]OUT_TransportEnergyCons!$B$4:$B$10000)*1,ISNUMBER(SEARCH("T_b_c*hyb*DSL*s4",[1]OUT_TransportEnergyCons!$A$4:$A$10000))*1,[1]OUT_TransportEnergyCons!M$4:M$10000))*1000)</f>
        <v>7.7076774219144296E-4</v>
      </c>
      <c r="P1991" s="1" cm="1">
        <f t="array" ref="P1991">IF((SUMPRODUCT(("Var_Cap"=[1]OUT_TransportEnergyCons!$B$4:$B$10000)*1,ISNUMBER(SEARCH("T_b_c*hyb*DSL*s4",[1]OUT_TransportEnergyCons!$A$4:$A$10000))*1,[1]OUT_TransportEnergyCons!N$4:N$10000))*1000&lt;0,0,(SUMPRODUCT(("Var_Cap"=[1]OUT_TransportEnergyCons!$B$4:$B$10000)*1,ISNUMBER(SEARCH("T_b_c*hyb*DSL*s4",[1]OUT_TransportEnergyCons!$A$4:$A$10000))*1,[1]OUT_TransportEnergyCons!N$4:N$10000))*1000)</f>
        <v>1.12759914454263E-3</v>
      </c>
      <c r="Q1991" s="1" cm="1">
        <f t="array" ref="Q1991">IF((SUMPRODUCT(("Var_Cap"=[1]OUT_TransportEnergyCons!$B$4:$B$10000)*1,ISNUMBER(SEARCH("T_b_c*hyb*DSL*s4",[1]OUT_TransportEnergyCons!$A$4:$A$10000))*1,[1]OUT_TransportEnergyCons!O$4:O$10000))*1000&lt;0,0,(SUMPRODUCT(("Var_Cap"=[1]OUT_TransportEnergyCons!$B$4:$B$10000)*1,ISNUMBER(SEARCH("T_b_c*hyb*DSL*s4",[1]OUT_TransportEnergyCons!$A$4:$A$10000))*1,[1]OUT_TransportEnergyCons!O$4:O$10000))*1000)</f>
        <v>1.3994982241094999E-3</v>
      </c>
      <c r="S1991" s="3"/>
    </row>
    <row r="1992" spans="2:19" x14ac:dyDescent="0.5">
      <c r="B1992" s="5" t="str">
        <f t="shared" si="2165"/>
        <v>SPS1</v>
      </c>
      <c r="C1992" s="5" t="str">
        <f t="shared" si="2166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1.303311033585032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0.65164758361855091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(SUMPRODUCT(("Var_Cap"=[1]OUT_TransportEnergyCons!$B$4:$B$10000)*1,ISNUMBER(SEARCH("T_b_c*ICE*DSL*ext",[1]OUT_TransportEnergyCons!$A$4:$A$10000))*1,[1]OUT_TransportEnergyCons!H$4:H$10000))*1000</f>
        <v>0</v>
      </c>
      <c r="K1992" s="1" cm="1">
        <f t="array" ref="K1992">(SUMPRODUCT(("Var_Cap"=[1]OUT_TransportEnergyCons!$B$4:$B$10000)*1,ISNUMBER(SEARCH("T_b_c*ICE*DSL*ext",[1]OUT_TransportEnergyCons!$A$4:$A$10000))*1,[1]OUT_TransportEnergyCons!I$4:I$10000))*1000</f>
        <v>0</v>
      </c>
      <c r="L1992" s="1" cm="1">
        <f t="array" ref="L1992">(SUMPRODUCT(("Var_Cap"=[1]OUT_TransportEnergyCons!$B$4:$B$10000)*1,ISNUMBER(SEARCH("T_b_c*ICE*DSL*ext",[1]OUT_TransportEnergyCons!$A$4:$A$10000))*1,[1]OUT_TransportEnergyCons!J$4:J$10000))*1000</f>
        <v>0</v>
      </c>
      <c r="M1992" s="1" cm="1">
        <f t="array" ref="M1992">(SUMPRODUCT(("Var_Cap"=[1]OUT_TransportEnergyCons!$B$4:$B$10000)*1,ISNUMBER(SEARCH("T_b_c*ICE*DSL*ext",[1]OUT_TransportEnergyCons!$A$4:$A$10000))*1,[1]OUT_TransportEnergyCons!K$4:K$10000))*1000</f>
        <v>0</v>
      </c>
      <c r="N1992" s="1" cm="1">
        <f t="array" ref="N1992">(SUMPRODUCT(("Var_Cap"=[1]OUT_TransportEnergyCons!$B$4:$B$10000)*1,ISNUMBER(SEARCH("T_b_c*ICE*DSL*ext",[1]OUT_TransportEnergyCons!$A$4:$A$10000))*1,[1]OUT_TransportEnergyCons!L$4:L$10000))*1000</f>
        <v>0</v>
      </c>
      <c r="O1992" s="1" cm="1">
        <f t="array" ref="O1992">(SUMPRODUCT(("Var_Cap"=[1]OUT_TransportEnergyCons!$B$4:$B$10000)*1,ISNUMBER(SEARCH("T_b_c*ICE*DSL*ext",[1]OUT_TransportEnergyCons!$A$4:$A$10000))*1,[1]OUT_TransportEnergyCons!M$4:M$10000))*1000</f>
        <v>0</v>
      </c>
      <c r="P1992" s="1" cm="1">
        <f t="array" ref="P1992">(SUMPRODUCT(("Var_Cap"=[1]OUT_TransportEnergyCons!$B$4:$B$10000)*1,ISNUMBER(SEARCH("T_b_c*ICE*DSL*ext",[1]OUT_TransportEnergyCons!$A$4:$A$10000))*1,[1]OUT_TransportEnergyCons!N$4:N$10000))*1000</f>
        <v>0</v>
      </c>
      <c r="Q1992" s="1" cm="1">
        <f t="array" ref="Q1992">(SUMPRODUCT(("Var_Cap"=[1]OUT_TransportEnergyCons!$B$4:$B$10000)*1,ISNUMBER(SEARCH("T_b_c*ICE*DSL*ext",[1]OUT_TransportEnergyCons!$A$4:$A$10000))*1,[1]OUT_TransportEnergyCons!O$4:O$10000))*1000</f>
        <v>0</v>
      </c>
      <c r="S1992" s="3"/>
    </row>
    <row r="1993" spans="2:19" x14ac:dyDescent="0.5">
      <c r="B1993" s="5" t="str">
        <f t="shared" si="2165"/>
        <v>SPS1</v>
      </c>
      <c r="C1993" s="5" t="str">
        <f t="shared" si="2166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0.84703725732819335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1.0373037369209963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[1]OUT_TransportEnergyCons!$B$4:$B$10000)*1,ISNUMBER(SEARCH("T_b_c*ICE*DSL*s1",[1]OUT_TransportEnergyCons!$A$4:$A$10000))*1,[1]OUT_TransportEnergyCons!H$4:H$10000))*1000&lt;0,0,(SUMPRODUCT(("Var_Cap"=[1]OUT_TransportEnergyCons!$B$4:$B$10000)*1,ISNUMBER(SEARCH("T_b_c*ICE*DSL*s1",[1]OUT_TransportEnergyCons!$A$4:$A$10000))*1,[1]OUT_TransportEnergyCons!H$4:H$10000))*1000)</f>
        <v>4.2247256342012101E-6</v>
      </c>
      <c r="K1993" s="1" cm="1">
        <f t="array" ref="K1993">IF((SUMPRODUCT(("Var_Cap"=[1]OUT_TransportEnergyCons!$B$4:$B$10000)*1,ISNUMBER(SEARCH("T_b_c*ICE*DSL*s1",[1]OUT_TransportEnergyCons!$A$4:$A$10000))*1,[1]OUT_TransportEnergyCons!I$4:I$10000))*1000&lt;0,0,(SUMPRODUCT(("Var_Cap"=[1]OUT_TransportEnergyCons!$B$4:$B$10000)*1,ISNUMBER(SEARCH("T_b_c*ICE*DSL*s1",[1]OUT_TransportEnergyCons!$A$4:$A$10000))*1,[1]OUT_TransportEnergyCons!I$4:I$10000))*1000)</f>
        <v>0</v>
      </c>
      <c r="L1993" s="1" cm="1">
        <f t="array" ref="L1993">IF((SUMPRODUCT(("Var_Cap"=[1]OUT_TransportEnergyCons!$B$4:$B$10000)*1,ISNUMBER(SEARCH("T_b_c*ICE*DSL*s1",[1]OUT_TransportEnergyCons!$A$4:$A$10000))*1,[1]OUT_TransportEnergyCons!J$4:J$10000))*1000&lt;0,0,(SUMPRODUCT(("Var_Cap"=[1]OUT_TransportEnergyCons!$B$4:$B$10000)*1,ISNUMBER(SEARCH("T_b_c*ICE*DSL*s1",[1]OUT_TransportEnergyCons!$A$4:$A$10000))*1,[1]OUT_TransportEnergyCons!J$4:J$10000))*1000)</f>
        <v>0</v>
      </c>
      <c r="M1993" s="1" cm="1">
        <f t="array" ref="M1993">IF((SUMPRODUCT(("Var_Cap"=[1]OUT_TransportEnergyCons!$B$4:$B$10000)*1,ISNUMBER(SEARCH("T_b_c*ICE*DSL*s1",[1]OUT_TransportEnergyCons!$A$4:$A$10000))*1,[1]OUT_TransportEnergyCons!K$4:K$10000))*1000&lt;0,0,(SUMPRODUCT(("Var_Cap"=[1]OUT_TransportEnergyCons!$B$4:$B$10000)*1,ISNUMBER(SEARCH("T_b_c*ICE*DSL*s1",[1]OUT_TransportEnergyCons!$A$4:$A$10000))*1,[1]OUT_TransportEnergyCons!K$4:K$10000))*1000)</f>
        <v>0</v>
      </c>
      <c r="N1993" s="1" cm="1">
        <f t="array" ref="N1993">IF((SUMPRODUCT(("Var_Cap"=[1]OUT_TransportEnergyCons!$B$4:$B$10000)*1,ISNUMBER(SEARCH("T_b_c*ICE*DSL*s1",[1]OUT_TransportEnergyCons!$A$4:$A$10000))*1,[1]OUT_TransportEnergyCons!L$4:L$10000))*1000&lt;0,0,(SUMPRODUCT(("Var_Cap"=[1]OUT_TransportEnergyCons!$B$4:$B$10000)*1,ISNUMBER(SEARCH("T_b_c*ICE*DSL*s1",[1]OUT_TransportEnergyCons!$A$4:$A$10000))*1,[1]OUT_TransportEnergyCons!L$4:L$10000))*1000)</f>
        <v>0</v>
      </c>
      <c r="O1993" s="1" cm="1">
        <f t="array" ref="O1993">IF((SUMPRODUCT(("Var_Cap"=[1]OUT_TransportEnergyCons!$B$4:$B$10000)*1,ISNUMBER(SEARCH("T_b_c*ICE*DSL*s1",[1]OUT_TransportEnergyCons!$A$4:$A$10000))*1,[1]OUT_TransportEnergyCons!M$4:M$10000))*1000&lt;0,0,(SUMPRODUCT(("Var_Cap"=[1]OUT_TransportEnergyCons!$B$4:$B$10000)*1,ISNUMBER(SEARCH("T_b_c*ICE*DSL*s1",[1]OUT_TransportEnergyCons!$A$4:$A$10000))*1,[1]OUT_TransportEnergyCons!M$4:M$10000))*1000)</f>
        <v>0</v>
      </c>
      <c r="P1993" s="1" cm="1">
        <f t="array" ref="P1993">IF((SUMPRODUCT(("Var_Cap"=[1]OUT_TransportEnergyCons!$B$4:$B$10000)*1,ISNUMBER(SEARCH("T_b_c*ICE*DSL*s1",[1]OUT_TransportEnergyCons!$A$4:$A$10000))*1,[1]OUT_TransportEnergyCons!N$4:N$10000))*1000&lt;0,0,(SUMPRODUCT(("Var_Cap"=[1]OUT_TransportEnergyCons!$B$4:$B$10000)*1,ISNUMBER(SEARCH("T_b_c*ICE*DSL*s1",[1]OUT_TransportEnergyCons!$A$4:$A$10000))*1,[1]OUT_TransportEnergyCons!N$4:N$10000))*1000)</f>
        <v>0</v>
      </c>
      <c r="Q1993" s="1" cm="1">
        <f t="array" ref="Q1993">IF((SUMPRODUCT(("Var_Cap"=[1]OUT_TransportEnergyCons!$B$4:$B$10000)*1,ISNUMBER(SEARCH("T_b_c*ICE*DSL*s1",[1]OUT_TransportEnergyCons!$A$4:$A$10000))*1,[1]OUT_TransportEnergyCons!O$4:O$10000))*1000&lt;0,0,(SUMPRODUCT(("Var_Cap"=[1]OUT_TransportEnergyCons!$B$4:$B$10000)*1,ISNUMBER(SEARCH("T_b_c*ICE*DSL*s1",[1]OUT_TransportEnergyCons!$A$4:$A$10000))*1,[1]OUT_TransportEnergyCons!O$4:O$10000))*1000)</f>
        <v>0</v>
      </c>
      <c r="S1993" s="3"/>
    </row>
    <row r="1994" spans="2:19" x14ac:dyDescent="0.5">
      <c r="B1994" s="5" t="str">
        <f t="shared" si="2165"/>
        <v>SPS1</v>
      </c>
      <c r="C1994" s="5" t="str">
        <f t="shared" si="2166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0.82159857310155016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0.82403984769497096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[1]OUT_TransportEnergyCons!$B$4:$B$10000)*1,ISNUMBER(SEARCH("T_b_c*ICE*DSL*s2",[1]OUT_TransportEnergyCons!$A$4:$A$10000))*1,[1]OUT_TransportEnergyCons!H$4:H$10000))*1000&lt;0,0,(SUMPRODUCT(("Var_Cap"=[1]OUT_TransportEnergyCons!$B$4:$B$10000)*1,ISNUMBER(SEARCH("T_b_c*ICE*DSL*s2",[1]OUT_TransportEnergyCons!$A$4:$A$10000))*1,[1]OUT_TransportEnergyCons!H$4:H$10000))*1000)</f>
        <v>2.6295333238601533E-6</v>
      </c>
      <c r="K1994" s="1" cm="1">
        <f t="array" ref="K1994">IF((SUMPRODUCT(("Var_Cap"=[1]OUT_TransportEnergyCons!$B$4:$B$10000)*1,ISNUMBER(SEARCH("T_b_c*ICE*DSL*s2",[1]OUT_TransportEnergyCons!$A$4:$A$10000))*1,[1]OUT_TransportEnergyCons!I$4:I$10000))*1000&lt;0,0,(SUMPRODUCT(("Var_Cap"=[1]OUT_TransportEnergyCons!$B$4:$B$10000)*1,ISNUMBER(SEARCH("T_b_c*ICE*DSL*s2",[1]OUT_TransportEnergyCons!$A$4:$A$10000))*1,[1]OUT_TransportEnergyCons!I$4:I$10000))*1000)</f>
        <v>0</v>
      </c>
      <c r="L1994" s="1" cm="1">
        <f t="array" ref="L1994">IF((SUMPRODUCT(("Var_Cap"=[1]OUT_TransportEnergyCons!$B$4:$B$10000)*1,ISNUMBER(SEARCH("T_b_c*ICE*DSL*s2",[1]OUT_TransportEnergyCons!$A$4:$A$10000))*1,[1]OUT_TransportEnergyCons!J$4:J$10000))*1000&lt;0,0,(SUMPRODUCT(("Var_Cap"=[1]OUT_TransportEnergyCons!$B$4:$B$10000)*1,ISNUMBER(SEARCH("T_b_c*ICE*DSL*s2",[1]OUT_TransportEnergyCons!$A$4:$A$10000))*1,[1]OUT_TransportEnergyCons!J$4:J$10000))*1000)</f>
        <v>0</v>
      </c>
      <c r="M1994" s="1" cm="1">
        <f t="array" ref="M1994">IF((SUMPRODUCT(("Var_Cap"=[1]OUT_TransportEnergyCons!$B$4:$B$10000)*1,ISNUMBER(SEARCH("T_b_c*ICE*DSL*s2",[1]OUT_TransportEnergyCons!$A$4:$A$10000))*1,[1]OUT_TransportEnergyCons!K$4:K$10000))*1000&lt;0,0,(SUMPRODUCT(("Var_Cap"=[1]OUT_TransportEnergyCons!$B$4:$B$10000)*1,ISNUMBER(SEARCH("T_b_c*ICE*DSL*s2",[1]OUT_TransportEnergyCons!$A$4:$A$10000))*1,[1]OUT_TransportEnergyCons!K$4:K$10000))*1000)</f>
        <v>0</v>
      </c>
      <c r="N1994" s="1" cm="1">
        <f t="array" ref="N1994">IF((SUMPRODUCT(("Var_Cap"=[1]OUT_TransportEnergyCons!$B$4:$B$10000)*1,ISNUMBER(SEARCH("T_b_c*ICE*DSL*s2",[1]OUT_TransportEnergyCons!$A$4:$A$10000))*1,[1]OUT_TransportEnergyCons!L$4:L$10000))*1000&lt;0,0,(SUMPRODUCT(("Var_Cap"=[1]OUT_TransportEnergyCons!$B$4:$B$10000)*1,ISNUMBER(SEARCH("T_b_c*ICE*DSL*s2",[1]OUT_TransportEnergyCons!$A$4:$A$10000))*1,[1]OUT_TransportEnergyCons!L$4:L$10000))*1000)</f>
        <v>0</v>
      </c>
      <c r="O1994" s="1" cm="1">
        <f t="array" ref="O1994">IF((SUMPRODUCT(("Var_Cap"=[1]OUT_TransportEnergyCons!$B$4:$B$10000)*1,ISNUMBER(SEARCH("T_b_c*ICE*DSL*s2",[1]OUT_TransportEnergyCons!$A$4:$A$10000))*1,[1]OUT_TransportEnergyCons!M$4:M$10000))*1000&lt;0,0,(SUMPRODUCT(("Var_Cap"=[1]OUT_TransportEnergyCons!$B$4:$B$10000)*1,ISNUMBER(SEARCH("T_b_c*ICE*DSL*s2",[1]OUT_TransportEnergyCons!$A$4:$A$10000))*1,[1]OUT_TransportEnergyCons!M$4:M$10000))*1000)</f>
        <v>0</v>
      </c>
      <c r="P1994" s="1" cm="1">
        <f t="array" ref="P1994">IF((SUMPRODUCT(("Var_Cap"=[1]OUT_TransportEnergyCons!$B$4:$B$10000)*1,ISNUMBER(SEARCH("T_b_c*ICE*DSL*s2",[1]OUT_TransportEnergyCons!$A$4:$A$10000))*1,[1]OUT_TransportEnergyCons!N$4:N$10000))*1000&lt;0,0,(SUMPRODUCT(("Var_Cap"=[1]OUT_TransportEnergyCons!$B$4:$B$10000)*1,ISNUMBER(SEARCH("T_b_c*ICE*DSL*s2",[1]OUT_TransportEnergyCons!$A$4:$A$10000))*1,[1]OUT_TransportEnergyCons!N$4:N$10000))*1000)</f>
        <v>0</v>
      </c>
      <c r="Q1994" s="1" cm="1">
        <f t="array" ref="Q1994">IF((SUMPRODUCT(("Var_Cap"=[1]OUT_TransportEnergyCons!$B$4:$B$10000)*1,ISNUMBER(SEARCH("T_b_c*ICE*DSL*s2",[1]OUT_TransportEnergyCons!$A$4:$A$10000))*1,[1]OUT_TransportEnergyCons!O$4:O$10000))*1000&lt;0,0,(SUMPRODUCT(("Var_Cap"=[1]OUT_TransportEnergyCons!$B$4:$B$10000)*1,ISNUMBER(SEARCH("T_b_c*ICE*DSL*s2",[1]OUT_TransportEnergyCons!$A$4:$A$10000))*1,[1]OUT_TransportEnergyCons!O$4:O$10000))*1000)</f>
        <v>0</v>
      </c>
      <c r="S1994" s="3"/>
    </row>
    <row r="1995" spans="2:19" x14ac:dyDescent="0.5">
      <c r="B1995" s="5" t="str">
        <f t="shared" si="2165"/>
        <v>SPS1</v>
      </c>
      <c r="C1995" s="5" t="str">
        <f t="shared" si="2166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0.2006040689404868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0.18374182392017402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0.18449964762952784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0</v>
      </c>
      <c r="J1995" s="1" cm="1">
        <f t="array" ref="J1995">IF((SUMPRODUCT(("Var_Cap"=[1]OUT_TransportEnergyCons!$B$4:$B$10000)*1,ISNUMBER(SEARCH("T_b_c*ICE*DSL*s3",[1]OUT_TransportEnergyCons!$A$4:$A$10000))*1,[1]OUT_TransportEnergyCons!H$4:H$10000))*1000&lt;0,0,(SUMPRODUCT(("Var_Cap"=[1]OUT_TransportEnergyCons!$B$4:$B$10000)*1,ISNUMBER(SEARCH("T_b_c*ICE*DSL*s3",[1]OUT_TransportEnergyCons!$A$4:$A$10000))*1,[1]OUT_TransportEnergyCons!H$4:H$10000))*1000)</f>
        <v>0</v>
      </c>
      <c r="K1995" s="1" cm="1">
        <f t="array" ref="K1995">IF((SUMPRODUCT(("Var_Cap"=[1]OUT_TransportEnergyCons!$B$4:$B$10000)*1,ISNUMBER(SEARCH("T_b_c*ICE*DSL*s3",[1]OUT_TransportEnergyCons!$A$4:$A$10000))*1,[1]OUT_TransportEnergyCons!I$4:I$10000))*1000&lt;0,0,(SUMPRODUCT(("Var_Cap"=[1]OUT_TransportEnergyCons!$B$4:$B$10000)*1,ISNUMBER(SEARCH("T_b_c*ICE*DSL*s3",[1]OUT_TransportEnergyCons!$A$4:$A$10000))*1,[1]OUT_TransportEnergyCons!I$4:I$10000))*1000)</f>
        <v>0</v>
      </c>
      <c r="L1995" s="1" cm="1">
        <f t="array" ref="L1995">IF((SUMPRODUCT(("Var_Cap"=[1]OUT_TransportEnergyCons!$B$4:$B$10000)*1,ISNUMBER(SEARCH("T_b_c*ICE*DSL*s3",[1]OUT_TransportEnergyCons!$A$4:$A$10000))*1,[1]OUT_TransportEnergyCons!J$4:J$10000))*1000&lt;0,0,(SUMPRODUCT(("Var_Cap"=[1]OUT_TransportEnergyCons!$B$4:$B$10000)*1,ISNUMBER(SEARCH("T_b_c*ICE*DSL*s3",[1]OUT_TransportEnergyCons!$A$4:$A$10000))*1,[1]OUT_TransportEnergyCons!J$4:J$10000))*1000)</f>
        <v>0</v>
      </c>
      <c r="M1995" s="1" cm="1">
        <f t="array" ref="M1995">IF((SUMPRODUCT(("Var_Cap"=[1]OUT_TransportEnergyCons!$B$4:$B$10000)*1,ISNUMBER(SEARCH("T_b_c*ICE*DSL*s3",[1]OUT_TransportEnergyCons!$A$4:$A$10000))*1,[1]OUT_TransportEnergyCons!K$4:K$10000))*1000&lt;0,0,(SUMPRODUCT(("Var_Cap"=[1]OUT_TransportEnergyCons!$B$4:$B$10000)*1,ISNUMBER(SEARCH("T_b_c*ICE*DSL*s3",[1]OUT_TransportEnergyCons!$A$4:$A$10000))*1,[1]OUT_TransportEnergyCons!K$4:K$10000))*1000)</f>
        <v>0</v>
      </c>
      <c r="N1995" s="1" cm="1">
        <f t="array" ref="N1995">IF((SUMPRODUCT(("Var_Cap"=[1]OUT_TransportEnergyCons!$B$4:$B$10000)*1,ISNUMBER(SEARCH("T_b_c*ICE*DSL*s3",[1]OUT_TransportEnergyCons!$A$4:$A$10000))*1,[1]OUT_TransportEnergyCons!L$4:L$10000))*1000&lt;0,0,(SUMPRODUCT(("Var_Cap"=[1]OUT_TransportEnergyCons!$B$4:$B$10000)*1,ISNUMBER(SEARCH("T_b_c*ICE*DSL*s3",[1]OUT_TransportEnergyCons!$A$4:$A$10000))*1,[1]OUT_TransportEnergyCons!L$4:L$10000))*1000)</f>
        <v>0</v>
      </c>
      <c r="O1995" s="1" cm="1">
        <f t="array" ref="O1995">IF((SUMPRODUCT(("Var_Cap"=[1]OUT_TransportEnergyCons!$B$4:$B$10000)*1,ISNUMBER(SEARCH("T_b_c*ICE*DSL*s3",[1]OUT_TransportEnergyCons!$A$4:$A$10000))*1,[1]OUT_TransportEnergyCons!M$4:M$10000))*1000&lt;0,0,(SUMPRODUCT(("Var_Cap"=[1]OUT_TransportEnergyCons!$B$4:$B$10000)*1,ISNUMBER(SEARCH("T_b_c*ICE*DSL*s3",[1]OUT_TransportEnergyCons!$A$4:$A$10000))*1,[1]OUT_TransportEnergyCons!M$4:M$10000))*1000)</f>
        <v>0</v>
      </c>
      <c r="P1995" s="1" cm="1">
        <f t="array" ref="P1995">IF((SUMPRODUCT(("Var_Cap"=[1]OUT_TransportEnergyCons!$B$4:$B$10000)*1,ISNUMBER(SEARCH("T_b_c*ICE*DSL*s3",[1]OUT_TransportEnergyCons!$A$4:$A$10000))*1,[1]OUT_TransportEnergyCons!N$4:N$10000))*1000&lt;0,0,(SUMPRODUCT(("Var_Cap"=[1]OUT_TransportEnergyCons!$B$4:$B$10000)*1,ISNUMBER(SEARCH("T_b_c*ICE*DSL*s3",[1]OUT_TransportEnergyCons!$A$4:$A$10000))*1,[1]OUT_TransportEnergyCons!N$4:N$10000))*1000)</f>
        <v>0</v>
      </c>
      <c r="Q1995" s="1" cm="1">
        <f t="array" ref="Q1995">IF((SUMPRODUCT(("Var_Cap"=[1]OUT_TransportEnergyCons!$B$4:$B$10000)*1,ISNUMBER(SEARCH("T_b_c*ICE*DSL*s3",[1]OUT_TransportEnergyCons!$A$4:$A$10000))*1,[1]OUT_TransportEnergyCons!O$4:O$10000))*1000&lt;0,0,(SUMPRODUCT(("Var_Cap"=[1]OUT_TransportEnergyCons!$B$4:$B$10000)*1,ISNUMBER(SEARCH("T_b_c*ICE*DSL*s3",[1]OUT_TransportEnergyCons!$A$4:$A$10000))*1,[1]OUT_TransportEnergyCons!O$4:O$10000))*1000)</f>
        <v>1.03917790153105E-5</v>
      </c>
      <c r="S1995" s="3"/>
    </row>
    <row r="1996" spans="2:19" x14ac:dyDescent="0.5">
      <c r="B1996" s="5" t="str">
        <f t="shared" si="2165"/>
        <v>SPS1</v>
      </c>
      <c r="C1996" s="5" t="str">
        <f t="shared" si="2166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1.5564580321978001E-2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1.5889763627645421E-3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1.6870015057274606E-3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[1]OUT_TransportEnergyCons!$B$4:$B$10000)*1,ISNUMBER(SEARCH("T_b_c*ICE*DSL*s4",[1]OUT_TransportEnergyCons!$A$4:$A$10000))*1,[1]OUT_TransportEnergyCons!H$4:H$10000))*1000&lt;0,0,(SUMPRODUCT(("Var_Cap"=[1]OUT_TransportEnergyCons!$B$4:$B$10000)*1,ISNUMBER(SEARCH("T_b_c*ICE*DSL*s4",[1]OUT_TransportEnergyCons!$A$4:$A$10000))*1,[1]OUT_TransportEnergyCons!H$4:H$10000))*1000)</f>
        <v>0</v>
      </c>
      <c r="K1996" s="1" cm="1">
        <f t="array" ref="K1996">IF((SUMPRODUCT(("Var_Cap"=[1]OUT_TransportEnergyCons!$B$4:$B$10000)*1,ISNUMBER(SEARCH("T_b_c*ICE*DSL*s4",[1]OUT_TransportEnergyCons!$A$4:$A$10000))*1,[1]OUT_TransportEnergyCons!I$4:I$10000))*1000&lt;0,0,(SUMPRODUCT(("Var_Cap"=[1]OUT_TransportEnergyCons!$B$4:$B$10000)*1,ISNUMBER(SEARCH("T_b_c*ICE*DSL*s4",[1]OUT_TransportEnergyCons!$A$4:$A$10000))*1,[1]OUT_TransportEnergyCons!I$4:I$10000))*1000)</f>
        <v>0</v>
      </c>
      <c r="L1996" s="1" cm="1">
        <f t="array" ref="L1996">IF((SUMPRODUCT(("Var_Cap"=[1]OUT_TransportEnergyCons!$B$4:$B$10000)*1,ISNUMBER(SEARCH("T_b_c*ICE*DSL*s4",[1]OUT_TransportEnergyCons!$A$4:$A$10000))*1,[1]OUT_TransportEnergyCons!J$4:J$10000))*1000&lt;0,0,(SUMPRODUCT(("Var_Cap"=[1]OUT_TransportEnergyCons!$B$4:$B$10000)*1,ISNUMBER(SEARCH("T_b_c*ICE*DSL*s4",[1]OUT_TransportEnergyCons!$A$4:$A$10000))*1,[1]OUT_TransportEnergyCons!J$4:J$10000))*1000)</f>
        <v>0</v>
      </c>
      <c r="M1996" s="1" cm="1">
        <f t="array" ref="M1996">IF((SUMPRODUCT(("Var_Cap"=[1]OUT_TransportEnergyCons!$B$4:$B$10000)*1,ISNUMBER(SEARCH("T_b_c*ICE*DSL*s4",[1]OUT_TransportEnergyCons!$A$4:$A$10000))*1,[1]OUT_TransportEnergyCons!K$4:K$10000))*1000&lt;0,0,(SUMPRODUCT(("Var_Cap"=[1]OUT_TransportEnergyCons!$B$4:$B$10000)*1,ISNUMBER(SEARCH("T_b_c*ICE*DSL*s4",[1]OUT_TransportEnergyCons!$A$4:$A$10000))*1,[1]OUT_TransportEnergyCons!K$4:K$10000))*1000)</f>
        <v>0</v>
      </c>
      <c r="N1996" s="1" cm="1">
        <f t="array" ref="N1996">IF((SUMPRODUCT(("Var_Cap"=[1]OUT_TransportEnergyCons!$B$4:$B$10000)*1,ISNUMBER(SEARCH("T_b_c*ICE*DSL*s4",[1]OUT_TransportEnergyCons!$A$4:$A$10000))*1,[1]OUT_TransportEnergyCons!L$4:L$10000))*1000&lt;0,0,(SUMPRODUCT(("Var_Cap"=[1]OUT_TransportEnergyCons!$B$4:$B$10000)*1,ISNUMBER(SEARCH("T_b_c*ICE*DSL*s4",[1]OUT_TransportEnergyCons!$A$4:$A$10000))*1,[1]OUT_TransportEnergyCons!L$4:L$10000))*1000)</f>
        <v>0</v>
      </c>
      <c r="O1996" s="1" cm="1">
        <f t="array" ref="O1996">IF((SUMPRODUCT(("Var_Cap"=[1]OUT_TransportEnergyCons!$B$4:$B$10000)*1,ISNUMBER(SEARCH("T_b_c*ICE*DSL*s4",[1]OUT_TransportEnergyCons!$A$4:$A$10000))*1,[1]OUT_TransportEnergyCons!M$4:M$10000))*1000&lt;0,0,(SUMPRODUCT(("Var_Cap"=[1]OUT_TransportEnergyCons!$B$4:$B$10000)*1,ISNUMBER(SEARCH("T_b_c*ICE*DSL*s4",[1]OUT_TransportEnergyCons!$A$4:$A$10000))*1,[1]OUT_TransportEnergyCons!M$4:M$10000))*1000)</f>
        <v>0</v>
      </c>
      <c r="P1996" s="1" cm="1">
        <f t="array" ref="P1996">IF((SUMPRODUCT(("Var_Cap"=[1]OUT_TransportEnergyCons!$B$4:$B$10000)*1,ISNUMBER(SEARCH("T_b_c*ICE*DSL*s4",[1]OUT_TransportEnergyCons!$A$4:$A$10000))*1,[1]OUT_TransportEnergyCons!N$4:N$10000))*1000&lt;0,0,(SUMPRODUCT(("Var_Cap"=[1]OUT_TransportEnergyCons!$B$4:$B$10000)*1,ISNUMBER(SEARCH("T_b_c*ICE*DSL*s4",[1]OUT_TransportEnergyCons!$A$4:$A$10000))*1,[1]OUT_TransportEnergyCons!N$4:N$10000))*1000)</f>
        <v>0</v>
      </c>
      <c r="Q1996" s="1" cm="1">
        <f t="array" ref="Q1996">IF((SUMPRODUCT(("Var_Cap"=[1]OUT_TransportEnergyCons!$B$4:$B$10000)*1,ISNUMBER(SEARCH("T_b_c*ICE*DSL*s4",[1]OUT_TransportEnergyCons!$A$4:$A$10000))*1,[1]OUT_TransportEnergyCons!O$4:O$10000))*1000&lt;0,0,(SUMPRODUCT(("Var_Cap"=[1]OUT_TransportEnergyCons!$B$4:$B$10000)*1,ISNUMBER(SEARCH("T_b_c*ICE*DSL*s4",[1]OUT_TransportEnergyCons!$A$4:$A$10000))*1,[1]OUT_TransportEnergyCons!O$4:O$10000))*1000)</f>
        <v>0</v>
      </c>
      <c r="S1996" s="3"/>
    </row>
    <row r="1997" spans="2:19" x14ac:dyDescent="0.5">
      <c r="B1997" s="5" t="str">
        <f t="shared" si="2165"/>
        <v>SPS1</v>
      </c>
      <c r="C1997" s="5" t="str">
        <f t="shared" si="2166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2.9715326819220018E-2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1.4845271958470293E-2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(SUMPRODUCT(("Var_Cap"=[1]OUT_TransportEnergyCons!$B$4:$B$10000)*1,ISNUMBER(SEARCH("T_b_c*ICE*nga*ext",[1]OUT_TransportEnergyCons!$A$4:$A$10000))*1,[1]OUT_TransportEnergyCons!H$4:H$10000))*1000</f>
        <v>0</v>
      </c>
      <c r="K1997" s="1" cm="1">
        <f t="array" ref="K1997">(SUMPRODUCT(("Var_Cap"=[1]OUT_TransportEnergyCons!$B$4:$B$10000)*1,ISNUMBER(SEARCH("T_b_c*ICE*nga*ext",[1]OUT_TransportEnergyCons!$A$4:$A$10000))*1,[1]OUT_TransportEnergyCons!I$4:I$10000))*1000</f>
        <v>0</v>
      </c>
      <c r="L1997" s="1" cm="1">
        <f t="array" ref="L1997">(SUMPRODUCT(("Var_Cap"=[1]OUT_TransportEnergyCons!$B$4:$B$10000)*1,ISNUMBER(SEARCH("T_b_c*ICE*nga*ext",[1]OUT_TransportEnergyCons!$A$4:$A$10000))*1,[1]OUT_TransportEnergyCons!J$4:J$10000))*1000</f>
        <v>0</v>
      </c>
      <c r="M1997" s="1" cm="1">
        <f t="array" ref="M1997">(SUMPRODUCT(("Var_Cap"=[1]OUT_TransportEnergyCons!$B$4:$B$10000)*1,ISNUMBER(SEARCH("T_b_c*ICE*nga*ext",[1]OUT_TransportEnergyCons!$A$4:$A$10000))*1,[1]OUT_TransportEnergyCons!K$4:K$10000))*1000</f>
        <v>0</v>
      </c>
      <c r="N1997" s="1" cm="1">
        <f t="array" ref="N1997">(SUMPRODUCT(("Var_Cap"=[1]OUT_TransportEnergyCons!$B$4:$B$10000)*1,ISNUMBER(SEARCH("T_b_c*ICE*nga*ext",[1]OUT_TransportEnergyCons!$A$4:$A$10000))*1,[1]OUT_TransportEnergyCons!L$4:L$10000))*1000</f>
        <v>0</v>
      </c>
      <c r="O1997" s="1" cm="1">
        <f t="array" ref="O1997">(SUMPRODUCT(("Var_Cap"=[1]OUT_TransportEnergyCons!$B$4:$B$10000)*1,ISNUMBER(SEARCH("T_b_c*ICE*nga*ext",[1]OUT_TransportEnergyCons!$A$4:$A$10000))*1,[1]OUT_TransportEnergyCons!M$4:M$10000))*1000</f>
        <v>0</v>
      </c>
      <c r="P1997" s="1" cm="1">
        <f t="array" ref="P1997">(SUMPRODUCT(("Var_Cap"=[1]OUT_TransportEnergyCons!$B$4:$B$10000)*1,ISNUMBER(SEARCH("T_b_c*ICE*nga*ext",[1]OUT_TransportEnergyCons!$A$4:$A$10000))*1,[1]OUT_TransportEnergyCons!N$4:N$10000))*1000</f>
        <v>0</v>
      </c>
      <c r="Q1997" s="1" cm="1">
        <f t="array" ref="Q1997">(SUMPRODUCT(("Var_Cap"=[1]OUT_TransportEnergyCons!$B$4:$B$10000)*1,ISNUMBER(SEARCH("T_b_c*ICE*nga*ext",[1]OUT_TransportEnergyCons!$A$4:$A$10000))*1,[1]OUT_TransportEnergyCons!O$4:O$10000))*1000</f>
        <v>0</v>
      </c>
      <c r="S1997" s="3"/>
    </row>
    <row r="1998" spans="2:19" x14ac:dyDescent="0.5">
      <c r="B1998" s="5" t="str">
        <f t="shared" si="2165"/>
        <v>SPS1</v>
      </c>
      <c r="C1998" s="5" t="str">
        <f t="shared" si="2166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8.4951632163215605E-4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5.4352919065454698E-3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-8.6697975418038197E-7</v>
      </c>
      <c r="J1998" s="1" cm="1">
        <f t="array" ref="J1998">(SUMPRODUCT(("Var_Cap"=[1]OUT_TransportEnergyCons!$B$4:$B$10000)*1,ISNUMBER(SEARCH("T_b_c*ICE*nga*s1",[1]OUT_TransportEnergyCons!$A$4:$A$10000))*1,[1]OUT_TransportEnergyCons!H$4:H$10000))*1000</f>
        <v>9.5777301994010665E-7</v>
      </c>
      <c r="K1998" s="1" cm="1">
        <f t="array" ref="K1998">(SUMPRODUCT(("Var_Cap"=[1]OUT_TransportEnergyCons!$B$4:$B$10000)*1,ISNUMBER(SEARCH("T_b_c*ICE*nga*s1",[1]OUT_TransportEnergyCons!$A$4:$A$10000))*1,[1]OUT_TransportEnergyCons!I$4:I$10000))*1000</f>
        <v>0</v>
      </c>
      <c r="L1998" s="1" cm="1">
        <f t="array" ref="L1998">(SUMPRODUCT(("Var_Cap"=[1]OUT_TransportEnergyCons!$B$4:$B$10000)*1,ISNUMBER(SEARCH("T_b_c*ICE*nga*s1",[1]OUT_TransportEnergyCons!$A$4:$A$10000))*1,[1]OUT_TransportEnergyCons!J$4:J$10000))*1000</f>
        <v>0</v>
      </c>
      <c r="M1998" s="1" cm="1">
        <f t="array" ref="M1998">(SUMPRODUCT(("Var_Cap"=[1]OUT_TransportEnergyCons!$B$4:$B$10000)*1,ISNUMBER(SEARCH("T_b_c*ICE*nga*s1",[1]OUT_TransportEnergyCons!$A$4:$A$10000))*1,[1]OUT_TransportEnergyCons!K$4:K$10000))*1000</f>
        <v>0</v>
      </c>
      <c r="N1998" s="1" cm="1">
        <f t="array" ref="N1998">(SUMPRODUCT(("Var_Cap"=[1]OUT_TransportEnergyCons!$B$4:$B$10000)*1,ISNUMBER(SEARCH("T_b_c*ICE*nga*s1",[1]OUT_TransportEnergyCons!$A$4:$A$10000))*1,[1]OUT_TransportEnergyCons!L$4:L$10000))*1000</f>
        <v>0</v>
      </c>
      <c r="O1998" s="1" cm="1">
        <f t="array" ref="O1998">(SUMPRODUCT(("Var_Cap"=[1]OUT_TransportEnergyCons!$B$4:$B$10000)*1,ISNUMBER(SEARCH("T_b_c*ICE*nga*s1",[1]OUT_TransportEnergyCons!$A$4:$A$10000))*1,[1]OUT_TransportEnergyCons!M$4:M$10000))*1000</f>
        <v>0</v>
      </c>
      <c r="P1998" s="1" cm="1">
        <f t="array" ref="P1998">(SUMPRODUCT(("Var_Cap"=[1]OUT_TransportEnergyCons!$B$4:$B$10000)*1,ISNUMBER(SEARCH("T_b_c*ICE*nga*s1",[1]OUT_TransportEnergyCons!$A$4:$A$10000))*1,[1]OUT_TransportEnergyCons!N$4:N$10000))*1000</f>
        <v>0</v>
      </c>
      <c r="Q1998" s="1" cm="1">
        <f t="array" ref="Q1998">(SUMPRODUCT(("Var_Cap"=[1]OUT_TransportEnergyCons!$B$4:$B$10000)*1,ISNUMBER(SEARCH("T_b_c*ICE*nga*s1",[1]OUT_TransportEnergyCons!$A$4:$A$10000))*1,[1]OUT_TransportEnergyCons!O$4:O$10000))*1000</f>
        <v>0</v>
      </c>
      <c r="S1998" s="3"/>
    </row>
    <row r="1999" spans="2:19" x14ac:dyDescent="0.5">
      <c r="B1999" s="5" t="str">
        <f t="shared" si="2165"/>
        <v>SPS1</v>
      </c>
      <c r="C1999" s="5" t="str">
        <f t="shared" si="2166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4.4600159048877703E-4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2.1212411334687702E-3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0</v>
      </c>
      <c r="J1999" s="1" cm="1">
        <f t="array" ref="J1999">IF((SUMPRODUCT(("Var_Cap"=[1]OUT_TransportEnergyCons!$B$4:$B$10000)*1,ISNUMBER(SEARCH("T_b_c*ICE*nga*s2",[1]OUT_TransportEnergyCons!$A$4:$A$10000))*1,[1]OUT_TransportEnergyCons!H$4:H$10000))*1000&lt;0,0,(SUMPRODUCT(("Var_Cap"=[1]OUT_TransportEnergyCons!$B$4:$B$10000)*1,ISNUMBER(SEARCH("T_b_c*ICE*nga*s2",[1]OUT_TransportEnergyCons!$A$4:$A$10000))*1,[1]OUT_TransportEnergyCons!H$4:H$10000))*1000)</f>
        <v>2.3918669692300523E-7</v>
      </c>
      <c r="K1999" s="1" cm="1">
        <f t="array" ref="K1999">IF((SUMPRODUCT(("Var_Cap"=[1]OUT_TransportEnergyCons!$B$4:$B$10000)*1,ISNUMBER(SEARCH("T_b_c*ICE*nga*s2",[1]OUT_TransportEnergyCons!$A$4:$A$10000))*1,[1]OUT_TransportEnergyCons!I$4:I$10000))*1000&lt;0,0,(SUMPRODUCT(("Var_Cap"=[1]OUT_TransportEnergyCons!$B$4:$B$10000)*1,ISNUMBER(SEARCH("T_b_c*ICE*nga*s2",[1]OUT_TransportEnergyCons!$A$4:$A$10000))*1,[1]OUT_TransportEnergyCons!I$4:I$10000))*1000)</f>
        <v>0</v>
      </c>
      <c r="L1999" s="1" cm="1">
        <f t="array" ref="L1999">IF((SUMPRODUCT(("Var_Cap"=[1]OUT_TransportEnergyCons!$B$4:$B$10000)*1,ISNUMBER(SEARCH("T_b_c*ICE*nga*s2",[1]OUT_TransportEnergyCons!$A$4:$A$10000))*1,[1]OUT_TransportEnergyCons!J$4:J$10000))*1000&lt;0,0,(SUMPRODUCT(("Var_Cap"=[1]OUT_TransportEnergyCons!$B$4:$B$10000)*1,ISNUMBER(SEARCH("T_b_c*ICE*nga*s2",[1]OUT_TransportEnergyCons!$A$4:$A$10000))*1,[1]OUT_TransportEnergyCons!J$4:J$10000))*1000)</f>
        <v>0</v>
      </c>
      <c r="M1999" s="1" cm="1">
        <f t="array" ref="M1999">IF((SUMPRODUCT(("Var_Cap"=[1]OUT_TransportEnergyCons!$B$4:$B$10000)*1,ISNUMBER(SEARCH("T_b_c*ICE*nga*s2",[1]OUT_TransportEnergyCons!$A$4:$A$10000))*1,[1]OUT_TransportEnergyCons!K$4:K$10000))*1000&lt;0,0,(SUMPRODUCT(("Var_Cap"=[1]OUT_TransportEnergyCons!$B$4:$B$10000)*1,ISNUMBER(SEARCH("T_b_c*ICE*nga*s2",[1]OUT_TransportEnergyCons!$A$4:$A$10000))*1,[1]OUT_TransportEnergyCons!K$4:K$10000))*1000)</f>
        <v>0</v>
      </c>
      <c r="N1999" s="1" cm="1">
        <f t="array" ref="N1999">IF((SUMPRODUCT(("Var_Cap"=[1]OUT_TransportEnergyCons!$B$4:$B$10000)*1,ISNUMBER(SEARCH("T_b_c*ICE*nga*s2",[1]OUT_TransportEnergyCons!$A$4:$A$10000))*1,[1]OUT_TransportEnergyCons!L$4:L$10000))*1000&lt;0,0,(SUMPRODUCT(("Var_Cap"=[1]OUT_TransportEnergyCons!$B$4:$B$10000)*1,ISNUMBER(SEARCH("T_b_c*ICE*nga*s2",[1]OUT_TransportEnergyCons!$A$4:$A$10000))*1,[1]OUT_TransportEnergyCons!L$4:L$10000))*1000)</f>
        <v>0</v>
      </c>
      <c r="O1999" s="1" cm="1">
        <f t="array" ref="O1999">IF((SUMPRODUCT(("Var_Cap"=[1]OUT_TransportEnergyCons!$B$4:$B$10000)*1,ISNUMBER(SEARCH("T_b_c*ICE*nga*s2",[1]OUT_TransportEnergyCons!$A$4:$A$10000))*1,[1]OUT_TransportEnergyCons!M$4:M$10000))*1000&lt;0,0,(SUMPRODUCT(("Var_Cap"=[1]OUT_TransportEnergyCons!$B$4:$B$10000)*1,ISNUMBER(SEARCH("T_b_c*ICE*nga*s2",[1]OUT_TransportEnergyCons!$A$4:$A$10000))*1,[1]OUT_TransportEnergyCons!M$4:M$10000))*1000)</f>
        <v>0</v>
      </c>
      <c r="P1999" s="1" cm="1">
        <f t="array" ref="P1999">IF((SUMPRODUCT(("Var_Cap"=[1]OUT_TransportEnergyCons!$B$4:$B$10000)*1,ISNUMBER(SEARCH("T_b_c*ICE*nga*s2",[1]OUT_TransportEnergyCons!$A$4:$A$10000))*1,[1]OUT_TransportEnergyCons!N$4:N$10000))*1000&lt;0,0,(SUMPRODUCT(("Var_Cap"=[1]OUT_TransportEnergyCons!$B$4:$B$10000)*1,ISNUMBER(SEARCH("T_b_c*ICE*nga*s2",[1]OUT_TransportEnergyCons!$A$4:$A$10000))*1,[1]OUT_TransportEnergyCons!N$4:N$10000))*1000)</f>
        <v>0</v>
      </c>
      <c r="Q1999" s="1" cm="1">
        <f t="array" ref="Q1999">IF((SUMPRODUCT(("Var_Cap"=[1]OUT_TransportEnergyCons!$B$4:$B$10000)*1,ISNUMBER(SEARCH("T_b_c*ICE*nga*s2",[1]OUT_TransportEnergyCons!$A$4:$A$10000))*1,[1]OUT_TransportEnergyCons!O$4:O$10000))*1000&lt;0,0,(SUMPRODUCT(("Var_Cap"=[1]OUT_TransportEnergyCons!$B$4:$B$10000)*1,ISNUMBER(SEARCH("T_b_c*ICE*nga*s2",[1]OUT_TransportEnergyCons!$A$4:$A$10000))*1,[1]OUT_TransportEnergyCons!O$4:O$10000))*1000)</f>
        <v>0</v>
      </c>
      <c r="S1999" s="3"/>
    </row>
    <row r="2000" spans="2:19" x14ac:dyDescent="0.5">
      <c r="B2000" s="5" t="str">
        <f t="shared" si="2165"/>
        <v>SPS1</v>
      </c>
      <c r="C2000" s="5" t="str">
        <f t="shared" si="2166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2.7065294086173598E-4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9.6081234143684897E-4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1.0068528793229511E-6</v>
      </c>
      <c r="J2000" s="1" cm="1">
        <f t="array" ref="J2000">(SUMPRODUCT(("Var_Cap"=[1]OUT_TransportEnergyCons!$B$4:$B$10000)*1,ISNUMBER(SEARCH("T_b_c*ICE*nga*s3",[1]OUT_TransportEnergyCons!$A$4:$A$10000))*1,[1]OUT_TransportEnergyCons!H$4:H$10000))*1000</f>
        <v>0</v>
      </c>
      <c r="K2000" s="1" cm="1">
        <f t="array" ref="K2000">(SUMPRODUCT(("Var_Cap"=[1]OUT_TransportEnergyCons!$B$4:$B$10000)*1,ISNUMBER(SEARCH("T_b_c*ICE*nga*s3",[1]OUT_TransportEnergyCons!$A$4:$A$10000))*1,[1]OUT_TransportEnergyCons!I$4:I$10000))*1000</f>
        <v>0</v>
      </c>
      <c r="L2000" s="1" cm="1">
        <f t="array" ref="L2000">(SUMPRODUCT(("Var_Cap"=[1]OUT_TransportEnergyCons!$B$4:$B$10000)*1,ISNUMBER(SEARCH("T_b_c*ICE*nga*s3",[1]OUT_TransportEnergyCons!$A$4:$A$10000))*1,[1]OUT_TransportEnergyCons!J$4:J$10000))*1000</f>
        <v>0</v>
      </c>
      <c r="M2000" s="1" cm="1">
        <f t="array" ref="M2000">(SUMPRODUCT(("Var_Cap"=[1]OUT_TransportEnergyCons!$B$4:$B$10000)*1,ISNUMBER(SEARCH("T_b_c*ICE*nga*s3",[1]OUT_TransportEnergyCons!$A$4:$A$10000))*1,[1]OUT_TransportEnergyCons!K$4:K$10000))*1000</f>
        <v>0</v>
      </c>
      <c r="N2000" s="1" cm="1">
        <f t="array" ref="N2000">(SUMPRODUCT(("Var_Cap"=[1]OUT_TransportEnergyCons!$B$4:$B$10000)*1,ISNUMBER(SEARCH("T_b_c*ICE*nga*s3",[1]OUT_TransportEnergyCons!$A$4:$A$10000))*1,[1]OUT_TransportEnergyCons!L$4:L$10000))*1000</f>
        <v>0</v>
      </c>
      <c r="O2000" s="1" cm="1">
        <f t="array" ref="O2000">(SUMPRODUCT(("Var_Cap"=[1]OUT_TransportEnergyCons!$B$4:$B$10000)*1,ISNUMBER(SEARCH("T_b_c*ICE*nga*s3",[1]OUT_TransportEnergyCons!$A$4:$A$10000))*1,[1]OUT_TransportEnergyCons!M$4:M$10000))*1000</f>
        <v>0</v>
      </c>
      <c r="P2000" s="1" cm="1">
        <f t="array" ref="P2000">(SUMPRODUCT(("Var_Cap"=[1]OUT_TransportEnergyCons!$B$4:$B$10000)*1,ISNUMBER(SEARCH("T_b_c*ICE*nga*s3",[1]OUT_TransportEnergyCons!$A$4:$A$10000))*1,[1]OUT_TransportEnergyCons!N$4:N$10000))*1000</f>
        <v>0</v>
      </c>
      <c r="Q2000" s="1" cm="1">
        <f t="array" ref="Q2000">(SUMPRODUCT(("Var_Cap"=[1]OUT_TransportEnergyCons!$B$4:$B$10000)*1,ISNUMBER(SEARCH("T_b_c*ICE*nga*s3",[1]OUT_TransportEnergyCons!$A$4:$A$10000))*1,[1]OUT_TransportEnergyCons!O$4:O$10000))*1000</f>
        <v>0</v>
      </c>
      <c r="S2000" s="3"/>
    </row>
    <row r="2001" spans="2:19" x14ac:dyDescent="0.5">
      <c r="B2001" s="5" t="str">
        <f t="shared" si="2165"/>
        <v>SPS1</v>
      </c>
      <c r="C2001" s="5" t="str">
        <f t="shared" si="2166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9.7547315219476504E-5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2.4994190561347104E-4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0</v>
      </c>
      <c r="J2001" s="1" cm="1">
        <f t="array" ref="J2001">IF((SUMPRODUCT(("Var_Cap"=[1]OUT_TransportEnergyCons!$B$4:$B$10000)*1,ISNUMBER(SEARCH("T_b_c*ICE*nga*s4",[1]OUT_TransportEnergyCons!$A$4:$A$10000))*1,[1]OUT_TransportEnergyCons!H$4:H$10000))*1000&lt;0,0,(SUMPRODUCT(("Var_Cap"=[1]OUT_TransportEnergyCons!$B$4:$B$10000)*1,ISNUMBER(SEARCH("T_b_c*ICE*nga*s4",[1]OUT_TransportEnergyCons!$A$4:$A$10000))*1,[1]OUT_TransportEnergyCons!H$4:H$10000))*1000)</f>
        <v>0</v>
      </c>
      <c r="K2001" s="1" cm="1">
        <f t="array" ref="K2001">IF((SUMPRODUCT(("Var_Cap"=[1]OUT_TransportEnergyCons!$B$4:$B$10000)*1,ISNUMBER(SEARCH("T_b_c*ICE*nga*s4",[1]OUT_TransportEnergyCons!$A$4:$A$10000))*1,[1]OUT_TransportEnergyCons!I$4:I$10000))*1000&lt;0,0,(SUMPRODUCT(("Var_Cap"=[1]OUT_TransportEnergyCons!$B$4:$B$10000)*1,ISNUMBER(SEARCH("T_b_c*ICE*nga*s4",[1]OUT_TransportEnergyCons!$A$4:$A$10000))*1,[1]OUT_TransportEnergyCons!I$4:I$10000))*1000)</f>
        <v>0</v>
      </c>
      <c r="L2001" s="1" cm="1">
        <f t="array" ref="L2001">IF((SUMPRODUCT(("Var_Cap"=[1]OUT_TransportEnergyCons!$B$4:$B$10000)*1,ISNUMBER(SEARCH("T_b_c*ICE*nga*s4",[1]OUT_TransportEnergyCons!$A$4:$A$10000))*1,[1]OUT_TransportEnergyCons!J$4:J$10000))*1000&lt;0,0,(SUMPRODUCT(("Var_Cap"=[1]OUT_TransportEnergyCons!$B$4:$B$10000)*1,ISNUMBER(SEARCH("T_b_c*ICE*nga*s4",[1]OUT_TransportEnergyCons!$A$4:$A$10000))*1,[1]OUT_TransportEnergyCons!J$4:J$10000))*1000)</f>
        <v>0</v>
      </c>
      <c r="M2001" s="1" cm="1">
        <f t="array" ref="M2001">IF((SUMPRODUCT(("Var_Cap"=[1]OUT_TransportEnergyCons!$B$4:$B$10000)*1,ISNUMBER(SEARCH("T_b_c*ICE*nga*s4",[1]OUT_TransportEnergyCons!$A$4:$A$10000))*1,[1]OUT_TransportEnergyCons!K$4:K$10000))*1000&lt;0,0,(SUMPRODUCT(("Var_Cap"=[1]OUT_TransportEnergyCons!$B$4:$B$10000)*1,ISNUMBER(SEARCH("T_b_c*ICE*nga*s4",[1]OUT_TransportEnergyCons!$A$4:$A$10000))*1,[1]OUT_TransportEnergyCons!K$4:K$10000))*1000)</f>
        <v>0</v>
      </c>
      <c r="N2001" s="1" cm="1">
        <f t="array" ref="N2001">IF((SUMPRODUCT(("Var_Cap"=[1]OUT_TransportEnergyCons!$B$4:$B$10000)*1,ISNUMBER(SEARCH("T_b_c*ICE*nga*s4",[1]OUT_TransportEnergyCons!$A$4:$A$10000))*1,[1]OUT_TransportEnergyCons!L$4:L$10000))*1000&lt;0,0,(SUMPRODUCT(("Var_Cap"=[1]OUT_TransportEnergyCons!$B$4:$B$10000)*1,ISNUMBER(SEARCH("T_b_c*ICE*nga*s4",[1]OUT_TransportEnergyCons!$A$4:$A$10000))*1,[1]OUT_TransportEnergyCons!L$4:L$10000))*1000)</f>
        <v>0</v>
      </c>
      <c r="O2001" s="1" cm="1">
        <f t="array" ref="O2001">IF((SUMPRODUCT(("Var_Cap"=[1]OUT_TransportEnergyCons!$B$4:$B$10000)*1,ISNUMBER(SEARCH("T_b_c*ICE*nga*s4",[1]OUT_TransportEnergyCons!$A$4:$A$10000))*1,[1]OUT_TransportEnergyCons!M$4:M$10000))*1000&lt;0,0,(SUMPRODUCT(("Var_Cap"=[1]OUT_TransportEnergyCons!$B$4:$B$10000)*1,ISNUMBER(SEARCH("T_b_c*ICE*nga*s4",[1]OUT_TransportEnergyCons!$A$4:$A$10000))*1,[1]OUT_TransportEnergyCons!M$4:M$10000))*1000)</f>
        <v>0</v>
      </c>
      <c r="P2001" s="1" cm="1">
        <f t="array" ref="P2001">IF((SUMPRODUCT(("Var_Cap"=[1]OUT_TransportEnergyCons!$B$4:$B$10000)*1,ISNUMBER(SEARCH("T_b_c*ICE*nga*s4",[1]OUT_TransportEnergyCons!$A$4:$A$10000))*1,[1]OUT_TransportEnergyCons!N$4:N$10000))*1000&lt;0,0,(SUMPRODUCT(("Var_Cap"=[1]OUT_TransportEnergyCons!$B$4:$B$10000)*1,ISNUMBER(SEARCH("T_b_c*ICE*nga*s4",[1]OUT_TransportEnergyCons!$A$4:$A$10000))*1,[1]OUT_TransportEnergyCons!N$4:N$10000))*1000)</f>
        <v>0</v>
      </c>
      <c r="Q2001" s="1" cm="1">
        <f t="array" ref="Q2001">IF((SUMPRODUCT(("Var_Cap"=[1]OUT_TransportEnergyCons!$B$4:$B$10000)*1,ISNUMBER(SEARCH("T_b_c*ICE*nga*s4",[1]OUT_TransportEnergyCons!$A$4:$A$10000))*1,[1]OUT_TransportEnergyCons!O$4:O$10000))*1000&lt;0,0,(SUMPRODUCT(("Var_Cap"=[1]OUT_TransportEnergyCons!$B$4:$B$10000)*1,ISNUMBER(SEARCH("T_b_c*ICE*nga*s4",[1]OUT_TransportEnergyCons!$A$4:$A$10000))*1,[1]OUT_TransportEnergyCons!O$4:O$10000))*1000)</f>
        <v>0</v>
      </c>
      <c r="S2001" s="3"/>
    </row>
    <row r="2002" spans="2:19" x14ac:dyDescent="0.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393.11980079802578</v>
      </c>
      <c r="G2002" s="3">
        <f t="shared" ref="G2002:K2002" si="2167">SUM(G2003:G2011)</f>
        <v>399.40169322509581</v>
      </c>
      <c r="H2002" s="3">
        <f t="shared" si="2167"/>
        <v>407.07921402391679</v>
      </c>
      <c r="I2002" s="3">
        <f t="shared" si="2167"/>
        <v>419.87974501213887</v>
      </c>
      <c r="J2002" s="3">
        <f t="shared" si="2167"/>
        <v>443.91391811077591</v>
      </c>
      <c r="K2002" s="3">
        <f t="shared" si="2167"/>
        <v>467.96220460588131</v>
      </c>
      <c r="L2002" s="3">
        <f t="shared" ref="L2002:O2002" si="2168">SUM(L2003:L2011)</f>
        <v>487.50702375041487</v>
      </c>
      <c r="M2002" s="3">
        <f t="shared" si="2168"/>
        <v>507.02447074255133</v>
      </c>
      <c r="N2002" s="3">
        <f t="shared" si="2168"/>
        <v>507.02446399480482</v>
      </c>
      <c r="O2002" s="3">
        <f t="shared" si="2168"/>
        <v>507.02450225387736</v>
      </c>
      <c r="P2002" s="3">
        <f>SUM(P2003:P2011)</f>
        <v>507.02452718093423</v>
      </c>
      <c r="Q2002" s="3">
        <f>SUM(Q2003:Q2011)</f>
        <v>507.02461227656829</v>
      </c>
      <c r="S2002" s="3"/>
    </row>
    <row r="2003" spans="2:19" x14ac:dyDescent="0.5">
      <c r="B2003" s="5" t="str">
        <f t="shared" ref="B2003:B2011" si="2169">B2002</f>
        <v>SPS1</v>
      </c>
      <c r="C2003" s="5" t="str">
        <f t="shared" ref="C2003:C2011" si="2170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1.9499105325088901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1.6899752612864463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1.2999894546102622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(SUMPRODUCT(("Var_Cap"=[1]OUT_TransportEnergyCons!$B$4:$B$10000)*1,("-"=[1]OUT_TransportEnergyCons!$C$4:$C$10000)*1,ISNUMBER(SEARCH("tfl*bev*ext",[1]OUT_TransportEnergyCons!$A$4:$A$10000))*1,[1]OUT_TransportEnergyCons!H$4:H$10000))*1000</f>
        <v>0</v>
      </c>
      <c r="K2003" s="1" cm="1">
        <f t="array" ref="K2003">(SUMPRODUCT(("Var_Cap"=[1]OUT_TransportEnergyCons!$B$4:$B$10000)*1,("-"=[1]OUT_TransportEnergyCons!$C$4:$C$10000)*1,ISNUMBER(SEARCH("tfl*bev*ext",[1]OUT_TransportEnergyCons!$A$4:$A$10000))*1,[1]OUT_TransportEnergyCons!I$4:I$10000))*1000</f>
        <v>0</v>
      </c>
      <c r="L2003" s="1" cm="1">
        <f t="array" ref="L2003">(SUMPRODUCT(("Var_Cap"=[1]OUT_TransportEnergyCons!$B$4:$B$10000)*1,("-"=[1]OUT_TransportEnergyCons!$C$4:$C$10000)*1,ISNUMBER(SEARCH("tfl*bev*ext",[1]OUT_TransportEnergyCons!$A$4:$A$10000))*1,[1]OUT_TransportEnergyCons!J$4:J$10000))*1000</f>
        <v>0</v>
      </c>
      <c r="M2003" s="1" cm="1">
        <f t="array" ref="M2003">(SUMPRODUCT(("Var_Cap"=[1]OUT_TransportEnergyCons!$B$4:$B$10000)*1,("-"=[1]OUT_TransportEnergyCons!$C$4:$C$10000)*1,ISNUMBER(SEARCH("tfl*bev*ext",[1]OUT_TransportEnergyCons!$A$4:$A$10000))*1,[1]OUT_TransportEnergyCons!K$4:K$10000))*1000</f>
        <v>0</v>
      </c>
      <c r="N2003" s="1" cm="1">
        <f t="array" ref="N2003">(SUMPRODUCT(("Var_Cap"=[1]OUT_TransportEnergyCons!$B$4:$B$10000)*1,("-"=[1]OUT_TransportEnergyCons!$C$4:$C$10000)*1,ISNUMBER(SEARCH("tfl*bev*ext",[1]OUT_TransportEnergyCons!$A$4:$A$10000))*1,[1]OUT_TransportEnergyCons!L$4:L$10000))*1000</f>
        <v>0</v>
      </c>
      <c r="O2003" s="1" cm="1">
        <f t="array" ref="O2003">(SUMPRODUCT(("Var_Cap"=[1]OUT_TransportEnergyCons!$B$4:$B$10000)*1,("-"=[1]OUT_TransportEnergyCons!$C$4:$C$10000)*1,ISNUMBER(SEARCH("tfl*bev*ext",[1]OUT_TransportEnergyCons!$A$4:$A$10000))*1,[1]OUT_TransportEnergyCons!M$4:M$10000))*1000</f>
        <v>0</v>
      </c>
      <c r="P2003" s="1" cm="1">
        <f t="array" ref="P2003">(SUMPRODUCT(("Var_Cap"=[1]OUT_TransportEnergyCons!$B$4:$B$10000)*1,("-"=[1]OUT_TransportEnergyCons!$C$4:$C$10000)*1,ISNUMBER(SEARCH("tfl*bev*ext",[1]OUT_TransportEnergyCons!$A$4:$A$10000))*1,[1]OUT_TransportEnergyCons!N$4:N$10000))*1000</f>
        <v>0</v>
      </c>
      <c r="Q2003" s="1" cm="1">
        <f t="array" ref="Q2003">(SUMPRODUCT(("Var_Cap"=[1]OUT_TransportEnergyCons!$B$4:$B$10000)*1,("-"=[1]OUT_TransportEnergyCons!$C$4:$C$10000)*1,ISNUMBER(SEARCH("tfl*bev*ext",[1]OUT_TransportEnergyCons!$A$4:$A$10000))*1,[1]OUT_TransportEnergyCons!O$4:O$10000))*1000</f>
        <v>0</v>
      </c>
      <c r="S2003" s="3"/>
    </row>
    <row r="2004" spans="2:19" x14ac:dyDescent="0.5">
      <c r="B2004" s="5" t="str">
        <f t="shared" si="2169"/>
        <v>SPS1</v>
      </c>
      <c r="C2004" s="5" t="str">
        <f t="shared" si="2170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1.6988740549201948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3.8038927072147644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14.164585468566866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58.518132130985933</v>
      </c>
      <c r="J2004" s="1" cm="1">
        <f t="array" ref="J2004">(SUMPRODUCT(("Var_Cap"=[1]OUT_TransportEnergyCons!$B$4:$B$10000)*1,("-"=[1]OUT_TransportEnergyCons!$C$4:$C$10000)*1,ISNUMBER(SEARCH("tfl*bev*",[1]OUT_TransportEnergyCons!$A$4:$A$10000))*1,[1]OUT_TransportEnergyCons!H$4:H$10000))*1000-J2003</f>
        <v>194.93015388199063</v>
      </c>
      <c r="K2004" s="1" cm="1">
        <f t="array" ref="K2004">(SUMPRODUCT(("Var_Cap"=[1]OUT_TransportEnergyCons!$B$4:$B$10000)*1,("-"=[1]OUT_TransportEnergyCons!$C$4:$C$10000)*1,ISNUMBER(SEARCH("tfl*bev*",[1]OUT_TransportEnergyCons!$A$4:$A$10000))*1,[1]OUT_TransportEnergyCons!I$4:I$10000))*1000-K2003</f>
        <v>344.39167544249335</v>
      </c>
      <c r="L2004" s="1" cm="1">
        <f t="array" ref="L2004">(SUMPRODUCT(("Var_Cap"=[1]OUT_TransportEnergyCons!$B$4:$B$10000)*1,("-"=[1]OUT_TransportEnergyCons!$C$4:$C$10000)*1,ISNUMBER(SEARCH("tfl*bev*",[1]OUT_TransportEnergyCons!$A$4:$A$10000))*1,[1]OUT_TransportEnergyCons!J$4:J$10000))*1000-L2003</f>
        <v>356.26972767319745</v>
      </c>
      <c r="M2004" s="1" cm="1">
        <f t="array" ref="M2004">(SUMPRODUCT(("Var_Cap"=[1]OUT_TransportEnergyCons!$B$4:$B$10000)*1,("-"=[1]OUT_TransportEnergyCons!$C$4:$C$10000)*1,ISNUMBER(SEARCH("tfl*bev*",[1]OUT_TransportEnergyCons!$A$4:$A$10000))*1,[1]OUT_TransportEnergyCons!K$4:K$10000))*1000-M2003</f>
        <v>369.04135885736019</v>
      </c>
      <c r="N2004" s="1" cm="1">
        <f t="array" ref="N2004">(SUMPRODUCT(("Var_Cap"=[1]OUT_TransportEnergyCons!$B$4:$B$10000)*1,("-"=[1]OUT_TransportEnergyCons!$C$4:$C$10000)*1,ISNUMBER(SEARCH("tfl*bev*",[1]OUT_TransportEnergyCons!$A$4:$A$10000))*1,[1]OUT_TransportEnergyCons!L$4:L$10000))*1000-N2003</f>
        <v>369.05641755572759</v>
      </c>
      <c r="O2004" s="1" cm="1">
        <f t="array" ref="O2004">(SUMPRODUCT(("Var_Cap"=[1]OUT_TransportEnergyCons!$B$4:$B$10000)*1,("-"=[1]OUT_TransportEnergyCons!$C$4:$C$10000)*1,ISNUMBER(SEARCH("tfl*bev*",[1]OUT_TransportEnergyCons!$A$4:$A$10000))*1,[1]OUT_TransportEnergyCons!M$4:M$10000))*1000-O2003</f>
        <v>369.07043721791143</v>
      </c>
      <c r="P2004" s="1" cm="1">
        <f t="array" ref="P2004">(SUMPRODUCT(("Var_Cap"=[1]OUT_TransportEnergyCons!$B$4:$B$10000)*1,("-"=[1]OUT_TransportEnergyCons!$C$4:$C$10000)*1,ISNUMBER(SEARCH("tfl*bev*",[1]OUT_TransportEnergyCons!$A$4:$A$10000))*1,[1]OUT_TransportEnergyCons!N$4:N$10000))*1000-P2003</f>
        <v>369.08358145263441</v>
      </c>
      <c r="Q2004" s="1" cm="1">
        <f t="array" ref="Q2004">(SUMPRODUCT(("Var_Cap"=[1]OUT_TransportEnergyCons!$B$4:$B$10000)*1,("-"=[1]OUT_TransportEnergyCons!$C$4:$C$10000)*1,ISNUMBER(SEARCH("tfl*bev*",[1]OUT_TransportEnergyCons!$A$4:$A$10000))*1,[1]OUT_TransportEnergyCons!O$4:O$10000))*1000-Q2003</f>
        <v>369.08682083263301</v>
      </c>
      <c r="S2004" s="3"/>
    </row>
    <row r="2005" spans="2:19" x14ac:dyDescent="0.5">
      <c r="B2005" s="5" t="str">
        <f t="shared" si="2169"/>
        <v>SPS1</v>
      </c>
      <c r="C2005" s="5" t="str">
        <f t="shared" si="2170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7.4798175319980799E-3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1.0686694335179997E-2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8.3283338408259066E-4</v>
      </c>
      <c r="J2005" s="1" cm="1">
        <f t="array" ref="J2005">(SUMPRODUCT(("Var_Cap"=[1]OUT_TransportEnergyCons!$B$4:$B$10000)*1,("-"=[1]OUT_TransportEnergyCons!$C$4:$C$10000)*1,ISNUMBER(SEARCH("tfl*h2o*",[1]OUT_TransportEnergyCons!$A$4:$A$10000))*1,[1]OUT_TransportEnergyCons!H$4:H$10000))*1000</f>
        <v>7.9108310524626986E-4</v>
      </c>
      <c r="K2005" s="1" cm="1">
        <f t="array" ref="K2005">(SUMPRODUCT(("Var_Cap"=[1]OUT_TransportEnergyCons!$B$4:$B$10000)*1,("-"=[1]OUT_TransportEnergyCons!$C$4:$C$10000)*1,ISNUMBER(SEARCH("tfl*h2o*",[1]OUT_TransportEnergyCons!$A$4:$A$10000))*1,[1]OUT_TransportEnergyCons!I$4:I$10000))*1000</f>
        <v>7.5498953613679302E-4</v>
      </c>
      <c r="L2005" s="1" cm="1">
        <f t="array" ref="L2005">(SUMPRODUCT(("Var_Cap"=[1]OUT_TransportEnergyCons!$B$4:$B$10000)*1,("-"=[1]OUT_TransportEnergyCons!$C$4:$C$10000)*1,ISNUMBER(SEARCH("tfl*h2o*",[1]OUT_TransportEnergyCons!$A$4:$A$10000))*1,[1]OUT_TransportEnergyCons!J$4:J$10000))*1000</f>
        <v>7.5426050210624653E-4</v>
      </c>
      <c r="M2005" s="1" cm="1">
        <f t="array" ref="M2005">(SUMPRODUCT(("Var_Cap"=[1]OUT_TransportEnergyCons!$B$4:$B$10000)*1,("-"=[1]OUT_TransportEnergyCons!$C$4:$C$10000)*1,ISNUMBER(SEARCH("tfl*h2o*",[1]OUT_TransportEnergyCons!$A$4:$A$10000))*1,[1]OUT_TransportEnergyCons!K$4:K$10000))*1000</f>
        <v>7.2664715772923492E-4</v>
      </c>
      <c r="N2005" s="1" cm="1">
        <f t="array" ref="N2005">(SUMPRODUCT(("Var_Cap"=[1]OUT_TransportEnergyCons!$B$4:$B$10000)*1,("-"=[1]OUT_TransportEnergyCons!$C$4:$C$10000)*1,ISNUMBER(SEARCH("tfl*h2o*",[1]OUT_TransportEnergyCons!$A$4:$A$10000))*1,[1]OUT_TransportEnergyCons!L$4:L$10000))*1000</f>
        <v>6.9177462614431634E-4</v>
      </c>
      <c r="O2005" s="1" cm="1">
        <f t="array" ref="O2005">(SUMPRODUCT(("Var_Cap"=[1]OUT_TransportEnergyCons!$B$4:$B$10000)*1,("-"=[1]OUT_TransportEnergyCons!$C$4:$C$10000)*1,ISNUMBER(SEARCH("tfl*h2o*",[1]OUT_TransportEnergyCons!$A$4:$A$10000))*1,[1]OUT_TransportEnergyCons!M$4:M$10000))*1000</f>
        <v>6.5642742844718909E-4</v>
      </c>
      <c r="P2005" s="1" cm="1">
        <f t="array" ref="P2005">(SUMPRODUCT(("Var_Cap"=[1]OUT_TransportEnergyCons!$B$4:$B$10000)*1,("-"=[1]OUT_TransportEnergyCons!$C$4:$C$10000)*1,ISNUMBER(SEARCH("tfl*h2o*",[1]OUT_TransportEnergyCons!$A$4:$A$10000))*1,[1]OUT_TransportEnergyCons!N$4:N$10000))*1000</f>
        <v>5.9787289610143649E-4</v>
      </c>
      <c r="Q2005" s="1" cm="1">
        <f t="array" ref="Q2005">(SUMPRODUCT(("Var_Cap"=[1]OUT_TransportEnergyCons!$B$4:$B$10000)*1,("-"=[1]OUT_TransportEnergyCons!$C$4:$C$10000)*1,ISNUMBER(SEARCH("tfl*h2o*",[1]OUT_TransportEnergyCons!$A$4:$A$10000))*1,[1]OUT_TransportEnergyCons!O$4:O$10000))*1000</f>
        <v>2.3760008998922498E-3</v>
      </c>
      <c r="S2005" s="3"/>
    </row>
    <row r="2006" spans="2:19" x14ac:dyDescent="0.5">
      <c r="B2006" s="5" t="str">
        <f t="shared" si="2169"/>
        <v>SPS1</v>
      </c>
      <c r="C2006" s="5" t="str">
        <f t="shared" si="2170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39.84250350957582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39.825020105723631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30.634627901943805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(SUMPRODUCT(("Var_Cap"=[1]OUT_TransportEnergyCons!$B$4:$B$10000)*1,("-"=[1]OUT_TransportEnergyCons!$C$4:$C$10000)*1,ISNUMBER(SEARCH("TfL*ICE*GSL*ext",[1]OUT_TransportEnergyCons!$A$4:$A$10000))*1,[1]OUT_TransportEnergyCons!H$4:H$10000))*1000</f>
        <v>0</v>
      </c>
      <c r="K2006" s="1" cm="1">
        <f t="array" ref="K2006">(SUMPRODUCT(("Var_Cap"=[1]OUT_TransportEnergyCons!$B$4:$B$10000)*1,("-"=[1]OUT_TransportEnergyCons!$C$4:$C$10000)*1,ISNUMBER(SEARCH("TfL*ICE*GSL*ext",[1]OUT_TransportEnergyCons!$A$4:$A$10000))*1,[1]OUT_TransportEnergyCons!I$4:I$10000))*1000</f>
        <v>0</v>
      </c>
      <c r="L2006" s="1" cm="1">
        <f t="array" ref="L2006">(SUMPRODUCT(("Var_Cap"=[1]OUT_TransportEnergyCons!$B$4:$B$10000)*1,("-"=[1]OUT_TransportEnergyCons!$C$4:$C$10000)*1,ISNUMBER(SEARCH("TfL*ICE*GSL*ext",[1]OUT_TransportEnergyCons!$A$4:$A$10000))*1,[1]OUT_TransportEnergyCons!J$4:J$10000))*1000</f>
        <v>0</v>
      </c>
      <c r="M2006" s="1" cm="1">
        <f t="array" ref="M2006">(SUMPRODUCT(("Var_Cap"=[1]OUT_TransportEnergyCons!$B$4:$B$10000)*1,("-"=[1]OUT_TransportEnergyCons!$C$4:$C$10000)*1,ISNUMBER(SEARCH("TfL*ICE*GSL*ext",[1]OUT_TransportEnergyCons!$A$4:$A$10000))*1,[1]OUT_TransportEnergyCons!K$4:K$10000))*1000</f>
        <v>0</v>
      </c>
      <c r="N2006" s="1" cm="1">
        <f t="array" ref="N2006">(SUMPRODUCT(("Var_Cap"=[1]OUT_TransportEnergyCons!$B$4:$B$10000)*1,("-"=[1]OUT_TransportEnergyCons!$C$4:$C$10000)*1,ISNUMBER(SEARCH("TfL*ICE*GSL*ext",[1]OUT_TransportEnergyCons!$A$4:$A$10000))*1,[1]OUT_TransportEnergyCons!L$4:L$10000))*1000</f>
        <v>0</v>
      </c>
      <c r="O2006" s="1" cm="1">
        <f t="array" ref="O2006">(SUMPRODUCT(("Var_Cap"=[1]OUT_TransportEnergyCons!$B$4:$B$10000)*1,("-"=[1]OUT_TransportEnergyCons!$C$4:$C$10000)*1,ISNUMBER(SEARCH("TfL*ICE*GSL*ext",[1]OUT_TransportEnergyCons!$A$4:$A$10000))*1,[1]OUT_TransportEnergyCons!M$4:M$10000))*1000</f>
        <v>0</v>
      </c>
      <c r="P2006" s="1" cm="1">
        <f t="array" ref="P2006">(SUMPRODUCT(("Var_Cap"=[1]OUT_TransportEnergyCons!$B$4:$B$10000)*1,("-"=[1]OUT_TransportEnergyCons!$C$4:$C$10000)*1,ISNUMBER(SEARCH("TfL*ICE*GSL*ext",[1]OUT_TransportEnergyCons!$A$4:$A$10000))*1,[1]OUT_TransportEnergyCons!N$4:N$10000))*1000</f>
        <v>0</v>
      </c>
      <c r="Q2006" s="1" cm="1">
        <f t="array" ref="Q2006">(SUMPRODUCT(("Var_Cap"=[1]OUT_TransportEnergyCons!$B$4:$B$10000)*1,("-"=[1]OUT_TransportEnergyCons!$C$4:$C$10000)*1,ISNUMBER(SEARCH("TfL*ICE*GSL*ext",[1]OUT_TransportEnergyCons!$A$4:$A$10000))*1,[1]OUT_TransportEnergyCons!O$4:O$10000))*1000</f>
        <v>0</v>
      </c>
      <c r="S2006" s="3"/>
    </row>
    <row r="2007" spans="2:19" x14ac:dyDescent="0.5">
      <c r="B2007" s="5" t="str">
        <f t="shared" si="2169"/>
        <v>SPS1</v>
      </c>
      <c r="C2007" s="5" t="str">
        <f t="shared" si="2170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12.434883995678419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14.256385275072972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26.643177847363379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47.71323103672411</v>
      </c>
      <c r="J2007" s="1" cm="1">
        <f t="array" ref="J2007">(SUMPRODUCT(("Var_Cap"=[1]OUT_TransportEnergyCons!$B$4:$B$10000)*1,("-"=[1]OUT_TransportEnergyCons!$C$4:$C$10000)*1,ISNUMBER(SEARCH("TfL*ICE*GSL*",[1]OUT_TransportEnergyCons!$A$4:$A$10000))*1,[1]OUT_TransportEnergyCons!H$4:H$10000))*1000-J2006</f>
        <v>69.360871937613013</v>
      </c>
      <c r="K2007" s="1" cm="1">
        <f t="array" ref="K2007">(SUMPRODUCT(("Var_Cap"=[1]OUT_TransportEnergyCons!$B$4:$B$10000)*1,("-"=[1]OUT_TransportEnergyCons!$C$4:$C$10000)*1,ISNUMBER(SEARCH("TfL*ICE*GSL*",[1]OUT_TransportEnergyCons!$A$4:$A$10000))*1,[1]OUT_TransportEnergyCons!I$4:I$10000))*1000-K2006</f>
        <v>41.640700867226684</v>
      </c>
      <c r="L2007" s="1" cm="1">
        <f t="array" ref="L2007">(SUMPRODUCT(("Var_Cap"=[1]OUT_TransportEnergyCons!$B$4:$B$10000)*1,("-"=[1]OUT_TransportEnergyCons!$C$4:$C$10000)*1,ISNUMBER(SEARCH("TfL*ICE*GSL*",[1]OUT_TransportEnergyCons!$A$4:$A$10000))*1,[1]OUT_TransportEnergyCons!J$4:J$10000))*1000-L2006</f>
        <v>45.821831364899005</v>
      </c>
      <c r="M2007" s="1" cm="1">
        <f t="array" ref="M2007">(SUMPRODUCT(("Var_Cap"=[1]OUT_TransportEnergyCons!$B$4:$B$10000)*1,("-"=[1]OUT_TransportEnergyCons!$C$4:$C$10000)*1,ISNUMBER(SEARCH("TfL*ICE*GSL*",[1]OUT_TransportEnergyCons!$A$4:$A$10000))*1,[1]OUT_TransportEnergyCons!K$4:K$10000))*1000-M2006</f>
        <v>50.422457277262303</v>
      </c>
      <c r="N2007" s="1" cm="1">
        <f t="array" ref="N2007">(SUMPRODUCT(("Var_Cap"=[1]OUT_TransportEnergyCons!$B$4:$B$10000)*1,("-"=[1]OUT_TransportEnergyCons!$C$4:$C$10000)*1,ISNUMBER(SEARCH("TfL*ICE*GSL*",[1]OUT_TransportEnergyCons!$A$4:$A$10000))*1,[1]OUT_TransportEnergyCons!L$4:L$10000))*1000-N2006</f>
        <v>50.487117436918346</v>
      </c>
      <c r="O2007" s="1" cm="1">
        <f t="array" ref="O2007">(SUMPRODUCT(("Var_Cap"=[1]OUT_TransportEnergyCons!$B$4:$B$10000)*1,("-"=[1]OUT_TransportEnergyCons!$C$4:$C$10000)*1,ISNUMBER(SEARCH("TfL*ICE*GSL*",[1]OUT_TransportEnergyCons!$A$4:$A$10000))*1,[1]OUT_TransportEnergyCons!M$4:M$10000))*1000-O2006</f>
        <v>50.620060537740393</v>
      </c>
      <c r="P2007" s="1" cm="1">
        <f t="array" ref="P2007">(SUMPRODUCT(("Var_Cap"=[1]OUT_TransportEnergyCons!$B$4:$B$10000)*1,("-"=[1]OUT_TransportEnergyCons!$C$4:$C$10000)*1,ISNUMBER(SEARCH("TfL*ICE*GSL*",[1]OUT_TransportEnergyCons!$A$4:$A$10000))*1,[1]OUT_TransportEnergyCons!N$4:N$10000))*1000-P2006</f>
        <v>50.746924160936778</v>
      </c>
      <c r="Q2007" s="1" cm="1">
        <f t="array" ref="Q2007">(SUMPRODUCT(("Var_Cap"=[1]OUT_TransportEnergyCons!$B$4:$B$10000)*1,("-"=[1]OUT_TransportEnergyCons!$C$4:$C$10000)*1,ISNUMBER(SEARCH("TfL*ICE*GSL*",[1]OUT_TransportEnergyCons!$A$4:$A$10000))*1,[1]OUT_TransportEnergyCons!O$4:O$10000))*1000-Q2006</f>
        <v>50.527874746720627</v>
      </c>
      <c r="S2007" s="3"/>
    </row>
    <row r="2008" spans="2:19" x14ac:dyDescent="0.5">
      <c r="B2008" s="5" t="str">
        <f t="shared" si="2169"/>
        <v>SPS1</v>
      </c>
      <c r="C2008" s="5" t="str">
        <f t="shared" si="2170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228.68007078687643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198.46047650006221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152.66191223640874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76.330968762834203</v>
      </c>
      <c r="J2008" s="1" cm="1">
        <f t="array" ref="J2008">(SUMPRODUCT(("Var_Cap"=[1]OUT_TransportEnergyCons!$B$4:$B$10000)*1,("-"=[1]OUT_TransportEnergyCons!$C$4:$C$10000)*1,ISNUMBER(SEARCH("tfl*ICE*DSL*ext",[1]OUT_TransportEnergyCons!$A$4:$A$10000))*1,[1]OUT_TransportEnergyCons!H$4:H$10000))*1000</f>
        <v>0</v>
      </c>
      <c r="K2008" s="1" cm="1">
        <f t="array" ref="K2008">(SUMPRODUCT(("Var_Cap"=[1]OUT_TransportEnergyCons!$B$4:$B$10000)*1,("-"=[1]OUT_TransportEnergyCons!$C$4:$C$10000)*1,ISNUMBER(SEARCH("tfl*ICE*DSL*ext",[1]OUT_TransportEnergyCons!$A$4:$A$10000))*1,[1]OUT_TransportEnergyCons!I$4:I$10000))*1000</f>
        <v>0</v>
      </c>
      <c r="L2008" s="1" cm="1">
        <f t="array" ref="L2008">(SUMPRODUCT(("Var_Cap"=[1]OUT_TransportEnergyCons!$B$4:$B$10000)*1,("-"=[1]OUT_TransportEnergyCons!$C$4:$C$10000)*1,ISNUMBER(SEARCH("tfl*ICE*DSL*ext",[1]OUT_TransportEnergyCons!$A$4:$A$10000))*1,[1]OUT_TransportEnergyCons!J$4:J$10000))*1000</f>
        <v>0</v>
      </c>
      <c r="M2008" s="1" cm="1">
        <f t="array" ref="M2008">(SUMPRODUCT(("Var_Cap"=[1]OUT_TransportEnergyCons!$B$4:$B$10000)*1,("-"=[1]OUT_TransportEnergyCons!$C$4:$C$10000)*1,ISNUMBER(SEARCH("tfl*ICE*DSL*ext",[1]OUT_TransportEnergyCons!$A$4:$A$10000))*1,[1]OUT_TransportEnergyCons!K$4:K$10000))*1000</f>
        <v>0</v>
      </c>
      <c r="N2008" s="1" cm="1">
        <f t="array" ref="N2008">(SUMPRODUCT(("Var_Cap"=[1]OUT_TransportEnergyCons!$B$4:$B$10000)*1,("-"=[1]OUT_TransportEnergyCons!$C$4:$C$10000)*1,ISNUMBER(SEARCH("tfl*ICE*DSL*ext",[1]OUT_TransportEnergyCons!$A$4:$A$10000))*1,[1]OUT_TransportEnergyCons!L$4:L$10000))*1000</f>
        <v>0</v>
      </c>
      <c r="O2008" s="1" cm="1">
        <f t="array" ref="O2008">(SUMPRODUCT(("Var_Cap"=[1]OUT_TransportEnergyCons!$B$4:$B$10000)*1,("-"=[1]OUT_TransportEnergyCons!$C$4:$C$10000)*1,ISNUMBER(SEARCH("tfl*ICE*DSL*ext",[1]OUT_TransportEnergyCons!$A$4:$A$10000))*1,[1]OUT_TransportEnergyCons!M$4:M$10000))*1000</f>
        <v>0</v>
      </c>
      <c r="P2008" s="1" cm="1">
        <f t="array" ref="P2008">(SUMPRODUCT(("Var_Cap"=[1]OUT_TransportEnergyCons!$B$4:$B$10000)*1,("-"=[1]OUT_TransportEnergyCons!$C$4:$C$10000)*1,ISNUMBER(SEARCH("tfl*ICE*DSL*ext",[1]OUT_TransportEnergyCons!$A$4:$A$10000))*1,[1]OUT_TransportEnergyCons!N$4:N$10000))*1000</f>
        <v>0</v>
      </c>
      <c r="Q2008" s="1" cm="1">
        <f t="array" ref="Q2008">(SUMPRODUCT(("Var_Cap"=[1]OUT_TransportEnergyCons!$B$4:$B$10000)*1,("-"=[1]OUT_TransportEnergyCons!$C$4:$C$10000)*1,ISNUMBER(SEARCH("tfl*ICE*DSL*ext",[1]OUT_TransportEnergyCons!$A$4:$A$10000))*1,[1]OUT_TransportEnergyCons!O$4:O$10000))*1000</f>
        <v>0</v>
      </c>
      <c r="S2008" s="3"/>
    </row>
    <row r="2009" spans="2:19" x14ac:dyDescent="0.5">
      <c r="B2009" s="5" t="str">
        <f t="shared" si="2169"/>
        <v>SPS1</v>
      </c>
      <c r="C2009" s="5" t="str">
        <f t="shared" si="2170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106.16875875581755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125.19290053784988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125.4476626159198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71.369755961388023</v>
      </c>
      <c r="J2009" s="1" cm="1">
        <f t="array" ref="J2009">(SUMPRODUCT(("Var_Cap"=[1]OUT_TransportEnergyCons!$B$4:$B$10000)*1,("-"=[1]OUT_TransportEnergyCons!$C$4:$C$10000)*1,ISNUMBER(SEARCH("tfl*ICE*DSL*",[1]OUT_TransportEnergyCons!$A$4:$A$10000))*1,[1]OUT_TransportEnergyCons!H$4:H$10000))*1000-J2008</f>
        <v>9.9192421571313787</v>
      </c>
      <c r="K2009" s="1" cm="1">
        <f t="array" ref="K2009">(SUMPRODUCT(("Var_Cap"=[1]OUT_TransportEnergyCons!$B$4:$B$10000)*1,("-"=[1]OUT_TransportEnergyCons!$C$4:$C$10000)*1,ISNUMBER(SEARCH("tfl*ICE*DSL*",[1]OUT_TransportEnergyCons!$A$4:$A$10000))*1,[1]OUT_TransportEnergyCons!I$4:I$10000))*1000-K2008</f>
        <v>9.6966351958010222</v>
      </c>
      <c r="L2009" s="1" cm="1">
        <f t="array" ref="L2009">(SUMPRODUCT(("Var_Cap"=[1]OUT_TransportEnergyCons!$B$4:$B$10000)*1,("-"=[1]OUT_TransportEnergyCons!$C$4:$C$10000)*1,ISNUMBER(SEARCH("tfl*ICE*DSL*",[1]OUT_TransportEnergyCons!$A$4:$A$10000))*1,[1]OUT_TransportEnergyCons!J$4:J$10000))*1000-L2008</f>
        <v>5.5150425597351118</v>
      </c>
      <c r="M2009" s="1" cm="1">
        <f t="array" ref="M2009">(SUMPRODUCT(("Var_Cap"=[1]OUT_TransportEnergyCons!$B$4:$B$10000)*1,("-"=[1]OUT_TransportEnergyCons!$C$4:$C$10000)*1,ISNUMBER(SEARCH("tfl*ICE*DSL*",[1]OUT_TransportEnergyCons!$A$4:$A$10000))*1,[1]OUT_TransportEnergyCons!K$4:K$10000))*1000-M2008</f>
        <v>0.91152205044945633</v>
      </c>
      <c r="N2009" s="1" cm="1">
        <f t="array" ref="N2009">(SUMPRODUCT(("Var_Cap"=[1]OUT_TransportEnergyCons!$B$4:$B$10000)*1,("-"=[1]OUT_TransportEnergyCons!$C$4:$C$10000)*1,ISNUMBER(SEARCH("tfl*ICE*DSL*",[1]OUT_TransportEnergyCons!$A$4:$A$10000))*1,[1]OUT_TransportEnergyCons!L$4:L$10000))*1000-N2008</f>
        <v>0.84657251605174677</v>
      </c>
      <c r="O2009" s="1" cm="1">
        <f t="array" ref="O2009">(SUMPRODUCT(("Var_Cap"=[1]OUT_TransportEnergyCons!$B$4:$B$10000)*1,("-"=[1]OUT_TransportEnergyCons!$C$4:$C$10000)*1,ISNUMBER(SEARCH("tfl*ICE*DSL*",[1]OUT_TransportEnergyCons!$A$4:$A$10000))*1,[1]OUT_TransportEnergyCons!M$4:M$10000))*1000-O2008</f>
        <v>0.71287874688984609</v>
      </c>
      <c r="P2009" s="1" cm="1">
        <f t="array" ref="P2009">(SUMPRODUCT(("Var_Cap"=[1]OUT_TransportEnergyCons!$B$4:$B$10000)*1,("-"=[1]OUT_TransportEnergyCons!$C$4:$C$10000)*1,ISNUMBER(SEARCH("tfl*ICE*DSL*",[1]OUT_TransportEnergyCons!$A$4:$A$10000))*1,[1]OUT_TransportEnergyCons!N$4:N$10000))*1000-P2008</f>
        <v>0.58437253343512552</v>
      </c>
      <c r="Q2009" s="1" cm="1">
        <f t="array" ref="Q2009">(SUMPRODUCT(("Var_Cap"=[1]OUT_TransportEnergyCons!$B$4:$B$10000)*1,("-"=[1]OUT_TransportEnergyCons!$C$4:$C$10000)*1,ISNUMBER(SEARCH("tfl*ICE*DSL*",[1]OUT_TransportEnergyCons!$A$4:$A$10000))*1,[1]OUT_TransportEnergyCons!O$4:O$10000))*1000-Q2008</f>
        <v>0.79987833158036448</v>
      </c>
      <c r="S2009" s="3"/>
    </row>
    <row r="2010" spans="2:19" x14ac:dyDescent="0.5">
      <c r="B2010" s="5" t="str">
        <f t="shared" si="2169"/>
        <v>SPS1</v>
      </c>
      <c r="C2010" s="5" t="str">
        <f t="shared" si="2170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14.1065975934875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54.569650835440733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149.97625505230727</v>
      </c>
      <c r="J2010" s="1" cm="1">
        <f t="array" ref="J2010">(SUMPRODUCT(("Var_Cap"=[1]OUT_TransportEnergyCons!$B$4:$B$10000)*1,("-"=[1]OUT_TransportEnergyCons!$C$4:$C$10000)*1,ISNUMBER(SEARCH("tfl*hyb*DSL*",[1]OUT_TransportEnergyCons!$A$4:$A$10000))*1,[1]OUT_TransportEnergyCons!H$4:H$10000))*1000</f>
        <v>169.70019132203356</v>
      </c>
      <c r="K2010" s="1" cm="1">
        <f t="array" ref="K2010">(SUMPRODUCT(("Var_Cap"=[1]OUT_TransportEnergyCons!$B$4:$B$10000)*1,("-"=[1]OUT_TransportEnergyCons!$C$4:$C$10000)*1,ISNUMBER(SEARCH("tfl*hyb*DSL*",[1]OUT_TransportEnergyCons!$A$4:$A$10000))*1,[1]OUT_TransportEnergyCons!I$4:I$10000))*1000</f>
        <v>72.22990400990092</v>
      </c>
      <c r="L2010" s="1" cm="1">
        <f t="array" ref="L2010">(SUMPRODUCT(("Var_Cap"=[1]OUT_TransportEnergyCons!$B$4:$B$10000)*1,("-"=[1]OUT_TransportEnergyCons!$C$4:$C$10000)*1,ISNUMBER(SEARCH("tfl*hyb*DSL*",[1]OUT_TransportEnergyCons!$A$4:$A$10000))*1,[1]OUT_TransportEnergyCons!J$4:J$10000))*1000</f>
        <v>79.897111737504517</v>
      </c>
      <c r="M2010" s="1" cm="1">
        <f t="array" ref="M2010">(SUMPRODUCT(("Var_Cap"=[1]OUT_TransportEnergyCons!$B$4:$B$10000)*1,("-"=[1]OUT_TransportEnergyCons!$C$4:$C$10000)*1,ISNUMBER(SEARCH("tfl*hyb*DSL*",[1]OUT_TransportEnergyCons!$A$4:$A$10000))*1,[1]OUT_TransportEnergyCons!K$4:K$10000))*1000</f>
        <v>86.645757639087321</v>
      </c>
      <c r="N2010" s="1" cm="1">
        <f t="array" ref="N2010">(SUMPRODUCT(("Var_Cap"=[1]OUT_TransportEnergyCons!$B$4:$B$10000)*1,("-"=[1]OUT_TransportEnergyCons!$C$4:$C$10000)*1,ISNUMBER(SEARCH("tfl*hyb*DSL*",[1]OUT_TransportEnergyCons!$A$4:$A$10000))*1,[1]OUT_TransportEnergyCons!L$4:L$10000))*1000</f>
        <v>86.630991080329309</v>
      </c>
      <c r="O2010" s="1" cm="1">
        <f t="array" ref="O2010">(SUMPRODUCT(("Var_Cap"=[1]OUT_TransportEnergyCons!$B$4:$B$10000)*1,("-"=[1]OUT_TransportEnergyCons!$C$4:$C$10000)*1,ISNUMBER(SEARCH("tfl*hyb*DSL*",[1]OUT_TransportEnergyCons!$A$4:$A$10000))*1,[1]OUT_TransportEnergyCons!M$4:M$10000))*1000</f>
        <v>86.617755202485455</v>
      </c>
      <c r="P2010" s="1" cm="1">
        <f t="array" ref="P2010">(SUMPRODUCT(("Var_Cap"=[1]OUT_TransportEnergyCons!$B$4:$B$10000)*1,("-"=[1]OUT_TransportEnergyCons!$C$4:$C$10000)*1,ISNUMBER(SEARCH("tfl*hyb*DSL*",[1]OUT_TransportEnergyCons!$A$4:$A$10000))*1,[1]OUT_TransportEnergyCons!N$4:N$10000))*1000</f>
        <v>86.606245401684859</v>
      </c>
      <c r="Q2010" s="1" cm="1">
        <f t="array" ref="Q2010">(SUMPRODUCT(("Var_Cap"=[1]OUT_TransportEnergyCons!$B$4:$B$10000)*1,("-"=[1]OUT_TransportEnergyCons!$C$4:$C$10000)*1,ISNUMBER(SEARCH("tfl*hyb*DSL*",[1]OUT_TransportEnergyCons!$A$4:$A$10000))*1,[1]OUT_TransportEnergyCons!O$4:O$10000))*1000</f>
        <v>86.604837236291843</v>
      </c>
      <c r="S2010" s="3"/>
    </row>
    <row r="2011" spans="2:19" x14ac:dyDescent="0.5">
      <c r="B2011" s="5" t="str">
        <f t="shared" si="2169"/>
        <v>SPS1</v>
      </c>
      <c r="C2011" s="5" t="str">
        <f t="shared" si="2170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2.3447991626484628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2.0589654268663899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1.6469209693280447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3.2359011819124922E-3</v>
      </c>
      <c r="J2011" s="1" cm="1">
        <f t="array" ref="J2011">(SUMPRODUCT(("Var_Cap"=[1]OUT_TransportEnergyCons!$B$4:$B$10000)*1,("-"=[1]OUT_TransportEnergyCons!$C$4:$C$10000)*1,ISNUMBER(SEARCH("tfl*ice*nga*",[1]OUT_TransportEnergyCons!$A$4:$A$10000))*1,[1]OUT_TransportEnergyCons!H$4:H$10000))*1000</f>
        <v>2.6677289020567594E-3</v>
      </c>
      <c r="K2011" s="1" cm="1">
        <f t="array" ref="K2011">(SUMPRODUCT(("Var_Cap"=[1]OUT_TransportEnergyCons!$B$4:$B$10000)*1,("-"=[1]OUT_TransportEnergyCons!$C$4:$C$10000)*1,ISNUMBER(SEARCH("tfl*ice*nga*",[1]OUT_TransportEnergyCons!$A$4:$A$10000))*1,[1]OUT_TransportEnergyCons!I$4:I$10000))*1000</f>
        <v>2.5341009231607749E-3</v>
      </c>
      <c r="L2011" s="1" cm="1">
        <f t="array" ref="L2011">(SUMPRODUCT(("Var_Cap"=[1]OUT_TransportEnergyCons!$B$4:$B$10000)*1,("-"=[1]OUT_TransportEnergyCons!$C$4:$C$10000)*1,ISNUMBER(SEARCH("tfl*ice*nga*",[1]OUT_TransportEnergyCons!$A$4:$A$10000))*1,[1]OUT_TransportEnergyCons!J$4:J$10000))*1000</f>
        <v>2.5561545766679713E-3</v>
      </c>
      <c r="M2011" s="1" cm="1">
        <f t="array" ref="M2011">(SUMPRODUCT(("Var_Cap"=[1]OUT_TransportEnergyCons!$B$4:$B$10000)*1,("-"=[1]OUT_TransportEnergyCons!$C$4:$C$10000)*1,ISNUMBER(SEARCH("tfl*ice*nga*",[1]OUT_TransportEnergyCons!$A$4:$A$10000))*1,[1]OUT_TransportEnergyCons!K$4:K$10000))*1000</f>
        <v>2.6482712343734939E-3</v>
      </c>
      <c r="N2011" s="1" cm="1">
        <f t="array" ref="N2011">(SUMPRODUCT(("Var_Cap"=[1]OUT_TransportEnergyCons!$B$4:$B$10000)*1,("-"=[1]OUT_TransportEnergyCons!$C$4:$C$10000)*1,ISNUMBER(SEARCH("tfl*ice*nga*",[1]OUT_TransportEnergyCons!$A$4:$A$10000))*1,[1]OUT_TransportEnergyCons!L$4:L$10000))*1000</f>
        <v>2.6736311516622219E-3</v>
      </c>
      <c r="O2011" s="1" cm="1">
        <f t="array" ref="O2011">(SUMPRODUCT(("Var_Cap"=[1]OUT_TransportEnergyCons!$B$4:$B$10000)*1,("-"=[1]OUT_TransportEnergyCons!$C$4:$C$10000)*1,ISNUMBER(SEARCH("tfl*ice*nga*",[1]OUT_TransportEnergyCons!$A$4:$A$10000))*1,[1]OUT_TransportEnergyCons!M$4:M$10000))*1000</f>
        <v>2.7141214217917217E-3</v>
      </c>
      <c r="P2011" s="1" cm="1">
        <f t="array" ref="P2011">(SUMPRODUCT(("Var_Cap"=[1]OUT_TransportEnergyCons!$B$4:$B$10000)*1,("-"=[1]OUT_TransportEnergyCons!$C$4:$C$10000)*1,ISNUMBER(SEARCH("tfl*ice*nga*",[1]OUT_TransportEnergyCons!$A$4:$A$10000))*1,[1]OUT_TransportEnergyCons!N$4:N$10000))*1000</f>
        <v>2.8057593469625899E-3</v>
      </c>
      <c r="Q2011" s="1" cm="1">
        <f t="array" ref="Q2011">(SUMPRODUCT(("Var_Cap"=[1]OUT_TransportEnergyCons!$B$4:$B$10000)*1,("-"=[1]OUT_TransportEnergyCons!$C$4:$C$10000)*1,ISNUMBER(SEARCH("tfl*ice*nga*",[1]OUT_TransportEnergyCons!$A$4:$A$10000))*1,[1]OUT_TransportEnergyCons!O$4:O$10000))*1000</f>
        <v>2.8251284424968552E-3</v>
      </c>
      <c r="S2011" s="3"/>
    </row>
    <row r="2012" spans="2:19" x14ac:dyDescent="0.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41.478665163294735</v>
      </c>
      <c r="G2012" s="3">
        <f t="shared" ref="G2012" si="2171">SUM(G2013:G2021)</f>
        <v>43.007424919922741</v>
      </c>
      <c r="H2012" s="3">
        <f t="shared" ref="H2012" si="2172">SUM(H2013:H2021)</f>
        <v>43.497572251628405</v>
      </c>
      <c r="I2012" s="3">
        <f t="shared" ref="I2012" si="2173">SUM(I2013:I2021)</f>
        <v>45.397777285910571</v>
      </c>
      <c r="J2012" s="3">
        <f t="shared" ref="J2012" si="2174">SUM(J2013:J2021)</f>
        <v>47.377770774007303</v>
      </c>
      <c r="K2012" s="3">
        <f t="shared" ref="K2012" si="2175">SUM(K2013:K2021)</f>
        <v>49.357747756885963</v>
      </c>
      <c r="L2012" s="3">
        <f t="shared" ref="L2012:O2012" si="2176">SUM(L2013:L2021)</f>
        <v>51.363097130210583</v>
      </c>
      <c r="M2012" s="3">
        <f t="shared" si="2176"/>
        <v>53.368428996106758</v>
      </c>
      <c r="N2012" s="3">
        <f t="shared" si="2176"/>
        <v>55.268093904850154</v>
      </c>
      <c r="O2012" s="3">
        <f t="shared" si="2176"/>
        <v>57.194108418590766</v>
      </c>
      <c r="P2012" s="3">
        <f>SUM(P2013:P2021)</f>
        <v>59.230959836123255</v>
      </c>
      <c r="Q2012" s="3">
        <f>SUM(Q2013:Q2021)</f>
        <v>61.549862151859863</v>
      </c>
      <c r="S2012" s="3"/>
    </row>
    <row r="2013" spans="2:19" x14ac:dyDescent="0.5">
      <c r="B2013" s="5" t="str">
        <f t="shared" ref="B2013:B2021" si="2177">B2012</f>
        <v>SPS1</v>
      </c>
      <c r="C2013" s="5" t="str">
        <f t="shared" ref="C2013:C2021" si="2178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(SUMPRODUCT(("Var_Cap"=[1]OUT_TransportEnergyCons!$B$4:$B$10000)*1,("-"=[1]OUT_TransportEnergyCons!$C$4:$C$10000)*1,ISNUMBER(SEARCH("tfh*bev*ext",[1]OUT_TransportEnergyCons!$A$4:$A$10000))*1,[1]OUT_TransportEnergyCons!H$4:H$10000))*1000</f>
        <v>0</v>
      </c>
      <c r="K2013" s="1" cm="1">
        <f t="array" ref="K2013">(SUMPRODUCT(("Var_Cap"=[1]OUT_TransportEnergyCons!$B$4:$B$10000)*1,("-"=[1]OUT_TransportEnergyCons!$C$4:$C$10000)*1,ISNUMBER(SEARCH("tfh*bev*ext",[1]OUT_TransportEnergyCons!$A$4:$A$10000))*1,[1]OUT_TransportEnergyCons!I$4:I$10000))*1000</f>
        <v>0</v>
      </c>
      <c r="L2013" s="1" cm="1">
        <f t="array" ref="L2013">(SUMPRODUCT(("Var_Cap"=[1]OUT_TransportEnergyCons!$B$4:$B$10000)*1,("-"=[1]OUT_TransportEnergyCons!$C$4:$C$10000)*1,ISNUMBER(SEARCH("tfh*bev*ext",[1]OUT_TransportEnergyCons!$A$4:$A$10000))*1,[1]OUT_TransportEnergyCons!J$4:J$10000))*1000</f>
        <v>0</v>
      </c>
      <c r="M2013" s="1" cm="1">
        <f t="array" ref="M2013">(SUMPRODUCT(("Var_Cap"=[1]OUT_TransportEnergyCons!$B$4:$B$10000)*1,("-"=[1]OUT_TransportEnergyCons!$C$4:$C$10000)*1,ISNUMBER(SEARCH("tfh*bev*ext",[1]OUT_TransportEnergyCons!$A$4:$A$10000))*1,[1]OUT_TransportEnergyCons!K$4:K$10000))*1000</f>
        <v>0</v>
      </c>
      <c r="N2013" s="1" cm="1">
        <f t="array" ref="N2013">(SUMPRODUCT(("Var_Cap"=[1]OUT_TransportEnergyCons!$B$4:$B$10000)*1,("-"=[1]OUT_TransportEnergyCons!$C$4:$C$10000)*1,ISNUMBER(SEARCH("tfh*bev*ext",[1]OUT_TransportEnergyCons!$A$4:$A$10000))*1,[1]OUT_TransportEnergyCons!L$4:L$10000))*1000</f>
        <v>0</v>
      </c>
      <c r="O2013" s="1" cm="1">
        <f t="array" ref="O2013">(SUMPRODUCT(("Var_Cap"=[1]OUT_TransportEnergyCons!$B$4:$B$10000)*1,("-"=[1]OUT_TransportEnergyCons!$C$4:$C$10000)*1,ISNUMBER(SEARCH("tfh*bev*ext",[1]OUT_TransportEnergyCons!$A$4:$A$10000))*1,[1]OUT_TransportEnergyCons!M$4:M$10000))*1000</f>
        <v>0</v>
      </c>
      <c r="P2013" s="1" cm="1">
        <f t="array" ref="P2013">(SUMPRODUCT(("Var_Cap"=[1]OUT_TransportEnergyCons!$B$4:$B$10000)*1,("-"=[1]OUT_TransportEnergyCons!$C$4:$C$10000)*1,ISNUMBER(SEARCH("tfh*bev*ext",[1]OUT_TransportEnergyCons!$A$4:$A$10000))*1,[1]OUT_TransportEnergyCons!N$4:N$10000))*1000</f>
        <v>0</v>
      </c>
      <c r="Q2013" s="1" cm="1">
        <f t="array" ref="Q2013">(SUMPRODUCT(("Var_Cap"=[1]OUT_TransportEnergyCons!$B$4:$B$10000)*1,("-"=[1]OUT_TransportEnergyCons!$C$4:$C$10000)*1,ISNUMBER(SEARCH("tfh*bev*ext",[1]OUT_TransportEnergyCons!$A$4:$A$10000))*1,[1]OUT_TransportEnergyCons!O$4:O$10000))*1000</f>
        <v>0</v>
      </c>
      <c r="S2013" s="3"/>
    </row>
    <row r="2014" spans="2:19" x14ac:dyDescent="0.5">
      <c r="B2014" s="5" t="str">
        <f t="shared" si="2177"/>
        <v>SPS1</v>
      </c>
      <c r="C2014" s="5" t="str">
        <f t="shared" si="2178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3.6777810325957096E-2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4.415690129318886E-2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4.8193594289164907E-2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2.1986250300642201E-2</v>
      </c>
      <c r="J2014" s="1" cm="1">
        <f t="array" ref="J2014">(SUMPRODUCT(("Var_Cap"=[1]OUT_TransportEnergyCons!$B$4:$B$10000)*1,("-"=[1]OUT_TransportEnergyCons!$C$4:$C$10000)*1,ISNUMBER(SEARCH("tfh*bev*",[1]OUT_TransportEnergyCons!$A$4:$A$10000))*1,[1]OUT_TransportEnergyCons!H$4:H$10000))*1000-J2013</f>
        <v>1.30424624587241E-2</v>
      </c>
      <c r="K2014" s="1" cm="1">
        <f t="array" ref="K2014">(SUMPRODUCT(("Var_Cap"=[1]OUT_TransportEnergyCons!$B$4:$B$10000)*1,("-"=[1]OUT_TransportEnergyCons!$C$4:$C$10000)*1,ISNUMBER(SEARCH("tfh*bev*",[1]OUT_TransportEnergyCons!$A$4:$A$10000))*1,[1]OUT_TransportEnergyCons!I$4:I$10000))*1000-K2013</f>
        <v>2.4977659374787242E-2</v>
      </c>
      <c r="L2014" s="1" cm="1">
        <f t="array" ref="L2014">(SUMPRODUCT(("Var_Cap"=[1]OUT_TransportEnergyCons!$B$4:$B$10000)*1,("-"=[1]OUT_TransportEnergyCons!$C$4:$C$10000)*1,ISNUMBER(SEARCH("tfh*bev*",[1]OUT_TransportEnergyCons!$A$4:$A$10000))*1,[1]OUT_TransportEnergyCons!J$4:J$10000))*1000-L2013</f>
        <v>3.5343005553172199E-2</v>
      </c>
      <c r="M2014" s="1" cm="1">
        <f t="array" ref="M2014">(SUMPRODUCT(("Var_Cap"=[1]OUT_TransportEnergyCons!$B$4:$B$10000)*1,("-"=[1]OUT_TransportEnergyCons!$C$4:$C$10000)*1,ISNUMBER(SEARCH("tfh*bev*",[1]OUT_TransportEnergyCons!$A$4:$A$10000))*1,[1]OUT_TransportEnergyCons!K$4:K$10000))*1000-M2013</f>
        <v>6.5571374688558448E-2</v>
      </c>
      <c r="N2014" s="1" cm="1">
        <f t="array" ref="N2014">(SUMPRODUCT(("Var_Cap"=[1]OUT_TransportEnergyCons!$B$4:$B$10000)*1,("-"=[1]OUT_TransportEnergyCons!$C$4:$C$10000)*1,ISNUMBER(SEARCH("tfh*bev*",[1]OUT_TransportEnergyCons!$A$4:$A$10000))*1,[1]OUT_TransportEnergyCons!L$4:L$10000))*1000-N2013</f>
        <v>9.5621384318208963E-2</v>
      </c>
      <c r="O2014" s="1" cm="1">
        <f t="array" ref="O2014">(SUMPRODUCT(("Var_Cap"=[1]OUT_TransportEnergyCons!$B$4:$B$10000)*1,("-"=[1]OUT_TransportEnergyCons!$C$4:$C$10000)*1,ISNUMBER(SEARCH("tfh*bev*",[1]OUT_TransportEnergyCons!$A$4:$A$10000))*1,[1]OUT_TransportEnergyCons!M$4:M$10000))*1000-O2013</f>
        <v>0.11888219640289283</v>
      </c>
      <c r="P2014" s="1" cm="1">
        <f t="array" ref="P2014">(SUMPRODUCT(("Var_Cap"=[1]OUT_TransportEnergyCons!$B$4:$B$10000)*1,("-"=[1]OUT_TransportEnergyCons!$C$4:$C$10000)*1,ISNUMBER(SEARCH("tfh*bev*",[1]OUT_TransportEnergyCons!$A$4:$A$10000))*1,[1]OUT_TransportEnergyCons!N$4:N$10000))*1000-P2013</f>
        <v>0.2176570596177938</v>
      </c>
      <c r="Q2014" s="1" cm="1">
        <f t="array" ref="Q2014">(SUMPRODUCT(("Var_Cap"=[1]OUT_TransportEnergyCons!$B$4:$B$10000)*1,("-"=[1]OUT_TransportEnergyCons!$C$4:$C$10000)*1,ISNUMBER(SEARCH("tfh*bev*",[1]OUT_TransportEnergyCons!$A$4:$A$10000))*1,[1]OUT_TransportEnergyCons!O$4:O$10000))*1000-Q2013</f>
        <v>0.61882275103346207</v>
      </c>
      <c r="S2014" s="3"/>
    </row>
    <row r="2015" spans="2:19" x14ac:dyDescent="0.5">
      <c r="B2015" s="5" t="str">
        <f t="shared" si="2177"/>
        <v>SPS1</v>
      </c>
      <c r="C2015" s="5" t="str">
        <f t="shared" si="2178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1.2235594887887169E-2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6.6237536923302543E-3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6.8911186512788372E-3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5.3480983334808641E-4</v>
      </c>
      <c r="J2015" s="1" cm="1">
        <f t="array" ref="J2015">IF((SUMPRODUCT(("Var_Cap"=[1]OUT_TransportEnergyCons!$B$4:$B$10000)*1,("-"=[1]OUT_TransportEnergyCons!$C$4:$C$10000)*1,ISNUMBER(SEARCH("tfh*h2o*",[1]OUT_TransportEnergyCons!$A$4:$A$10000))*1,[1]OUT_TransportEnergyCons!H$4:H$10000))*1000&lt;0,0,(SUMPRODUCT(("Var_Cap"=[1]OUT_TransportEnergyCons!$B$4:$B$10000)*1,("-"=[1]OUT_TransportEnergyCons!$C$4:$C$10000)*1,ISNUMBER(SEARCH("tfh*h2o*",[1]OUT_TransportEnergyCons!$A$4:$A$10000))*1,[1]OUT_TransportEnergyCons!H$4:H$10000))*1000)</f>
        <v>5.2582164887003799E-4</v>
      </c>
      <c r="K2015" s="1" cm="1">
        <f t="array" ref="K2015">IF((SUMPRODUCT(("Var_Cap"=[1]OUT_TransportEnergyCons!$B$4:$B$10000)*1,("-"=[1]OUT_TransportEnergyCons!$C$4:$C$10000)*1,ISNUMBER(SEARCH("tfh*h2o*",[1]OUT_TransportEnergyCons!$A$4:$A$10000))*1,[1]OUT_TransportEnergyCons!I$4:I$10000))*1000&lt;0,0,(SUMPRODUCT(("Var_Cap"=[1]OUT_TransportEnergyCons!$B$4:$B$10000)*1,("-"=[1]OUT_TransportEnergyCons!$C$4:$C$10000)*1,ISNUMBER(SEARCH("tfh*h2o*",[1]OUT_TransportEnergyCons!$A$4:$A$10000))*1,[1]OUT_TransportEnergyCons!I$4:I$10000))*1000)</f>
        <v>5.04438282572387E-4</v>
      </c>
      <c r="L2015" s="1" cm="1">
        <f t="array" ref="L2015">IF((SUMPRODUCT(("Var_Cap"=[1]OUT_TransportEnergyCons!$B$4:$B$10000)*1,("-"=[1]OUT_TransportEnergyCons!$C$4:$C$10000)*1,ISNUMBER(SEARCH("tfh*h2o*",[1]OUT_TransportEnergyCons!$A$4:$A$10000))*1,[1]OUT_TransportEnergyCons!J$4:J$10000))*1000&lt;0,0,(SUMPRODUCT(("Var_Cap"=[1]OUT_TransportEnergyCons!$B$4:$B$10000)*1,("-"=[1]OUT_TransportEnergyCons!$C$4:$C$10000)*1,ISNUMBER(SEARCH("tfh*h2o*",[1]OUT_TransportEnergyCons!$A$4:$A$10000))*1,[1]OUT_TransportEnergyCons!J$4:J$10000))*1000)</f>
        <v>4.8346879054400702E-4</v>
      </c>
      <c r="M2015" s="1" cm="1">
        <f t="array" ref="M2015">IF((SUMPRODUCT(("Var_Cap"=[1]OUT_TransportEnergyCons!$B$4:$B$10000)*1,("-"=[1]OUT_TransportEnergyCons!$C$4:$C$10000)*1,ISNUMBER(SEARCH("tfh*h2o*",[1]OUT_TransportEnergyCons!$A$4:$A$10000))*1,[1]OUT_TransportEnergyCons!K$4:K$10000))*1000&lt;0,0,(SUMPRODUCT(("Var_Cap"=[1]OUT_TransportEnergyCons!$B$4:$B$10000)*1,("-"=[1]OUT_TransportEnergyCons!$C$4:$C$10000)*1,ISNUMBER(SEARCH("tfh*h2o*",[1]OUT_TransportEnergyCons!$A$4:$A$10000))*1,[1]OUT_TransportEnergyCons!K$4:K$10000))*1000)</f>
        <v>4.6441988863240197E-4</v>
      </c>
      <c r="N2015" s="1" cm="1">
        <f t="array" ref="N2015">IF((SUMPRODUCT(("Var_Cap"=[1]OUT_TransportEnergyCons!$B$4:$B$10000)*1,("-"=[1]OUT_TransportEnergyCons!$C$4:$C$10000)*1,ISNUMBER(SEARCH("tfh*h2o*",[1]OUT_TransportEnergyCons!$A$4:$A$10000))*1,[1]OUT_TransportEnergyCons!L$4:L$10000))*1000&lt;0,0,(SUMPRODUCT(("Var_Cap"=[1]OUT_TransportEnergyCons!$B$4:$B$10000)*1,("-"=[1]OUT_TransportEnergyCons!$C$4:$C$10000)*1,ISNUMBER(SEARCH("tfh*h2o*",[1]OUT_TransportEnergyCons!$A$4:$A$10000))*1,[1]OUT_TransportEnergyCons!L$4:L$10000))*1000)</f>
        <v>4.3994938137579013E-4</v>
      </c>
      <c r="O2015" s="1" cm="1">
        <f t="array" ref="O2015">IF((SUMPRODUCT(("Var_Cap"=[1]OUT_TransportEnergyCons!$B$4:$B$10000)*1,("-"=[1]OUT_TransportEnergyCons!$C$4:$C$10000)*1,ISNUMBER(SEARCH("tfh*h2o*",[1]OUT_TransportEnergyCons!$A$4:$A$10000))*1,[1]OUT_TransportEnergyCons!M$4:M$10000))*1000&lt;0,0,(SUMPRODUCT(("Var_Cap"=[1]OUT_TransportEnergyCons!$B$4:$B$10000)*1,("-"=[1]OUT_TransportEnergyCons!$C$4:$C$10000)*1,ISNUMBER(SEARCH("tfh*h2o*",[1]OUT_TransportEnergyCons!$A$4:$A$10000))*1,[1]OUT_TransportEnergyCons!M$4:M$10000))*1000)</f>
        <v>4.1882695732553896E-4</v>
      </c>
      <c r="P2015" s="1" cm="1">
        <f t="array" ref="P2015">IF((SUMPRODUCT(("Var_Cap"=[1]OUT_TransportEnergyCons!$B$4:$B$10000)*1,("-"=[1]OUT_TransportEnergyCons!$C$4:$C$10000)*1,ISNUMBER(SEARCH("tfh*h2o*",[1]OUT_TransportEnergyCons!$A$4:$A$10000))*1,[1]OUT_TransportEnergyCons!N$4:N$10000))*1000&lt;0,0,(SUMPRODUCT(("Var_Cap"=[1]OUT_TransportEnergyCons!$B$4:$B$10000)*1,("-"=[1]OUT_TransportEnergyCons!$C$4:$C$10000)*1,ISNUMBER(SEARCH("tfh*h2o*",[1]OUT_TransportEnergyCons!$A$4:$A$10000))*1,[1]OUT_TransportEnergyCons!N$4:N$10000))*1000)</f>
        <v>4.3074187747549309E-4</v>
      </c>
      <c r="Q2015" s="1" cm="1">
        <f t="array" ref="Q2015">IF((SUMPRODUCT(("Var_Cap"=[1]OUT_TransportEnergyCons!$B$4:$B$10000)*1,("-"=[1]OUT_TransportEnergyCons!$C$4:$C$10000)*1,ISNUMBER(SEARCH("tfh*h2o*",[1]OUT_TransportEnergyCons!$A$4:$A$10000))*1,[1]OUT_TransportEnergyCons!O$4:O$10000))*1000&lt;0,0,(SUMPRODUCT(("Var_Cap"=[1]OUT_TransportEnergyCons!$B$4:$B$10000)*1,("-"=[1]OUT_TransportEnergyCons!$C$4:$C$10000)*1,ISNUMBER(SEARCH("tfh*h2o*",[1]OUT_TransportEnergyCons!$A$4:$A$10000))*1,[1]OUT_TransportEnergyCons!O$4:O$10000))*1000)</f>
        <v>7.4821197698941204E-4</v>
      </c>
      <c r="S2015" s="3"/>
    </row>
    <row r="2016" spans="2:19" x14ac:dyDescent="0.5">
      <c r="B2016" s="5" t="str">
        <f t="shared" si="2177"/>
        <v>SPS1</v>
      </c>
      <c r="C2016" s="5" t="str">
        <f t="shared" si="2178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(SUMPRODUCT(("Var_Cap"=[1]OUT_TransportEnergyCons!$B$4:$B$10000)*1,("-"=[1]OUT_TransportEnergyCons!$C$4:$C$10000)*1,ISNUMBER(SEARCH("tfh*ICE*GSL*ext",[1]OUT_TransportEnergyCons!$A$4:$A$10000))*1,[1]OUT_TransportEnergyCons!H$4:H$10000))*1000</f>
        <v>0</v>
      </c>
      <c r="K2016" s="1" cm="1">
        <f t="array" ref="K2016">(SUMPRODUCT(("Var_Cap"=[1]OUT_TransportEnergyCons!$B$4:$B$10000)*1,("-"=[1]OUT_TransportEnergyCons!$C$4:$C$10000)*1,ISNUMBER(SEARCH("tfh*ICE*GSL*ext",[1]OUT_TransportEnergyCons!$A$4:$A$10000))*1,[1]OUT_TransportEnergyCons!I$4:I$10000))*1000</f>
        <v>0</v>
      </c>
      <c r="L2016" s="1" cm="1">
        <f t="array" ref="L2016">(SUMPRODUCT(("Var_Cap"=[1]OUT_TransportEnergyCons!$B$4:$B$10000)*1,("-"=[1]OUT_TransportEnergyCons!$C$4:$C$10000)*1,ISNUMBER(SEARCH("tfh*ICE*GSL*ext",[1]OUT_TransportEnergyCons!$A$4:$A$10000))*1,[1]OUT_TransportEnergyCons!J$4:J$10000))*1000</f>
        <v>0</v>
      </c>
      <c r="M2016" s="1" cm="1">
        <f t="array" ref="M2016">(SUMPRODUCT(("Var_Cap"=[1]OUT_TransportEnergyCons!$B$4:$B$10000)*1,("-"=[1]OUT_TransportEnergyCons!$C$4:$C$10000)*1,ISNUMBER(SEARCH("tfh*ICE*GSL*ext",[1]OUT_TransportEnergyCons!$A$4:$A$10000))*1,[1]OUT_TransportEnergyCons!K$4:K$10000))*1000</f>
        <v>0</v>
      </c>
      <c r="N2016" s="1" cm="1">
        <f t="array" ref="N2016">(SUMPRODUCT(("Var_Cap"=[1]OUT_TransportEnergyCons!$B$4:$B$10000)*1,("-"=[1]OUT_TransportEnergyCons!$C$4:$C$10000)*1,ISNUMBER(SEARCH("tfh*ICE*GSL*ext",[1]OUT_TransportEnergyCons!$A$4:$A$10000))*1,[1]OUT_TransportEnergyCons!L$4:L$10000))*1000</f>
        <v>0</v>
      </c>
      <c r="O2016" s="1" cm="1">
        <f t="array" ref="O2016">(SUMPRODUCT(("Var_Cap"=[1]OUT_TransportEnergyCons!$B$4:$B$10000)*1,("-"=[1]OUT_TransportEnergyCons!$C$4:$C$10000)*1,ISNUMBER(SEARCH("tfh*ICE*GSL*ext",[1]OUT_TransportEnergyCons!$A$4:$A$10000))*1,[1]OUT_TransportEnergyCons!M$4:M$10000))*1000</f>
        <v>0</v>
      </c>
      <c r="P2016" s="1" cm="1">
        <f t="array" ref="P2016">(SUMPRODUCT(("Var_Cap"=[1]OUT_TransportEnergyCons!$B$4:$B$10000)*1,("-"=[1]OUT_TransportEnergyCons!$C$4:$C$10000)*1,ISNUMBER(SEARCH("tfh*ICE*GSL*ext",[1]OUT_TransportEnergyCons!$A$4:$A$10000))*1,[1]OUT_TransportEnergyCons!N$4:N$10000))*1000</f>
        <v>0</v>
      </c>
      <c r="Q2016" s="1" cm="1">
        <f t="array" ref="Q2016">(SUMPRODUCT(("Var_Cap"=[1]OUT_TransportEnergyCons!$B$4:$B$10000)*1,("-"=[1]OUT_TransportEnergyCons!$C$4:$C$10000)*1,ISNUMBER(SEARCH("tfh*ICE*GSL*ext",[1]OUT_TransportEnergyCons!$A$4:$A$10000))*1,[1]OUT_TransportEnergyCons!O$4:O$10000))*1000</f>
        <v>0</v>
      </c>
      <c r="S2016" s="3"/>
    </row>
    <row r="2017" spans="2:19" x14ac:dyDescent="0.5">
      <c r="B2017" s="5" t="str">
        <f t="shared" si="2177"/>
        <v>SPS1</v>
      </c>
      <c r="C2017" s="5" t="str">
        <f t="shared" si="2178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(SUMPRODUCT(("Var_Cap"=[1]OUT_TransportEnergyCons!$B$4:$B$10000)*1,("-"=[1]OUT_TransportEnergyCons!$C$4:$C$10000)*1,ISNUMBER(SEARCH("tfh*ICE*GSL*",[1]OUT_TransportEnergyCons!$A$4:$A$10000))*1,[1]OUT_TransportEnergyCons!H$4:H$10000))*1000-J2016</f>
        <v>0</v>
      </c>
      <c r="K2017" s="1" cm="1">
        <f t="array" ref="K2017">(SUMPRODUCT(("Var_Cap"=[1]OUT_TransportEnergyCons!$B$4:$B$10000)*1,("-"=[1]OUT_TransportEnergyCons!$C$4:$C$10000)*1,ISNUMBER(SEARCH("tfh*ICE*GSL*",[1]OUT_TransportEnergyCons!$A$4:$A$10000))*1,[1]OUT_TransportEnergyCons!I$4:I$10000))*1000-K2016</f>
        <v>0</v>
      </c>
      <c r="L2017" s="1" cm="1">
        <f t="array" ref="L2017">(SUMPRODUCT(("Var_Cap"=[1]OUT_TransportEnergyCons!$B$4:$B$10000)*1,("-"=[1]OUT_TransportEnergyCons!$C$4:$C$10000)*1,ISNUMBER(SEARCH("tfh*ICE*GSL*",[1]OUT_TransportEnergyCons!$A$4:$A$10000))*1,[1]OUT_TransportEnergyCons!J$4:J$10000))*1000-L2016</f>
        <v>0</v>
      </c>
      <c r="M2017" s="1" cm="1">
        <f t="array" ref="M2017">(SUMPRODUCT(("Var_Cap"=[1]OUT_TransportEnergyCons!$B$4:$B$10000)*1,("-"=[1]OUT_TransportEnergyCons!$C$4:$C$10000)*1,ISNUMBER(SEARCH("tfh*ICE*GSL*",[1]OUT_TransportEnergyCons!$A$4:$A$10000))*1,[1]OUT_TransportEnergyCons!K$4:K$10000))*1000-M2016</f>
        <v>0</v>
      </c>
      <c r="N2017" s="1" cm="1">
        <f t="array" ref="N2017">(SUMPRODUCT(("Var_Cap"=[1]OUT_TransportEnergyCons!$B$4:$B$10000)*1,("-"=[1]OUT_TransportEnergyCons!$C$4:$C$10000)*1,ISNUMBER(SEARCH("tfh*ICE*GSL*",[1]OUT_TransportEnergyCons!$A$4:$A$10000))*1,[1]OUT_TransportEnergyCons!L$4:L$10000))*1000-N2016</f>
        <v>0</v>
      </c>
      <c r="O2017" s="1" cm="1">
        <f t="array" ref="O2017">(SUMPRODUCT(("Var_Cap"=[1]OUT_TransportEnergyCons!$B$4:$B$10000)*1,("-"=[1]OUT_TransportEnergyCons!$C$4:$C$10000)*1,ISNUMBER(SEARCH("tfh*ICE*GSL*",[1]OUT_TransportEnergyCons!$A$4:$A$10000))*1,[1]OUT_TransportEnergyCons!M$4:M$10000))*1000-O2016</f>
        <v>0</v>
      </c>
      <c r="P2017" s="1" cm="1">
        <f t="array" ref="P2017">(SUMPRODUCT(("Var_Cap"=[1]OUT_TransportEnergyCons!$B$4:$B$10000)*1,("-"=[1]OUT_TransportEnergyCons!$C$4:$C$10000)*1,ISNUMBER(SEARCH("tfh*ICE*GSL*",[1]OUT_TransportEnergyCons!$A$4:$A$10000))*1,[1]OUT_TransportEnergyCons!N$4:N$10000))*1000-P2016</f>
        <v>0</v>
      </c>
      <c r="Q2017" s="1" cm="1">
        <f t="array" ref="Q2017">(SUMPRODUCT(("Var_Cap"=[1]OUT_TransportEnergyCons!$B$4:$B$10000)*1,("-"=[1]OUT_TransportEnergyCons!$C$4:$C$10000)*1,ISNUMBER(SEARCH("tfh*ICE*GSL*",[1]OUT_TransportEnergyCons!$A$4:$A$10000))*1,[1]OUT_TransportEnergyCons!O$4:O$10000))*1000-Q2016</f>
        <v>0</v>
      </c>
      <c r="S2017" s="3"/>
    </row>
    <row r="2018" spans="2:19" x14ac:dyDescent="0.5">
      <c r="B2018" s="5" t="str">
        <f t="shared" si="2177"/>
        <v>SPS1</v>
      </c>
      <c r="C2018" s="5" t="str">
        <f t="shared" si="2178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29.661960946589133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19.774563038936211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19.77455532485666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(SUMPRODUCT(("Var_Cap"=[1]OUT_TransportEnergyCons!$B$4:$B$10000)*1,("-"=[1]OUT_TransportEnergyCons!$C$4:$C$10000)*1,ISNUMBER(SEARCH("tfh*ICE*DSL*ext",[1]OUT_TransportEnergyCons!$A$4:$A$10000))*1,[1]OUT_TransportEnergyCons!H$4:H$10000))*1000</f>
        <v>0</v>
      </c>
      <c r="K2018" s="1" cm="1">
        <f t="array" ref="K2018">(SUMPRODUCT(("Var_Cap"=[1]OUT_TransportEnergyCons!$B$4:$B$10000)*1,("-"=[1]OUT_TransportEnergyCons!$C$4:$C$10000)*1,ISNUMBER(SEARCH("tfh*ICE*DSL*ext",[1]OUT_TransportEnergyCons!$A$4:$A$10000))*1,[1]OUT_TransportEnergyCons!I$4:I$10000))*1000</f>
        <v>0</v>
      </c>
      <c r="L2018" s="1" cm="1">
        <f t="array" ref="L2018">(SUMPRODUCT(("Var_Cap"=[1]OUT_TransportEnergyCons!$B$4:$B$10000)*1,("-"=[1]OUT_TransportEnergyCons!$C$4:$C$10000)*1,ISNUMBER(SEARCH("tfh*ICE*DSL*ext",[1]OUT_TransportEnergyCons!$A$4:$A$10000))*1,[1]OUT_TransportEnergyCons!J$4:J$10000))*1000</f>
        <v>0</v>
      </c>
      <c r="M2018" s="1" cm="1">
        <f t="array" ref="M2018">(SUMPRODUCT(("Var_Cap"=[1]OUT_TransportEnergyCons!$B$4:$B$10000)*1,("-"=[1]OUT_TransportEnergyCons!$C$4:$C$10000)*1,ISNUMBER(SEARCH("tfh*ICE*DSL*ext",[1]OUT_TransportEnergyCons!$A$4:$A$10000))*1,[1]OUT_TransportEnergyCons!K$4:K$10000))*1000</f>
        <v>0</v>
      </c>
      <c r="N2018" s="1" cm="1">
        <f t="array" ref="N2018">(SUMPRODUCT(("Var_Cap"=[1]OUT_TransportEnergyCons!$B$4:$B$10000)*1,("-"=[1]OUT_TransportEnergyCons!$C$4:$C$10000)*1,ISNUMBER(SEARCH("tfh*ICE*DSL*ext",[1]OUT_TransportEnergyCons!$A$4:$A$10000))*1,[1]OUT_TransportEnergyCons!L$4:L$10000))*1000</f>
        <v>0</v>
      </c>
      <c r="O2018" s="1" cm="1">
        <f t="array" ref="O2018">(SUMPRODUCT(("Var_Cap"=[1]OUT_TransportEnergyCons!$B$4:$B$10000)*1,("-"=[1]OUT_TransportEnergyCons!$C$4:$C$10000)*1,ISNUMBER(SEARCH("tfh*ICE*DSL*ext",[1]OUT_TransportEnergyCons!$A$4:$A$10000))*1,[1]OUT_TransportEnergyCons!M$4:M$10000))*1000</f>
        <v>0</v>
      </c>
      <c r="P2018" s="1" cm="1">
        <f t="array" ref="P2018">(SUMPRODUCT(("Var_Cap"=[1]OUT_TransportEnergyCons!$B$4:$B$10000)*1,("-"=[1]OUT_TransportEnergyCons!$C$4:$C$10000)*1,ISNUMBER(SEARCH("tfh*ICE*DSL*ext",[1]OUT_TransportEnergyCons!$A$4:$A$10000))*1,[1]OUT_TransportEnergyCons!N$4:N$10000))*1000</f>
        <v>0</v>
      </c>
      <c r="Q2018" s="1" cm="1">
        <f t="array" ref="Q2018">(SUMPRODUCT(("Var_Cap"=[1]OUT_TransportEnergyCons!$B$4:$B$10000)*1,("-"=[1]OUT_TransportEnergyCons!$C$4:$C$10000)*1,ISNUMBER(SEARCH("tfh*ICE*DSL*ext",[1]OUT_TransportEnergyCons!$A$4:$A$10000))*1,[1]OUT_TransportEnergyCons!O$4:O$10000))*1000</f>
        <v>0</v>
      </c>
      <c r="S2018" s="3"/>
    </row>
    <row r="2019" spans="2:19" x14ac:dyDescent="0.5">
      <c r="B2019" s="5" t="str">
        <f t="shared" si="2177"/>
        <v>SPS1</v>
      </c>
      <c r="C2019" s="5" t="str">
        <f t="shared" si="2178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11.662573501413455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13.665543571354778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10.716062452363396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1.0086688245882645</v>
      </c>
      <c r="J2019" s="1" cm="1">
        <f t="array" ref="J2019">(SUMPRODUCT(("Var_Cap"=[1]OUT_TransportEnergyCons!$B$4:$B$10000)*1,("-"=[1]OUT_TransportEnergyCons!$C$4:$C$10000)*1,ISNUMBER(SEARCH("tfh*ICE*DSL*",[1]OUT_TransportEnergyCons!$A$4:$A$10000))*1,[1]OUT_TransportEnergyCons!H$4:H$10000))*1000-J2018</f>
        <v>2.5246245471177917E-2</v>
      </c>
      <c r="K2019" s="1" cm="1">
        <f t="array" ref="K2019">(SUMPRODUCT(("Var_Cap"=[1]OUT_TransportEnergyCons!$B$4:$B$10000)*1,("-"=[1]OUT_TransportEnergyCons!$C$4:$C$10000)*1,ISNUMBER(SEARCH("tfh*ICE*DSL*",[1]OUT_TransportEnergyCons!$A$4:$A$10000))*1,[1]OUT_TransportEnergyCons!I$4:I$10000))*1000-K2018</f>
        <v>3.6196334204799389E-2</v>
      </c>
      <c r="L2019" s="1" cm="1">
        <f t="array" ref="L2019">(SUMPRODUCT(("Var_Cap"=[1]OUT_TransportEnergyCons!$B$4:$B$10000)*1,("-"=[1]OUT_TransportEnergyCons!$C$4:$C$10000)*1,ISNUMBER(SEARCH("tfh*ICE*DSL*",[1]OUT_TransportEnergyCons!$A$4:$A$10000))*1,[1]OUT_TransportEnergyCons!J$4:J$10000))*1000-L2018</f>
        <v>3.0886748191296803E-2</v>
      </c>
      <c r="M2019" s="1" cm="1">
        <f t="array" ref="M2019">(SUMPRODUCT(("Var_Cap"=[1]OUT_TransportEnergyCons!$B$4:$B$10000)*1,("-"=[1]OUT_TransportEnergyCons!$C$4:$C$10000)*1,ISNUMBER(SEARCH("tfh*ICE*DSL*",[1]OUT_TransportEnergyCons!$A$4:$A$10000))*1,[1]OUT_TransportEnergyCons!K$4:K$10000))*1000-M2018</f>
        <v>3.5501449533630866E-2</v>
      </c>
      <c r="N2019" s="1" cm="1">
        <f t="array" ref="N2019">(SUMPRODUCT(("Var_Cap"=[1]OUT_TransportEnergyCons!$B$4:$B$10000)*1,("-"=[1]OUT_TransportEnergyCons!$C$4:$C$10000)*1,ISNUMBER(SEARCH("tfh*ICE*DSL*",[1]OUT_TransportEnergyCons!$A$4:$A$10000))*1,[1]OUT_TransportEnergyCons!L$4:L$10000))*1000-N2018</f>
        <v>3.9291902107424601E-2</v>
      </c>
      <c r="O2019" s="1" cm="1">
        <f t="array" ref="O2019">(SUMPRODUCT(("Var_Cap"=[1]OUT_TransportEnergyCons!$B$4:$B$10000)*1,("-"=[1]OUT_TransportEnergyCons!$C$4:$C$10000)*1,ISNUMBER(SEARCH("tfh*ICE*DSL*",[1]OUT_TransportEnergyCons!$A$4:$A$10000))*1,[1]OUT_TransportEnergyCons!M$4:M$10000))*1000-O2018</f>
        <v>3.3886460118942155E-2</v>
      </c>
      <c r="P2019" s="1" cm="1">
        <f t="array" ref="P2019">(SUMPRODUCT(("Var_Cap"=[1]OUT_TransportEnergyCons!$B$4:$B$10000)*1,("-"=[1]OUT_TransportEnergyCons!$C$4:$C$10000)*1,ISNUMBER(SEARCH("tfh*ICE*DSL*",[1]OUT_TransportEnergyCons!$A$4:$A$10000))*1,[1]OUT_TransportEnergyCons!N$4:N$10000))*1000-P2018</f>
        <v>4.8226646842970872E-2</v>
      </c>
      <c r="Q2019" s="1" cm="1">
        <f t="array" ref="Q2019">(SUMPRODUCT(("Var_Cap"=[1]OUT_TransportEnergyCons!$B$4:$B$10000)*1,("-"=[1]OUT_TransportEnergyCons!$C$4:$C$10000)*1,ISNUMBER(SEARCH("tfh*ICE*DSL*",[1]OUT_TransportEnergyCons!$A$4:$A$10000))*1,[1]OUT_TransportEnergyCons!O$4:O$10000))*1000-Q2018</f>
        <v>6.2402783039834896E-2</v>
      </c>
      <c r="S2019" s="3"/>
    </row>
    <row r="2020" spans="2:19" x14ac:dyDescent="0.5">
      <c r="B2020" s="5" t="str">
        <f t="shared" si="2177"/>
        <v>SPS1</v>
      </c>
      <c r="C2020" s="5" t="str">
        <f t="shared" si="2178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9.5008446980418597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12.936167199281527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34.463543966993157</v>
      </c>
      <c r="J2020" s="1" cm="1">
        <f t="array" ref="J2020">(SUMPRODUCT(("Var_Cap"=[1]OUT_TransportEnergyCons!$B$4:$B$10000)*1,("-"=[1]OUT_TransportEnergyCons!$C$4:$C$10000)*1,ISNUMBER(SEARCH("tfh*hyb*DSL*",[1]OUT_TransportEnergyCons!$A$4:$A$10000))*1,[1]OUT_TransportEnergyCons!H$4:H$10000))*1000</f>
        <v>47.323240266703046</v>
      </c>
      <c r="K2020" s="1" cm="1">
        <f t="array" ref="K2020">(SUMPRODUCT(("Var_Cap"=[1]OUT_TransportEnergyCons!$B$4:$B$10000)*1,("-"=[1]OUT_TransportEnergyCons!$C$4:$C$10000)*1,ISNUMBER(SEARCH("tfh*hyb*DSL*",[1]OUT_TransportEnergyCons!$A$4:$A$10000))*1,[1]OUT_TransportEnergyCons!I$4:I$10000))*1000</f>
        <v>49.28033542314742</v>
      </c>
      <c r="L2020" s="1" cm="1">
        <f t="array" ref="L2020">(SUMPRODUCT(("Var_Cap"=[1]OUT_TransportEnergyCons!$B$4:$B$10000)*1,("-"=[1]OUT_TransportEnergyCons!$C$4:$C$10000)*1,ISNUMBER(SEARCH("tfh*hyb*DSL*",[1]OUT_TransportEnergyCons!$A$4:$A$10000))*1,[1]OUT_TransportEnergyCons!J$4:J$10000))*1000</f>
        <v>51.280639828384196</v>
      </c>
      <c r="M2020" s="1" cm="1">
        <f t="array" ref="M2020">(SUMPRODUCT(("Var_Cap"=[1]OUT_TransportEnergyCons!$B$4:$B$10000)*1,("-"=[1]OUT_TransportEnergyCons!$C$4:$C$10000)*1,ISNUMBER(SEARCH("tfh*hyb*DSL*",[1]OUT_TransportEnergyCons!$A$4:$A$10000))*1,[1]OUT_TransportEnergyCons!K$4:K$10000))*1000</f>
        <v>53.251145686033738</v>
      </c>
      <c r="N2020" s="1" cm="1">
        <f t="array" ref="N2020">(SUMPRODUCT(("Var_Cap"=[1]OUT_TransportEnergyCons!$B$4:$B$10000)*1,("-"=[1]OUT_TransportEnergyCons!$C$4:$C$10000)*1,ISNUMBER(SEARCH("tfh*hyb*DSL*",[1]OUT_TransportEnergyCons!$A$4:$A$10000))*1,[1]OUT_TransportEnergyCons!L$4:L$10000))*1000</f>
        <v>55.116972554584699</v>
      </c>
      <c r="O2020" s="1" cm="1">
        <f t="array" ref="O2020">(SUMPRODUCT(("Var_Cap"=[1]OUT_TransportEnergyCons!$B$4:$B$10000)*1,("-"=[1]OUT_TransportEnergyCons!$C$4:$C$10000)*1,ISNUMBER(SEARCH("tfh*hyb*DSL*",[1]OUT_TransportEnergyCons!$A$4:$A$10000))*1,[1]OUT_TransportEnergyCons!M$4:M$10000))*1000</f>
        <v>57.025150712147656</v>
      </c>
      <c r="P2020" s="1" cm="1">
        <f t="array" ref="P2020">(SUMPRODUCT(("Var_Cap"=[1]OUT_TransportEnergyCons!$B$4:$B$10000)*1,("-"=[1]OUT_TransportEnergyCons!$C$4:$C$10000)*1,ISNUMBER(SEARCH("tfh*hyb*DSL*",[1]OUT_TransportEnergyCons!$A$4:$A$10000))*1,[1]OUT_TransportEnergyCons!N$4:N$10000))*1000</f>
        <v>58.948875724145282</v>
      </c>
      <c r="Q2020" s="1" cm="1">
        <f t="array" ref="Q2020">(SUMPRODUCT(("Var_Cap"=[1]OUT_TransportEnergyCons!$B$4:$B$10000)*1,("-"=[1]OUT_TransportEnergyCons!$C$4:$C$10000)*1,ISNUMBER(SEARCH("tfh*hyb*DSL*",[1]OUT_TransportEnergyCons!$A$4:$A$10000))*1,[1]OUT_TransportEnergyCons!O$4:O$10000))*1000</f>
        <v>60.852111734902415</v>
      </c>
      <c r="S2020" s="3"/>
    </row>
    <row r="2021" spans="2:19" x14ac:dyDescent="0.5">
      <c r="B2021" s="5" t="str">
        <f t="shared" si="2177"/>
        <v>SPS1</v>
      </c>
      <c r="C2021" s="5" t="str">
        <f t="shared" si="2178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0.10511731007829611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1.5692956604372074E-2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1.5702562186379353E-2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1.5710100861833099E-2</v>
      </c>
      <c r="J2021" s="1" cm="1">
        <f t="array" ref="J2021">(SUMPRODUCT(("Var_Cap"=[1]OUT_TransportEnergyCons!$B$4:$B$10000)*1,("-"=[1]OUT_TransportEnergyCons!$C$4:$C$10000)*1,ISNUMBER(SEARCH("tfh*ice*nga*",[1]OUT_TransportEnergyCons!$A$4:$A$10000))*1,[1]OUT_TransportEnergyCons!H$4:H$10000))*1000</f>
        <v>1.5715977725483402E-2</v>
      </c>
      <c r="K2021" s="1" cm="1">
        <f t="array" ref="K2021">(SUMPRODUCT(("Var_Cap"=[1]OUT_TransportEnergyCons!$B$4:$B$10000)*1,("-"=[1]OUT_TransportEnergyCons!$C$4:$C$10000)*1,ISNUMBER(SEARCH("tfh*ice*nga*",[1]OUT_TransportEnergyCons!$A$4:$A$10000))*1,[1]OUT_TransportEnergyCons!I$4:I$10000))*1000</f>
        <v>1.5733901876387429E-2</v>
      </c>
      <c r="L2021" s="1" cm="1">
        <f t="array" ref="L2021">(SUMPRODUCT(("Var_Cap"=[1]OUT_TransportEnergyCons!$B$4:$B$10000)*1,("-"=[1]OUT_TransportEnergyCons!$C$4:$C$10000)*1,ISNUMBER(SEARCH("tfh*ice*nga*",[1]OUT_TransportEnergyCons!$A$4:$A$10000))*1,[1]OUT_TransportEnergyCons!J$4:J$10000))*1000</f>
        <v>1.57440792913708E-2</v>
      </c>
      <c r="M2021" s="1" cm="1">
        <f t="array" ref="M2021">(SUMPRODUCT(("Var_Cap"=[1]OUT_TransportEnergyCons!$B$4:$B$10000)*1,("-"=[1]OUT_TransportEnergyCons!$C$4:$C$10000)*1,ISNUMBER(SEARCH("tfh*ice*nga*",[1]OUT_TransportEnergyCons!$A$4:$A$10000))*1,[1]OUT_TransportEnergyCons!K$4:K$10000))*1000</f>
        <v>1.5746065962200618E-2</v>
      </c>
      <c r="N2021" s="1" cm="1">
        <f t="array" ref="N2021">(SUMPRODUCT(("Var_Cap"=[1]OUT_TransportEnergyCons!$B$4:$B$10000)*1,("-"=[1]OUT_TransportEnergyCons!$C$4:$C$10000)*1,ISNUMBER(SEARCH("tfh*ice*nga*",[1]OUT_TransportEnergyCons!$A$4:$A$10000))*1,[1]OUT_TransportEnergyCons!L$4:L$10000))*1000</f>
        <v>1.5768114458445302E-2</v>
      </c>
      <c r="O2021" s="1" cm="1">
        <f t="array" ref="O2021">(SUMPRODUCT(("Var_Cap"=[1]OUT_TransportEnergyCons!$B$4:$B$10000)*1,("-"=[1]OUT_TransportEnergyCons!$C$4:$C$10000)*1,ISNUMBER(SEARCH("tfh*ice*nga*",[1]OUT_TransportEnergyCons!$A$4:$A$10000))*1,[1]OUT_TransportEnergyCons!M$4:M$10000))*1000</f>
        <v>1.5770222963952304E-2</v>
      </c>
      <c r="P2021" s="1" cm="1">
        <f t="array" ref="P2021">(SUMPRODUCT(("Var_Cap"=[1]OUT_TransportEnergyCons!$B$4:$B$10000)*1,("-"=[1]OUT_TransportEnergyCons!$C$4:$C$10000)*1,ISNUMBER(SEARCH("tfh*ice*nga*",[1]OUT_TransportEnergyCons!$A$4:$A$10000))*1,[1]OUT_TransportEnergyCons!N$4:N$10000))*1000</f>
        <v>1.576966363973106E-2</v>
      </c>
      <c r="Q2021" s="1" cm="1">
        <f t="array" ref="Q2021">(SUMPRODUCT(("Var_Cap"=[1]OUT_TransportEnergyCons!$B$4:$B$10000)*1,("-"=[1]OUT_TransportEnergyCons!$C$4:$C$10000)*1,ISNUMBER(SEARCH("tfh*ice*nga*",[1]OUT_TransportEnergyCons!$A$4:$A$10000))*1,[1]OUT_TransportEnergyCons!O$4:O$10000))*1000</f>
        <v>1.5776670907161422E-2</v>
      </c>
      <c r="S2021" s="3"/>
    </row>
    <row r="2022" spans="2:19" x14ac:dyDescent="0.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179">SUM(F2023,F2027,F2030)</f>
        <v>4.8178042680774497E-4</v>
      </c>
      <c r="G2022" s="3">
        <f t="shared" ref="G2022" si="2180">SUM(G2023,G2027,G2030)</f>
        <v>4.9030135447213996E-4</v>
      </c>
      <c r="H2022" s="3">
        <f t="shared" ref="H2022" si="2181">SUM(H2023,H2027,H2030)</f>
        <v>5.0722671527940173E-4</v>
      </c>
      <c r="I2022" s="3">
        <f t="shared" ref="I2022" si="2182">SUM(I2023,I2027,I2030)</f>
        <v>1.2193708456745592E-3</v>
      </c>
      <c r="J2022" s="3">
        <f t="shared" ref="J2022" si="2183">SUM(J2023,J2027,J2030)</f>
        <v>4.0741906211676148E-3</v>
      </c>
      <c r="K2022" s="3">
        <f t="shared" ref="K2022" si="2184">SUM(K2023,K2027,K2030)</f>
        <v>7.2799202402691488E-3</v>
      </c>
      <c r="L2022" s="3">
        <f t="shared" ref="L2022:O2022" si="2185">SUM(L2023,L2027,L2030)</f>
        <v>7.5740923413187633E-3</v>
      </c>
      <c r="M2022" s="3">
        <f t="shared" si="2185"/>
        <v>2.5397262582184884E-2</v>
      </c>
      <c r="N2022" s="3">
        <f t="shared" si="2185"/>
        <v>2.3291942928562008E-2</v>
      </c>
      <c r="O2022" s="3">
        <f t="shared" si="2185"/>
        <v>5.934682043586937E-2</v>
      </c>
      <c r="P2022" s="3">
        <f>SUM(P2023,P2027,P2030)</f>
        <v>6.2690044251143717E-2</v>
      </c>
      <c r="Q2022" s="3">
        <f>SUM(Q2023,Q2027,Q2030)</f>
        <v>7.3182819202515986E-2</v>
      </c>
      <c r="S2022" s="3"/>
    </row>
    <row r="2023" spans="2:19" x14ac:dyDescent="0.5">
      <c r="B2023" s="5" t="str">
        <f t="shared" ref="B2023:B2032" si="2186">B2022</f>
        <v>SPS1</v>
      </c>
      <c r="C2023" s="5" t="str">
        <f t="shared" ref="C2023:C2032" si="2187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4.8178042680774497E-4</v>
      </c>
      <c r="G2023" s="1" cm="1">
        <f t="array" ref="G2023">SUMPRODUCT(ISNUMBER(SEARCH("SUP_ELCH2*",[1]OUT_SyntheticFuels!$C$4:$C$1000))*1,("Var_cap"=[1]OUT_SyntheticFuels!$B$4:$B$1000)*1,[1]OUT_SyntheticFuels!F$4:F$1000)</f>
        <v>4.9030135447213996E-4</v>
      </c>
      <c r="H2023" s="1" cm="1">
        <f t="array" ref="H2023">SUMPRODUCT(ISNUMBER(SEARCH("SUP_ELCH2*",[1]OUT_SyntheticFuels!$C$4:$C$1000))*1,("Var_cap"=[1]OUT_SyntheticFuels!$B$4:$B$1000)*1,[1]OUT_SyntheticFuels!G$4:G$1000)</f>
        <v>5.0722671527940173E-4</v>
      </c>
      <c r="I2023" s="1" cm="1">
        <f t="array" ref="I2023">SUMPRODUCT(ISNUMBER(SEARCH("SUP_ELCH2*",[1]OUT_SyntheticFuels!$C$4:$C$1000))*1,("Var_cap"=[1]OUT_SyntheticFuels!$B$4:$B$1000)*1,[1]OUT_SyntheticFuels!H$4:H$1000)</f>
        <v>1.2176482678256733E-3</v>
      </c>
      <c r="J2023" s="1" cm="1">
        <f t="array" ref="J2023">SUMPRODUCT(ISNUMBER(SEARCH("SUP_ELCH2*",[1]OUT_SyntheticFuels!$C$4:$C$1000))*1,("Var_cap"=[1]OUT_SyntheticFuels!$B$4:$B$1000)*1,[1]OUT_SyntheticFuels!I$4:I$1000)</f>
        <v>4.070224978350064E-3</v>
      </c>
      <c r="K2023" s="1" cm="1">
        <f t="array" ref="K2023">SUMPRODUCT(ISNUMBER(SEARCH("SUP_ELCH2*",[1]OUT_SyntheticFuels!$C$4:$C$1000))*1,("Var_cap"=[1]OUT_SyntheticFuels!$B$4:$B$1000)*1,[1]OUT_SyntheticFuels!J$4:J$1000)</f>
        <v>7.2739261810781872E-3</v>
      </c>
      <c r="L2023" s="1" cm="1">
        <f t="array" ref="L2023">SUMPRODUCT(ISNUMBER(SEARCH("SUP_ELCH2*",[1]OUT_SyntheticFuels!$C$4:$C$1000))*1,("Var_cap"=[1]OUT_SyntheticFuels!$B$4:$B$1000)*1,[1]OUT_SyntheticFuels!K$4:K$1000)</f>
        <v>7.5638825824341626E-3</v>
      </c>
      <c r="M2023" s="1" cm="1">
        <f t="array" ref="M2023">SUMPRODUCT(ISNUMBER(SEARCH("SUP_ELCH2*",[1]OUT_SyntheticFuels!$C$4:$C$1000))*1,("Var_cap"=[1]OUT_SyntheticFuels!$B$4:$B$1000)*1,[1]OUT_SyntheticFuels!L$4:L$1000)</f>
        <v>2.4231126833811515E-2</v>
      </c>
      <c r="N2023" s="1" cm="1">
        <f t="array" ref="N2023">SUMPRODUCT(ISNUMBER(SEARCH("SUP_ELCH2*",[1]OUT_SyntheticFuels!$C$4:$C$1000))*1,("Var_cap"=[1]OUT_SyntheticFuels!$B$4:$B$1000)*1,[1]OUT_SyntheticFuels!M$4:M$1000)</f>
        <v>2.2115436423298815E-2</v>
      </c>
      <c r="O2023" s="1" cm="1">
        <f t="array" ref="O2023">SUMPRODUCT(ISNUMBER(SEARCH("SUP_ELCH2*",[1]OUT_SyntheticFuels!$C$4:$C$1000))*1,("Var_cap"=[1]OUT_SyntheticFuels!$B$4:$B$1000)*1,[1]OUT_SyntheticFuels!N$4:N$1000)</f>
        <v>5.7540962223740992E-2</v>
      </c>
      <c r="P2023" s="1" cm="1">
        <f t="array" ref="P2023">SUMPRODUCT(ISNUMBER(SEARCH("SUP_ELCH2*",[1]OUT_SyntheticFuels!$C$4:$C$1000))*1,("Var_cap"=[1]OUT_SyntheticFuels!$B$4:$B$1000)*1,[1]OUT_SyntheticFuels!O$4:O$1000)</f>
        <v>6.0832237518231948E-2</v>
      </c>
      <c r="Q2023" s="1" cm="1">
        <f t="array" ref="Q2023">SUMPRODUCT(ISNUMBER(SEARCH("SUP_ELCH2*",[1]OUT_SyntheticFuels!$C$4:$C$1000))*1,("Var_cap"=[1]OUT_SyntheticFuels!$B$4:$B$1000)*1,[1]OUT_SyntheticFuels!P$4:P$1000)</f>
        <v>6.8213200195850504E-2</v>
      </c>
      <c r="S2023" s="3"/>
    </row>
    <row r="2024" spans="2:19" x14ac:dyDescent="0.5">
      <c r="B2024" s="5" t="str">
        <f t="shared" si="2186"/>
        <v>SPS1</v>
      </c>
      <c r="C2024" s="5" t="str">
        <f t="shared" si="2187"/>
        <v>CH</v>
      </c>
      <c r="D2024" t="s">
        <v>2145</v>
      </c>
      <c r="E2024" t="s">
        <v>2154</v>
      </c>
      <c r="F2024" s="1">
        <f t="shared" ref="F2024" si="2188">F2023-F2025-F2026</f>
        <v>4.8178042680774497E-4</v>
      </c>
      <c r="G2024" s="1">
        <f t="shared" ref="G2024" si="2189">G2023-G2025-G2026</f>
        <v>4.9030135447213996E-4</v>
      </c>
      <c r="H2024" s="1">
        <f t="shared" ref="H2024" si="2190">H2023-H2025-H2026</f>
        <v>5.0722671527940173E-4</v>
      </c>
      <c r="I2024" s="1">
        <f t="shared" ref="I2024" si="2191">I2023-I2025-I2026</f>
        <v>1.1841399340788109E-3</v>
      </c>
      <c r="J2024" s="1">
        <f t="shared" ref="J2024" si="2192">J2023-J2025-J2026</f>
        <v>3.900174239427782E-3</v>
      </c>
      <c r="K2024" s="1">
        <f t="shared" ref="K2024" si="2193">K2023-K2025-K2026</f>
        <v>5.5693836679173714E-3</v>
      </c>
      <c r="L2024" s="1">
        <f t="shared" ref="L2024:O2024" si="2194">L2023-L2025-L2026</f>
        <v>5.4881657540230937E-3</v>
      </c>
      <c r="M2024" s="1">
        <f t="shared" si="2194"/>
        <v>2.084050308696192E-2</v>
      </c>
      <c r="N2024" s="1">
        <f t="shared" si="2194"/>
        <v>1.9200543408906891E-2</v>
      </c>
      <c r="O2024" s="1">
        <f t="shared" si="2194"/>
        <v>5.3869923458259181E-2</v>
      </c>
      <c r="P2024" s="1">
        <f>P2023-P2025-P2026</f>
        <v>5.7221404214215753E-2</v>
      </c>
      <c r="Q2024" s="1">
        <f>Q2023-Q2025-Q2026</f>
        <v>6.1390024946489E-2</v>
      </c>
      <c r="S2024" s="3"/>
    </row>
    <row r="2025" spans="2:19" x14ac:dyDescent="0.5">
      <c r="B2025" s="5" t="str">
        <f t="shared" si="2186"/>
        <v>SPS1</v>
      </c>
      <c r="C2025" s="5" t="str">
        <f t="shared" si="2187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3.35083337468624E-5</v>
      </c>
      <c r="J2025" s="1" cm="1">
        <f t="array" ref="J2025">SUMPRODUCT(ISNUMBER(SEARCH("SUP_ELCH2*D",[1]OUT_SyntheticFuels!$C$4:$C$1000))*1,("Var_cap"=[1]OUT_SyntheticFuels!$B$4:$B$1000)*1,[1]OUT_SyntheticFuels!I$4:I$1000)</f>
        <v>1.7005073892228199E-4</v>
      </c>
      <c r="K2025" s="1" cm="1">
        <f t="array" ref="K2025">SUMPRODUCT(ISNUMBER(SEARCH("SUP_ELCH2*D",[1]OUT_SyntheticFuels!$C$4:$C$1000))*1,("Var_cap"=[1]OUT_SyntheticFuels!$B$4:$B$1000)*1,[1]OUT_SyntheticFuels!J$4:J$1000)</f>
        <v>4.16182999784686E-4</v>
      </c>
      <c r="L2025" s="1" cm="1">
        <f t="array" ref="L2025">SUMPRODUCT(ISNUMBER(SEARCH("SUP_ELCH2*D",[1]OUT_SyntheticFuels!$C$4:$C$1000))*1,("Var_cap"=[1]OUT_SyntheticFuels!$B$4:$B$1000)*1,[1]OUT_SyntheticFuels!K$4:K$1000)</f>
        <v>4.7642346257501899E-4</v>
      </c>
      <c r="M2025" s="1" cm="1">
        <f t="array" ref="M2025">SUMPRODUCT(ISNUMBER(SEARCH("SUP_ELCH2*D",[1]OUT_SyntheticFuels!$C$4:$C$1000))*1,("Var_cap"=[1]OUT_SyntheticFuels!$B$4:$B$1000)*1,[1]OUT_SyntheticFuels!L$4:L$1000)</f>
        <v>6.1432118710152495E-4</v>
      </c>
      <c r="N2025" s="1" cm="1">
        <f t="array" ref="N2025">SUMPRODUCT(ISNUMBER(SEARCH("SUP_ELCH2*D",[1]OUT_SyntheticFuels!$C$4:$C$1000))*1,("Var_cap"=[1]OUT_SyntheticFuels!$B$4:$B$1000)*1,[1]OUT_SyntheticFuels!M$4:M$1000)</f>
        <v>5.3655147691138605E-4</v>
      </c>
      <c r="O2025" s="1" cm="1">
        <f t="array" ref="O2025">SUMPRODUCT(ISNUMBER(SEARCH("SUP_ELCH2*D",[1]OUT_SyntheticFuels!$C$4:$C$1000))*1,("Var_cap"=[1]OUT_SyntheticFuels!$B$4:$B$1000)*1,[1]OUT_SyntheticFuels!N$4:N$1000)</f>
        <v>6.4050910760532996E-4</v>
      </c>
      <c r="P2025" s="1" cm="1">
        <f t="array" ref="P2025">SUMPRODUCT(ISNUMBER(SEARCH("SUP_ELCH2*D",[1]OUT_SyntheticFuels!$C$4:$C$1000))*1,("Var_cap"=[1]OUT_SyntheticFuels!$B$4:$B$1000)*1,[1]OUT_SyntheticFuels!O$4:O$1000)</f>
        <v>5.8836632070954898E-4</v>
      </c>
      <c r="Q2025" s="1" cm="1">
        <f t="array" ref="Q2025">SUMPRODUCT(ISNUMBER(SEARCH("SUP_ELCH2*D",[1]OUT_SyntheticFuels!$C$4:$C$1000))*1,("Var_cap"=[1]OUT_SyntheticFuels!$B$4:$B$1000)*1,[1]OUT_SyntheticFuels!P$4:P$1000)</f>
        <v>1.14220566235231E-3</v>
      </c>
      <c r="S2025" s="3"/>
    </row>
    <row r="2026" spans="2:19" x14ac:dyDescent="0.5">
      <c r="B2026" s="5" t="str">
        <f t="shared" si="2186"/>
        <v>SPS1</v>
      </c>
      <c r="C2026" s="5" t="str">
        <f t="shared" si="2187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SUMPRODUCT(ISNUMBER(SEARCH("SUP_ELCH2*SOEC*",[1]OUT_SyntheticFuels!$C$4:$C$1000))*1,("Var_cap"=[1]OUT_SyntheticFuels!$B$4:$B$1000)*1,[1]OUT_SyntheticFuels!I$4:I$1000)</f>
        <v>0</v>
      </c>
      <c r="K2026" s="1" cm="1">
        <f t="array" ref="K2026">SUMPRODUCT(ISNUMBER(SEARCH("SUP_ELCH2*SOEC*",[1]OUT_SyntheticFuels!$C$4:$C$1000))*1,("Var_cap"=[1]OUT_SyntheticFuels!$B$4:$B$1000)*1,[1]OUT_SyntheticFuels!J$4:J$1000)</f>
        <v>1.28835951337613E-3</v>
      </c>
      <c r="L2026" s="1" cm="1">
        <f t="array" ref="L2026">SUMPRODUCT(ISNUMBER(SEARCH("SUP_ELCH2*SOEC*",[1]OUT_SyntheticFuels!$C$4:$C$1000))*1,("Var_cap"=[1]OUT_SyntheticFuels!$B$4:$B$1000)*1,[1]OUT_SyntheticFuels!K$4:K$1000)</f>
        <v>1.5992933658360493E-3</v>
      </c>
      <c r="M2026" s="1" cm="1">
        <f t="array" ref="M2026">SUMPRODUCT(ISNUMBER(SEARCH("SUP_ELCH2*SOEC*",[1]OUT_SyntheticFuels!$C$4:$C$1000))*1,("Var_cap"=[1]OUT_SyntheticFuels!$B$4:$B$1000)*1,[1]OUT_SyntheticFuels!L$4:L$1000)</f>
        <v>2.77630255974807E-3</v>
      </c>
      <c r="N2026" s="1" cm="1">
        <f t="array" ref="N2026">SUMPRODUCT(ISNUMBER(SEARCH("SUP_ELCH2*SOEC*",[1]OUT_SyntheticFuels!$C$4:$C$1000))*1,("Var_cap"=[1]OUT_SyntheticFuels!$B$4:$B$1000)*1,[1]OUT_SyntheticFuels!M$4:M$1000)</f>
        <v>2.3783415374805396E-3</v>
      </c>
      <c r="O2026" s="1" cm="1">
        <f t="array" ref="O2026">SUMPRODUCT(ISNUMBER(SEARCH("SUP_ELCH2*SOEC*",[1]OUT_SyntheticFuels!$C$4:$C$1000))*1,("Var_cap"=[1]OUT_SyntheticFuels!$B$4:$B$1000)*1,[1]OUT_SyntheticFuels!N$4:N$1000)</f>
        <v>3.03052965787648E-3</v>
      </c>
      <c r="P2026" s="1" cm="1">
        <f t="array" ref="P2026">SUMPRODUCT(ISNUMBER(SEARCH("SUP_ELCH2*SOEC*",[1]OUT_SyntheticFuels!$C$4:$C$1000))*1,("Var_cap"=[1]OUT_SyntheticFuels!$B$4:$B$1000)*1,[1]OUT_SyntheticFuels!O$4:O$1000)</f>
        <v>3.0224669833066446E-3</v>
      </c>
      <c r="Q2026" s="1" cm="1">
        <f t="array" ref="Q2026">SUMPRODUCT(ISNUMBER(SEARCH("SUP_ELCH2*SOEC*",[1]OUT_SyntheticFuels!$C$4:$C$1000))*1,("Var_cap"=[1]OUT_SyntheticFuels!$B$4:$B$1000)*1,[1]OUT_SyntheticFuels!P$4:P$1000)</f>
        <v>5.6809695870091974E-3</v>
      </c>
      <c r="S2026" s="3"/>
    </row>
    <row r="2027" spans="2:19" x14ac:dyDescent="0.5">
      <c r="B2027" s="5" t="str">
        <f t="shared" si="2186"/>
        <v>SPS1</v>
      </c>
      <c r="C2027" s="5" t="str">
        <f t="shared" si="2187"/>
        <v>CH</v>
      </c>
      <c r="D2027" t="s">
        <v>2148</v>
      </c>
      <c r="E2027" t="s">
        <v>2154</v>
      </c>
      <c r="F2027" s="1">
        <f t="shared" ref="F2027" si="2195">SUM(F2028:F2029)</f>
        <v>0</v>
      </c>
      <c r="G2027" s="1">
        <f t="shared" ref="G2027" si="2196">SUM(G2028:G2029)</f>
        <v>0</v>
      </c>
      <c r="H2027" s="1">
        <f t="shared" ref="H2027" si="2197">SUM(H2028:H2029)</f>
        <v>0</v>
      </c>
      <c r="I2027" s="1">
        <f t="shared" ref="I2027" si="2198">SUM(I2028:I2029)</f>
        <v>1.7225778488860301E-6</v>
      </c>
      <c r="J2027" s="1">
        <f t="shared" ref="J2027" si="2199">SUM(J2028:J2029)</f>
        <v>3.9656428175510411E-6</v>
      </c>
      <c r="K2027" s="1">
        <f t="shared" ref="K2027" si="2200">SUM(K2028:K2029)</f>
        <v>5.9940591909613107E-6</v>
      </c>
      <c r="L2027" s="1">
        <f t="shared" ref="L2027:O2027" si="2201">SUM(L2028:L2029)</f>
        <v>1.0209758884600671E-5</v>
      </c>
      <c r="M2027" s="1">
        <f t="shared" si="2201"/>
        <v>4.9258298552003145E-4</v>
      </c>
      <c r="N2027" s="1">
        <f t="shared" si="2201"/>
        <v>4.9908966821476139E-4</v>
      </c>
      <c r="O2027" s="1">
        <f t="shared" si="2201"/>
        <v>7.5351927226719319E-4</v>
      </c>
      <c r="P2027" s="1">
        <f>SUM(P2028:P2029)</f>
        <v>7.6186401771182485E-4</v>
      </c>
      <c r="Q2027" s="1">
        <f>SUM(Q2028:Q2029)</f>
        <v>1.6714457911609422E-3</v>
      </c>
      <c r="S2027" s="3"/>
    </row>
    <row r="2028" spans="2:19" x14ac:dyDescent="0.5">
      <c r="B2028" s="5" t="str">
        <f t="shared" si="2186"/>
        <v>SPS1</v>
      </c>
      <c r="C2028" s="5" t="str">
        <f t="shared" si="2187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1.7225778488860301E-6</v>
      </c>
      <c r="J2028" s="1" cm="1">
        <f t="array" ref="J2028">SUMPRODUCT(ISNUMBER(SEARCH("SUP_NGAH2",[1]OUT_SyntheticFuels!$C$4:$C$1000))*1,("Var_cap"=[1]OUT_SyntheticFuels!$B$4:$B$1000)*1,[1]OUT_SyntheticFuels!I$4:I$1000)-J2029</f>
        <v>3.9656428175510411E-6</v>
      </c>
      <c r="K2028" s="1" cm="1">
        <f t="array" ref="K2028">SUMPRODUCT(ISNUMBER(SEARCH("SUP_NGAH2",[1]OUT_SyntheticFuels!$C$4:$C$1000))*1,("Var_cap"=[1]OUT_SyntheticFuels!$B$4:$B$1000)*1,[1]OUT_SyntheticFuels!J$4:J$1000)-K2029</f>
        <v>5.9940591909613107E-6</v>
      </c>
      <c r="L2028" s="1" cm="1">
        <f t="array" ref="L2028">SUMPRODUCT(ISNUMBER(SEARCH("SUP_NGAH2",[1]OUT_SyntheticFuels!$C$4:$C$1000))*1,("Var_cap"=[1]OUT_SyntheticFuels!$B$4:$B$1000)*1,[1]OUT_SyntheticFuels!K$4:K$1000)-L2029</f>
        <v>1.0209758884600671E-5</v>
      </c>
      <c r="M2028" s="1" cm="1">
        <f t="array" ref="M2028">SUMPRODUCT(ISNUMBER(SEARCH("SUP_NGAH2",[1]OUT_SyntheticFuels!$C$4:$C$1000))*1,("Var_cap"=[1]OUT_SyntheticFuels!$B$4:$B$1000)*1,[1]OUT_SyntheticFuels!L$4:L$1000)-M2029</f>
        <v>4.9258298552003145E-4</v>
      </c>
      <c r="N2028" s="1" cm="1">
        <f t="array" ref="N2028">SUMPRODUCT(ISNUMBER(SEARCH("SUP_NGAH2",[1]OUT_SyntheticFuels!$C$4:$C$1000))*1,("Var_cap"=[1]OUT_SyntheticFuels!$B$4:$B$1000)*1,[1]OUT_SyntheticFuels!M$4:M$1000)-N2029</f>
        <v>4.9908966821476139E-4</v>
      </c>
      <c r="O2028" s="1" cm="1">
        <f t="array" ref="O2028">SUMPRODUCT(ISNUMBER(SEARCH("SUP_NGAH2",[1]OUT_SyntheticFuels!$C$4:$C$1000))*1,("Var_cap"=[1]OUT_SyntheticFuels!$B$4:$B$1000)*1,[1]OUT_SyntheticFuels!N$4:N$1000)-O2029</f>
        <v>7.5351927226719319E-4</v>
      </c>
      <c r="P2028" s="1" cm="1">
        <f t="array" ref="P2028">SUMPRODUCT(ISNUMBER(SEARCH("SUP_NGAH2",[1]OUT_SyntheticFuels!$C$4:$C$1000))*1,("Var_cap"=[1]OUT_SyntheticFuels!$B$4:$B$1000)*1,[1]OUT_SyntheticFuels!O$4:O$1000)-P2029</f>
        <v>7.6186401771182485E-4</v>
      </c>
      <c r="Q2028" s="1" cm="1">
        <f t="array" ref="Q2028">SUMPRODUCT(ISNUMBER(SEARCH("SUP_NGAH2",[1]OUT_SyntheticFuels!$C$4:$C$1000))*1,("Var_cap"=[1]OUT_SyntheticFuels!$B$4:$B$1000)*1,[1]OUT_SyntheticFuels!P$4:P$1000)-Q2029</f>
        <v>1.6714457911609422E-3</v>
      </c>
      <c r="S2028" s="3"/>
    </row>
    <row r="2029" spans="2:19" x14ac:dyDescent="0.5">
      <c r="B2029" s="5" t="str">
        <f t="shared" si="2186"/>
        <v>SPS1</v>
      </c>
      <c r="C2029" s="5" t="str">
        <f t="shared" si="2187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SUMPRODUCT(ISNUMBER(SEARCH("SUP_NGAH2CCS",[1]OUT_SyntheticFuels!$C$4:$C$1000))*1,("Var_cap"=[1]OUT_SyntheticFuels!$B$4:$B$1000)*1,[1]OUT_SyntheticFuels!I$4:I$1000)</f>
        <v>0</v>
      </c>
      <c r="K2029" s="1" cm="1">
        <f t="array" ref="K2029">SUMPRODUCT(ISNUMBER(SEARCH("SUP_NGAH2CCS",[1]OUT_SyntheticFuels!$C$4:$C$1000))*1,("Var_cap"=[1]OUT_SyntheticFuels!$B$4:$B$1000)*1,[1]OUT_SyntheticFuels!J$4:J$1000)</f>
        <v>0</v>
      </c>
      <c r="L2029" s="1" cm="1">
        <f t="array" ref="L2029">SUMPRODUCT(ISNUMBER(SEARCH("SUP_NGAH2CCS",[1]OUT_SyntheticFuels!$C$4:$C$1000))*1,("Var_cap"=[1]OUT_SyntheticFuels!$B$4:$B$1000)*1,[1]OUT_SyntheticFuels!K$4:K$1000)</f>
        <v>0</v>
      </c>
      <c r="M2029" s="1" cm="1">
        <f t="array" ref="M2029">SUMPRODUCT(ISNUMBER(SEARCH("SUP_NGAH2CCS",[1]OUT_SyntheticFuels!$C$4:$C$1000))*1,("Var_cap"=[1]OUT_SyntheticFuels!$B$4:$B$1000)*1,[1]OUT_SyntheticFuels!L$4:L$1000)</f>
        <v>0</v>
      </c>
      <c r="N2029" s="1" cm="1">
        <f t="array" ref="N2029">SUMPRODUCT(ISNUMBER(SEARCH("SUP_NGAH2CCS",[1]OUT_SyntheticFuels!$C$4:$C$1000))*1,("Var_cap"=[1]OUT_SyntheticFuels!$B$4:$B$1000)*1,[1]OUT_SyntheticFuels!M$4:M$1000)</f>
        <v>0</v>
      </c>
      <c r="O2029" s="1" cm="1">
        <f t="array" ref="O2029">SUMPRODUCT(ISNUMBER(SEARCH("SUP_NGAH2CCS",[1]OUT_SyntheticFuels!$C$4:$C$1000))*1,("Var_cap"=[1]OUT_SyntheticFuels!$B$4:$B$1000)*1,[1]OUT_SyntheticFuels!N$4:N$1000)</f>
        <v>0</v>
      </c>
      <c r="P2029" s="1" cm="1">
        <f t="array" ref="P2029">SUMPRODUCT(ISNUMBER(SEARCH("SUP_NGAH2CCS",[1]OUT_SyntheticFuels!$C$4:$C$1000))*1,("Var_cap"=[1]OUT_SyntheticFuels!$B$4:$B$1000)*1,[1]OUT_SyntheticFuels!O$4:O$1000)</f>
        <v>0</v>
      </c>
      <c r="Q2029" s="1" cm="1">
        <f t="array" ref="Q2029">SUMPRODUCT(ISNUMBER(SEARCH("SUP_NGAH2CCS",[1]OUT_SyntheticFuels!$C$4:$C$1000))*1,("Var_cap"=[1]OUT_SyntheticFuels!$B$4:$B$1000)*1,[1]OUT_SyntheticFuels!P$4:P$1000)</f>
        <v>0</v>
      </c>
      <c r="S2029" s="3"/>
    </row>
    <row r="2030" spans="2:19" x14ac:dyDescent="0.5">
      <c r="B2030" s="5" t="str">
        <f t="shared" si="2186"/>
        <v>SPS1</v>
      </c>
      <c r="C2030" s="5" t="str">
        <f t="shared" si="2187"/>
        <v>CH</v>
      </c>
      <c r="D2030" t="s">
        <v>2151</v>
      </c>
      <c r="E2030" t="s">
        <v>2154</v>
      </c>
      <c r="F2030" s="1">
        <f t="shared" ref="F2030" si="2202">SUM(F2031:F2032)</f>
        <v>0</v>
      </c>
      <c r="G2030" s="1">
        <f t="shared" ref="G2030" si="2203">SUM(G2031:G2032)</f>
        <v>0</v>
      </c>
      <c r="H2030" s="1">
        <f t="shared" ref="H2030" si="2204">SUM(H2031:H2032)</f>
        <v>0</v>
      </c>
      <c r="I2030" s="1">
        <f t="shared" ref="I2030" si="2205">SUM(I2031:I2032)</f>
        <v>0</v>
      </c>
      <c r="J2030" s="1">
        <f t="shared" ref="J2030" si="2206">SUM(J2031:J2032)</f>
        <v>0</v>
      </c>
      <c r="K2030" s="1">
        <f t="shared" ref="K2030" si="2207">SUM(K2031:K2032)</f>
        <v>0</v>
      </c>
      <c r="L2030" s="1">
        <f t="shared" ref="L2030:O2030" si="2208">SUM(L2031:L2032)</f>
        <v>0</v>
      </c>
      <c r="M2030" s="1">
        <f t="shared" si="2208"/>
        <v>6.7355276285333801E-4</v>
      </c>
      <c r="N2030" s="1">
        <f t="shared" si="2208"/>
        <v>6.7741683704843048E-4</v>
      </c>
      <c r="O2030" s="1">
        <f t="shared" si="2208"/>
        <v>1.0523389398611849E-3</v>
      </c>
      <c r="P2030" s="1">
        <f>SUM(P2031:P2032)</f>
        <v>1.095942715199948E-3</v>
      </c>
      <c r="Q2030" s="1">
        <f>SUM(Q2031:Q2032)</f>
        <v>3.2981732155045471E-3</v>
      </c>
      <c r="S2030" s="3"/>
    </row>
    <row r="2031" spans="2:19" x14ac:dyDescent="0.5">
      <c r="B2031" s="5" t="str">
        <f t="shared" si="2186"/>
        <v>SPS1</v>
      </c>
      <c r="C2031" s="5" t="str">
        <f t="shared" si="2187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SUMPRODUCT(ISNUMBER(SEARCH("SUP_WODH2",[1]OUT_SyntheticFuels!$C$4:$C$1000))*1,("Var_cap"=[1]OUT_SyntheticFuels!$B$4:$B$1000)*1,[1]OUT_SyntheticFuels!I$4:I$1000)-J2032</f>
        <v>0</v>
      </c>
      <c r="K2031" s="1" cm="1">
        <f t="array" ref="K2031">SUMPRODUCT(ISNUMBER(SEARCH("SUP_WODH2",[1]OUT_SyntheticFuels!$C$4:$C$1000))*1,("Var_cap"=[1]OUT_SyntheticFuels!$B$4:$B$1000)*1,[1]OUT_SyntheticFuels!J$4:J$1000)-K2032</f>
        <v>0</v>
      </c>
      <c r="L2031" s="1" cm="1">
        <f t="array" ref="L2031">SUMPRODUCT(ISNUMBER(SEARCH("SUP_WODH2",[1]OUT_SyntheticFuels!$C$4:$C$1000))*1,("Var_cap"=[1]OUT_SyntheticFuels!$B$4:$B$1000)*1,[1]OUT_SyntheticFuels!K$4:K$1000)-L2032</f>
        <v>0</v>
      </c>
      <c r="M2031" s="1" cm="1">
        <f t="array" ref="M2031">SUMPRODUCT(ISNUMBER(SEARCH("SUP_WODH2",[1]OUT_SyntheticFuels!$C$4:$C$1000))*1,("Var_cap"=[1]OUT_SyntheticFuels!$B$4:$B$1000)*1,[1]OUT_SyntheticFuels!L$4:L$1000)-M2032</f>
        <v>6.7355276285333801E-4</v>
      </c>
      <c r="N2031" s="1" cm="1">
        <f t="array" ref="N2031">SUMPRODUCT(ISNUMBER(SEARCH("SUP_WODH2",[1]OUT_SyntheticFuels!$C$4:$C$1000))*1,("Var_cap"=[1]OUT_SyntheticFuels!$B$4:$B$1000)*1,[1]OUT_SyntheticFuels!M$4:M$1000)-N2032</f>
        <v>6.7741683704843048E-4</v>
      </c>
      <c r="O2031" s="1" cm="1">
        <f t="array" ref="O2031">SUMPRODUCT(ISNUMBER(SEARCH("SUP_WODH2",[1]OUT_SyntheticFuels!$C$4:$C$1000))*1,("Var_cap"=[1]OUT_SyntheticFuels!$B$4:$B$1000)*1,[1]OUT_SyntheticFuels!N$4:N$1000)-O2032</f>
        <v>1.0523389398611849E-3</v>
      </c>
      <c r="P2031" s="1" cm="1">
        <f t="array" ref="P2031">SUMPRODUCT(ISNUMBER(SEARCH("SUP_WODH2",[1]OUT_SyntheticFuels!$C$4:$C$1000))*1,("Var_cap"=[1]OUT_SyntheticFuels!$B$4:$B$1000)*1,[1]OUT_SyntheticFuels!O$4:O$1000)-P2032</f>
        <v>1.095942715199948E-3</v>
      </c>
      <c r="Q2031" s="1" cm="1">
        <f t="array" ref="Q2031">SUMPRODUCT(ISNUMBER(SEARCH("SUP_WODH2",[1]OUT_SyntheticFuels!$C$4:$C$1000))*1,("Var_cap"=[1]OUT_SyntheticFuels!$B$4:$B$1000)*1,[1]OUT_SyntheticFuels!P$4:P$1000)-Q2032</f>
        <v>3.2981732155045471E-3</v>
      </c>
      <c r="S2031" s="3"/>
    </row>
    <row r="2032" spans="2:19" x14ac:dyDescent="0.5">
      <c r="B2032" s="5" t="str">
        <f t="shared" si="2186"/>
        <v>SPS1</v>
      </c>
      <c r="C2032" s="5" t="str">
        <f t="shared" si="2187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SUMPRODUCT(ISNUMBER(SEARCH("SUP_WODH2CCS",[1]OUT_SyntheticFuels!$C$4:$C$1000))*1,("Var_cap"=[1]OUT_SyntheticFuels!$B$4:$B$1000)*1,[1]OUT_SyntheticFuels!I$4:I$1000)</f>
        <v>0</v>
      </c>
      <c r="K2032" s="1" cm="1">
        <f t="array" ref="K2032">SUMPRODUCT(ISNUMBER(SEARCH("SUP_WODH2CCS",[1]OUT_SyntheticFuels!$C$4:$C$1000))*1,("Var_cap"=[1]OUT_SyntheticFuels!$B$4:$B$1000)*1,[1]OUT_SyntheticFuels!J$4:J$1000)</f>
        <v>0</v>
      </c>
      <c r="L2032" s="1" cm="1">
        <f t="array" ref="L2032">SUMPRODUCT(ISNUMBER(SEARCH("SUP_WODH2CCS",[1]OUT_SyntheticFuels!$C$4:$C$1000))*1,("Var_cap"=[1]OUT_SyntheticFuels!$B$4:$B$1000)*1,[1]OUT_SyntheticFuels!K$4:K$1000)</f>
        <v>0</v>
      </c>
      <c r="M2032" s="1" cm="1">
        <f t="array" ref="M2032">SUMPRODUCT(ISNUMBER(SEARCH("SUP_WODH2CCS",[1]OUT_SyntheticFuels!$C$4:$C$1000))*1,("Var_cap"=[1]OUT_SyntheticFuels!$B$4:$B$1000)*1,[1]OUT_SyntheticFuels!L$4:L$1000)</f>
        <v>0</v>
      </c>
      <c r="N2032" s="1" cm="1">
        <f t="array" ref="N2032">SUMPRODUCT(ISNUMBER(SEARCH("SUP_WODH2CCS",[1]OUT_SyntheticFuels!$C$4:$C$1000))*1,("Var_cap"=[1]OUT_SyntheticFuels!$B$4:$B$1000)*1,[1]OUT_SyntheticFuels!M$4:M$1000)</f>
        <v>0</v>
      </c>
      <c r="O2032" s="1" cm="1">
        <f t="array" ref="O2032">SUMPRODUCT(ISNUMBER(SEARCH("SUP_WODH2CCS",[1]OUT_SyntheticFuels!$C$4:$C$1000))*1,("Var_cap"=[1]OUT_SyntheticFuels!$B$4:$B$1000)*1,[1]OUT_SyntheticFuels!N$4:N$1000)</f>
        <v>0</v>
      </c>
      <c r="P2032" s="1" cm="1">
        <f t="array" ref="P2032">SUMPRODUCT(ISNUMBER(SEARCH("SUP_WODH2CCS",[1]OUT_SyntheticFuels!$C$4:$C$1000))*1,("Var_cap"=[1]OUT_SyntheticFuels!$B$4:$B$1000)*1,[1]OUT_SyntheticFuels!O$4:O$1000)</f>
        <v>0</v>
      </c>
      <c r="Q2032" s="1" cm="1">
        <f t="array" ref="Q2032">SUMPRODUCT(ISNUMBER(SEARCH("SUP_WODH2CCS",[1]OUT_SyntheticFuels!$C$4:$C$1000))*1,("Var_cap"=[1]OUT_SyntheticFuels!$B$4:$B$1000)*1,[1]OUT_SyntheticFuels!P$4:P$1000)</f>
        <v>0</v>
      </c>
      <c r="S2032" s="3"/>
    </row>
    <row r="2033" spans="2:19" x14ac:dyDescent="0.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4"/>
      <c r="G2033" s="24"/>
      <c r="H2033" s="24"/>
      <c r="I2033" s="24"/>
      <c r="J2033" s="24"/>
      <c r="K2033" s="24"/>
      <c r="L2033" s="24"/>
      <c r="M2033" s="24"/>
      <c r="N2033" s="24"/>
      <c r="O2033" s="24"/>
      <c r="P2033" s="24"/>
      <c r="Q2033" s="24"/>
      <c r="S2033" s="3"/>
    </row>
    <row r="2034" spans="2:19" x14ac:dyDescent="0.5">
      <c r="B2034" s="5" t="str">
        <f t="shared" ref="B2034:B2049" si="2209">B2033</f>
        <v>SPS1</v>
      </c>
      <c r="C2034" s="5" t="str">
        <f t="shared" ref="C2034:C2049" si="2210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3.3088240641657704E-2</v>
      </c>
      <c r="G2034" s="7" cm="1">
        <f t="array" ref="G2034">SUMPRODUCT(("CT_CWODBDS"=[1]OUT_SyntheticFuels!$C$4:$C$1000)*1,("Var_cap"=[1]OUT_SyntheticFuels!$B$4:$B$1000)*1,[1]OUT_SyntheticFuels!F$4:F$1000)</f>
        <v>3.3050390421102673E-2</v>
      </c>
      <c r="H2034" s="7" cm="1">
        <f t="array" ref="H2034">SUMPRODUCT(("CT_CWODBDS"=[1]OUT_SyntheticFuels!$C$4:$C$1000)*1,("Var_cap"=[1]OUT_SyntheticFuels!$B$4:$B$1000)*1,[1]OUT_SyntheticFuels!G$4:G$1000)</f>
        <v>3.2653106227877204E-2</v>
      </c>
      <c r="I2034" s="7" cm="1">
        <f t="array" ref="I2034">SUMPRODUCT(("CT_CWODBDS"=[1]OUT_SyntheticFuels!$C$4:$C$1000)*1,("Var_cap"=[1]OUT_SyntheticFuels!$B$4:$B$1000)*1,[1]OUT_SyntheticFuels!H$4:H$1000)</f>
        <v>1.4168679820983354E-4</v>
      </c>
      <c r="J2034" s="7" cm="1">
        <f t="array" ref="J2034">SUMPRODUCT(("CT_CWODBDS"=[1]OUT_SyntheticFuels!$C$4:$C$1000)*1,("Var_cap"=[1]OUT_SyntheticFuels!$B$4:$B$1000)*1,[1]OUT_SyntheticFuels!I$4:I$1000)</f>
        <v>9.9995033336771136E-5</v>
      </c>
      <c r="K2034" s="7" cm="1">
        <f t="array" ref="K2034">SUMPRODUCT(("CT_CWODBDS"=[1]OUT_SyntheticFuels!$C$4:$C$1000)*1,("Var_cap"=[1]OUT_SyntheticFuels!$B$4:$B$1000)*1,[1]OUT_SyntheticFuels!J$4:J$1000)</f>
        <v>1.4034692486902985E-4</v>
      </c>
      <c r="L2034" s="7" cm="1">
        <f t="array" ref="L2034">SUMPRODUCT(("CT_CWODBDS"=[1]OUT_SyntheticFuels!$C$4:$C$1000)*1,("Var_cap"=[1]OUT_SyntheticFuels!$B$4:$B$1000)*1,[1]OUT_SyntheticFuels!K$4:K$1000)</f>
        <v>1.7222712935361902E-4</v>
      </c>
      <c r="M2034" s="7" cm="1">
        <f t="array" ref="M2034">SUMPRODUCT(("CT_CWODBDS"=[1]OUT_SyntheticFuels!$C$4:$C$1000)*1,("Var_cap"=[1]OUT_SyntheticFuels!$B$4:$B$1000)*1,[1]OUT_SyntheticFuels!L$4:L$1000)</f>
        <v>2.0071800741532897E-3</v>
      </c>
      <c r="N2034" s="7" cm="1">
        <f t="array" ref="N2034">SUMPRODUCT(("CT_CWODBDS"=[1]OUT_SyntheticFuels!$C$4:$C$1000)*1,("Var_cap"=[1]OUT_SyntheticFuels!$B$4:$B$1000)*1,[1]OUT_SyntheticFuels!M$4:M$1000)</f>
        <v>1.4590155725694021E-2</v>
      </c>
      <c r="O2034" s="7" cm="1">
        <f t="array" ref="O2034">SUMPRODUCT(("CT_CWODBDS"=[1]OUT_SyntheticFuels!$C$4:$C$1000)*1,("Var_cap"=[1]OUT_SyntheticFuels!$B$4:$B$1000)*1,[1]OUT_SyntheticFuels!N$4:N$1000)</f>
        <v>2.2791309522798345E-2</v>
      </c>
      <c r="P2034" s="7" cm="1">
        <f t="array" ref="P2034">SUMPRODUCT(("CT_CWODBDS"=[1]OUT_SyntheticFuels!$C$4:$C$1000)*1,("Var_cap"=[1]OUT_SyntheticFuels!$B$4:$B$1000)*1,[1]OUT_SyntheticFuels!O$4:O$1000)</f>
        <v>6.9560188372131168E-2</v>
      </c>
      <c r="Q2034" s="7" cm="1">
        <f t="array" ref="Q2034">SUMPRODUCT(("CT_CWODBDS"=[1]OUT_SyntheticFuels!$C$4:$C$1000)*1,("Var_cap"=[1]OUT_SyntheticFuels!$B$4:$B$1000)*1,[1]OUT_SyntheticFuels!P$4:P$1000)</f>
        <v>8.0626510372256543E-2</v>
      </c>
      <c r="S2034" s="3"/>
    </row>
    <row r="2035" spans="2:19" x14ac:dyDescent="0.5">
      <c r="B2035" s="5" t="str">
        <f t="shared" si="2209"/>
        <v>SPS1</v>
      </c>
      <c r="C2035" s="5" t="str">
        <f t="shared" si="2210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SUMPRODUCT(("CT_CWODBDSCCS"=[1]OUT_SyntheticFuels!$C$4:$C$1000)*1,("Var_cap"=[1]OUT_SyntheticFuels!$B$4:$B$1000)*1,[1]OUT_SyntheticFuels!I$4:I$1000)</f>
        <v>0</v>
      </c>
      <c r="K2035" s="7" cm="1">
        <f t="array" ref="K2035">SUMPRODUCT(("CT_CWODBDSCCS"=[1]OUT_SyntheticFuels!$C$4:$C$1000)*1,("Var_cap"=[1]OUT_SyntheticFuels!$B$4:$B$1000)*1,[1]OUT_SyntheticFuels!J$4:J$1000)</f>
        <v>0</v>
      </c>
      <c r="L2035" s="7" cm="1">
        <f t="array" ref="L2035">SUMPRODUCT(("CT_CWODBDSCCS"=[1]OUT_SyntheticFuels!$C$4:$C$1000)*1,("Var_cap"=[1]OUT_SyntheticFuels!$B$4:$B$1000)*1,[1]OUT_SyntheticFuels!K$4:K$1000)</f>
        <v>0</v>
      </c>
      <c r="M2035" s="7" cm="1">
        <f t="array" ref="M2035">SUMPRODUCT(("CT_CWODBDSCCS"=[1]OUT_SyntheticFuels!$C$4:$C$1000)*1,("Var_cap"=[1]OUT_SyntheticFuels!$B$4:$B$1000)*1,[1]OUT_SyntheticFuels!L$4:L$1000)</f>
        <v>0</v>
      </c>
      <c r="N2035" s="7" cm="1">
        <f t="array" ref="N2035">SUMPRODUCT(("CT_CWODBDSCCS"=[1]OUT_SyntheticFuels!$C$4:$C$1000)*1,("Var_cap"=[1]OUT_SyntheticFuels!$B$4:$B$1000)*1,[1]OUT_SyntheticFuels!M$4:M$1000)</f>
        <v>0</v>
      </c>
      <c r="O2035" s="7" cm="1">
        <f t="array" ref="O2035">SUMPRODUCT(("CT_CWODBDSCCS"=[1]OUT_SyntheticFuels!$C$4:$C$1000)*1,("Var_cap"=[1]OUT_SyntheticFuels!$B$4:$B$1000)*1,[1]OUT_SyntheticFuels!N$4:N$1000)</f>
        <v>0</v>
      </c>
      <c r="P2035" s="7" cm="1">
        <f t="array" ref="P2035">SUMPRODUCT(("CT_CWODBDSCCS"=[1]OUT_SyntheticFuels!$C$4:$C$1000)*1,("Var_cap"=[1]OUT_SyntheticFuels!$B$4:$B$1000)*1,[1]OUT_SyntheticFuels!O$4:O$1000)</f>
        <v>0</v>
      </c>
      <c r="Q2035" s="7" cm="1">
        <f t="array" ref="Q2035">SUMPRODUCT(("CT_CWODBDSCCS"=[1]OUT_SyntheticFuels!$C$4:$C$1000)*1,("Var_cap"=[1]OUT_SyntheticFuels!$B$4:$B$1000)*1,[1]OUT_SyntheticFuels!P$4:P$1000)</f>
        <v>0</v>
      </c>
      <c r="S2035" s="3"/>
    </row>
    <row r="2036" spans="2:19" x14ac:dyDescent="0.5">
      <c r="B2036" s="5" t="str">
        <f t="shared" si="2209"/>
        <v>SPS1</v>
      </c>
      <c r="C2036" s="5" t="str">
        <f t="shared" si="2210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7.1152650997741707E-3</v>
      </c>
      <c r="G2036" s="7" cm="1">
        <f t="array" ref="G2036">SUMPRODUCT(("CT_CWODETH"=[1]OUT_SyntheticFuels!$C$4:$C$1000)*1,("Var_cap"=[1]OUT_SyntheticFuels!$B$4:$B$1000)*1,[1]OUT_SyntheticFuels!F$4:F$1000)</f>
        <v>1.3704406820588995E-4</v>
      </c>
      <c r="H2036" s="7" cm="1">
        <f t="array" ref="H2036">SUMPRODUCT(("CT_CWODETH"=[1]OUT_SyntheticFuels!$C$4:$C$1000)*1,("Var_cap"=[1]OUT_SyntheticFuels!$B$4:$B$1000)*1,[1]OUT_SyntheticFuels!G$4:G$1000)</f>
        <v>1.3555140397070002E-4</v>
      </c>
      <c r="I2036" s="7" cm="1">
        <f t="array" ref="I2036">SUMPRODUCT(("CT_CWODETH"=[1]OUT_SyntheticFuels!$C$4:$C$1000)*1,("Var_cap"=[1]OUT_SyntheticFuels!$B$4:$B$1000)*1,[1]OUT_SyntheticFuels!H$4:H$1000)</f>
        <v>8.1877152500659835E-5</v>
      </c>
      <c r="J2036" s="7" cm="1">
        <f t="array" ref="J2036">SUMPRODUCT(("CT_CWODETH"=[1]OUT_SyntheticFuels!$C$4:$C$1000)*1,("Var_cap"=[1]OUT_SyntheticFuels!$B$4:$B$1000)*1,[1]OUT_SyntheticFuels!I$4:I$1000)</f>
        <v>8.5870077110539351E-5</v>
      </c>
      <c r="K2036" s="7" cm="1">
        <f t="array" ref="K2036">SUMPRODUCT(("CT_CWODETH"=[1]OUT_SyntheticFuels!$C$4:$C$1000)*1,("Var_cap"=[1]OUT_SyntheticFuels!$B$4:$B$1000)*1,[1]OUT_SyntheticFuels!J$4:J$1000)</f>
        <v>6.4785541865389727E-5</v>
      </c>
      <c r="L2036" s="7" cm="1">
        <f t="array" ref="L2036">SUMPRODUCT(("CT_CWODETH"=[1]OUT_SyntheticFuels!$C$4:$C$1000)*1,("Var_cap"=[1]OUT_SyntheticFuels!$B$4:$B$1000)*1,[1]OUT_SyntheticFuels!K$4:K$1000)</f>
        <v>6.5706335123950045E-5</v>
      </c>
      <c r="M2036" s="7" cm="1">
        <f t="array" ref="M2036">SUMPRODUCT(("CT_CWODETH"=[1]OUT_SyntheticFuels!$C$4:$C$1000)*1,("Var_cap"=[1]OUT_SyntheticFuels!$B$4:$B$1000)*1,[1]OUT_SyntheticFuels!L$4:L$1000)</f>
        <v>1.3204082291370966E-4</v>
      </c>
      <c r="N2036" s="7" cm="1">
        <f t="array" ref="N2036">SUMPRODUCT(("CT_CWODETH"=[1]OUT_SyntheticFuels!$C$4:$C$1000)*1,("Var_cap"=[1]OUT_SyntheticFuels!$B$4:$B$1000)*1,[1]OUT_SyntheticFuels!M$4:M$1000)</f>
        <v>1.2388665664438324E-4</v>
      </c>
      <c r="O2036" s="7" cm="1">
        <f t="array" ref="O2036">SUMPRODUCT(("CT_CWODETH"=[1]OUT_SyntheticFuels!$C$4:$C$1000)*1,("Var_cap"=[1]OUT_SyntheticFuels!$B$4:$B$1000)*1,[1]OUT_SyntheticFuels!N$4:N$1000)</f>
        <v>1.9238142366808809E-4</v>
      </c>
      <c r="P2036" s="7" cm="1">
        <f t="array" ref="P2036">SUMPRODUCT(("CT_CWODETH"=[1]OUT_SyntheticFuels!$C$4:$C$1000)*1,("Var_cap"=[1]OUT_SyntheticFuels!$B$4:$B$1000)*1,[1]OUT_SyntheticFuels!O$4:O$1000)</f>
        <v>1.7255633404057307E-4</v>
      </c>
      <c r="Q2036" s="7" cm="1">
        <f t="array" ref="Q2036">SUMPRODUCT(("CT_CWODETH"=[1]OUT_SyntheticFuels!$C$4:$C$1000)*1,("Var_cap"=[1]OUT_SyntheticFuels!$B$4:$B$1000)*1,[1]OUT_SyntheticFuels!P$4:P$1000)</f>
        <v>3.6204424106786657E-4</v>
      </c>
      <c r="S2036" s="3"/>
    </row>
    <row r="2037" spans="2:19" x14ac:dyDescent="0.5">
      <c r="B2037" s="5" t="str">
        <f t="shared" si="2209"/>
        <v>SPS1</v>
      </c>
      <c r="C2037" s="5" t="str">
        <f t="shared" si="2210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SUMPRODUCT(("CT_CWODETHCCS"=[1]OUT_SyntheticFuels!$C$4:$C$1000)*1,("Var_cap"=[1]OUT_SyntheticFuels!$B$4:$B$1000)*1,[1]OUT_SyntheticFuels!I$4:I$1000)</f>
        <v>0</v>
      </c>
      <c r="K2037" s="7" cm="1">
        <f t="array" ref="K2037">SUMPRODUCT(("CT_CWODETHCCS"=[1]OUT_SyntheticFuels!$C$4:$C$1000)*1,("Var_cap"=[1]OUT_SyntheticFuels!$B$4:$B$1000)*1,[1]OUT_SyntheticFuels!J$4:J$1000)</f>
        <v>0</v>
      </c>
      <c r="L2037" s="7" cm="1">
        <f t="array" ref="L2037">SUMPRODUCT(("CT_CWODETHCCS"=[1]OUT_SyntheticFuels!$C$4:$C$1000)*1,("Var_cap"=[1]OUT_SyntheticFuels!$B$4:$B$1000)*1,[1]OUT_SyntheticFuels!K$4:K$1000)</f>
        <v>0</v>
      </c>
      <c r="M2037" s="7" cm="1">
        <f t="array" ref="M2037">SUMPRODUCT(("CT_CWODETHCCS"=[1]OUT_SyntheticFuels!$C$4:$C$1000)*1,("Var_cap"=[1]OUT_SyntheticFuels!$B$4:$B$1000)*1,[1]OUT_SyntheticFuels!L$4:L$1000)</f>
        <v>0</v>
      </c>
      <c r="N2037" s="7" cm="1">
        <f t="array" ref="N2037">SUMPRODUCT(("CT_CWODETHCCS"=[1]OUT_SyntheticFuels!$C$4:$C$1000)*1,("Var_cap"=[1]OUT_SyntheticFuels!$B$4:$B$1000)*1,[1]OUT_SyntheticFuels!M$4:M$1000)</f>
        <v>0</v>
      </c>
      <c r="O2037" s="7" cm="1">
        <f t="array" ref="O2037">SUMPRODUCT(("CT_CWODETHCCS"=[1]OUT_SyntheticFuels!$C$4:$C$1000)*1,("Var_cap"=[1]OUT_SyntheticFuels!$B$4:$B$1000)*1,[1]OUT_SyntheticFuels!N$4:N$1000)</f>
        <v>0</v>
      </c>
      <c r="P2037" s="7" cm="1">
        <f t="array" ref="P2037">SUMPRODUCT(("CT_CWODETHCCS"=[1]OUT_SyntheticFuels!$C$4:$C$1000)*1,("Var_cap"=[1]OUT_SyntheticFuels!$B$4:$B$1000)*1,[1]OUT_SyntheticFuels!O$4:O$1000)</f>
        <v>0</v>
      </c>
      <c r="Q2037" s="7" cm="1">
        <f t="array" ref="Q2037">SUMPRODUCT(("CT_CWODETHCCS"=[1]OUT_SyntheticFuels!$C$4:$C$1000)*1,("Var_cap"=[1]OUT_SyntheticFuels!$B$4:$B$1000)*1,[1]OUT_SyntheticFuels!P$4:P$1000)</f>
        <v>0</v>
      </c>
      <c r="S2037" s="3"/>
    </row>
    <row r="2038" spans="2:19" x14ac:dyDescent="0.5">
      <c r="B2038" s="5" t="str">
        <f t="shared" si="2209"/>
        <v>SPS1</v>
      </c>
      <c r="C2038" s="5" t="str">
        <f t="shared" si="2210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5.2479972143585497E-2</v>
      </c>
      <c r="G2038" s="7" cm="1">
        <f t="array" ref="G2038">SUMPRODUCT(("SUP_MNRBIO"=[1]OUT_SyntheticFuels!$C$4:$C$1000)*1,("Var_cap"=[1]OUT_SyntheticFuels!$B$4:$B$1000)*1,[1]OUT_SyntheticFuels!F$4:F$1000)</f>
        <v>0.1618512245261236</v>
      </c>
      <c r="H2038" s="7" cm="1">
        <f t="array" ref="H2038">SUMPRODUCT(("SUP_MNRBIO"=[1]OUT_SyntheticFuels!$C$4:$C$1000)*1,("Var_cap"=[1]OUT_SyntheticFuels!$B$4:$B$1000)*1,[1]OUT_SyntheticFuels!G$4:G$1000)</f>
        <v>0.16240132518153508</v>
      </c>
      <c r="I2038" s="7" cm="1">
        <f t="array" ref="I2038">SUMPRODUCT(("SUP_MNRBIO"=[1]OUT_SyntheticFuels!$C$4:$C$1000)*1,("Var_cap"=[1]OUT_SyntheticFuels!$B$4:$B$1000)*1,[1]OUT_SyntheticFuels!H$4:H$1000)</f>
        <v>0.16240442865173943</v>
      </c>
      <c r="J2038" s="7" cm="1">
        <f t="array" ref="J2038">SUMPRODUCT(("SUP_MNRBIO"=[1]OUT_SyntheticFuels!$C$4:$C$1000)*1,("Var_cap"=[1]OUT_SyntheticFuels!$B$4:$B$1000)*1,[1]OUT_SyntheticFuels!I$4:I$1000)</f>
        <v>0.16242930706499914</v>
      </c>
      <c r="K2038" s="7" cm="1">
        <f t="array" ref="K2038">SUMPRODUCT(("SUP_MNRBIO"=[1]OUT_SyntheticFuels!$C$4:$C$1000)*1,("Var_cap"=[1]OUT_SyntheticFuels!$B$4:$B$1000)*1,[1]OUT_SyntheticFuels!J$4:J$1000)</f>
        <v>0.16242099673075711</v>
      </c>
      <c r="L2038" s="7" cm="1">
        <f t="array" ref="L2038">SUMPRODUCT(("SUP_MNRBIO"=[1]OUT_SyntheticFuels!$C$4:$C$1000)*1,("Var_cap"=[1]OUT_SyntheticFuels!$B$4:$B$1000)*1,[1]OUT_SyntheticFuels!K$4:K$1000)</f>
        <v>0.16241920159649986</v>
      </c>
      <c r="M2038" s="7" cm="1">
        <f t="array" ref="M2038">SUMPRODUCT(("SUP_MNRBIO"=[1]OUT_SyntheticFuels!$C$4:$C$1000)*1,("Var_cap"=[1]OUT_SyntheticFuels!$B$4:$B$1000)*1,[1]OUT_SyntheticFuels!L$4:L$1000)</f>
        <v>0.16247043097176478</v>
      </c>
      <c r="N2038" s="7" cm="1">
        <f t="array" ref="N2038">SUMPRODUCT(("SUP_MNRBIO"=[1]OUT_SyntheticFuels!$C$4:$C$1000)*1,("Var_cap"=[1]OUT_SyntheticFuels!$B$4:$B$1000)*1,[1]OUT_SyntheticFuels!M$4:M$1000)</f>
        <v>0.16242509722298568</v>
      </c>
      <c r="O2038" s="7" cm="1">
        <f t="array" ref="O2038">SUMPRODUCT(("SUP_MNRBIO"=[1]OUT_SyntheticFuels!$C$4:$C$1000)*1,("Var_cap"=[1]OUT_SyntheticFuels!$B$4:$B$1000)*1,[1]OUT_SyntheticFuels!N$4:N$1000)</f>
        <v>0.16244200692384034</v>
      </c>
      <c r="P2038" s="7" cm="1">
        <f t="array" ref="P2038">SUMPRODUCT(("SUP_MNRBIO"=[1]OUT_SyntheticFuels!$C$4:$C$1000)*1,("Var_cap"=[1]OUT_SyntheticFuels!$B$4:$B$1000)*1,[1]OUT_SyntheticFuels!O$4:O$1000)</f>
        <v>0.16243963170300427</v>
      </c>
      <c r="Q2038" s="7" cm="1">
        <f t="array" ref="Q2038">SUMPRODUCT(("SUP_MNRBIO"=[1]OUT_SyntheticFuels!$C$4:$C$1000)*1,("Var_cap"=[1]OUT_SyntheticFuels!$B$4:$B$1000)*1,[1]OUT_SyntheticFuels!P$4:P$1000)</f>
        <v>0.16249356438125498</v>
      </c>
      <c r="S2038" s="3"/>
    </row>
    <row r="2039" spans="2:19" x14ac:dyDescent="0.5">
      <c r="B2039" s="5" t="str">
        <f t="shared" si="2209"/>
        <v>SPS1</v>
      </c>
      <c r="C2039" s="5" t="str">
        <f t="shared" si="2210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0.21267373847132198</v>
      </c>
      <c r="G2039" s="7" cm="1">
        <f t="array" ref="G2039">SUMPRODUCT(("SUP_WSTBIO"=[1]OUT_SyntheticFuels!$C$4:$C$1000)*1,("Var_cap"=[1]OUT_SyntheticFuels!$B$4:$B$1000)*1,[1]OUT_SyntheticFuels!F$4:F$1000)</f>
        <v>0.21683963704510742</v>
      </c>
      <c r="H2039" s="7" cm="1">
        <f t="array" ref="H2039">SUMPRODUCT(("SUP_WSTBIO"=[1]OUT_SyntheticFuels!$C$4:$C$1000)*1,("Var_cap"=[1]OUT_SyntheticFuels!$B$4:$B$1000)*1,[1]OUT_SyntheticFuels!G$4:G$1000)</f>
        <v>0.21683617456332804</v>
      </c>
      <c r="I2039" s="7" cm="1">
        <f t="array" ref="I2039">SUMPRODUCT(("SUP_WSTBIO"=[1]OUT_SyntheticFuels!$C$4:$C$1000)*1,("Var_cap"=[1]OUT_SyntheticFuels!$B$4:$B$1000)*1,[1]OUT_SyntheticFuels!H$4:H$1000)</f>
        <v>0.21610369428831538</v>
      </c>
      <c r="J2039" s="7" cm="1">
        <f t="array" ref="J2039">SUMPRODUCT(("SUP_WSTBIO"=[1]OUT_SyntheticFuels!$C$4:$C$1000)*1,("Var_cap"=[1]OUT_SyntheticFuels!$B$4:$B$1000)*1,[1]OUT_SyntheticFuels!I$4:I$1000)</f>
        <v>0.21564505913820758</v>
      </c>
      <c r="K2039" s="7" cm="1">
        <f t="array" ref="K2039">SUMPRODUCT(("SUP_WSTBIO"=[1]OUT_SyntheticFuels!$C$4:$C$1000)*1,("Var_cap"=[1]OUT_SyntheticFuels!$B$4:$B$1000)*1,[1]OUT_SyntheticFuels!J$4:J$1000)</f>
        <v>0.20951301828135604</v>
      </c>
      <c r="L2039" s="7" cm="1">
        <f t="array" ref="L2039">SUMPRODUCT(("SUP_WSTBIO"=[1]OUT_SyntheticFuels!$C$4:$C$1000)*1,("Var_cap"=[1]OUT_SyntheticFuels!$B$4:$B$1000)*1,[1]OUT_SyntheticFuels!K$4:K$1000)</f>
        <v>0.20344213890800869</v>
      </c>
      <c r="M2039" s="7" cm="1">
        <f t="array" ref="M2039">SUMPRODUCT(("SUP_WSTBIO"=[1]OUT_SyntheticFuels!$C$4:$C$1000)*1,("Var_cap"=[1]OUT_SyntheticFuels!$B$4:$B$1000)*1,[1]OUT_SyntheticFuels!L$4:L$1000)</f>
        <v>0.1973727906098639</v>
      </c>
      <c r="N2039" s="7" cm="1">
        <f t="array" ref="N2039">SUMPRODUCT(("SUP_WSTBIO"=[1]OUT_SyntheticFuels!$C$4:$C$1000)*1,("Var_cap"=[1]OUT_SyntheticFuels!$B$4:$B$1000)*1,[1]OUT_SyntheticFuels!M$4:M$1000)</f>
        <v>0.19736281221137172</v>
      </c>
      <c r="O2039" s="7" cm="1">
        <f t="array" ref="O2039">SUMPRODUCT(("SUP_WSTBIO"=[1]OUT_SyntheticFuels!$C$4:$C$1000)*1,("Var_cap"=[1]OUT_SyntheticFuels!$B$4:$B$1000)*1,[1]OUT_SyntheticFuels!N$4:N$1000)</f>
        <v>0.19735494366813811</v>
      </c>
      <c r="P2039" s="7" cm="1">
        <f t="array" ref="P2039">SUMPRODUCT(("SUP_WSTBIO"=[1]OUT_SyntheticFuels!$C$4:$C$1000)*1,("Var_cap"=[1]OUT_SyntheticFuels!$B$4:$B$1000)*1,[1]OUT_SyntheticFuels!O$4:O$1000)</f>
        <v>0.19735002208863239</v>
      </c>
      <c r="Q2039" s="7" cm="1">
        <f t="array" ref="Q2039">SUMPRODUCT(("SUP_WSTBIO"=[1]OUT_SyntheticFuels!$C$4:$C$1000)*1,("Var_cap"=[1]OUT_SyntheticFuels!$B$4:$B$1000)*1,[1]OUT_SyntheticFuels!P$4:P$1000)</f>
        <v>0.19729166552756455</v>
      </c>
      <c r="S2039" s="3"/>
    </row>
    <row r="2040" spans="2:19" x14ac:dyDescent="0.5">
      <c r="B2040" s="5" t="str">
        <f t="shared" si="2209"/>
        <v>SPS1</v>
      </c>
      <c r="C2040" s="5" t="str">
        <f t="shared" si="2210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SUMPRODUCT(("SUP_WSTBIOCCS"=[1]OUT_SyntheticFuels!$C$4:$C$1000)*1,("Var_cap"=[1]OUT_SyntheticFuels!$B$4:$B$1000)*1,[1]OUT_SyntheticFuels!I$4:I$1000)</f>
        <v>0</v>
      </c>
      <c r="K2040" s="7" cm="1">
        <f t="array" ref="K2040">SUMPRODUCT(("SUP_WSTBIOCCS"=[1]OUT_SyntheticFuels!$C$4:$C$1000)*1,("Var_cap"=[1]OUT_SyntheticFuels!$B$4:$B$1000)*1,[1]OUT_SyntheticFuels!J$4:J$1000)</f>
        <v>0</v>
      </c>
      <c r="L2040" s="7" cm="1">
        <f t="array" ref="L2040">SUMPRODUCT(("SUP_WSTBIOCCS"=[1]OUT_SyntheticFuels!$C$4:$C$1000)*1,("Var_cap"=[1]OUT_SyntheticFuels!$B$4:$B$1000)*1,[1]OUT_SyntheticFuels!K$4:K$1000)</f>
        <v>0</v>
      </c>
      <c r="M2040" s="7" cm="1">
        <f t="array" ref="M2040">SUMPRODUCT(("SUP_WSTBIOCCS"=[1]OUT_SyntheticFuels!$C$4:$C$1000)*1,("Var_cap"=[1]OUT_SyntheticFuels!$B$4:$B$1000)*1,[1]OUT_SyntheticFuels!L$4:L$1000)</f>
        <v>0</v>
      </c>
      <c r="N2040" s="7" cm="1">
        <f t="array" ref="N2040">SUMPRODUCT(("SUP_WSTBIOCCS"=[1]OUT_SyntheticFuels!$C$4:$C$1000)*1,("Var_cap"=[1]OUT_SyntheticFuels!$B$4:$B$1000)*1,[1]OUT_SyntheticFuels!M$4:M$1000)</f>
        <v>0</v>
      </c>
      <c r="O2040" s="7" cm="1">
        <f t="array" ref="O2040">SUMPRODUCT(("SUP_WSTBIOCCS"=[1]OUT_SyntheticFuels!$C$4:$C$1000)*1,("Var_cap"=[1]OUT_SyntheticFuels!$B$4:$B$1000)*1,[1]OUT_SyntheticFuels!N$4:N$1000)</f>
        <v>0</v>
      </c>
      <c r="P2040" s="7" cm="1">
        <f t="array" ref="P2040">SUMPRODUCT(("SUP_WSTBIOCCS"=[1]OUT_SyntheticFuels!$C$4:$C$1000)*1,("Var_cap"=[1]OUT_SyntheticFuels!$B$4:$B$1000)*1,[1]OUT_SyntheticFuels!O$4:O$1000)</f>
        <v>0</v>
      </c>
      <c r="Q2040" s="7" cm="1">
        <f t="array" ref="Q2040">SUMPRODUCT(("SUP_WSTBIOCCS"=[1]OUT_SyntheticFuels!$C$4:$C$1000)*1,("Var_cap"=[1]OUT_SyntheticFuels!$B$4:$B$1000)*1,[1]OUT_SyntheticFuels!P$4:P$1000)</f>
        <v>0</v>
      </c>
      <c r="S2040" s="3"/>
    </row>
    <row r="2041" spans="2:19" x14ac:dyDescent="0.5">
      <c r="B2041" s="5" t="str">
        <f t="shared" si="2209"/>
        <v>SPS1</v>
      </c>
      <c r="C2041" s="5" t="str">
        <f t="shared" si="2210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SUMPRODUCT(("SUP_WSTHTGBIO"=[1]OUT_SyntheticFuels!$C$4:$C$1000)*1,("Var_cap"=[1]OUT_SyntheticFuels!$B$4:$B$1000)*1,[1]OUT_SyntheticFuels!I$4:I$1000)</f>
        <v>0</v>
      </c>
      <c r="K2041" s="7" cm="1">
        <f t="array" ref="K2041">SUMPRODUCT(("SUP_WSTHTGBIO"=[1]OUT_SyntheticFuels!$C$4:$C$1000)*1,("Var_cap"=[1]OUT_SyntheticFuels!$B$4:$B$1000)*1,[1]OUT_SyntheticFuels!J$4:J$1000)</f>
        <v>8.4623554305439107E-5</v>
      </c>
      <c r="L2041" s="7" cm="1">
        <f t="array" ref="L2041">SUMPRODUCT(("SUP_WSTHTGBIO"=[1]OUT_SyntheticFuels!$C$4:$C$1000)*1,("Var_cap"=[1]OUT_SyntheticFuels!$B$4:$B$1000)*1,[1]OUT_SyntheticFuels!K$4:K$1000)</f>
        <v>8.8067743471254107E-5</v>
      </c>
      <c r="M2041" s="7" cm="1">
        <f t="array" ref="M2041">SUMPRODUCT(("SUP_WSTHTGBIO"=[1]OUT_SyntheticFuels!$C$4:$C$1000)*1,("Var_cap"=[1]OUT_SyntheticFuels!$B$4:$B$1000)*1,[1]OUT_SyntheticFuels!L$4:L$1000)</f>
        <v>1.0818729502366752E-4</v>
      </c>
      <c r="N2041" s="7" cm="1">
        <f t="array" ref="N2041">SUMPRODUCT(("SUP_WSTHTGBIO"=[1]OUT_SyntheticFuels!$C$4:$C$1000)*1,("Var_cap"=[1]OUT_SyntheticFuels!$B$4:$B$1000)*1,[1]OUT_SyntheticFuels!M$4:M$1000)</f>
        <v>9.895897138506399E-5</v>
      </c>
      <c r="O2041" s="7" cm="1">
        <f t="array" ref="O2041">SUMPRODUCT(("SUP_WSTHTGBIO"=[1]OUT_SyntheticFuels!$C$4:$C$1000)*1,("Var_cap"=[1]OUT_SyntheticFuels!$B$4:$B$1000)*1,[1]OUT_SyntheticFuels!N$4:N$1000)</f>
        <v>1.2914002363215185E-4</v>
      </c>
      <c r="P2041" s="7" cm="1">
        <f t="array" ref="P2041">SUMPRODUCT(("SUP_WSTHTGBIO"=[1]OUT_SyntheticFuels!$C$4:$C$1000)*1,("Var_cap"=[1]OUT_SyntheticFuels!$B$4:$B$1000)*1,[1]OUT_SyntheticFuels!O$4:O$1000)</f>
        <v>1.2733578963502426E-4</v>
      </c>
      <c r="Q2041" s="7" cm="1">
        <f t="array" ref="Q2041">SUMPRODUCT(("SUP_WSTHTGBIO"=[1]OUT_SyntheticFuels!$C$4:$C$1000)*1,("Var_cap"=[1]OUT_SyntheticFuels!$B$4:$B$1000)*1,[1]OUT_SyntheticFuels!P$4:P$1000)</f>
        <v>2.4590662781657482E-4</v>
      </c>
      <c r="S2041" s="3"/>
    </row>
    <row r="2042" spans="2:19" x14ac:dyDescent="0.5">
      <c r="B2042" s="5" t="str">
        <f t="shared" si="2209"/>
        <v>SPS1</v>
      </c>
      <c r="C2042" s="5" t="str">
        <f t="shared" si="2210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SUMPRODUCT(("SUP_WSTHTGBIOCCS"=[1]OUT_SyntheticFuels!$C$4:$C$1000)*1,("Var_cap"=[1]OUT_SyntheticFuels!$B$4:$B$1000)*1,[1]OUT_SyntheticFuels!I$4:I$1000)</f>
        <v>0</v>
      </c>
      <c r="K2042" s="7" cm="1">
        <f t="array" ref="K2042">SUMPRODUCT(("SUP_WSTHTGBIOCCS"=[1]OUT_SyntheticFuels!$C$4:$C$1000)*1,("Var_cap"=[1]OUT_SyntheticFuels!$B$4:$B$1000)*1,[1]OUT_SyntheticFuels!J$4:J$1000)</f>
        <v>0</v>
      </c>
      <c r="L2042" s="7" cm="1">
        <f t="array" ref="L2042">SUMPRODUCT(("SUP_WSTHTGBIOCCS"=[1]OUT_SyntheticFuels!$C$4:$C$1000)*1,("Var_cap"=[1]OUT_SyntheticFuels!$B$4:$B$1000)*1,[1]OUT_SyntheticFuels!K$4:K$1000)</f>
        <v>0</v>
      </c>
      <c r="M2042" s="7" cm="1">
        <f t="array" ref="M2042">SUMPRODUCT(("SUP_WSTHTGBIOCCS"=[1]OUT_SyntheticFuels!$C$4:$C$1000)*1,("Var_cap"=[1]OUT_SyntheticFuels!$B$4:$B$1000)*1,[1]OUT_SyntheticFuels!L$4:L$1000)</f>
        <v>0</v>
      </c>
      <c r="N2042" s="7" cm="1">
        <f t="array" ref="N2042">SUMPRODUCT(("SUP_WSTHTGBIOCCS"=[1]OUT_SyntheticFuels!$C$4:$C$1000)*1,("Var_cap"=[1]OUT_SyntheticFuels!$B$4:$B$1000)*1,[1]OUT_SyntheticFuels!M$4:M$1000)</f>
        <v>0</v>
      </c>
      <c r="O2042" s="7" cm="1">
        <f t="array" ref="O2042">SUMPRODUCT(("SUP_WSTHTGBIOCCS"=[1]OUT_SyntheticFuels!$C$4:$C$1000)*1,("Var_cap"=[1]OUT_SyntheticFuels!$B$4:$B$1000)*1,[1]OUT_SyntheticFuels!N$4:N$1000)</f>
        <v>0</v>
      </c>
      <c r="P2042" s="7" cm="1">
        <f t="array" ref="P2042">SUMPRODUCT(("SUP_WSTHTGBIOCCS"=[1]OUT_SyntheticFuels!$C$4:$C$1000)*1,("Var_cap"=[1]OUT_SyntheticFuels!$B$4:$B$1000)*1,[1]OUT_SyntheticFuels!O$4:O$1000)</f>
        <v>0</v>
      </c>
      <c r="Q2042" s="7" cm="1">
        <f t="array" ref="Q2042">SUMPRODUCT(("SUP_WSTHTGBIOCCS"=[1]OUT_SyntheticFuels!$C$4:$C$1000)*1,("Var_cap"=[1]OUT_SyntheticFuels!$B$4:$B$1000)*1,[1]OUT_SyntheticFuels!P$4:P$1000)</f>
        <v>0</v>
      </c>
      <c r="S2042" s="3"/>
    </row>
    <row r="2043" spans="2:19" x14ac:dyDescent="0.5">
      <c r="B2043" s="5" t="str">
        <f t="shared" si="2209"/>
        <v>SPS1</v>
      </c>
      <c r="C2043" s="5" t="str">
        <f t="shared" si="2210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2.1105569584986899E-6</v>
      </c>
      <c r="G2043" s="7" cm="1">
        <f t="array" ref="G2043">SUMPRODUCT(("SUP_WODBIO"=[1]OUT_SyntheticFuels!$C$4:$C$1000)*1,("Var_cap"=[1]OUT_SyntheticFuels!$B$4:$B$1000)*1,[1]OUT_SyntheticFuels!F$4:F$1000)</f>
        <v>6.9017608654482033E-5</v>
      </c>
      <c r="H2043" s="7" cm="1">
        <f t="array" ref="H2043">SUMPRODUCT(("SUP_WODBIO"=[1]OUT_SyntheticFuels!$C$4:$C$1000)*1,("Var_cap"=[1]OUT_SyntheticFuels!$B$4:$B$1000)*1,[1]OUT_SyntheticFuels!G$4:G$1000)</f>
        <v>7.3931887290342227E-5</v>
      </c>
      <c r="I2043" s="7" cm="1">
        <f t="array" ref="I2043">SUMPRODUCT(("SUP_WODBIO"=[1]OUT_SyntheticFuels!$C$4:$C$1000)*1,("Var_cap"=[1]OUT_SyntheticFuels!$B$4:$B$1000)*1,[1]OUT_SyntheticFuels!H$4:H$1000)</f>
        <v>7.4745725826399855E-5</v>
      </c>
      <c r="J2043" s="7" cm="1">
        <f t="array" ref="J2043">SUMPRODUCT(("SUP_WODBIO"=[1]OUT_SyntheticFuels!$C$4:$C$1000)*1,("Var_cap"=[1]OUT_SyntheticFuels!$B$4:$B$1000)*1,[1]OUT_SyntheticFuels!I$4:I$1000)</f>
        <v>1.2672759698930666E-4</v>
      </c>
      <c r="K2043" s="7" cm="1">
        <f t="array" ref="K2043">SUMPRODUCT(("SUP_WODBIO"=[1]OUT_SyntheticFuels!$C$4:$C$1000)*1,("Var_cap"=[1]OUT_SyntheticFuels!$B$4:$B$1000)*1,[1]OUT_SyntheticFuels!J$4:J$1000)</f>
        <v>1.1650695792621037E-4</v>
      </c>
      <c r="L2043" s="7" cm="1">
        <f t="array" ref="L2043">SUMPRODUCT(("SUP_WODBIO"=[1]OUT_SyntheticFuels!$C$4:$C$1000)*1,("Var_cap"=[1]OUT_SyntheticFuels!$B$4:$B$1000)*1,[1]OUT_SyntheticFuels!K$4:K$1000)</f>
        <v>1.1385928874184559E-4</v>
      </c>
      <c r="M2043" s="7" cm="1">
        <f t="array" ref="M2043">SUMPRODUCT(("SUP_WODBIO"=[1]OUT_SyntheticFuels!$C$4:$C$1000)*1,("Var_cap"=[1]OUT_SyntheticFuels!$B$4:$B$1000)*1,[1]OUT_SyntheticFuels!L$4:L$1000)</f>
        <v>1.7602441383398056E-4</v>
      </c>
      <c r="N2043" s="7" cm="1">
        <f t="array" ref="N2043">SUMPRODUCT(("SUP_WODBIO"=[1]OUT_SyntheticFuels!$C$4:$C$1000)*1,("Var_cap"=[1]OUT_SyntheticFuels!$B$4:$B$1000)*1,[1]OUT_SyntheticFuels!M$4:M$1000)</f>
        <v>1.3987637229300845E-4</v>
      </c>
      <c r="O2043" s="7" cm="1">
        <f t="array" ref="O2043">SUMPRODUCT(("SUP_WODBIO"=[1]OUT_SyntheticFuels!$C$4:$C$1000)*1,("Var_cap"=[1]OUT_SyntheticFuels!$B$4:$B$1000)*1,[1]OUT_SyntheticFuels!N$4:N$1000)</f>
        <v>2.1215284019418233E-4</v>
      </c>
      <c r="P2043" s="7" cm="1">
        <f t="array" ref="P2043">SUMPRODUCT(("SUP_WODBIO"=[1]OUT_SyntheticFuels!$C$4:$C$1000)*1,("Var_cap"=[1]OUT_SyntheticFuels!$B$4:$B$1000)*1,[1]OUT_SyntheticFuels!O$4:O$1000)</f>
        <v>1.8517744530428324E-4</v>
      </c>
      <c r="Q2043" s="7" cm="1">
        <f t="array" ref="Q2043">SUMPRODUCT(("SUP_WODBIO"=[1]OUT_SyntheticFuels!$C$4:$C$1000)*1,("Var_cap"=[1]OUT_SyntheticFuels!$B$4:$B$1000)*1,[1]OUT_SyntheticFuels!P$4:P$1000)</f>
        <v>3.8428177288441873E-4</v>
      </c>
      <c r="S2043" s="3"/>
    </row>
    <row r="2044" spans="2:19" x14ac:dyDescent="0.5">
      <c r="B2044" s="5" t="str">
        <f t="shared" si="2209"/>
        <v>SPS1</v>
      </c>
      <c r="C2044" s="5" t="str">
        <f t="shared" si="2210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SUMPRODUCT(("SUP_WODBIOCCS"=[1]OUT_SyntheticFuels!$C$4:$C$1000)*1,("Var_cap"=[1]OUT_SyntheticFuels!$B$4:$B$1000)*1,[1]OUT_SyntheticFuels!I$4:I$1000)</f>
        <v>0</v>
      </c>
      <c r="K2044" s="7" cm="1">
        <f t="array" ref="K2044">SUMPRODUCT(("SUP_WODBIOCCS"=[1]OUT_SyntheticFuels!$C$4:$C$1000)*1,("Var_cap"=[1]OUT_SyntheticFuels!$B$4:$B$1000)*1,[1]OUT_SyntheticFuels!J$4:J$1000)</f>
        <v>0</v>
      </c>
      <c r="L2044" s="7" cm="1">
        <f t="array" ref="L2044">SUMPRODUCT(("SUP_WODBIOCCS"=[1]OUT_SyntheticFuels!$C$4:$C$1000)*1,("Var_cap"=[1]OUT_SyntheticFuels!$B$4:$B$1000)*1,[1]OUT_SyntheticFuels!K$4:K$1000)</f>
        <v>0</v>
      </c>
      <c r="M2044" s="7" cm="1">
        <f t="array" ref="M2044">SUMPRODUCT(("SUP_WODBIOCCS"=[1]OUT_SyntheticFuels!$C$4:$C$1000)*1,("Var_cap"=[1]OUT_SyntheticFuels!$B$4:$B$1000)*1,[1]OUT_SyntheticFuels!L$4:L$1000)</f>
        <v>0</v>
      </c>
      <c r="N2044" s="7" cm="1">
        <f t="array" ref="N2044">SUMPRODUCT(("SUP_WODBIOCCS"=[1]OUT_SyntheticFuels!$C$4:$C$1000)*1,("Var_cap"=[1]OUT_SyntheticFuels!$B$4:$B$1000)*1,[1]OUT_SyntheticFuels!M$4:M$1000)</f>
        <v>0</v>
      </c>
      <c r="O2044" s="7" cm="1">
        <f t="array" ref="O2044">SUMPRODUCT(("SUP_WODBIOCCS"=[1]OUT_SyntheticFuels!$C$4:$C$1000)*1,("Var_cap"=[1]OUT_SyntheticFuels!$B$4:$B$1000)*1,[1]OUT_SyntheticFuels!N$4:N$1000)</f>
        <v>0</v>
      </c>
      <c r="P2044" s="7" cm="1">
        <f t="array" ref="P2044">SUMPRODUCT(("SUP_WODBIOCCS"=[1]OUT_SyntheticFuels!$C$4:$C$1000)*1,("Var_cap"=[1]OUT_SyntheticFuels!$B$4:$B$1000)*1,[1]OUT_SyntheticFuels!O$4:O$1000)</f>
        <v>0</v>
      </c>
      <c r="Q2044" s="7" cm="1">
        <f t="array" ref="Q2044">SUMPRODUCT(("SUP_WODBIOCCS"=[1]OUT_SyntheticFuels!$C$4:$C$1000)*1,("Var_cap"=[1]OUT_SyntheticFuels!$B$4:$B$1000)*1,[1]OUT_SyntheticFuels!P$4:P$1000)</f>
        <v>0</v>
      </c>
      <c r="S2044" s="3"/>
    </row>
    <row r="2045" spans="2:19" x14ac:dyDescent="0.5">
      <c r="B2045" s="5" t="str">
        <f t="shared" si="2209"/>
        <v>SPS1</v>
      </c>
      <c r="C2045" s="5" t="str">
        <f t="shared" si="2210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4.2351292173225329E-2</v>
      </c>
      <c r="G2045" s="7" cm="1">
        <f t="array" ref="G2045">SUMPRODUCT(("SUP_BIONGA"=[1]OUT_SyntheticFuels!$C$4:$C$1000)*1,("Var_cap"=[1]OUT_SyntheticFuels!$B$4:$B$1000)*1,[1]OUT_SyntheticFuels!F$4:F$1000)</f>
        <v>0.11290813935855565</v>
      </c>
      <c r="H2045" s="7" cm="1">
        <f t="array" ref="H2045">SUMPRODUCT(("SUP_BIONGA"=[1]OUT_SyntheticFuels!$C$4:$C$1000)*1,("Var_cap"=[1]OUT_SyntheticFuels!$B$4:$B$1000)*1,[1]OUT_SyntheticFuels!G$4:G$1000)</f>
        <v>0.10988078553249619</v>
      </c>
      <c r="I2045" s="7" cm="1">
        <f t="array" ref="I2045">SUMPRODUCT(("SUP_BIONGA"=[1]OUT_SyntheticFuels!$C$4:$C$1000)*1,("Var_cap"=[1]OUT_SyntheticFuels!$B$4:$B$1000)*1,[1]OUT_SyntheticFuels!H$4:H$1000)</f>
        <v>0.10430445973564222</v>
      </c>
      <c r="J2045" s="7" cm="1">
        <f t="array" ref="J2045">SUMPRODUCT(("SUP_BIONGA"=[1]OUT_SyntheticFuels!$C$4:$C$1000)*1,("Var_cap"=[1]OUT_SyntheticFuels!$B$4:$B$1000)*1,[1]OUT_SyntheticFuels!I$4:I$1000)</f>
        <v>0.103979528862836</v>
      </c>
      <c r="K2045" s="7" cm="1">
        <f t="array" ref="K2045">SUMPRODUCT(("SUP_BIONGA"=[1]OUT_SyntheticFuels!$C$4:$C$1000)*1,("Var_cap"=[1]OUT_SyntheticFuels!$B$4:$B$1000)*1,[1]OUT_SyntheticFuels!J$4:J$1000)</f>
        <v>0.1039075649812988</v>
      </c>
      <c r="L2045" s="7" cm="1">
        <f t="array" ref="L2045">SUMPRODUCT(("SUP_BIONGA"=[1]OUT_SyntheticFuels!$C$4:$C$1000)*1,("Var_cap"=[1]OUT_SyntheticFuels!$B$4:$B$1000)*1,[1]OUT_SyntheticFuels!K$4:K$1000)</f>
        <v>0.10391011454137998</v>
      </c>
      <c r="M2045" s="7" cm="1">
        <f t="array" ref="M2045">SUMPRODUCT(("SUP_BIONGA"=[1]OUT_SyntheticFuels!$C$4:$C$1000)*1,("Var_cap"=[1]OUT_SyntheticFuels!$B$4:$B$1000)*1,[1]OUT_SyntheticFuels!L$4:L$1000)</f>
        <v>0.10407032603549511</v>
      </c>
      <c r="N2045" s="7" cm="1">
        <f t="array" ref="N2045">SUMPRODUCT(("SUP_BIONGA"=[1]OUT_SyntheticFuels!$C$4:$C$1000)*1,("Var_cap"=[1]OUT_SyntheticFuels!$B$4:$B$1000)*1,[1]OUT_SyntheticFuels!M$4:M$1000)</f>
        <v>0.10405615314416926</v>
      </c>
      <c r="O2045" s="7" cm="1">
        <f t="array" ref="O2045">SUMPRODUCT(("SUP_BIONGA"=[1]OUT_SyntheticFuels!$C$4:$C$1000)*1,("Var_cap"=[1]OUT_SyntheticFuels!$B$4:$B$1000)*1,[1]OUT_SyntheticFuels!N$4:N$1000)</f>
        <v>0.10415331240306561</v>
      </c>
      <c r="P2045" s="7" cm="1">
        <f t="array" ref="P2045">SUMPRODUCT(("SUP_BIONGA"=[1]OUT_SyntheticFuels!$C$4:$C$1000)*1,("Var_cap"=[1]OUT_SyntheticFuels!$B$4:$B$1000)*1,[1]OUT_SyntheticFuels!O$4:O$1000)</f>
        <v>0.10415238466148438</v>
      </c>
      <c r="Q2045" s="7" cm="1">
        <f t="array" ref="Q2045">SUMPRODUCT(("SUP_BIONGA"=[1]OUT_SyntheticFuels!$C$4:$C$1000)*1,("Var_cap"=[1]OUT_SyntheticFuels!$B$4:$B$1000)*1,[1]OUT_SyntheticFuels!P$4:P$1000)</f>
        <v>0.10447950577790513</v>
      </c>
      <c r="S2045" s="3"/>
    </row>
    <row r="2046" spans="2:19" x14ac:dyDescent="0.5">
      <c r="B2046" s="5" t="str">
        <f t="shared" si="2209"/>
        <v>SPS1</v>
      </c>
      <c r="C2046" s="5" t="str">
        <f t="shared" si="2210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0.36435609702876065</v>
      </c>
      <c r="G2046" s="7" cm="1">
        <f t="array" ref="G2046">SUMPRODUCT(("CT_CWODPLT"=[1]OUT_SyntheticFuels!$C$4:$C$1000)*1,("Var_cap"=[1]OUT_SyntheticFuels!$B$4:$B$1000)*1,[1]OUT_SyntheticFuels!F$4:F$1000)</f>
        <v>0.41476718353551278</v>
      </c>
      <c r="H2046" s="7" cm="1">
        <f t="array" ref="H2046">SUMPRODUCT(("CT_CWODPLT"=[1]OUT_SyntheticFuels!$C$4:$C$1000)*1,("Var_cap"=[1]OUT_SyntheticFuels!$B$4:$B$1000)*1,[1]OUT_SyntheticFuels!G$4:G$1000)</f>
        <v>0.41477483865667014</v>
      </c>
      <c r="I2046" s="7" cm="1">
        <f t="array" ref="I2046">SUMPRODUCT(("CT_CWODPLT"=[1]OUT_SyntheticFuels!$C$4:$C$1000)*1,("Var_cap"=[1]OUT_SyntheticFuels!$B$4:$B$1000)*1,[1]OUT_SyntheticFuels!H$4:H$1000)</f>
        <v>0.41584386328406991</v>
      </c>
      <c r="J2046" s="7" cm="1">
        <f t="array" ref="J2046">SUMPRODUCT(("CT_CWODPLT"=[1]OUT_SyntheticFuels!$C$4:$C$1000)*1,("Var_cap"=[1]OUT_SyntheticFuels!$B$4:$B$1000)*1,[1]OUT_SyntheticFuels!I$4:I$1000)</f>
        <v>0.43582114184260201</v>
      </c>
      <c r="K2046" s="7" cm="1">
        <f t="array" ref="K2046">SUMPRODUCT(("CT_CWODPLT"=[1]OUT_SyntheticFuels!$C$4:$C$1000)*1,("Var_cap"=[1]OUT_SyntheticFuels!$B$4:$B$1000)*1,[1]OUT_SyntheticFuels!J$4:J$1000)</f>
        <v>0.4659110226850165</v>
      </c>
      <c r="L2046" s="7" cm="1">
        <f t="array" ref="L2046">SUMPRODUCT(("CT_CWODPLT"=[1]OUT_SyntheticFuels!$C$4:$C$1000)*1,("Var_cap"=[1]OUT_SyntheticFuels!$B$4:$B$1000)*1,[1]OUT_SyntheticFuels!K$4:K$1000)</f>
        <v>0.46423578470176929</v>
      </c>
      <c r="M2046" s="7" cm="1">
        <f t="array" ref="M2046">SUMPRODUCT(("CT_CWODPLT"=[1]OUT_SyntheticFuels!$C$4:$C$1000)*1,("Var_cap"=[1]OUT_SyntheticFuels!$B$4:$B$1000)*1,[1]OUT_SyntheticFuels!L$4:L$1000)</f>
        <v>0.47069112250294565</v>
      </c>
      <c r="N2046" s="7" cm="1">
        <f t="array" ref="N2046">SUMPRODUCT(("CT_CWODPLT"=[1]OUT_SyntheticFuels!$C$4:$C$1000)*1,("Var_cap"=[1]OUT_SyntheticFuels!$B$4:$B$1000)*1,[1]OUT_SyntheticFuels!M$4:M$1000)</f>
        <v>0.47222400263565933</v>
      </c>
      <c r="O2046" s="7" cm="1">
        <f t="array" ref="O2046">SUMPRODUCT(("CT_CWODPLT"=[1]OUT_SyntheticFuels!$C$4:$C$1000)*1,("Var_cap"=[1]OUT_SyntheticFuels!$B$4:$B$1000)*1,[1]OUT_SyntheticFuels!N$4:N$1000)</f>
        <v>0.47050436252581856</v>
      </c>
      <c r="P2046" s="7" cm="1">
        <f t="array" ref="P2046">SUMPRODUCT(("CT_CWODPLT"=[1]OUT_SyntheticFuels!$C$4:$C$1000)*1,("Var_cap"=[1]OUT_SyntheticFuels!$B$4:$B$1000)*1,[1]OUT_SyntheticFuels!O$4:O$1000)</f>
        <v>0.46477151470809042</v>
      </c>
      <c r="Q2046" s="7" cm="1">
        <f t="array" ref="Q2046">SUMPRODUCT(("CT_CWODPLT"=[1]OUT_SyntheticFuels!$C$4:$C$1000)*1,("Var_cap"=[1]OUT_SyntheticFuels!$B$4:$B$1000)*1,[1]OUT_SyntheticFuels!P$4:P$1000)</f>
        <v>0.45794371260771993</v>
      </c>
      <c r="S2046" s="3"/>
    </row>
    <row r="2047" spans="2:19" x14ac:dyDescent="0.5">
      <c r="B2047" s="5" t="str">
        <f t="shared" si="2209"/>
        <v>SPS1</v>
      </c>
      <c r="C2047" s="5" t="str">
        <f t="shared" si="2210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1.4695535864433801E-6</v>
      </c>
      <c r="J2047" s="7" cm="1">
        <f t="array" ref="J2047">SUMPRODUCT(("SUP_H2NGA"=[1]OUT_SyntheticFuels!$C$4:$C$1000)*1,("Var_cap"=[1]OUT_SyntheticFuels!$B$4:$B$1000)*1,[1]OUT_SyntheticFuels!I$4:I$1000)</f>
        <v>3.62663686489837E-6</v>
      </c>
      <c r="K2047" s="7" cm="1">
        <f t="array" ref="K2047">SUMPRODUCT(("SUP_H2NGA"=[1]OUT_SyntheticFuels!$C$4:$C$1000)*1,("Var_cap"=[1]OUT_SyntheticFuels!$B$4:$B$1000)*1,[1]OUT_SyntheticFuels!J$4:J$1000)</f>
        <v>4.4204766696179201E-6</v>
      </c>
      <c r="L2047" s="7" cm="1">
        <f t="array" ref="L2047">SUMPRODUCT(("SUP_H2NGA"=[1]OUT_SyntheticFuels!$C$4:$C$1000)*1,("Var_cap"=[1]OUT_SyntheticFuels!$B$4:$B$1000)*1,[1]OUT_SyntheticFuels!K$4:K$1000)</f>
        <v>5.3094096809753092E-6</v>
      </c>
      <c r="M2047" s="7" cm="1">
        <f t="array" ref="M2047">SUMPRODUCT(("SUP_H2NGA"=[1]OUT_SyntheticFuels!$C$4:$C$1000)*1,("Var_cap"=[1]OUT_SyntheticFuels!$B$4:$B$1000)*1,[1]OUT_SyntheticFuels!L$4:L$1000)</f>
        <v>7.888895689649902E-6</v>
      </c>
      <c r="N2047" s="7" cm="1">
        <f t="array" ref="N2047">SUMPRODUCT(("SUP_H2NGA"=[1]OUT_SyntheticFuels!$C$4:$C$1000)*1,("Var_cap"=[1]OUT_SyntheticFuels!$B$4:$B$1000)*1,[1]OUT_SyntheticFuels!M$4:M$1000)</f>
        <v>8.219155165843001E-6</v>
      </c>
      <c r="O2047" s="7" cm="1">
        <f t="array" ref="O2047">SUMPRODUCT(("SUP_H2NGA"=[1]OUT_SyntheticFuels!$C$4:$C$1000)*1,("Var_cap"=[1]OUT_SyntheticFuels!$B$4:$B$1000)*1,[1]OUT_SyntheticFuels!N$4:N$1000)</f>
        <v>5.8338858367596005E-6</v>
      </c>
      <c r="P2047" s="7" cm="1">
        <f t="array" ref="P2047">SUMPRODUCT(("SUP_H2NGA"=[1]OUT_SyntheticFuels!$C$4:$C$1000)*1,("Var_cap"=[1]OUT_SyntheticFuels!$B$4:$B$1000)*1,[1]OUT_SyntheticFuels!O$4:O$1000)</f>
        <v>9.6841083882218994E-6</v>
      </c>
      <c r="Q2047" s="7" cm="1">
        <f t="array" ref="Q2047">SUMPRODUCT(("SUP_H2NGA"=[1]OUT_SyntheticFuels!$C$4:$C$1000)*1,("Var_cap"=[1]OUT_SyntheticFuels!$B$4:$B$1000)*1,[1]OUT_SyntheticFuels!P$4:P$1000)</f>
        <v>2.3301583760136326E-5</v>
      </c>
      <c r="S2047" s="3"/>
    </row>
    <row r="2048" spans="2:19" x14ac:dyDescent="0.5">
      <c r="B2048" s="5" t="str">
        <f t="shared" si="2209"/>
        <v>SPS1</v>
      </c>
      <c r="C2048" s="5" t="str">
        <f t="shared" si="2210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1.8592066029133901E-6</v>
      </c>
      <c r="J2048" s="7" cm="1">
        <f t="array" ref="J2048">SUMPRODUCT(("SUP_H2DSL"=[1]OUT_SyntheticFuels!$C$4:$C$1000)*1,("Var_cap"=[1]OUT_SyntheticFuels!$B$4:$B$1000)*1,[1]OUT_SyntheticFuels!I$4:I$1000)</f>
        <v>3.7736750524261204E-6</v>
      </c>
      <c r="K2048" s="7" cm="1">
        <f t="array" ref="K2048">SUMPRODUCT(("SUP_H2DSL"=[1]OUT_SyntheticFuels!$C$4:$C$1000)*1,("Var_cap"=[1]OUT_SyntheticFuels!$B$4:$B$1000)*1,[1]OUT_SyntheticFuels!J$4:J$1000)</f>
        <v>5.3401052279273007E-6</v>
      </c>
      <c r="L2048" s="7" cm="1">
        <f t="array" ref="L2048">SUMPRODUCT(("SUP_H2DSL"=[1]OUT_SyntheticFuels!$C$4:$C$1000)*1,("Var_cap"=[1]OUT_SyntheticFuels!$B$4:$B$1000)*1,[1]OUT_SyntheticFuels!K$4:K$1000)</f>
        <v>6.8829162893589199E-6</v>
      </c>
      <c r="M2048" s="7" cm="1">
        <f t="array" ref="M2048">SUMPRODUCT(("SUP_H2DSL"=[1]OUT_SyntheticFuels!$C$4:$C$1000)*1,("Var_cap"=[1]OUT_SyntheticFuels!$B$4:$B$1000)*1,[1]OUT_SyntheticFuels!L$4:L$1000)</f>
        <v>4.9584700723363982E-6</v>
      </c>
      <c r="N2048" s="7" cm="1">
        <f t="array" ref="N2048">SUMPRODUCT(("SUP_H2DSL"=[1]OUT_SyntheticFuels!$C$4:$C$1000)*1,("Var_cap"=[1]OUT_SyntheticFuels!$B$4:$B$1000)*1,[1]OUT_SyntheticFuels!M$4:M$1000)</f>
        <v>1.08083072823001E-5</v>
      </c>
      <c r="O2048" s="7" cm="1">
        <f t="array" ref="O2048">SUMPRODUCT(("SUP_H2DSL"=[1]OUT_SyntheticFuels!$C$4:$C$1000)*1,("Var_cap"=[1]OUT_SyntheticFuels!$B$4:$B$1000)*1,[1]OUT_SyntheticFuels!N$4:N$1000)</f>
        <v>1.0123502321346598E-5</v>
      </c>
      <c r="P2048" s="7" cm="1">
        <f t="array" ref="P2048">SUMPRODUCT(("SUP_H2DSL"=[1]OUT_SyntheticFuels!$C$4:$C$1000)*1,("Var_cap"=[1]OUT_SyntheticFuels!$B$4:$B$1000)*1,[1]OUT_SyntheticFuels!O$4:O$1000)</f>
        <v>1.0783300997952399E-5</v>
      </c>
      <c r="Q2048" s="7" cm="1">
        <f t="array" ref="Q2048">SUMPRODUCT(("SUP_H2DSL"=[1]OUT_SyntheticFuels!$C$4:$C$1000)*1,("Var_cap"=[1]OUT_SyntheticFuels!$B$4:$B$1000)*1,[1]OUT_SyntheticFuels!P$4:P$1000)</f>
        <v>2.8530726385860993E-5</v>
      </c>
      <c r="S2048" s="3"/>
    </row>
    <row r="2049" spans="2:19" x14ac:dyDescent="0.5">
      <c r="B2049" s="5" t="str">
        <f t="shared" si="2209"/>
        <v>SPS1</v>
      </c>
      <c r="C2049" s="5" t="str">
        <f t="shared" si="2210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1.6514454571931801E-6</v>
      </c>
      <c r="J2049" s="7" cm="1">
        <f t="array" ref="J2049">SUMPRODUCT(("SUP_H2GSL"=[1]OUT_SyntheticFuels!$C$4:$C$1000)*1,("Var_cap"=[1]OUT_SyntheticFuels!$B$4:$B$1000)*1,[1]OUT_SyntheticFuels!I$4:I$1000)</f>
        <v>3.5152242562643104E-6</v>
      </c>
      <c r="K2049" s="7" cm="1">
        <f t="array" ref="K2049">SUMPRODUCT(("SUP_H2GSL"=[1]OUT_SyntheticFuels!$C$4:$C$1000)*1,("Var_cap"=[1]OUT_SyntheticFuels!$B$4:$B$1000)*1,[1]OUT_SyntheticFuels!J$4:J$1000)</f>
        <v>4.3291364320210409E-6</v>
      </c>
      <c r="L2049" s="7" cm="1">
        <f t="array" ref="L2049">SUMPRODUCT(("SUP_H2GSL"=[1]OUT_SyntheticFuels!$C$4:$C$1000)*1,("Var_cap"=[1]OUT_SyntheticFuels!$B$4:$B$1000)*1,[1]OUT_SyntheticFuels!K$4:K$1000)</f>
        <v>6.2228230675885895E-6</v>
      </c>
      <c r="M2049" s="7" cm="1">
        <f t="array" ref="M2049">SUMPRODUCT(("SUP_H2GSL"=[1]OUT_SyntheticFuels!$C$4:$C$1000)*1,("Var_cap"=[1]OUT_SyntheticFuels!$B$4:$B$1000)*1,[1]OUT_SyntheticFuels!L$4:L$1000)</f>
        <v>5.6201356496141004E-6</v>
      </c>
      <c r="N2049" s="7" cm="1">
        <f t="array" ref="N2049">SUMPRODUCT(("SUP_H2GSL"=[1]OUT_SyntheticFuels!$C$4:$C$1000)*1,("Var_cap"=[1]OUT_SyntheticFuels!$B$4:$B$1000)*1,[1]OUT_SyntheticFuels!M$4:M$1000)</f>
        <v>9.6109948595364006E-6</v>
      </c>
      <c r="O2049" s="7" cm="1">
        <f t="array" ref="O2049">SUMPRODUCT(("SUP_H2GSL"=[1]OUT_SyntheticFuels!$C$4:$C$1000)*1,("Var_cap"=[1]OUT_SyntheticFuels!$B$4:$B$1000)*1,[1]OUT_SyntheticFuels!N$4:N$1000)</f>
        <v>8.7540814452043011E-6</v>
      </c>
      <c r="P2049" s="7" cm="1">
        <f t="array" ref="P2049">SUMPRODUCT(("SUP_H2GSL"=[1]OUT_SyntheticFuels!$C$4:$C$1000)*1,("Var_cap"=[1]OUT_SyntheticFuels!$B$4:$B$1000)*1,[1]OUT_SyntheticFuels!O$4:O$1000)</f>
        <v>9.3200184580225018E-6</v>
      </c>
      <c r="Q2049" s="7" cm="1">
        <f t="array" ref="Q2049">SUMPRODUCT(("SUP_H2GSL"=[1]OUT_SyntheticFuels!$C$4:$C$1000)*1,("Var_cap"=[1]OUT_SyntheticFuels!$B$4:$B$1000)*1,[1]OUT_SyntheticFuels!P$4:P$1000)</f>
        <v>2.5395874759238322E-5</v>
      </c>
      <c r="S2049" s="3"/>
    </row>
    <row r="2050" spans="2:19" x14ac:dyDescent="0.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211">SUM(F2051,F2053,F2057,F2061,F2077,F2084,F2092,F2094,F2102,F2106,F2100)</f>
        <v>9.4936544201132799E-3</v>
      </c>
      <c r="G2050" s="3">
        <f t="shared" si="2211"/>
        <v>1.3237215654263441</v>
      </c>
      <c r="H2050" s="3">
        <f t="shared" si="2211"/>
        <v>4.7852506882851911</v>
      </c>
      <c r="I2050" s="3">
        <f t="shared" si="2211"/>
        <v>4.7201673680201344</v>
      </c>
      <c r="J2050" s="3">
        <f t="shared" si="2211"/>
        <v>2.6595173270181136</v>
      </c>
      <c r="K2050" s="3">
        <f t="shared" si="2211"/>
        <v>3.0360339394266336</v>
      </c>
      <c r="L2050" s="3">
        <f t="shared" ref="L2050:O2050" si="2212">SUM(L2051,L2053,L2057,L2061,L2077,L2084,L2092,L2094,L2102,L2106,L2100)</f>
        <v>7.6856906342384281</v>
      </c>
      <c r="M2050" s="3">
        <f t="shared" si="2212"/>
        <v>4.7376077660294689</v>
      </c>
      <c r="N2050" s="3">
        <f t="shared" si="2212"/>
        <v>3.1705424879799509</v>
      </c>
      <c r="O2050" s="3">
        <f t="shared" si="2212"/>
        <v>3.9663863812717222</v>
      </c>
      <c r="P2050" s="3">
        <f>SUM(P2051,P2053,P2057,P2061,P2077,P2084,P2092,P2094,P2102,P2106,P2100)</f>
        <v>8.5490765388806</v>
      </c>
      <c r="Q2050" s="3">
        <f>SUM(Q2051,Q2053,Q2057,Q2061,Q2077,Q2084,Q2092,Q2094,Q2102,Q2106,Q2100)</f>
        <v>5.9295156344082809</v>
      </c>
      <c r="S2050" s="3"/>
    </row>
    <row r="2051" spans="2:19" x14ac:dyDescent="0.5">
      <c r="B2051" s="5" t="str">
        <f>B2050</f>
        <v>SPS1</v>
      </c>
      <c r="C2051" s="5" t="str">
        <f t="shared" ref="C2051:C2113" si="2213">C2050</f>
        <v>CH</v>
      </c>
      <c r="D2051" t="s">
        <v>2180</v>
      </c>
      <c r="E2051" t="str">
        <f t="shared" ref="E2051:E2082" si="2214">E2050</f>
        <v>GWe/yr.</v>
      </c>
      <c r="F2051" s="1">
        <f t="shared" ref="F2051:O2051" si="2215">+F2052</f>
        <v>0</v>
      </c>
      <c r="G2051" s="1">
        <f t="shared" si="2215"/>
        <v>1.2325669439731</v>
      </c>
      <c r="H2051" s="1">
        <f t="shared" si="2215"/>
        <v>0.82972363600144505</v>
      </c>
      <c r="I2051" s="1">
        <f t="shared" si="2215"/>
        <v>0</v>
      </c>
      <c r="J2051" s="1">
        <f t="shared" si="2215"/>
        <v>0</v>
      </c>
      <c r="K2051" s="1">
        <f t="shared" si="2215"/>
        <v>9.5577395228506501E-2</v>
      </c>
      <c r="L2051" s="1">
        <f t="shared" si="2215"/>
        <v>0.1209619845802227</v>
      </c>
      <c r="M2051" s="1">
        <f t="shared" si="2215"/>
        <v>1.7257524447630395E-4</v>
      </c>
      <c r="N2051" s="1">
        <f t="shared" si="2215"/>
        <v>1.6376843480789313E-2</v>
      </c>
      <c r="O2051" s="1">
        <f t="shared" si="2215"/>
        <v>8.6312497015644612E-4</v>
      </c>
      <c r="P2051" s="1">
        <f>+P2052</f>
        <v>2.818684421492432E-2</v>
      </c>
      <c r="Q2051" s="1">
        <f>+Q2052</f>
        <v>0</v>
      </c>
      <c r="S2051" s="3"/>
    </row>
    <row r="2052" spans="2:19" x14ac:dyDescent="0.5">
      <c r="B2052" s="5" t="str">
        <f t="shared" ref="B2052:B2113" si="2216">B2051</f>
        <v>SPS1</v>
      </c>
      <c r="C2052" s="5" t="str">
        <f t="shared" si="2213"/>
        <v>CH</v>
      </c>
      <c r="D2052" t="s">
        <v>2181</v>
      </c>
      <c r="E2052" t="str">
        <f t="shared" si="2214"/>
        <v>GWe/yr.</v>
      </c>
      <c r="F2052" s="1">
        <f>'[1]Electricity and CHPs_NCAP'!B$14</f>
        <v>0</v>
      </c>
      <c r="G2052" s="1">
        <f>'[1]Electricity and CHPs_NCAP'!C$14</f>
        <v>1.2325669439731</v>
      </c>
      <c r="H2052" s="1">
        <f>'[1]Electricity and CHPs_NCAP'!D$14</f>
        <v>0.82972363600144505</v>
      </c>
      <c r="I2052" s="1">
        <f>'[1]Electricity and CHPs_NCAP'!E$14</f>
        <v>0</v>
      </c>
      <c r="J2052" s="1">
        <f>'[1]Electricity and CHPs_NCAP'!F$14</f>
        <v>0</v>
      </c>
      <c r="K2052" s="1">
        <f>'[1]Electricity and CHPs_NCAP'!G$14</f>
        <v>9.5577395228506501E-2</v>
      </c>
      <c r="L2052" s="1">
        <f>'[1]Electricity and CHPs_NCAP'!H$14</f>
        <v>0.1209619845802227</v>
      </c>
      <c r="M2052" s="1">
        <f>'[1]Electricity and CHPs_NCAP'!I$14</f>
        <v>1.7257524447630395E-4</v>
      </c>
      <c r="N2052" s="1">
        <f>'[1]Electricity and CHPs_NCAP'!J$14</f>
        <v>1.6376843480789313E-2</v>
      </c>
      <c r="O2052" s="1">
        <f>'[1]Electricity and CHPs_NCAP'!K$14</f>
        <v>8.6312497015644612E-4</v>
      </c>
      <c r="P2052" s="1">
        <f>'[1]Electricity and CHPs_NCAP'!L$14</f>
        <v>2.818684421492432E-2</v>
      </c>
      <c r="Q2052" s="1">
        <f>'[1]Electricity and CHPs_NCAP'!M$14</f>
        <v>0</v>
      </c>
      <c r="S2052" s="3"/>
    </row>
    <row r="2053" spans="2:19" x14ac:dyDescent="0.5">
      <c r="B2053" s="5" t="str">
        <f t="shared" si="2216"/>
        <v>SPS1</v>
      </c>
      <c r="C2053" s="5" t="str">
        <f t="shared" si="2213"/>
        <v>CH</v>
      </c>
      <c r="D2053" t="s">
        <v>2182</v>
      </c>
      <c r="E2053" t="str">
        <f t="shared" si="2214"/>
        <v>GWe/yr.</v>
      </c>
      <c r="F2053" s="1">
        <f t="shared" ref="F2053:K2053" si="2217">SUM(F2054:F2056)</f>
        <v>0</v>
      </c>
      <c r="G2053" s="1">
        <f t="shared" si="2217"/>
        <v>7.1725902299823695E-3</v>
      </c>
      <c r="H2053" s="1">
        <f t="shared" si="2217"/>
        <v>1.3647138519970573E-2</v>
      </c>
      <c r="I2053" s="1">
        <f t="shared" si="2217"/>
        <v>5.9937921080887233E-2</v>
      </c>
      <c r="J2053" s="1">
        <f t="shared" si="2217"/>
        <v>6.5148992275745138E-2</v>
      </c>
      <c r="K2053" s="1">
        <f t="shared" si="2217"/>
        <v>0.12690702463094383</v>
      </c>
      <c r="L2053" s="1">
        <f t="shared" ref="L2053:O2053" si="2218">SUM(L2054:L2056)</f>
        <v>1.0903192138712193E-5</v>
      </c>
      <c r="M2053" s="1">
        <f t="shared" si="2218"/>
        <v>2.2965481216989783E-4</v>
      </c>
      <c r="N2053" s="1">
        <f t="shared" si="2218"/>
        <v>1.3681315981838658E-5</v>
      </c>
      <c r="O2053" s="1">
        <f t="shared" si="2218"/>
        <v>9.6987584139641178E-4</v>
      </c>
      <c r="P2053" s="1">
        <f>SUM(P2054:P2056)</f>
        <v>1.1832102462904604E-4</v>
      </c>
      <c r="Q2053" s="1">
        <f>SUM(Q2054:Q2056)</f>
        <v>1.1051736035359984E-3</v>
      </c>
      <c r="S2053" s="3"/>
    </row>
    <row r="2054" spans="2:19" x14ac:dyDescent="0.5">
      <c r="B2054" s="5" t="str">
        <f t="shared" si="2216"/>
        <v>SPS1</v>
      </c>
      <c r="C2054" s="5" t="str">
        <f t="shared" si="2213"/>
        <v>CH</v>
      </c>
      <c r="D2054" t="s">
        <v>2183</v>
      </c>
      <c r="E2054" t="str">
        <f t="shared" si="2214"/>
        <v>GWe/yr.</v>
      </c>
      <c r="F2054" s="1">
        <f>'[1]Electricity and CHPs_NCAP'!B$15</f>
        <v>0</v>
      </c>
      <c r="G2054" s="1">
        <f>'[1]Electricity and CHPs_NCAP'!C$15</f>
        <v>5.4192665921358203E-3</v>
      </c>
      <c r="H2054" s="1">
        <f>'[1]Electricity and CHPs_NCAP'!D$15</f>
        <v>1.1736966420534021E-2</v>
      </c>
      <c r="I2054" s="1">
        <f>'[1]Electricity and CHPs_NCAP'!E$15</f>
        <v>5.9910549188869476E-2</v>
      </c>
      <c r="J2054" s="1">
        <f>'[1]Electricity and CHPs_NCAP'!F$15</f>
        <v>6.5138319720518131E-2</v>
      </c>
      <c r="K2054" s="1">
        <f>'[1]Electricity and CHPs_NCAP'!G$15</f>
        <v>0.1266721646607159</v>
      </c>
      <c r="L2054" s="1">
        <f>'[1]Electricity and CHPs_NCAP'!H$15</f>
        <v>2.017605656579192E-6</v>
      </c>
      <c r="M2054" s="1">
        <f>'[1]Electricity and CHPs_NCAP'!I$15</f>
        <v>4.2501149523329477E-6</v>
      </c>
      <c r="N2054" s="1">
        <f>'[1]Electricity and CHPs_NCAP'!J$15</f>
        <v>4.7950595744283515E-6</v>
      </c>
      <c r="O2054" s="1">
        <f>'[1]Electricity and CHPs_NCAP'!K$15</f>
        <v>1.7542734376765243E-5</v>
      </c>
      <c r="P2054" s="1">
        <f>'[1]Electricity and CHPs_NCAP'!L$15</f>
        <v>7.6402354975456495E-8</v>
      </c>
      <c r="Q2054" s="1">
        <f>'[1]Electricity and CHPs_NCAP'!M$15</f>
        <v>4.9833226859426402E-8</v>
      </c>
      <c r="S2054" s="3"/>
    </row>
    <row r="2055" spans="2:19" x14ac:dyDescent="0.5">
      <c r="B2055" s="5" t="str">
        <f t="shared" si="2216"/>
        <v>SPS1</v>
      </c>
      <c r="C2055" s="5" t="str">
        <f t="shared" si="2213"/>
        <v>CH</v>
      </c>
      <c r="D2055" t="s">
        <v>2184</v>
      </c>
      <c r="E2055" t="str">
        <f t="shared" si="2214"/>
        <v>GWe/yr.</v>
      </c>
      <c r="F2055" s="1">
        <f>'[1]Electricity and CHPs_NCAP'!B$16</f>
        <v>0</v>
      </c>
      <c r="G2055" s="1">
        <f>'[1]Electricity and CHPs_NCAP'!C$16</f>
        <v>1.15569817849386E-3</v>
      </c>
      <c r="H2055" s="1">
        <f>'[1]Electricity and CHPs_NCAP'!D$16</f>
        <v>1.8896451658378249E-3</v>
      </c>
      <c r="I2055" s="1">
        <f>'[1]Electricity and CHPs_NCAP'!E$16</f>
        <v>1.3311381530981083E-5</v>
      </c>
      <c r="J2055" s="1">
        <f>'[1]Electricity and CHPs_NCAP'!F$16</f>
        <v>3.9319187583548789E-6</v>
      </c>
      <c r="K2055" s="1">
        <f>'[1]Electricity and CHPs_NCAP'!G$16</f>
        <v>5.1936566790834057E-6</v>
      </c>
      <c r="L2055" s="1">
        <f>'[1]Electricity and CHPs_NCAP'!H$16</f>
        <v>7.5298636179660717E-6</v>
      </c>
      <c r="M2055" s="1">
        <f>'[1]Electricity and CHPs_NCAP'!I$16</f>
        <v>1.2730270360238862E-5</v>
      </c>
      <c r="N2055" s="1">
        <f>'[1]Electricity and CHPs_NCAP'!J$16</f>
        <v>4.7244547126854863E-6</v>
      </c>
      <c r="O2055" s="1">
        <f>'[1]Electricity and CHPs_NCAP'!K$16</f>
        <v>2.1597051295203481E-5</v>
      </c>
      <c r="P2055" s="1">
        <f>'[1]Electricity and CHPs_NCAP'!L$16</f>
        <v>1.1824462227407058E-4</v>
      </c>
      <c r="Q2055" s="1">
        <f>'[1]Electricity and CHPs_NCAP'!M$16</f>
        <v>1.1051237703091389E-3</v>
      </c>
      <c r="S2055" s="3"/>
    </row>
    <row r="2056" spans="2:19" x14ac:dyDescent="0.5">
      <c r="B2056" s="5" t="str">
        <f t="shared" si="2216"/>
        <v>SPS1</v>
      </c>
      <c r="C2056" s="5" t="str">
        <f t="shared" si="2213"/>
        <v>CH</v>
      </c>
      <c r="D2056" t="s">
        <v>2185</v>
      </c>
      <c r="E2056" t="str">
        <f t="shared" si="2214"/>
        <v>GWe/yr.</v>
      </c>
      <c r="F2056" s="1">
        <f>'[1]Electricity and CHPs_NCAP'!B$17</f>
        <v>0</v>
      </c>
      <c r="G2056" s="1">
        <f>'[1]Electricity and CHPs_NCAP'!C$17</f>
        <v>5.9762545935268898E-4</v>
      </c>
      <c r="H2056" s="1">
        <f>'[1]Electricity and CHPs_NCAP'!D$17</f>
        <v>2.0526933598727301E-5</v>
      </c>
      <c r="I2056" s="1">
        <f>'[1]Electricity and CHPs_NCAP'!E$17</f>
        <v>1.40605104867709E-5</v>
      </c>
      <c r="J2056" s="1">
        <f>'[1]Electricity and CHPs_NCAP'!F$17</f>
        <v>6.7406364686516598E-6</v>
      </c>
      <c r="K2056" s="1">
        <f>'[1]Electricity and CHPs_NCAP'!G$17</f>
        <v>2.29666313548848E-4</v>
      </c>
      <c r="L2056" s="1">
        <f>'[1]Electricity and CHPs_NCAP'!H$17</f>
        <v>1.35572286416693E-6</v>
      </c>
      <c r="M2056" s="1">
        <f>'[1]Electricity and CHPs_NCAP'!I$17</f>
        <v>2.1267442685732601E-4</v>
      </c>
      <c r="N2056" s="1">
        <f>'[1]Electricity and CHPs_NCAP'!J$17</f>
        <v>4.1618016947248198E-6</v>
      </c>
      <c r="O2056" s="1">
        <f>'[1]Electricity and CHPs_NCAP'!K$17</f>
        <v>9.3073605572444301E-4</v>
      </c>
      <c r="P2056" s="1">
        <f>'[1]Electricity and CHPs_NCAP'!L$17</f>
        <v>0</v>
      </c>
      <c r="Q2056" s="1">
        <f>'[1]Electricity and CHPs_NCAP'!M$17</f>
        <v>0</v>
      </c>
      <c r="S2056" s="3"/>
    </row>
    <row r="2057" spans="2:19" x14ac:dyDescent="0.5">
      <c r="B2057" s="5" t="str">
        <f t="shared" si="2216"/>
        <v>SPS1</v>
      </c>
      <c r="C2057" s="5" t="str">
        <f t="shared" si="2213"/>
        <v>CH</v>
      </c>
      <c r="D2057" t="s">
        <v>2186</v>
      </c>
      <c r="E2057" t="str">
        <f t="shared" si="2214"/>
        <v>GWe/yr.</v>
      </c>
      <c r="F2057" s="1">
        <f t="shared" ref="F2057:K2057" si="2219">SUM(F2058:F2060)</f>
        <v>0</v>
      </c>
      <c r="G2057" s="1">
        <f t="shared" si="2219"/>
        <v>5.5201965379154082E-3</v>
      </c>
      <c r="H2057" s="1">
        <f t="shared" si="2219"/>
        <v>2.9143636864850078E-4</v>
      </c>
      <c r="I2057" s="1">
        <f t="shared" si="2219"/>
        <v>4.5250934095561364E-2</v>
      </c>
      <c r="J2057" s="1">
        <f t="shared" si="2219"/>
        <v>4.2534526838656231E-2</v>
      </c>
      <c r="K2057" s="1">
        <f t="shared" si="2219"/>
        <v>2.4074305240576504E-2</v>
      </c>
      <c r="L2057" s="1">
        <f t="shared" ref="L2057:O2057" si="2220">SUM(L2058:L2060)</f>
        <v>2.4522403760401192E-2</v>
      </c>
      <c r="M2057" s="1">
        <f t="shared" si="2220"/>
        <v>2.3552008522715107E-2</v>
      </c>
      <c r="N2057" s="1">
        <f t="shared" si="2220"/>
        <v>3.9809052301292037E-2</v>
      </c>
      <c r="O2057" s="1">
        <f t="shared" si="2220"/>
        <v>3.889839995695106E-2</v>
      </c>
      <c r="P2057" s="1">
        <f>SUM(P2058:P2060)</f>
        <v>2.6378467771552422E-2</v>
      </c>
      <c r="Q2057" s="1">
        <f>SUM(Q2058:Q2060)</f>
        <v>3.3339745009112368E-2</v>
      </c>
      <c r="S2057" s="3"/>
    </row>
    <row r="2058" spans="2:19" x14ac:dyDescent="0.5">
      <c r="B2058" s="5" t="str">
        <f t="shared" si="2216"/>
        <v>SPS1</v>
      </c>
      <c r="C2058" s="5" t="str">
        <f t="shared" si="2213"/>
        <v>CH</v>
      </c>
      <c r="D2058" t="s">
        <v>2187</v>
      </c>
      <c r="E2058" t="str">
        <f t="shared" si="2214"/>
        <v>GWe/yr.</v>
      </c>
      <c r="F2058" s="1">
        <f>'[1]Electricity and CHPs_NCAP'!B$18</f>
        <v>0</v>
      </c>
      <c r="G2058" s="1">
        <f>'[1]Electricity and CHPs_NCAP'!C$18</f>
        <v>9.8954075982387803E-6</v>
      </c>
      <c r="H2058" s="1">
        <f>'[1]Electricity and CHPs_NCAP'!D$18</f>
        <v>2.6492317549561503E-4</v>
      </c>
      <c r="I2058" s="1">
        <f>'[1]Electricity and CHPs_NCAP'!E$18</f>
        <v>2.6032420609684401E-2</v>
      </c>
      <c r="J2058" s="1">
        <f>'[1]Electricity and CHPs_NCAP'!F$18</f>
        <v>2.6830827997145399E-2</v>
      </c>
      <c r="K2058" s="1">
        <f>'[1]Electricity and CHPs_NCAP'!G$18</f>
        <v>5.7620880499065497E-3</v>
      </c>
      <c r="L2058" s="1">
        <f>'[1]Electricity and CHPs_NCAP'!H$18</f>
        <v>2.31679973771266E-4</v>
      </c>
      <c r="M2058" s="1">
        <f>'[1]Electricity and CHPs_NCAP'!I$18</f>
        <v>1.9244933558454E-4</v>
      </c>
      <c r="N2058" s="1">
        <f>'[1]Electricity and CHPs_NCAP'!J$18</f>
        <v>2.0320202661870401E-2</v>
      </c>
      <c r="O2058" s="1">
        <f>'[1]Electricity and CHPs_NCAP'!K$18</f>
        <v>1.41108823864596E-2</v>
      </c>
      <c r="P2058" s="1">
        <f>'[1]Electricity and CHPs_NCAP'!L$18</f>
        <v>9.95264632001057E-4</v>
      </c>
      <c r="Q2058" s="1">
        <f>'[1]Electricity and CHPs_NCAP'!M$18</f>
        <v>1.5154979654377201E-2</v>
      </c>
      <c r="S2058" s="3"/>
    </row>
    <row r="2059" spans="2:19" x14ac:dyDescent="0.5">
      <c r="B2059" s="5" t="str">
        <f t="shared" si="2216"/>
        <v>SPS1</v>
      </c>
      <c r="C2059" s="5" t="str">
        <f t="shared" si="2213"/>
        <v>CH</v>
      </c>
      <c r="D2059" t="s">
        <v>2188</v>
      </c>
      <c r="E2059" t="str">
        <f t="shared" si="2214"/>
        <v>GWe/yr.</v>
      </c>
      <c r="F2059" s="1">
        <f>'[1]Electricity and CHPs_NCAP'!B$28</f>
        <v>0</v>
      </c>
      <c r="G2059" s="1">
        <f>'[1]Electricity and CHPs_NCAP'!C$28</f>
        <v>1.060251024428E-5</v>
      </c>
      <c r="H2059" s="1">
        <f>'[1]Electricity and CHPs_NCAP'!D$28</f>
        <v>8.3959027005198906E-6</v>
      </c>
      <c r="I2059" s="1">
        <f>'[1]Electricity and CHPs_NCAP'!E$28</f>
        <v>8.6612158948649693E-6</v>
      </c>
      <c r="J2059" s="1">
        <f>'[1]Electricity and CHPs_NCAP'!F$28</f>
        <v>5.1705220475733001E-5</v>
      </c>
      <c r="K2059" s="1">
        <f>'[1]Electricity and CHPs_NCAP'!G$28</f>
        <v>2.7096680423595299E-4</v>
      </c>
      <c r="L2059" s="1">
        <f>'[1]Electricity and CHPs_NCAP'!H$28</f>
        <v>4.4356587974472503E-4</v>
      </c>
      <c r="M2059" s="1">
        <f>'[1]Electricity and CHPs_NCAP'!I$28</f>
        <v>3.9183992691856903E-4</v>
      </c>
      <c r="N2059" s="1">
        <f>'[1]Electricity and CHPs_NCAP'!J$28</f>
        <v>4.1355179571436998E-5</v>
      </c>
      <c r="O2059" s="1">
        <f>'[1]Electricity and CHPs_NCAP'!K$28</f>
        <v>5.7193588704186496E-4</v>
      </c>
      <c r="P2059" s="1">
        <f>'[1]Electricity and CHPs_NCAP'!L$28</f>
        <v>1.99372931328767E-4</v>
      </c>
      <c r="Q2059" s="1">
        <f>'[1]Electricity and CHPs_NCAP'!M$28</f>
        <v>1.26554770206167E-3</v>
      </c>
      <c r="S2059" s="3"/>
    </row>
    <row r="2060" spans="2:19" x14ac:dyDescent="0.5">
      <c r="B2060" s="5" t="str">
        <f t="shared" si="2216"/>
        <v>SPS1</v>
      </c>
      <c r="C2060" s="5" t="str">
        <f t="shared" si="2213"/>
        <v>CH</v>
      </c>
      <c r="D2060" t="s">
        <v>2189</v>
      </c>
      <c r="E2060" t="str">
        <f t="shared" si="2214"/>
        <v>GWe/yr.</v>
      </c>
      <c r="F2060" s="1">
        <f>'[1]Electricity and CHPs_NCAP'!B$41</f>
        <v>0</v>
      </c>
      <c r="G2060" s="1">
        <f>'[1]Electricity and CHPs_NCAP'!C$41</f>
        <v>5.4996986200728896E-3</v>
      </c>
      <c r="H2060" s="1">
        <f>'[1]Electricity and CHPs_NCAP'!D$41</f>
        <v>1.81172904523659E-5</v>
      </c>
      <c r="I2060" s="1">
        <f>'[1]Electricity and CHPs_NCAP'!E$41</f>
        <v>1.9209852269982099E-2</v>
      </c>
      <c r="J2060" s="1">
        <f>'[1]Electricity and CHPs_NCAP'!F$41</f>
        <v>1.5651993621035101E-2</v>
      </c>
      <c r="K2060" s="1">
        <f>'[1]Electricity and CHPs_NCAP'!G$41</f>
        <v>1.8041250386434001E-2</v>
      </c>
      <c r="L2060" s="1">
        <f>'[1]Electricity and CHPs_NCAP'!H$41</f>
        <v>2.38471579068852E-2</v>
      </c>
      <c r="M2060" s="1">
        <f>'[1]Electricity and CHPs_NCAP'!I$41</f>
        <v>2.2967719260211999E-2</v>
      </c>
      <c r="N2060" s="1">
        <f>'[1]Electricity and CHPs_NCAP'!J$41</f>
        <v>1.9447494459850199E-2</v>
      </c>
      <c r="O2060" s="1">
        <f>'[1]Electricity and CHPs_NCAP'!K$41</f>
        <v>2.4215581683449599E-2</v>
      </c>
      <c r="P2060" s="1">
        <f>'[1]Electricity and CHPs_NCAP'!L$41</f>
        <v>2.51838302082226E-2</v>
      </c>
      <c r="Q2060" s="1">
        <f>'[1]Electricity and CHPs_NCAP'!M$41</f>
        <v>1.6919217652673499E-2</v>
      </c>
      <c r="S2060" s="3"/>
    </row>
    <row r="2061" spans="2:19" x14ac:dyDescent="0.5">
      <c r="B2061" s="5" t="str">
        <f t="shared" si="2216"/>
        <v>SPS1</v>
      </c>
      <c r="C2061" s="5" t="str">
        <f t="shared" si="2213"/>
        <v>CH</v>
      </c>
      <c r="D2061" t="s">
        <v>2190</v>
      </c>
      <c r="E2061" t="str">
        <f t="shared" si="2214"/>
        <v>GWe/yr.</v>
      </c>
      <c r="F2061" s="1">
        <f t="shared" ref="F2061:K2061" si="2221">SUM(F2062:F2076)</f>
        <v>0</v>
      </c>
      <c r="G2061" s="1">
        <f t="shared" si="2221"/>
        <v>5.3654511687185075E-2</v>
      </c>
      <c r="H2061" s="1">
        <f t="shared" si="2221"/>
        <v>1.1014434752426652E-2</v>
      </c>
      <c r="I2061" s="1">
        <f t="shared" si="2221"/>
        <v>0.21946257675934014</v>
      </c>
      <c r="J2061" s="1">
        <f t="shared" si="2221"/>
        <v>0.25174633991655071</v>
      </c>
      <c r="K2061" s="1">
        <f t="shared" si="2221"/>
        <v>0.15205935214527283</v>
      </c>
      <c r="L2061" s="1">
        <f t="shared" ref="L2061:O2061" si="2222">SUM(L2062:L2076)</f>
        <v>0.45495667508166709</v>
      </c>
      <c r="M2061" s="1">
        <f t="shared" si="2222"/>
        <v>0.12666664713065523</v>
      </c>
      <c r="N2061" s="1">
        <f t="shared" si="2222"/>
        <v>0.33764488778676982</v>
      </c>
      <c r="O2061" s="1">
        <f t="shared" si="2222"/>
        <v>8.7579522972847074E-2</v>
      </c>
      <c r="P2061" s="1">
        <f>SUM(P2062:P2076)</f>
        <v>0.34418331394752444</v>
      </c>
      <c r="Q2061" s="1">
        <f>SUM(Q2062:Q2076)</f>
        <v>9.1130921047871252E-2</v>
      </c>
      <c r="S2061" s="3"/>
    </row>
    <row r="2062" spans="2:19" x14ac:dyDescent="0.5">
      <c r="B2062" s="5" t="str">
        <f t="shared" si="2216"/>
        <v>SPS1</v>
      </c>
      <c r="C2062" s="5" t="str">
        <f t="shared" si="2213"/>
        <v>CH</v>
      </c>
      <c r="D2062" t="s">
        <v>2191</v>
      </c>
      <c r="E2062" t="str">
        <f t="shared" si="2214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'[1]Electricity and CHPs_NCAP'!F$21</f>
        <v>0</v>
      </c>
      <c r="K2062" s="1">
        <f>'[1]Electricity and CHPs_NCAP'!G$21</f>
        <v>7.0585102034653097E-2</v>
      </c>
      <c r="L2062" s="1">
        <f>'[1]Electricity and CHPs_NCAP'!H$21</f>
        <v>0.35876179995211099</v>
      </c>
      <c r="M2062" s="1">
        <f>'[1]Electricity and CHPs_NCAP'!I$21</f>
        <v>3.4151872662852599E-2</v>
      </c>
      <c r="N2062" s="1">
        <f>'[1]Electricity and CHPs_NCAP'!J$21</f>
        <v>0.213379665289957</v>
      </c>
      <c r="O2062" s="1">
        <f>'[1]Electricity and CHPs_NCAP'!K$21</f>
        <v>1.3218999711145E-4</v>
      </c>
      <c r="P2062" s="1">
        <f>'[1]Electricity and CHPs_NCAP'!L$21</f>
        <v>0.167962134113431</v>
      </c>
      <c r="Q2062" s="1">
        <f>'[1]Electricity and CHPs_NCAP'!M$21</f>
        <v>0</v>
      </c>
      <c r="S2062" s="3"/>
    </row>
    <row r="2063" spans="2:19" x14ac:dyDescent="0.5">
      <c r="B2063" s="5" t="str">
        <f t="shared" si="2216"/>
        <v>SPS1</v>
      </c>
      <c r="C2063" s="5" t="str">
        <f t="shared" si="2213"/>
        <v>CH</v>
      </c>
      <c r="D2063" t="s">
        <v>2192</v>
      </c>
      <c r="E2063" t="str">
        <f t="shared" si="2214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'[1]Electricity and CHPs_NCAP'!F$22</f>
        <v>6.6763436610417407E-2</v>
      </c>
      <c r="K2063" s="1">
        <f>'[1]Electricity and CHPs_NCAP'!G$22</f>
        <v>2.1349251366246399E-5</v>
      </c>
      <c r="L2063" s="1">
        <f>'[1]Electricity and CHPs_NCAP'!H$22</f>
        <v>2.2815114377326001E-5</v>
      </c>
      <c r="M2063" s="1">
        <f>'[1]Electricity and CHPs_NCAP'!I$22</f>
        <v>1.51157797837688E-5</v>
      </c>
      <c r="N2063" s="1">
        <f>'[1]Electricity and CHPs_NCAP'!J$22</f>
        <v>4.4024029448834902E-5</v>
      </c>
      <c r="O2063" s="1">
        <f>'[1]Electricity and CHPs_NCAP'!K$22</f>
        <v>1.05548090887419E-4</v>
      </c>
      <c r="P2063" s="1">
        <f>'[1]Electricity and CHPs_NCAP'!L$22</f>
        <v>3.0549560220040701E-2</v>
      </c>
      <c r="Q2063" s="1">
        <f>'[1]Electricity and CHPs_NCAP'!M$22</f>
        <v>0</v>
      </c>
      <c r="S2063" s="3"/>
    </row>
    <row r="2064" spans="2:19" x14ac:dyDescent="0.5">
      <c r="B2064" s="5" t="str">
        <f t="shared" si="2216"/>
        <v>SPS1</v>
      </c>
      <c r="C2064" s="5" t="str">
        <f t="shared" si="2213"/>
        <v>CH</v>
      </c>
      <c r="D2064" t="s">
        <v>2193</v>
      </c>
      <c r="E2064" t="str">
        <f t="shared" si="2214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'[1]Electricity and CHPs_NCAP'!F$23</f>
        <v>0</v>
      </c>
      <c r="K2064" s="1">
        <f>'[1]Electricity and CHPs_NCAP'!G$23</f>
        <v>0</v>
      </c>
      <c r="L2064" s="1">
        <f>'[1]Electricity and CHPs_NCAP'!H$23</f>
        <v>0</v>
      </c>
      <c r="M2064" s="1">
        <f>'[1]Electricity and CHPs_NCAP'!I$23</f>
        <v>0</v>
      </c>
      <c r="N2064" s="1">
        <f>'[1]Electricity and CHPs_NCAP'!J$23</f>
        <v>0</v>
      </c>
      <c r="O2064" s="1">
        <f>'[1]Electricity and CHPs_NCAP'!K$23</f>
        <v>0</v>
      </c>
      <c r="P2064" s="1">
        <f>'[1]Electricity and CHPs_NCAP'!L$23</f>
        <v>0</v>
      </c>
      <c r="Q2064" s="1">
        <f>'[1]Electricity and CHPs_NCAP'!M$23</f>
        <v>0</v>
      </c>
      <c r="S2064" s="3"/>
    </row>
    <row r="2065" spans="2:19" x14ac:dyDescent="0.5">
      <c r="B2065" s="5" t="str">
        <f t="shared" si="2216"/>
        <v>SPS1</v>
      </c>
      <c r="C2065" s="5" t="str">
        <f t="shared" si="2213"/>
        <v>CH</v>
      </c>
      <c r="D2065" t="s">
        <v>2194</v>
      </c>
      <c r="E2065" t="str">
        <f t="shared" si="2214"/>
        <v>GWe/yr.</v>
      </c>
      <c r="F2065" s="1">
        <f>'[1]Electricity and CHPs_NCAP'!B$24</f>
        <v>0</v>
      </c>
      <c r="G2065" s="1">
        <f>'[1]Electricity and CHPs_NCAP'!C$24</f>
        <v>1.5101633117748801E-6</v>
      </c>
      <c r="H2065" s="1">
        <f>'[1]Electricity and CHPs_NCAP'!D$24</f>
        <v>2.11457567404858E-3</v>
      </c>
      <c r="I2065" s="1">
        <f>'[1]Electricity and CHPs_NCAP'!E$24</f>
        <v>2.75275635810973E-2</v>
      </c>
      <c r="J2065" s="1">
        <f>'[1]Electricity and CHPs_NCAP'!F$24</f>
        <v>3.3135727504478602E-5</v>
      </c>
      <c r="K2065" s="1">
        <f>'[1]Electricity and CHPs_NCAP'!G$24</f>
        <v>1.6223887627326499E-2</v>
      </c>
      <c r="L2065" s="1">
        <f>'[1]Electricity and CHPs_NCAP'!H$24</f>
        <v>7.9635117510140703E-5</v>
      </c>
      <c r="M2065" s="1">
        <f>'[1]Electricity and CHPs_NCAP'!I$24</f>
        <v>4.81196229286719E-5</v>
      </c>
      <c r="N2065" s="1">
        <f>'[1]Electricity and CHPs_NCAP'!J$24</f>
        <v>1.16608090513189E-4</v>
      </c>
      <c r="O2065" s="1">
        <f>'[1]Electricity and CHPs_NCAP'!K$24</f>
        <v>3.1525303380243101E-3</v>
      </c>
      <c r="P2065" s="1">
        <f>'[1]Electricity and CHPs_NCAP'!L$24</f>
        <v>3.1745372981087701E-5</v>
      </c>
      <c r="Q2065" s="1">
        <f>'[1]Electricity and CHPs_NCAP'!M$24</f>
        <v>6.1522663810819602E-4</v>
      </c>
      <c r="S2065" s="3"/>
    </row>
    <row r="2066" spans="2:19" x14ac:dyDescent="0.5">
      <c r="B2066" s="5" t="str">
        <f t="shared" si="2216"/>
        <v>SPS1</v>
      </c>
      <c r="C2066" s="5" t="str">
        <f t="shared" si="2213"/>
        <v>CH</v>
      </c>
      <c r="D2066" t="s">
        <v>2195</v>
      </c>
      <c r="E2066" t="str">
        <f t="shared" si="2214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'[1]Electricity and CHPs_NCAP'!F$29</f>
        <v>0</v>
      </c>
      <c r="K2066" s="1">
        <f>'[1]Electricity and CHPs_NCAP'!G$29</f>
        <v>1.47618344294291E-2</v>
      </c>
      <c r="L2066" s="1">
        <f>'[1]Electricity and CHPs_NCAP'!H$29</f>
        <v>1.2211342390809199E-2</v>
      </c>
      <c r="M2066" s="1">
        <f>'[1]Electricity and CHPs_NCAP'!I$29</f>
        <v>5.9284594336069703E-3</v>
      </c>
      <c r="N2066" s="1">
        <f>'[1]Electricity and CHPs_NCAP'!J$29</f>
        <v>4.9447175452026201E-5</v>
      </c>
      <c r="O2066" s="1">
        <f>'[1]Electricity and CHPs_NCAP'!K$29</f>
        <v>1.10564112351663E-4</v>
      </c>
      <c r="P2066" s="1">
        <f>'[1]Electricity and CHPs_NCAP'!L$29</f>
        <v>1.64286103609164E-5</v>
      </c>
      <c r="Q2066" s="1">
        <f>'[1]Electricity and CHPs_NCAP'!M$29</f>
        <v>2.5685027744336598E-3</v>
      </c>
      <c r="S2066" s="3"/>
    </row>
    <row r="2067" spans="2:19" x14ac:dyDescent="0.5">
      <c r="B2067" s="5" t="str">
        <f t="shared" si="2216"/>
        <v>SPS1</v>
      </c>
      <c r="C2067" s="5" t="str">
        <f t="shared" si="2213"/>
        <v>CH</v>
      </c>
      <c r="D2067" t="s">
        <v>2196</v>
      </c>
      <c r="E2067" t="str">
        <f t="shared" si="2214"/>
        <v>GWe/yr.</v>
      </c>
      <c r="F2067" s="1">
        <f>'[1]Electricity and CHPs_NCAP'!B$39</f>
        <v>0</v>
      </c>
      <c r="G2067" s="1">
        <f>'[1]Electricity and CHPs_NCAP'!C$39</f>
        <v>1.9335360979328498E-6</v>
      </c>
      <c r="H2067" s="1">
        <f>'[1]Electricity and CHPs_NCAP'!D$39</f>
        <v>9.64311521437811E-6</v>
      </c>
      <c r="I2067" s="1">
        <f>'[1]Electricity and CHPs_NCAP'!E$39</f>
        <v>2.6649387175004001E-2</v>
      </c>
      <c r="J2067" s="1">
        <f>'[1]Electricity and CHPs_NCAP'!F$39</f>
        <v>2.1122728332285501E-4</v>
      </c>
      <c r="K2067" s="1">
        <f>'[1]Electricity and CHPs_NCAP'!G$39</f>
        <v>6.5351437242742696E-5</v>
      </c>
      <c r="L2067" s="1">
        <f>'[1]Electricity and CHPs_NCAP'!H$39</f>
        <v>7.4958001026803205E-5</v>
      </c>
      <c r="M2067" s="1">
        <f>'[1]Electricity and CHPs_NCAP'!I$39</f>
        <v>9.3370793203984507E-3</v>
      </c>
      <c r="N2067" s="1">
        <f>'[1]Electricity and CHPs_NCAP'!J$39</f>
        <v>1.5412025196415501E-5</v>
      </c>
      <c r="O2067" s="1">
        <f>'[1]Electricity and CHPs_NCAP'!K$39</f>
        <v>6.7756747947498805E-4</v>
      </c>
      <c r="P2067" s="1">
        <f>'[1]Electricity and CHPs_NCAP'!L$39</f>
        <v>5.7859125133492596E-3</v>
      </c>
      <c r="Q2067" s="1">
        <f>'[1]Electricity and CHPs_NCAP'!M$39</f>
        <v>1.0954672085252699E-2</v>
      </c>
      <c r="S2067" s="3"/>
    </row>
    <row r="2068" spans="2:19" x14ac:dyDescent="0.5">
      <c r="B2068" s="5" t="str">
        <f t="shared" si="2216"/>
        <v>SPS1</v>
      </c>
      <c r="C2068" s="5" t="str">
        <f t="shared" si="2213"/>
        <v>CH</v>
      </c>
      <c r="D2068" t="s">
        <v>2197</v>
      </c>
      <c r="E2068" t="str">
        <f t="shared" si="2214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'[1]Electricity and CHPs_NCAP'!F$40</f>
        <v>0</v>
      </c>
      <c r="K2068" s="1">
        <f>'[1]Electricity and CHPs_NCAP'!G$40</f>
        <v>0</v>
      </c>
      <c r="L2068" s="1">
        <f>'[1]Electricity and CHPs_NCAP'!H$40</f>
        <v>0</v>
      </c>
      <c r="M2068" s="1">
        <f>'[1]Electricity and CHPs_NCAP'!I$40</f>
        <v>0</v>
      </c>
      <c r="N2068" s="1">
        <f>'[1]Electricity and CHPs_NCAP'!J$40</f>
        <v>0</v>
      </c>
      <c r="O2068" s="1">
        <f>'[1]Electricity and CHPs_NCAP'!K$40</f>
        <v>0</v>
      </c>
      <c r="P2068" s="1">
        <f>'[1]Electricity and CHPs_NCAP'!L$40</f>
        <v>0</v>
      </c>
      <c r="Q2068" s="1">
        <f>'[1]Electricity and CHPs_NCAP'!M$40</f>
        <v>0</v>
      </c>
      <c r="S2068" s="3"/>
    </row>
    <row r="2069" spans="2:19" x14ac:dyDescent="0.5">
      <c r="B2069" s="5" t="str">
        <f t="shared" si="2216"/>
        <v>SPS1</v>
      </c>
      <c r="C2069" s="5" t="str">
        <f t="shared" si="2213"/>
        <v>CH</v>
      </c>
      <c r="D2069" t="s">
        <v>2198</v>
      </c>
      <c r="E2069" t="str">
        <f t="shared" si="2214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2.9335632255962901E-4</v>
      </c>
      <c r="J2069" s="1">
        <f>'[1]Electricity and CHPs_NCAP'!F$47</f>
        <v>2.15168759830974E-4</v>
      </c>
      <c r="K2069" s="1">
        <f>'[1]Electricity and CHPs_NCAP'!G$47</f>
        <v>1.8285288764081201E-4</v>
      </c>
      <c r="L2069" s="1">
        <f>'[1]Electricity and CHPs_NCAP'!H$47</f>
        <v>3.79148043095956E-4</v>
      </c>
      <c r="M2069" s="1">
        <f>'[1]Electricity and CHPs_NCAP'!I$47</f>
        <v>7.7233725313762295E-4</v>
      </c>
      <c r="N2069" s="1">
        <f>'[1]Electricity and CHPs_NCAP'!J$47</f>
        <v>8.4198703162577504E-6</v>
      </c>
      <c r="O2069" s="1">
        <f>'[1]Electricity and CHPs_NCAP'!K$47</f>
        <v>1.0164957185019501E-3</v>
      </c>
      <c r="P2069" s="1">
        <f>'[1]Electricity and CHPs_NCAP'!L$47</f>
        <v>5.1861756334096098E-4</v>
      </c>
      <c r="Q2069" s="1">
        <f>'[1]Electricity and CHPs_NCAP'!M$47</f>
        <v>1.5347791763810101E-3</v>
      </c>
      <c r="S2069" s="3"/>
    </row>
    <row r="2070" spans="2:19" x14ac:dyDescent="0.5">
      <c r="B2070" s="5" t="str">
        <f t="shared" si="2216"/>
        <v>SPS1</v>
      </c>
      <c r="C2070" s="5" t="str">
        <f t="shared" si="2213"/>
        <v>CH</v>
      </c>
      <c r="D2070" t="s">
        <v>2199</v>
      </c>
      <c r="E2070" t="str">
        <f t="shared" si="2214"/>
        <v>GWe/yr.</v>
      </c>
      <c r="F2070" s="1">
        <f>'[1]Electricity and CHPs_NCAP'!B$48</f>
        <v>0</v>
      </c>
      <c r="G2070" s="1">
        <f>'[1]Electricity and CHPs_NCAP'!C$48</f>
        <v>8.4066623910331254E-5</v>
      </c>
      <c r="H2070" s="1">
        <f>'[1]Electricity and CHPs_NCAP'!D$48</f>
        <v>3.8309331854063998E-4</v>
      </c>
      <c r="I2070" s="1">
        <f>'[1]Electricity and CHPs_NCAP'!E$48</f>
        <v>2.6025023645316501E-6</v>
      </c>
      <c r="J2070" s="1">
        <f>'[1]Electricity and CHPs_NCAP'!F$48</f>
        <v>2.1364592091305942E-3</v>
      </c>
      <c r="K2070" s="1">
        <f>'[1]Electricity and CHPs_NCAP'!G$48</f>
        <v>3.2293560146941767E-4</v>
      </c>
      <c r="L2070" s="1">
        <f>'[1]Electricity and CHPs_NCAP'!H$48</f>
        <v>9.7667484219066212E-4</v>
      </c>
      <c r="M2070" s="1">
        <f>'[1]Electricity and CHPs_NCAP'!I$48</f>
        <v>1.3537521245772701E-3</v>
      </c>
      <c r="N2070" s="1">
        <f>'[1]Electricity and CHPs_NCAP'!J$48</f>
        <v>8.7779159475992051E-4</v>
      </c>
      <c r="O2070" s="1">
        <f>'[1]Electricity and CHPs_NCAP'!K$48</f>
        <v>1.2890436807100249E-3</v>
      </c>
      <c r="P2070" s="1">
        <f>'[1]Electricity and CHPs_NCAP'!L$48</f>
        <v>1.146597915995381E-2</v>
      </c>
      <c r="Q2070" s="1">
        <f>'[1]Electricity and CHPs_NCAP'!M$48</f>
        <v>1.053794293724342E-3</v>
      </c>
      <c r="S2070" s="3"/>
    </row>
    <row r="2071" spans="2:19" x14ac:dyDescent="0.5">
      <c r="B2071" s="5" t="str">
        <f t="shared" si="2216"/>
        <v>SPS1</v>
      </c>
      <c r="C2071" s="5" t="str">
        <f t="shared" si="2213"/>
        <v>CH</v>
      </c>
      <c r="D2071" t="s">
        <v>2200</v>
      </c>
      <c r="E2071" t="str">
        <f t="shared" si="2214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6.5650491246075092E-5</v>
      </c>
      <c r="J2071" s="1">
        <f>'[1]Electricity and CHPs_NCAP'!F$49</f>
        <v>1.6684948844225978E-4</v>
      </c>
      <c r="K2071" s="1">
        <f>'[1]Electricity and CHPs_NCAP'!G$49</f>
        <v>3.4503519686980003E-6</v>
      </c>
      <c r="L2071" s="1">
        <f>'[1]Electricity and CHPs_NCAP'!H$49</f>
        <v>3.4418546022867099E-5</v>
      </c>
      <c r="M2071" s="1">
        <f>'[1]Electricity and CHPs_NCAP'!I$49</f>
        <v>3.9000759576221901E-4</v>
      </c>
      <c r="N2071" s="1">
        <f>'[1]Electricity and CHPs_NCAP'!J$49</f>
        <v>4.2989608151296E-6</v>
      </c>
      <c r="O2071" s="1">
        <f>'[1]Electricity and CHPs_NCAP'!K$49</f>
        <v>3.3624438628923202E-4</v>
      </c>
      <c r="P2071" s="1">
        <f>'[1]Electricity and CHPs_NCAP'!L$49</f>
        <v>4.8624652131208999E-6</v>
      </c>
      <c r="Q2071" s="1">
        <f>'[1]Electricity and CHPs_NCAP'!M$49</f>
        <v>9.9465649158747603E-4</v>
      </c>
      <c r="S2071" s="3"/>
    </row>
    <row r="2072" spans="2:19" x14ac:dyDescent="0.5">
      <c r="B2072" s="5" t="str">
        <f t="shared" si="2216"/>
        <v>SPS1</v>
      </c>
      <c r="C2072" s="5" t="str">
        <f t="shared" si="2213"/>
        <v>CH</v>
      </c>
      <c r="D2072" t="s">
        <v>2201</v>
      </c>
      <c r="E2072" t="str">
        <f t="shared" si="2214"/>
        <v>GWe/yr.</v>
      </c>
      <c r="F2072" s="1">
        <f>'[1]Electricity and CHPs_NCAP'!B$51</f>
        <v>0</v>
      </c>
      <c r="G2072" s="1">
        <f>'[1]Electricity and CHPs_NCAP'!C$51</f>
        <v>1.8671415326053297E-4</v>
      </c>
      <c r="H2072" s="1">
        <f>'[1]Electricity and CHPs_NCAP'!D$51</f>
        <v>1.9169710769932119E-3</v>
      </c>
      <c r="I2072" s="1">
        <f>'[1]Electricity and CHPs_NCAP'!E$51</f>
        <v>3.7150933603379697E-2</v>
      </c>
      <c r="J2072" s="1">
        <f>'[1]Electricity and CHPs_NCAP'!F$51</f>
        <v>3.2157656269835499E-3</v>
      </c>
      <c r="K2072" s="1">
        <f>'[1]Electricity and CHPs_NCAP'!G$51</f>
        <v>1.032970443306353E-2</v>
      </c>
      <c r="L2072" s="1">
        <f>'[1]Electricity and CHPs_NCAP'!H$51</f>
        <v>1.5701478105639398E-2</v>
      </c>
      <c r="M2072" s="1">
        <f>'[1]Electricity and CHPs_NCAP'!I$51</f>
        <v>2.4730592278429549E-2</v>
      </c>
      <c r="N2072" s="1">
        <f>'[1]Electricity and CHPs_NCAP'!J$51</f>
        <v>2.3082681921908861E-3</v>
      </c>
      <c r="O2072" s="1">
        <f>'[1]Electricity and CHPs_NCAP'!K$51</f>
        <v>8.3150257327651161E-3</v>
      </c>
      <c r="P2072" s="1">
        <f>'[1]Electricity and CHPs_NCAP'!L$51</f>
        <v>9.3763438603757313E-3</v>
      </c>
      <c r="Q2072" s="1">
        <f>'[1]Electricity and CHPs_NCAP'!M$51</f>
        <v>2.0148876985288239E-2</v>
      </c>
      <c r="S2072" s="3"/>
    </row>
    <row r="2073" spans="2:19" x14ac:dyDescent="0.5">
      <c r="B2073" s="5" t="str">
        <f t="shared" si="2216"/>
        <v>SPS1</v>
      </c>
      <c r="C2073" s="5" t="str">
        <f t="shared" si="2213"/>
        <v>CH</v>
      </c>
      <c r="D2073" t="s">
        <v>2202</v>
      </c>
      <c r="E2073" t="str">
        <f t="shared" si="2214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2.7911671779536301E-4</v>
      </c>
      <c r="J2073" s="1">
        <f>'[1]Electricity and CHPs_NCAP'!F$52</f>
        <v>8.1725701852947E-4</v>
      </c>
      <c r="K2073" s="1">
        <f>'[1]Electricity and CHPs_NCAP'!G$52</f>
        <v>2.3187137971760197E-5</v>
      </c>
      <c r="L2073" s="1">
        <f>'[1]Electricity and CHPs_NCAP'!H$52</f>
        <v>2.2833183359825601E-4</v>
      </c>
      <c r="M2073" s="1">
        <f>'[1]Electricity and CHPs_NCAP'!I$52</f>
        <v>2.3268120192197202E-3</v>
      </c>
      <c r="N2073" s="1">
        <f>'[1]Electricity and CHPs_NCAP'!J$52</f>
        <v>1.5075203004042521E-4</v>
      </c>
      <c r="O2073" s="1">
        <f>'[1]Electricity and CHPs_NCAP'!K$52</f>
        <v>3.0915382536177002E-3</v>
      </c>
      <c r="P2073" s="1">
        <f>'[1]Electricity and CHPs_NCAP'!L$52</f>
        <v>6.3823198102485495E-5</v>
      </c>
      <c r="Q2073" s="1">
        <f>'[1]Electricity and CHPs_NCAP'!M$52</f>
        <v>6.8264096923113101E-3</v>
      </c>
      <c r="S2073" s="3"/>
    </row>
    <row r="2074" spans="2:19" x14ac:dyDescent="0.5">
      <c r="B2074" s="5" t="str">
        <f t="shared" si="2216"/>
        <v>SPS1</v>
      </c>
      <c r="C2074" s="5" t="str">
        <f t="shared" si="2213"/>
        <v>CH</v>
      </c>
      <c r="D2074" t="s">
        <v>2203</v>
      </c>
      <c r="E2074" t="str">
        <f t="shared" si="2214"/>
        <v>GWe/yr.</v>
      </c>
      <c r="F2074" s="1">
        <f>'[1]Electricity and CHPs_NCAP'!B$54</f>
        <v>0</v>
      </c>
      <c r="G2074" s="1">
        <f>'[1]Electricity and CHPs_NCAP'!C$54</f>
        <v>2.6203621556264298E-2</v>
      </c>
      <c r="H2074" s="1">
        <f>'[1]Electricity and CHPs_NCAP'!D$54</f>
        <v>6.5764564780571898E-3</v>
      </c>
      <c r="I2074" s="1">
        <f>'[1]Electricity and CHPs_NCAP'!E$54</f>
        <v>1.2224098753605301E-2</v>
      </c>
      <c r="J2074" s="1">
        <f>'[1]Electricity and CHPs_NCAP'!F$54</f>
        <v>4.4081637507049701E-2</v>
      </c>
      <c r="K2074" s="1">
        <f>'[1]Electricity and CHPs_NCAP'!G$54</f>
        <v>2.9399829746362301E-2</v>
      </c>
      <c r="L2074" s="1">
        <f>'[1]Electricity and CHPs_NCAP'!H$54</f>
        <v>1.12791905168822E-2</v>
      </c>
      <c r="M2074" s="1">
        <f>'[1]Electricity and CHPs_NCAP'!I$54</f>
        <v>4.4085390090403402E-2</v>
      </c>
      <c r="N2074" s="1">
        <f>'[1]Electricity and CHPs_NCAP'!J$54</f>
        <v>2.6376138180512699E-2</v>
      </c>
      <c r="O2074" s="1">
        <f>'[1]Electricity and CHPs_NCAP'!K$54</f>
        <v>1.4305741728993E-2</v>
      </c>
      <c r="P2074" s="1">
        <f>'[1]Electricity and CHPs_NCAP'!L$54</f>
        <v>4.4640728511207303E-2</v>
      </c>
      <c r="Q2074" s="1">
        <f>'[1]Electricity and CHPs_NCAP'!M$54</f>
        <v>2.8610060542598799E-2</v>
      </c>
      <c r="S2074" s="3"/>
    </row>
    <row r="2075" spans="2:19" x14ac:dyDescent="0.5">
      <c r="B2075" s="5" t="str">
        <f t="shared" si="2216"/>
        <v>SPS1</v>
      </c>
      <c r="C2075" s="5" t="str">
        <f t="shared" si="2213"/>
        <v>CH</v>
      </c>
      <c r="D2075" t="s">
        <v>2204</v>
      </c>
      <c r="E2075" t="str">
        <f t="shared" si="2214"/>
        <v>GWe/yr.</v>
      </c>
      <c r="F2075" s="1">
        <f>'[1]Electricity and CHPs_NCAP'!B$55</f>
        <v>0</v>
      </c>
      <c r="G2075" s="1">
        <f>'[1]Electricity and CHPs_NCAP'!C$55</f>
        <v>2.7176665654340199E-2</v>
      </c>
      <c r="H2075" s="1">
        <f>'[1]Electricity and CHPs_NCAP'!D$55</f>
        <v>1.36950895726521E-5</v>
      </c>
      <c r="I2075" s="1">
        <f>'[1]Electricity and CHPs_NCAP'!E$55</f>
        <v>0.115024358821321</v>
      </c>
      <c r="J2075" s="1">
        <f>'[1]Electricity and CHPs_NCAP'!F$55</f>
        <v>0.13359913295638501</v>
      </c>
      <c r="K2075" s="1">
        <f>'[1]Electricity and CHPs_NCAP'!G$55</f>
        <v>1.0115431546097601E-2</v>
      </c>
      <c r="L2075" s="1">
        <f>'[1]Electricity and CHPs_NCAP'!H$55</f>
        <v>5.51945601270157E-2</v>
      </c>
      <c r="M2075" s="1">
        <f>'[1]Electricity and CHPs_NCAP'!I$55</f>
        <v>2.2796612669479599E-3</v>
      </c>
      <c r="N2075" s="1">
        <f>'[1]Electricity and CHPs_NCAP'!J$55</f>
        <v>9.4280262319555996E-2</v>
      </c>
      <c r="O2075" s="1">
        <f>'[1]Electricity and CHPs_NCAP'!K$55</f>
        <v>5.3656359132072798E-2</v>
      </c>
      <c r="P2075" s="1">
        <f>'[1]Electricity and CHPs_NCAP'!L$55</f>
        <v>7.3353116404838006E-2</v>
      </c>
      <c r="Q2075" s="1">
        <f>'[1]Electricity and CHPs_NCAP'!M$55</f>
        <v>1.52135860676944E-2</v>
      </c>
      <c r="S2075" s="3"/>
    </row>
    <row r="2076" spans="2:19" x14ac:dyDescent="0.5">
      <c r="B2076" s="5" t="str">
        <f t="shared" si="2216"/>
        <v>SPS1</v>
      </c>
      <c r="C2076" s="5" t="str">
        <f t="shared" si="2213"/>
        <v>CH</v>
      </c>
      <c r="D2076" t="s">
        <v>2205</v>
      </c>
      <c r="E2076" t="str">
        <f t="shared" si="2214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2.4550879096724702E-4</v>
      </c>
      <c r="J2076" s="1">
        <f>'[1]Electricity and CHPs_NCAP'!F$58</f>
        <v>5.06269728954384E-4</v>
      </c>
      <c r="K2076" s="1">
        <f>'[1]Electricity and CHPs_NCAP'!G$58</f>
        <v>2.4435660681020101E-5</v>
      </c>
      <c r="L2076" s="1">
        <f>'[1]Electricity and CHPs_NCAP'!H$58</f>
        <v>1.2322491387581101E-5</v>
      </c>
      <c r="M2076" s="1">
        <f>'[1]Electricity and CHPs_NCAP'!I$58</f>
        <v>1.2474476826070499E-3</v>
      </c>
      <c r="N2076" s="1">
        <f>'[1]Electricity and CHPs_NCAP'!J$58</f>
        <v>3.3800028010993598E-5</v>
      </c>
      <c r="O2076" s="1">
        <f>'[1]Electricity and CHPs_NCAP'!K$58</f>
        <v>1.3906743220474299E-3</v>
      </c>
      <c r="P2076" s="1">
        <f>'[1]Electricity and CHPs_NCAP'!L$58</f>
        <v>4.1406195433010601E-4</v>
      </c>
      <c r="Q2076" s="1">
        <f>'[1]Electricity and CHPs_NCAP'!M$58</f>
        <v>2.6103563004911301E-3</v>
      </c>
      <c r="S2076" s="3"/>
    </row>
    <row r="2077" spans="2:19" x14ac:dyDescent="0.5">
      <c r="B2077" s="5" t="str">
        <f t="shared" si="2216"/>
        <v>SPS1</v>
      </c>
      <c r="C2077" s="5" t="str">
        <f t="shared" si="2213"/>
        <v>CH</v>
      </c>
      <c r="D2077" t="s">
        <v>2206</v>
      </c>
      <c r="E2077" t="str">
        <f t="shared" si="2214"/>
        <v>GWe/yr.</v>
      </c>
      <c r="F2077" s="1">
        <f t="shared" ref="F2077:K2077" si="2223">SUM(F2078:F2083)</f>
        <v>0</v>
      </c>
      <c r="G2077" s="1">
        <f t="shared" si="2223"/>
        <v>2.1087322291464538E-6</v>
      </c>
      <c r="H2077" s="1">
        <f t="shared" si="2223"/>
        <v>2.536088052970391E-6</v>
      </c>
      <c r="I2077" s="1">
        <f t="shared" si="2223"/>
        <v>5.4724153217326578E-2</v>
      </c>
      <c r="J2077" s="1">
        <f t="shared" si="2223"/>
        <v>0.11609068926814892</v>
      </c>
      <c r="K2077" s="1">
        <f t="shared" si="2223"/>
        <v>5.0631924430000252E-2</v>
      </c>
      <c r="L2077" s="1">
        <f t="shared" ref="L2077:O2077" si="2224">SUM(L2078:L2083)</f>
        <v>8.4115195372568716E-2</v>
      </c>
      <c r="M2077" s="1">
        <f t="shared" si="2224"/>
        <v>7.2811502798723102E-2</v>
      </c>
      <c r="N2077" s="1">
        <f t="shared" si="2224"/>
        <v>1.9494277701673196E-2</v>
      </c>
      <c r="O2077" s="1">
        <f t="shared" si="2224"/>
        <v>4.0070305476198387E-2</v>
      </c>
      <c r="P2077" s="1">
        <f>SUM(P2078:P2083)</f>
        <v>0.11099276708984995</v>
      </c>
      <c r="Q2077" s="1">
        <f>SUM(Q2078:Q2083)</f>
        <v>6.7582442873829557E-2</v>
      </c>
      <c r="S2077" s="3"/>
    </row>
    <row r="2078" spans="2:19" x14ac:dyDescent="0.5">
      <c r="B2078" s="5" t="str">
        <f t="shared" si="2216"/>
        <v>SPS1</v>
      </c>
      <c r="C2078" s="5" t="str">
        <f t="shared" si="2213"/>
        <v>CH</v>
      </c>
      <c r="D2078" t="s">
        <v>2207</v>
      </c>
      <c r="E2078" t="str">
        <f t="shared" si="2214"/>
        <v>GWe/yr.</v>
      </c>
      <c r="F2078" s="1">
        <f>'[1]Electricity and CHPs_NCAP'!B$19</f>
        <v>0</v>
      </c>
      <c r="G2078" s="1">
        <f>'[1]Electricity and CHPs_NCAP'!C$19</f>
        <v>9.3564672661659898E-7</v>
      </c>
      <c r="H2078" s="1">
        <f>'[1]Electricity and CHPs_NCAP'!D$19</f>
        <v>1.29119006573063E-6</v>
      </c>
      <c r="I2078" s="1">
        <f>'[1]Electricity and CHPs_NCAP'!E$19</f>
        <v>5.41319671432237E-2</v>
      </c>
      <c r="J2078" s="1">
        <f>'[1]Electricity and CHPs_NCAP'!F$19</f>
        <v>0.104462253534509</v>
      </c>
      <c r="K2078" s="1">
        <f>'[1]Electricity and CHPs_NCAP'!G$19</f>
        <v>3.0522367872524599E-2</v>
      </c>
      <c r="L2078" s="1">
        <f>'[1]Electricity and CHPs_NCAP'!H$19</f>
        <v>7.8070067444292998E-2</v>
      </c>
      <c r="M2078" s="1">
        <f>'[1]Electricity and CHPs_NCAP'!I$19</f>
        <v>2.7760646164457298E-2</v>
      </c>
      <c r="N2078" s="1">
        <f>'[1]Electricity and CHPs_NCAP'!J$19</f>
        <v>1.9268129019683E-2</v>
      </c>
      <c r="O2078" s="1">
        <f>'[1]Electricity and CHPs_NCAP'!K$19</f>
        <v>3.9625624145459198E-2</v>
      </c>
      <c r="P2078" s="1">
        <f>'[1]Electricity and CHPs_NCAP'!L$19</f>
        <v>9.8281891151433404E-2</v>
      </c>
      <c r="Q2078" s="1">
        <f>'[1]Electricity and CHPs_NCAP'!M$19</f>
        <v>4.85509987697628E-2</v>
      </c>
      <c r="S2078" s="3"/>
    </row>
    <row r="2079" spans="2:19" x14ac:dyDescent="0.5">
      <c r="B2079" s="5" t="str">
        <f t="shared" si="2216"/>
        <v>SPS1</v>
      </c>
      <c r="C2079" s="5" t="str">
        <f t="shared" si="2213"/>
        <v>CH</v>
      </c>
      <c r="D2079" t="s">
        <v>2208</v>
      </c>
      <c r="E2079" t="str">
        <f t="shared" si="2214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'[1]Electricity and CHPs_NCAP'!F$20</f>
        <v>0</v>
      </c>
      <c r="K2079" s="1">
        <f>'[1]Electricity and CHPs_NCAP'!G$20</f>
        <v>0</v>
      </c>
      <c r="L2079" s="1">
        <f>'[1]Electricity and CHPs_NCAP'!H$20</f>
        <v>0</v>
      </c>
      <c r="M2079" s="1">
        <f>'[1]Electricity and CHPs_NCAP'!I$20</f>
        <v>0</v>
      </c>
      <c r="N2079" s="1">
        <f>'[1]Electricity and CHPs_NCAP'!J$20</f>
        <v>0</v>
      </c>
      <c r="O2079" s="1">
        <f>'[1]Electricity and CHPs_NCAP'!K$20</f>
        <v>0</v>
      </c>
      <c r="P2079" s="1">
        <f>'[1]Electricity and CHPs_NCAP'!L$20</f>
        <v>0</v>
      </c>
      <c r="Q2079" s="1">
        <f>'[1]Electricity and CHPs_NCAP'!M$20</f>
        <v>0</v>
      </c>
      <c r="S2079" s="3"/>
    </row>
    <row r="2080" spans="2:19" x14ac:dyDescent="0.5">
      <c r="B2080" s="5" t="str">
        <f t="shared" si="2216"/>
        <v>SPS1</v>
      </c>
      <c r="C2080" s="5" t="str">
        <f t="shared" si="2213"/>
        <v>CH</v>
      </c>
      <c r="D2080" t="s">
        <v>2209</v>
      </c>
      <c r="E2080" t="str">
        <f t="shared" si="2214"/>
        <v>GWe/yr.</v>
      </c>
      <c r="F2080" s="1">
        <f>'[1]Electricity and CHPs_NCAP'!B$26</f>
        <v>0</v>
      </c>
      <c r="G2080" s="1">
        <f>'[1]Electricity and CHPs_NCAP'!C$26</f>
        <v>4.63098896432351E-7</v>
      </c>
      <c r="H2080" s="1">
        <f>'[1]Electricity and CHPs_NCAP'!D$26</f>
        <v>5.6587918196177799E-7</v>
      </c>
      <c r="I2080" s="1">
        <f>'[1]Electricity and CHPs_NCAP'!E$26</f>
        <v>1.58665243056112E-6</v>
      </c>
      <c r="J2080" s="1">
        <f>'[1]Electricity and CHPs_NCAP'!F$26</f>
        <v>5.66613838032572E-3</v>
      </c>
      <c r="K2080" s="1">
        <f>'[1]Electricity and CHPs_NCAP'!G$26</f>
        <v>1.89536624874003E-2</v>
      </c>
      <c r="L2080" s="1">
        <f>'[1]Electricity and CHPs_NCAP'!H$26</f>
        <v>6.0387455536422803E-3</v>
      </c>
      <c r="M2080" s="1">
        <f>'[1]Electricity and CHPs_NCAP'!I$26</f>
        <v>3.9634961559131501E-2</v>
      </c>
      <c r="N2080" s="1">
        <f>'[1]Electricity and CHPs_NCAP'!J$26</f>
        <v>3.0482839577977401E-6</v>
      </c>
      <c r="O2080" s="1">
        <f>'[1]Electricity and CHPs_NCAP'!K$26</f>
        <v>7.95703973408333E-6</v>
      </c>
      <c r="P2080" s="1">
        <f>'[1]Electricity and CHPs_NCAP'!L$26</f>
        <v>7.6244563130867396E-3</v>
      </c>
      <c r="Q2080" s="1">
        <f>'[1]Electricity and CHPs_NCAP'!M$26</f>
        <v>1.6991180814040802E-2</v>
      </c>
      <c r="S2080" s="3"/>
    </row>
    <row r="2081" spans="2:19" x14ac:dyDescent="0.5">
      <c r="B2081" s="5" t="str">
        <f t="shared" si="2216"/>
        <v>SPS1</v>
      </c>
      <c r="C2081" s="5" t="str">
        <f t="shared" si="2213"/>
        <v>CH</v>
      </c>
      <c r="D2081" t="s">
        <v>2210</v>
      </c>
      <c r="E2081" t="str">
        <f t="shared" si="2214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'[1]Electricity and CHPs_NCAP'!F$27</f>
        <v>0</v>
      </c>
      <c r="K2081" s="1">
        <f>'[1]Electricity and CHPs_NCAP'!G$27</f>
        <v>0</v>
      </c>
      <c r="L2081" s="1">
        <f>'[1]Electricity and CHPs_NCAP'!H$27</f>
        <v>0</v>
      </c>
      <c r="M2081" s="1">
        <f>'[1]Electricity and CHPs_NCAP'!I$27</f>
        <v>0</v>
      </c>
      <c r="N2081" s="1">
        <f>'[1]Electricity and CHPs_NCAP'!J$27</f>
        <v>0</v>
      </c>
      <c r="O2081" s="1">
        <f>'[1]Electricity and CHPs_NCAP'!K$27</f>
        <v>0</v>
      </c>
      <c r="P2081" s="1">
        <f>'[1]Electricity and CHPs_NCAP'!L$27</f>
        <v>0</v>
      </c>
      <c r="Q2081" s="1">
        <f>'[1]Electricity and CHPs_NCAP'!M$27</f>
        <v>0</v>
      </c>
      <c r="S2081" s="3"/>
    </row>
    <row r="2082" spans="2:19" x14ac:dyDescent="0.5">
      <c r="B2082" s="5" t="str">
        <f t="shared" si="2216"/>
        <v>SPS1</v>
      </c>
      <c r="C2082" s="5" t="str">
        <f t="shared" si="2213"/>
        <v>CH</v>
      </c>
      <c r="D2082" t="s">
        <v>2211</v>
      </c>
      <c r="E2082" t="str">
        <f t="shared" si="2214"/>
        <v>GWe/yr.</v>
      </c>
      <c r="F2082" s="1">
        <f>'[1]Electricity and CHPs_NCAP'!B$44</f>
        <v>0</v>
      </c>
      <c r="G2082" s="1">
        <f>'[1]Electricity and CHPs_NCAP'!C$44</f>
        <v>7.0998660609750396E-7</v>
      </c>
      <c r="H2082" s="1">
        <f>'[1]Electricity and CHPs_NCAP'!D$44</f>
        <v>6.7901880527798299E-7</v>
      </c>
      <c r="I2082" s="1">
        <f>'[1]Electricity and CHPs_NCAP'!E$44</f>
        <v>5.9059942167232198E-4</v>
      </c>
      <c r="J2082" s="1">
        <f>'[1]Electricity and CHPs_NCAP'!F$44</f>
        <v>5.9622973533142E-3</v>
      </c>
      <c r="K2082" s="1">
        <f>'[1]Electricity and CHPs_NCAP'!G$44</f>
        <v>1.15589407007535E-3</v>
      </c>
      <c r="L2082" s="1">
        <f>'[1]Electricity and CHPs_NCAP'!H$44</f>
        <v>6.3823746334394499E-6</v>
      </c>
      <c r="M2082" s="1">
        <f>'[1]Electricity and CHPs_NCAP'!I$44</f>
        <v>5.4158950751343098E-3</v>
      </c>
      <c r="N2082" s="1">
        <f>'[1]Electricity and CHPs_NCAP'!J$44</f>
        <v>2.2310039803239901E-4</v>
      </c>
      <c r="O2082" s="1">
        <f>'[1]Electricity and CHPs_NCAP'!K$44</f>
        <v>4.3672429100510699E-4</v>
      </c>
      <c r="P2082" s="1">
        <f>'[1]Electricity and CHPs_NCAP'!L$44</f>
        <v>5.0864196253298096E-3</v>
      </c>
      <c r="Q2082" s="1">
        <f>'[1]Electricity and CHPs_NCAP'!M$44</f>
        <v>2.0402632900259599E-3</v>
      </c>
      <c r="S2082" s="3"/>
    </row>
    <row r="2083" spans="2:19" x14ac:dyDescent="0.5">
      <c r="B2083" s="5" t="str">
        <f t="shared" si="2216"/>
        <v>SPS1</v>
      </c>
      <c r="C2083" s="5" t="str">
        <f t="shared" si="2213"/>
        <v>CH</v>
      </c>
      <c r="D2083" t="s">
        <v>2212</v>
      </c>
      <c r="E2083" t="str">
        <f t="shared" ref="E2083:E2113" si="2225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'[1]Electricity and CHPs_NCAP'!F$45</f>
        <v>0</v>
      </c>
      <c r="K2083" s="1">
        <f>'[1]Electricity and CHPs_NCAP'!G$45</f>
        <v>0</v>
      </c>
      <c r="L2083" s="1">
        <f>'[1]Electricity and CHPs_NCAP'!H$45</f>
        <v>0</v>
      </c>
      <c r="M2083" s="1">
        <f>'[1]Electricity and CHPs_NCAP'!I$45</f>
        <v>0</v>
      </c>
      <c r="N2083" s="1">
        <f>'[1]Electricity and CHPs_NCAP'!J$45</f>
        <v>0</v>
      </c>
      <c r="O2083" s="1">
        <f>'[1]Electricity and CHPs_NCAP'!K$45</f>
        <v>0</v>
      </c>
      <c r="P2083" s="1">
        <f>'[1]Electricity and CHPs_NCAP'!L$45</f>
        <v>0</v>
      </c>
      <c r="Q2083" s="1">
        <f>'[1]Electricity and CHPs_NCAP'!M$45</f>
        <v>0</v>
      </c>
      <c r="S2083" s="3"/>
    </row>
    <row r="2084" spans="2:19" x14ac:dyDescent="0.5">
      <c r="B2084" s="5" t="str">
        <f t="shared" si="2216"/>
        <v>SPS1</v>
      </c>
      <c r="C2084" s="5" t="str">
        <f t="shared" si="2213"/>
        <v>CH</v>
      </c>
      <c r="D2084" t="s">
        <v>2213</v>
      </c>
      <c r="E2084" t="str">
        <f t="shared" si="2225"/>
        <v>GWe/yr.</v>
      </c>
      <c r="F2084" s="1">
        <f t="shared" ref="F2084:K2084" si="2226">SUM(F2085:F2091)</f>
        <v>0</v>
      </c>
      <c r="G2084" s="1">
        <f t="shared" si="2226"/>
        <v>1.7593911545730839E-2</v>
      </c>
      <c r="H2084" s="1">
        <f t="shared" si="2226"/>
        <v>3.9143351518281098E-2</v>
      </c>
      <c r="I2084" s="1">
        <f t="shared" si="2226"/>
        <v>4.6631465236520224E-2</v>
      </c>
      <c r="J2084" s="1">
        <f t="shared" si="2226"/>
        <v>4.2357378781748521E-2</v>
      </c>
      <c r="K2084" s="1">
        <f t="shared" si="2226"/>
        <v>6.8823949139916268E-2</v>
      </c>
      <c r="L2084" s="1">
        <f t="shared" ref="L2084:O2084" si="2227">SUM(L2085:L2091)</f>
        <v>8.3042700782689549E-2</v>
      </c>
      <c r="M2084" s="1">
        <f t="shared" si="2227"/>
        <v>8.3178828630589452E-2</v>
      </c>
      <c r="N2084" s="1">
        <f t="shared" si="2227"/>
        <v>7.211378013768234E-2</v>
      </c>
      <c r="O2084" s="1">
        <f t="shared" si="2227"/>
        <v>9.0641448570031702E-2</v>
      </c>
      <c r="P2084" s="1">
        <f>SUM(P2085:P2091)</f>
        <v>8.7703885288247033E-2</v>
      </c>
      <c r="Q2084" s="1">
        <f>SUM(Q2085:Q2091)</f>
        <v>6.7682846363987734E-2</v>
      </c>
      <c r="S2084" s="3"/>
    </row>
    <row r="2085" spans="2:19" x14ac:dyDescent="0.5">
      <c r="B2085" s="5" t="str">
        <f t="shared" si="2216"/>
        <v>SPS1</v>
      </c>
      <c r="C2085" s="5" t="str">
        <f t="shared" si="2213"/>
        <v>CH</v>
      </c>
      <c r="D2085" t="s">
        <v>2214</v>
      </c>
      <c r="E2085" t="str">
        <f t="shared" si="2225"/>
        <v>GWe/yr.</v>
      </c>
      <c r="F2085" s="1">
        <f>'[1]Electricity and CHPs_NCAP'!B$25</f>
        <v>0</v>
      </c>
      <c r="G2085" s="1">
        <f>'[1]Electricity and CHPs_NCAP'!C$25</f>
        <v>4.39887354841661E-7</v>
      </c>
      <c r="H2085" s="1">
        <f>'[1]Electricity and CHPs_NCAP'!D$25</f>
        <v>1.55836344944812E-2</v>
      </c>
      <c r="I2085" s="1">
        <f>'[1]Electricity and CHPs_NCAP'!E$25</f>
        <v>1.4821604076380701E-2</v>
      </c>
      <c r="J2085" s="1">
        <f>'[1]Electricity and CHPs_NCAP'!F$25</f>
        <v>8.7049818715557708E-3</v>
      </c>
      <c r="K2085" s="1">
        <f>'[1]Electricity and CHPs_NCAP'!G$25</f>
        <v>7.4220289251888099E-3</v>
      </c>
      <c r="L2085" s="1">
        <f>'[1]Electricity and CHPs_NCAP'!H$25</f>
        <v>1.5092094997662699E-5</v>
      </c>
      <c r="M2085" s="1">
        <f>'[1]Electricity and CHPs_NCAP'!I$25</f>
        <v>1.5374112464057899E-3</v>
      </c>
      <c r="N2085" s="1">
        <f>'[1]Electricity and CHPs_NCAP'!J$25</f>
        <v>3.4884089883112899E-4</v>
      </c>
      <c r="O2085" s="1">
        <f>'[1]Electricity and CHPs_NCAP'!K$25</f>
        <v>1.1499497069233901E-2</v>
      </c>
      <c r="P2085" s="1">
        <f>'[1]Electricity and CHPs_NCAP'!L$25</f>
        <v>3.3733340316192202E-5</v>
      </c>
      <c r="Q2085" s="1">
        <f>'[1]Electricity and CHPs_NCAP'!M$25</f>
        <v>3.8709509956236803E-5</v>
      </c>
      <c r="S2085" s="3"/>
    </row>
    <row r="2086" spans="2:19" x14ac:dyDescent="0.5">
      <c r="B2086" s="5" t="str">
        <f t="shared" si="2216"/>
        <v>SPS1</v>
      </c>
      <c r="C2086" s="5" t="str">
        <f t="shared" si="2213"/>
        <v>CH</v>
      </c>
      <c r="D2086" t="s">
        <v>2215</v>
      </c>
      <c r="E2086" t="str">
        <f t="shared" si="2225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'[1]Electricity and CHPs_NCAP'!F$31</f>
        <v>0</v>
      </c>
      <c r="K2086" s="1">
        <f>'[1]Electricity and CHPs_NCAP'!G$31</f>
        <v>0</v>
      </c>
      <c r="L2086" s="1">
        <f>'[1]Electricity and CHPs_NCAP'!H$31</f>
        <v>0</v>
      </c>
      <c r="M2086" s="1">
        <f>'[1]Electricity and CHPs_NCAP'!I$31</f>
        <v>0</v>
      </c>
      <c r="N2086" s="1">
        <f>'[1]Electricity and CHPs_NCAP'!J$31</f>
        <v>0</v>
      </c>
      <c r="O2086" s="1">
        <f>'[1]Electricity and CHPs_NCAP'!K$31</f>
        <v>0</v>
      </c>
      <c r="P2086" s="1">
        <f>'[1]Electricity and CHPs_NCAP'!L$31</f>
        <v>0</v>
      </c>
      <c r="Q2086" s="1">
        <f>'[1]Electricity and CHPs_NCAP'!M$31</f>
        <v>0</v>
      </c>
      <c r="S2086" s="3"/>
    </row>
    <row r="2087" spans="2:19" x14ac:dyDescent="0.5">
      <c r="B2087" s="5" t="str">
        <f t="shared" si="2216"/>
        <v>SPS1</v>
      </c>
      <c r="C2087" s="5" t="str">
        <f t="shared" si="2213"/>
        <v>CH</v>
      </c>
      <c r="D2087" t="s">
        <v>2216</v>
      </c>
      <c r="E2087" t="str">
        <f t="shared" si="2225"/>
        <v>GWe/yr.</v>
      </c>
      <c r="F2087" s="1">
        <f>'[1]Electricity and CHPs_NCAP'!B$42</f>
        <v>0</v>
      </c>
      <c r="G2087" s="1">
        <f>'[1]Electricity and CHPs_NCAP'!C$42</f>
        <v>1.7593471658375999E-2</v>
      </c>
      <c r="H2087" s="1">
        <f>'[1]Electricity and CHPs_NCAP'!D$42</f>
        <v>2.35597170237999E-2</v>
      </c>
      <c r="I2087" s="1">
        <f>'[1]Electricity and CHPs_NCAP'!E$42</f>
        <v>3.0115153921990601E-2</v>
      </c>
      <c r="J2087" s="1">
        <f>'[1]Electricity and CHPs_NCAP'!F$42</f>
        <v>3.3134896781943202E-2</v>
      </c>
      <c r="K2087" s="1">
        <f>'[1]Electricity and CHPs_NCAP'!G$42</f>
        <v>6.1228381825812098E-2</v>
      </c>
      <c r="L2087" s="1">
        <f>'[1]Electricity and CHPs_NCAP'!H$42</f>
        <v>8.1273219699990296E-2</v>
      </c>
      <c r="M2087" s="1">
        <f>'[1]Electricity and CHPs_NCAP'!I$42</f>
        <v>7.8724949543143102E-2</v>
      </c>
      <c r="N2087" s="1">
        <f>'[1]Electricity and CHPs_NCAP'!J$42</f>
        <v>7.1739585168429695E-2</v>
      </c>
      <c r="O2087" s="1">
        <f>'[1]Electricity and CHPs_NCAP'!K$42</f>
        <v>7.7071083188191003E-2</v>
      </c>
      <c r="P2087" s="1">
        <f>'[1]Electricity and CHPs_NCAP'!L$42</f>
        <v>8.5646661409202796E-2</v>
      </c>
      <c r="Q2087" s="1">
        <f>'[1]Electricity and CHPs_NCAP'!M$42</f>
        <v>6.3376956308498003E-2</v>
      </c>
      <c r="S2087" s="3"/>
    </row>
    <row r="2088" spans="2:19" x14ac:dyDescent="0.5">
      <c r="B2088" s="5" t="str">
        <f t="shared" si="2216"/>
        <v>SPS1</v>
      </c>
      <c r="C2088" s="5" t="str">
        <f t="shared" si="2213"/>
        <v>CH</v>
      </c>
      <c r="D2088" t="s">
        <v>2217</v>
      </c>
      <c r="E2088" t="str">
        <f t="shared" si="2225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'[1]Electricity and CHPs_NCAP'!F$43</f>
        <v>0</v>
      </c>
      <c r="K2088" s="1">
        <f>'[1]Electricity and CHPs_NCAP'!G$43</f>
        <v>0</v>
      </c>
      <c r="L2088" s="1">
        <f>'[1]Electricity and CHPs_NCAP'!H$43</f>
        <v>0</v>
      </c>
      <c r="M2088" s="1">
        <f>'[1]Electricity and CHPs_NCAP'!I$43</f>
        <v>0</v>
      </c>
      <c r="N2088" s="1">
        <f>'[1]Electricity and CHPs_NCAP'!J$43</f>
        <v>0</v>
      </c>
      <c r="O2088" s="1">
        <f>'[1]Electricity and CHPs_NCAP'!K$43</f>
        <v>0</v>
      </c>
      <c r="P2088" s="1">
        <f>'[1]Electricity and CHPs_NCAP'!L$43</f>
        <v>0</v>
      </c>
      <c r="Q2088" s="1">
        <f>'[1]Electricity and CHPs_NCAP'!M$43</f>
        <v>0</v>
      </c>
      <c r="S2088" s="3"/>
    </row>
    <row r="2089" spans="2:19" x14ac:dyDescent="0.5">
      <c r="B2089" s="5" t="str">
        <f t="shared" si="2216"/>
        <v>SPS1</v>
      </c>
      <c r="C2089" s="5" t="str">
        <f t="shared" si="2213"/>
        <v>CH</v>
      </c>
      <c r="D2089" t="s">
        <v>2218</v>
      </c>
      <c r="E2089" t="str">
        <f t="shared" si="2225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3.3100313979261901E-4</v>
      </c>
      <c r="J2089" s="1">
        <f>'[1]Electricity and CHPs_NCAP'!F$50</f>
        <v>3.10784700226141E-4</v>
      </c>
      <c r="K2089" s="1">
        <f>'[1]Electricity and CHPs_NCAP'!G$50</f>
        <v>7.3100017480477692E-5</v>
      </c>
      <c r="L2089" s="1">
        <f>'[1]Electricity and CHPs_NCAP'!H$50</f>
        <v>3.1880761011663197E-4</v>
      </c>
      <c r="M2089" s="1">
        <f>'[1]Electricity and CHPs_NCAP'!I$50</f>
        <v>1.0172818716324078E-3</v>
      </c>
      <c r="N2089" s="1">
        <f>'[1]Electricity and CHPs_NCAP'!J$50</f>
        <v>6.7991860062611499E-6</v>
      </c>
      <c r="O2089" s="1">
        <f>'[1]Electricity and CHPs_NCAP'!K$50</f>
        <v>6.5519120524880499E-4</v>
      </c>
      <c r="P2089" s="1">
        <f>'[1]Electricity and CHPs_NCAP'!L$50</f>
        <v>3.8945764807410004E-4</v>
      </c>
      <c r="Q2089" s="1">
        <f>'[1]Electricity and CHPs_NCAP'!M$50</f>
        <v>1.0820322034517829E-3</v>
      </c>
      <c r="S2089" s="3"/>
    </row>
    <row r="2090" spans="2:19" x14ac:dyDescent="0.5">
      <c r="B2090" s="5" t="str">
        <f t="shared" si="2216"/>
        <v>SPS1</v>
      </c>
      <c r="C2090" s="5" t="str">
        <f t="shared" si="2213"/>
        <v>CH</v>
      </c>
      <c r="D2090" t="s">
        <v>2219</v>
      </c>
      <c r="E2090" t="str">
        <f t="shared" si="2225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7.1590704840973098E-4</v>
      </c>
      <c r="J2090" s="1">
        <f>'[1]Electricity and CHPs_NCAP'!F$53</f>
        <v>1.9808142214783751E-4</v>
      </c>
      <c r="K2090" s="1">
        <f>'[1]Electricity and CHPs_NCAP'!G$53</f>
        <v>6.4832852826223912E-5</v>
      </c>
      <c r="L2090" s="1">
        <f>'[1]Electricity and CHPs_NCAP'!H$53</f>
        <v>7.5664477451198894E-4</v>
      </c>
      <c r="M2090" s="1">
        <f>'[1]Electricity and CHPs_NCAP'!I$53</f>
        <v>1.41455725315172E-3</v>
      </c>
      <c r="N2090" s="1">
        <f>'[1]Electricity and CHPs_NCAP'!J$53</f>
        <v>1.217974075615893E-5</v>
      </c>
      <c r="O2090" s="1">
        <f>'[1]Electricity and CHPs_NCAP'!K$53</f>
        <v>4.5618549702373598E-4</v>
      </c>
      <c r="P2090" s="1">
        <f>'[1]Electricity and CHPs_NCAP'!L$53</f>
        <v>1.2801531927131441E-3</v>
      </c>
      <c r="Q2090" s="1">
        <f>'[1]Electricity and CHPs_NCAP'!M$53</f>
        <v>1.6783315064050289E-3</v>
      </c>
      <c r="S2090" s="3"/>
    </row>
    <row r="2091" spans="2:19" x14ac:dyDescent="0.5">
      <c r="B2091" s="5" t="str">
        <f t="shared" si="2216"/>
        <v>SPS1</v>
      </c>
      <c r="C2091" s="5" t="str">
        <f t="shared" si="2213"/>
        <v>CH</v>
      </c>
      <c r="D2091" t="s">
        <v>2220</v>
      </c>
      <c r="E2091" t="str">
        <f t="shared" si="2225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6.4779704994657105E-4</v>
      </c>
      <c r="J2091" s="1">
        <f>'[1]Electricity and CHPs_NCAP'!F$56</f>
        <v>8.6340058755616397E-6</v>
      </c>
      <c r="K2091" s="1">
        <f>'[1]Electricity and CHPs_NCAP'!G$56</f>
        <v>3.5605518608650702E-5</v>
      </c>
      <c r="L2091" s="1">
        <f>'[1]Electricity and CHPs_NCAP'!H$56</f>
        <v>6.7893660307298401E-4</v>
      </c>
      <c r="M2091" s="1">
        <f>'[1]Electricity and CHPs_NCAP'!I$56</f>
        <v>4.8462871625643098E-4</v>
      </c>
      <c r="N2091" s="1">
        <f>'[1]Electricity and CHPs_NCAP'!J$56</f>
        <v>6.3751436590934297E-6</v>
      </c>
      <c r="O2091" s="1">
        <f>'[1]Electricity and CHPs_NCAP'!K$56</f>
        <v>9.5949161033426602E-4</v>
      </c>
      <c r="P2091" s="1">
        <f>'[1]Electricity and CHPs_NCAP'!L$56</f>
        <v>3.5387969794080398E-4</v>
      </c>
      <c r="Q2091" s="1">
        <f>'[1]Electricity and CHPs_NCAP'!M$56</f>
        <v>1.50681683567668E-3</v>
      </c>
      <c r="S2091" s="3"/>
    </row>
    <row r="2092" spans="2:19" x14ac:dyDescent="0.5">
      <c r="B2092" s="5" t="str">
        <f t="shared" si="2216"/>
        <v>SPS1</v>
      </c>
      <c r="C2092" s="5" t="str">
        <f t="shared" si="2213"/>
        <v>CH</v>
      </c>
      <c r="D2092" t="s">
        <v>2221</v>
      </c>
      <c r="E2092" t="str">
        <f t="shared" si="2225"/>
        <v>GWe/yr.</v>
      </c>
      <c r="F2092" s="1">
        <f t="shared" ref="F2092:O2092" si="2228">F2093</f>
        <v>0</v>
      </c>
      <c r="G2092" s="1">
        <f t="shared" si="2228"/>
        <v>7.1322807763999699E-3</v>
      </c>
      <c r="H2092" s="1">
        <f t="shared" si="2228"/>
        <v>3.4641767723104497E-2</v>
      </c>
      <c r="I2092" s="1">
        <f t="shared" si="2228"/>
        <v>3.2875137150862398E-2</v>
      </c>
      <c r="J2092" s="1">
        <f t="shared" si="2228"/>
        <v>2.2502952198194599E-2</v>
      </c>
      <c r="K2092" s="1">
        <f t="shared" si="2228"/>
        <v>4.0369212943167798E-5</v>
      </c>
      <c r="L2092" s="1">
        <f t="shared" si="2228"/>
        <v>4.1087401445096303E-2</v>
      </c>
      <c r="M2092" s="1">
        <f t="shared" si="2228"/>
        <v>4.2568527943980999E-2</v>
      </c>
      <c r="N2092" s="1">
        <f t="shared" si="2228"/>
        <v>1.31272135948633E-2</v>
      </c>
      <c r="O2092" s="1">
        <f t="shared" si="2228"/>
        <v>9.3770504286333898E-6</v>
      </c>
      <c r="P2092" s="1">
        <f>P2093</f>
        <v>4.3530513550610897E-2</v>
      </c>
      <c r="Q2092" s="1">
        <f>Q2093</f>
        <v>0</v>
      </c>
      <c r="S2092" s="3"/>
    </row>
    <row r="2093" spans="2:19" x14ac:dyDescent="0.5">
      <c r="B2093" s="5" t="str">
        <f t="shared" si="2216"/>
        <v>SPS1</v>
      </c>
      <c r="C2093" s="5" t="str">
        <f t="shared" si="2213"/>
        <v>CH</v>
      </c>
      <c r="D2093" t="s">
        <v>2222</v>
      </c>
      <c r="E2093" t="str">
        <f t="shared" si="2225"/>
        <v>GWe/yr.</v>
      </c>
      <c r="F2093" s="1">
        <f>'[1]Electricity and CHPs_NCAP'!B$33</f>
        <v>0</v>
      </c>
      <c r="G2093" s="1">
        <f>'[1]Electricity and CHPs_NCAP'!C$33</f>
        <v>7.1322807763999699E-3</v>
      </c>
      <c r="H2093" s="1">
        <f>'[1]Electricity and CHPs_NCAP'!D$33</f>
        <v>3.4641767723104497E-2</v>
      </c>
      <c r="I2093" s="1">
        <f>'[1]Electricity and CHPs_NCAP'!E$33</f>
        <v>3.2875137150862398E-2</v>
      </c>
      <c r="J2093" s="1">
        <f>'[1]Electricity and CHPs_NCAP'!F$33</f>
        <v>2.2502952198194599E-2</v>
      </c>
      <c r="K2093" s="1">
        <f>'[1]Electricity and CHPs_NCAP'!G$33</f>
        <v>4.0369212943167798E-5</v>
      </c>
      <c r="L2093" s="1">
        <f>'[1]Electricity and CHPs_NCAP'!H$33</f>
        <v>4.1087401445096303E-2</v>
      </c>
      <c r="M2093" s="1">
        <f>'[1]Electricity and CHPs_NCAP'!I$33</f>
        <v>4.2568527943980999E-2</v>
      </c>
      <c r="N2093" s="1">
        <f>'[1]Electricity and CHPs_NCAP'!J$33</f>
        <v>1.31272135948633E-2</v>
      </c>
      <c r="O2093" s="1">
        <f>'[1]Electricity and CHPs_NCAP'!K$33</f>
        <v>9.3770504286333898E-6</v>
      </c>
      <c r="P2093" s="1">
        <f>'[1]Electricity and CHPs_NCAP'!L$33</f>
        <v>4.3530513550610897E-2</v>
      </c>
      <c r="Q2093" s="1">
        <f>'[1]Electricity and CHPs_NCAP'!M$33</f>
        <v>0</v>
      </c>
      <c r="S2093" s="3"/>
    </row>
    <row r="2094" spans="2:19" x14ac:dyDescent="0.5">
      <c r="B2094" s="5" t="str">
        <f t="shared" si="2216"/>
        <v>SPS1</v>
      </c>
      <c r="C2094" s="5" t="str">
        <f t="shared" si="2213"/>
        <v>CH</v>
      </c>
      <c r="D2094" t="s">
        <v>2223</v>
      </c>
      <c r="E2094" t="str">
        <f t="shared" si="2225"/>
        <v>GWe/yr.</v>
      </c>
      <c r="F2094" s="1">
        <f t="shared" ref="F2094:K2094" si="2229">SUM(F2095:F2099)</f>
        <v>0</v>
      </c>
      <c r="G2094" s="1">
        <f t="shared" si="2229"/>
        <v>6.1673607793222588E-5</v>
      </c>
      <c r="H2094" s="1">
        <f t="shared" si="2229"/>
        <v>3.8567343493837991</v>
      </c>
      <c r="I2094" s="1">
        <f t="shared" si="2229"/>
        <v>4.1309206470217879</v>
      </c>
      <c r="J2094" s="1">
        <f t="shared" si="2229"/>
        <v>2.0969419413793124</v>
      </c>
      <c r="K2094" s="1">
        <f t="shared" si="2229"/>
        <v>2.3522909247150272</v>
      </c>
      <c r="L2094" s="1">
        <f t="shared" ref="L2094:O2094" si="2230">SUM(L2095:L2099)</f>
        <v>6.7057346601713528</v>
      </c>
      <c r="M2094" s="1">
        <f t="shared" si="2230"/>
        <v>4.2176004764922315</v>
      </c>
      <c r="N2094" s="1">
        <f t="shared" si="2230"/>
        <v>2.4292763195247078</v>
      </c>
      <c r="O2094" s="1">
        <f t="shared" si="2230"/>
        <v>3.4813264696883945</v>
      </c>
      <c r="P2094" s="1">
        <f>SUM(P2095:P2099)</f>
        <v>7.5641612882093776</v>
      </c>
      <c r="Q2094" s="1">
        <f>SUM(Q2095:Q2099)</f>
        <v>5.4508551157983538</v>
      </c>
      <c r="S2094" s="3"/>
    </row>
    <row r="2095" spans="2:19" x14ac:dyDescent="0.5">
      <c r="B2095" s="5" t="str">
        <f t="shared" si="2216"/>
        <v>SPS1</v>
      </c>
      <c r="C2095" s="5" t="str">
        <f t="shared" si="2213"/>
        <v>CH</v>
      </c>
      <c r="D2095" t="s">
        <v>2224</v>
      </c>
      <c r="E2095" t="str">
        <f t="shared" si="2225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4.4924586395967601E-2</v>
      </c>
      <c r="I2095" s="1">
        <f>'[1]Electricity and CHPs_NCAP'!E$34</f>
        <v>2.4563778483779431E-2</v>
      </c>
      <c r="J2095" s="1">
        <f>'[1]Electricity and CHPs_NCAP'!F$34</f>
        <v>0.17095730642289839</v>
      </c>
      <c r="K2095" s="1">
        <f>'[1]Electricity and CHPs_NCAP'!G$34</f>
        <v>1.4779610885194453E-3</v>
      </c>
      <c r="L2095" s="1">
        <f>'[1]Electricity and CHPs_NCAP'!H$34</f>
        <v>2.0573724140827434E-4</v>
      </c>
      <c r="M2095" s="1">
        <f>'[1]Electricity and CHPs_NCAP'!I$34</f>
        <v>1.4789998444227968E-4</v>
      </c>
      <c r="N2095" s="1">
        <f>'[1]Electricity and CHPs_NCAP'!J$34</f>
        <v>1.1258009904227472E-3</v>
      </c>
      <c r="O2095" s="1">
        <f>'[1]Electricity and CHPs_NCAP'!K$34</f>
        <v>4.2430259816643862E-2</v>
      </c>
      <c r="P2095" s="1">
        <f>'[1]Electricity and CHPs_NCAP'!L$34</f>
        <v>2.1525184309200769E-3</v>
      </c>
      <c r="Q2095" s="1">
        <f>'[1]Electricity and CHPs_NCAP'!M$34</f>
        <v>0.33306620180236152</v>
      </c>
      <c r="S2095" s="3"/>
    </row>
    <row r="2096" spans="2:19" x14ac:dyDescent="0.5">
      <c r="B2096" s="5" t="str">
        <f t="shared" si="2216"/>
        <v>SPS1</v>
      </c>
      <c r="C2096" s="5" t="str">
        <f t="shared" si="2213"/>
        <v>CH</v>
      </c>
      <c r="D2096" t="s">
        <v>2225</v>
      </c>
      <c r="E2096" t="str">
        <f t="shared" si="2225"/>
        <v>GWe/yr.</v>
      </c>
      <c r="F2096" s="1">
        <f>'[1]Electricity and CHPs_NCAP'!B$35</f>
        <v>0</v>
      </c>
      <c r="G2096" s="1">
        <f>'[1]Electricity and CHPs_NCAP'!C$35</f>
        <v>1.30443266707332E-7</v>
      </c>
      <c r="H2096" s="1">
        <f>'[1]Electricity and CHPs_NCAP'!D$35</f>
        <v>1.76796695381085</v>
      </c>
      <c r="I2096" s="1">
        <f>'[1]Electricity and CHPs_NCAP'!E$35</f>
        <v>5.3525733757507497E-6</v>
      </c>
      <c r="J2096" s="1">
        <f>'[1]Electricity and CHPs_NCAP'!F$35</f>
        <v>0.69053013453498902</v>
      </c>
      <c r="K2096" s="1">
        <f>'[1]Electricity and CHPs_NCAP'!G$35</f>
        <v>0.80694998983042299</v>
      </c>
      <c r="L2096" s="1">
        <f>'[1]Electricity and CHPs_NCAP'!H$35</f>
        <v>2.2438011206208199</v>
      </c>
      <c r="M2096" s="1">
        <f>'[1]Electricity and CHPs_NCAP'!I$35</f>
        <v>0.51996753553654795</v>
      </c>
      <c r="N2096" s="1">
        <f>'[1]Electricity and CHPs_NCAP'!J$35</f>
        <v>0.80519806133331695</v>
      </c>
      <c r="O2096" s="1">
        <f>'[1]Electricity and CHPs_NCAP'!K$35</f>
        <v>1.1381084096907801</v>
      </c>
      <c r="P2096" s="1">
        <f>'[1]Electricity and CHPs_NCAP'!L$35</f>
        <v>2.4839179482137399</v>
      </c>
      <c r="Q2096" s="1">
        <f>'[1]Electricity and CHPs_NCAP'!M$35</f>
        <v>0.772358574460287</v>
      </c>
      <c r="S2096" s="3"/>
    </row>
    <row r="2097" spans="2:19" x14ac:dyDescent="0.5">
      <c r="B2097" s="5" t="str">
        <f t="shared" si="2216"/>
        <v>SPS1</v>
      </c>
      <c r="C2097" s="5" t="str">
        <f t="shared" si="2213"/>
        <v>CH</v>
      </c>
      <c r="D2097" t="s">
        <v>2226</v>
      </c>
      <c r="E2097" t="str">
        <f t="shared" si="2225"/>
        <v>GWe/yr.</v>
      </c>
      <c r="F2097" s="1">
        <f>'[1]Electricity and CHPs_NCAP'!B$36</f>
        <v>0</v>
      </c>
      <c r="G2097" s="1">
        <f>'[1]Electricity and CHPs_NCAP'!C$36</f>
        <v>2.85796588143098E-5</v>
      </c>
      <c r="H2097" s="1">
        <f>'[1]Electricity and CHPs_NCAP'!D$36</f>
        <v>0.7920282281395874</v>
      </c>
      <c r="I2097" s="1">
        <f>'[1]Electricity and CHPs_NCAP'!E$36</f>
        <v>2.6356684789205973</v>
      </c>
      <c r="J2097" s="1">
        <f>'[1]Electricity and CHPs_NCAP'!F$36</f>
        <v>0.461612194774215</v>
      </c>
      <c r="K2097" s="1">
        <f>'[1]Electricity and CHPs_NCAP'!G$36</f>
        <v>0.75118947205837383</v>
      </c>
      <c r="L2097" s="1">
        <f>'[1]Electricity and CHPs_NCAP'!H$36</f>
        <v>2.2801205383129788</v>
      </c>
      <c r="M2097" s="1">
        <f>'[1]Electricity and CHPs_NCAP'!I$36</f>
        <v>2.2175664769498091</v>
      </c>
      <c r="N2097" s="1">
        <f>'[1]Electricity and CHPs_NCAP'!J$36</f>
        <v>0.71230779493443019</v>
      </c>
      <c r="O2097" s="1">
        <f>'[1]Electricity and CHPs_NCAP'!K$36</f>
        <v>1.0979416365664993</v>
      </c>
      <c r="P2097" s="1">
        <f>'[1]Electricity and CHPs_NCAP'!L$36</f>
        <v>2.6018938191210208</v>
      </c>
      <c r="Q2097" s="1">
        <f>'[1]Electricity and CHPs_NCAP'!M$36</f>
        <v>2.5558322921722247</v>
      </c>
      <c r="S2097" s="3"/>
    </row>
    <row r="2098" spans="2:19" x14ac:dyDescent="0.5">
      <c r="B2098" s="5" t="str">
        <f t="shared" si="2216"/>
        <v>SPS1</v>
      </c>
      <c r="C2098" s="5" t="str">
        <f t="shared" si="2213"/>
        <v>CH</v>
      </c>
      <c r="D2098" t="s">
        <v>2227</v>
      </c>
      <c r="E2098" t="str">
        <f t="shared" si="2225"/>
        <v>GWe/yr.</v>
      </c>
      <c r="F2098" s="1">
        <f>'[1]Electricity and CHPs_NCAP'!B$37</f>
        <v>0</v>
      </c>
      <c r="G2098" s="1">
        <f>'[1]Electricity and CHPs_NCAP'!C$37</f>
        <v>3.2875954182521467E-5</v>
      </c>
      <c r="H2098" s="1">
        <f>'[1]Electricity and CHPs_NCAP'!D$37</f>
        <v>1.251803445407087</v>
      </c>
      <c r="I2098" s="1">
        <f>'[1]Electricity and CHPs_NCAP'!E$37</f>
        <v>1.470601186816086</v>
      </c>
      <c r="J2098" s="1">
        <f>'[1]Electricity and CHPs_NCAP'!F$37</f>
        <v>0.25137020626217699</v>
      </c>
      <c r="K2098" s="1">
        <f>'[1]Electricity and CHPs_NCAP'!G$37</f>
        <v>0.36690718324371269</v>
      </c>
      <c r="L2098" s="1">
        <f>'[1]Electricity and CHPs_NCAP'!H$37</f>
        <v>1.8635721280182231</v>
      </c>
      <c r="M2098" s="1">
        <f>'[1]Electricity and CHPs_NCAP'!I$37</f>
        <v>1.4152651489115931</v>
      </c>
      <c r="N2098" s="1">
        <f>'[1]Electricity and CHPs_NCAP'!J$37</f>
        <v>0.42247089440961</v>
      </c>
      <c r="O2098" s="1">
        <f>'[1]Electricity and CHPs_NCAP'!K$37</f>
        <v>0.60353436715706099</v>
      </c>
      <c r="P2098" s="1">
        <f>'[1]Electricity and CHPs_NCAP'!L$37</f>
        <v>2.0831655719322359</v>
      </c>
      <c r="Q2098" s="1">
        <f>'[1]Electricity and CHPs_NCAP'!M$37</f>
        <v>1.6460894817087128</v>
      </c>
      <c r="S2098" s="3"/>
    </row>
    <row r="2099" spans="2:19" x14ac:dyDescent="0.5">
      <c r="B2099" s="5" t="str">
        <f t="shared" si="2216"/>
        <v>SPS1</v>
      </c>
      <c r="C2099" s="5" t="str">
        <f t="shared" si="2213"/>
        <v>CH</v>
      </c>
      <c r="D2099" t="s">
        <v>2228</v>
      </c>
      <c r="E2099" t="str">
        <f t="shared" si="2225"/>
        <v>GWe/yr.</v>
      </c>
      <c r="F2099" s="1">
        <f>'[1]Electricity and CHPs_NCAP'!B$38</f>
        <v>0</v>
      </c>
      <c r="G2099" s="1">
        <f>'[1]Electricity and CHPs_NCAP'!C$38</f>
        <v>8.7551529683990501E-8</v>
      </c>
      <c r="H2099" s="1">
        <f>'[1]Electricity and CHPs_NCAP'!D$38</f>
        <v>1.11356303070329E-5</v>
      </c>
      <c r="I2099" s="1">
        <f>'[1]Electricity and CHPs_NCAP'!E$38</f>
        <v>8.1850227948894797E-5</v>
      </c>
      <c r="J2099" s="1">
        <f>'[1]Electricity and CHPs_NCAP'!F$38</f>
        <v>0.52247209938503303</v>
      </c>
      <c r="K2099" s="1">
        <f>'[1]Electricity and CHPs_NCAP'!G$38</f>
        <v>0.42576631849399799</v>
      </c>
      <c r="L2099" s="1">
        <f>'[1]Electricity and CHPs_NCAP'!H$38</f>
        <v>0.31803513597792299</v>
      </c>
      <c r="M2099" s="1">
        <f>'[1]Electricity and CHPs_NCAP'!I$38</f>
        <v>6.4653415109838505E-2</v>
      </c>
      <c r="N2099" s="1">
        <f>'[1]Electricity and CHPs_NCAP'!J$38</f>
        <v>0.48817376785692801</v>
      </c>
      <c r="O2099" s="1">
        <f>'[1]Electricity and CHPs_NCAP'!K$38</f>
        <v>0.59931179645740995</v>
      </c>
      <c r="P2099" s="1">
        <f>'[1]Electricity and CHPs_NCAP'!L$38</f>
        <v>0.393031430511461</v>
      </c>
      <c r="Q2099" s="1">
        <f>'[1]Electricity and CHPs_NCAP'!M$38</f>
        <v>0.143508565654767</v>
      </c>
      <c r="S2099" s="3"/>
    </row>
    <row r="2100" spans="2:19" x14ac:dyDescent="0.5">
      <c r="B2100" s="5" t="str">
        <f t="shared" si="2216"/>
        <v>SPS1</v>
      </c>
      <c r="C2100" s="5" t="str">
        <f t="shared" si="2213"/>
        <v>CH</v>
      </c>
      <c r="D2100" t="s">
        <v>2229</v>
      </c>
      <c r="E2100" t="str">
        <f t="shared" si="2225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'[1]Electricity and CHPs_NCAP'!F$32</f>
        <v>0</v>
      </c>
      <c r="K2100" s="1">
        <f>'[1]Electricity and CHPs_NCAP'!G$32</f>
        <v>5.2053793430352296E-4</v>
      </c>
      <c r="L2100" s="1">
        <f>'[1]Electricity and CHPs_NCAP'!H$32</f>
        <v>4.7909179255427298E-4</v>
      </c>
      <c r="M2100" s="1">
        <f>'[1]Electricity and CHPs_NCAP'!I$32</f>
        <v>1.8837054502219101E-6</v>
      </c>
      <c r="N2100" s="1">
        <f>'[1]Electricity and CHPs_NCAP'!J$32</f>
        <v>1.54954411004583E-4</v>
      </c>
      <c r="O2100" s="1">
        <f>'[1]Electricity and CHPs_NCAP'!K$32</f>
        <v>3.1500962010757101E-6</v>
      </c>
      <c r="P2100" s="1">
        <f>'[1]Electricity and CHPs_NCAP'!L$32</f>
        <v>1.24175993715813E-3</v>
      </c>
      <c r="Q2100" s="1">
        <f>'[1]Electricity and CHPs_NCAP'!M$32</f>
        <v>0</v>
      </c>
      <c r="S2100" s="3"/>
    </row>
    <row r="2101" spans="2:19" x14ac:dyDescent="0.5">
      <c r="B2101" s="5" t="str">
        <f t="shared" si="2216"/>
        <v>SPS1</v>
      </c>
      <c r="C2101" s="5" t="str">
        <f t="shared" si="2213"/>
        <v>CH</v>
      </c>
      <c r="D2101" t="s">
        <v>2230</v>
      </c>
      <c r="E2101" t="str">
        <f t="shared" si="2225"/>
        <v>GWe/yr.</v>
      </c>
      <c r="F2101" s="1">
        <f t="shared" ref="F2101:K2101" si="2231">F2100</f>
        <v>0</v>
      </c>
      <c r="G2101" s="1">
        <f t="shared" si="2231"/>
        <v>0</v>
      </c>
      <c r="H2101" s="1">
        <f t="shared" si="2231"/>
        <v>0</v>
      </c>
      <c r="I2101" s="1">
        <f t="shared" si="2231"/>
        <v>0</v>
      </c>
      <c r="J2101" s="1">
        <f t="shared" si="2231"/>
        <v>0</v>
      </c>
      <c r="K2101" s="1">
        <f t="shared" si="2231"/>
        <v>5.2053793430352296E-4</v>
      </c>
      <c r="L2101" s="1">
        <f t="shared" ref="L2101:O2101" si="2232">L2100</f>
        <v>4.7909179255427298E-4</v>
      </c>
      <c r="M2101" s="1">
        <f t="shared" si="2232"/>
        <v>1.8837054502219101E-6</v>
      </c>
      <c r="N2101" s="1">
        <f t="shared" si="2232"/>
        <v>1.54954411004583E-4</v>
      </c>
      <c r="O2101" s="1">
        <f t="shared" si="2232"/>
        <v>3.1500962010757101E-6</v>
      </c>
      <c r="P2101" s="1">
        <f>P2100</f>
        <v>1.24175993715813E-3</v>
      </c>
      <c r="Q2101" s="1">
        <f>Q2100</f>
        <v>0</v>
      </c>
      <c r="S2101" s="3"/>
    </row>
    <row r="2102" spans="2:19" x14ac:dyDescent="0.5">
      <c r="B2102" s="5" t="str">
        <f t="shared" si="2216"/>
        <v>SPS1</v>
      </c>
      <c r="C2102" s="5" t="str">
        <f t="shared" si="2213"/>
        <v>CH</v>
      </c>
      <c r="D2102" t="s">
        <v>2231</v>
      </c>
      <c r="E2102" t="str">
        <f t="shared" si="2225"/>
        <v>GWe/yr.</v>
      </c>
      <c r="F2102" s="1">
        <f t="shared" ref="F2102:K2102" si="2233">SUM(F2103:F2105)</f>
        <v>0</v>
      </c>
      <c r="G2102" s="1">
        <f t="shared" si="2233"/>
        <v>0</v>
      </c>
      <c r="H2102" s="1">
        <f t="shared" si="2233"/>
        <v>0</v>
      </c>
      <c r="I2102" s="1">
        <f t="shared" si="2233"/>
        <v>6.2489815084505306E-4</v>
      </c>
      <c r="J2102" s="1">
        <f t="shared" si="2233"/>
        <v>9.2045723409413694E-4</v>
      </c>
      <c r="K2102" s="1">
        <f t="shared" si="2233"/>
        <v>9.5760263717668359E-4</v>
      </c>
      <c r="L2102" s="1">
        <f t="shared" ref="L2102:O2102" si="2234">SUM(L2103:L2105)</f>
        <v>6.2425605939294847E-4</v>
      </c>
      <c r="M2102" s="1">
        <f t="shared" si="2234"/>
        <v>4.2875468576332038E-3</v>
      </c>
      <c r="N2102" s="1">
        <f t="shared" si="2234"/>
        <v>3.6741484745945091E-5</v>
      </c>
      <c r="O2102" s="1">
        <f t="shared" si="2234"/>
        <v>9.5128605058881505E-3</v>
      </c>
      <c r="P2102" s="1">
        <f>SUM(P2103:P2105)</f>
        <v>2.0189270021145362E-3</v>
      </c>
      <c r="Q2102" s="1">
        <f>SUM(Q2103:Q2105)</f>
        <v>7.7978716848419094E-3</v>
      </c>
      <c r="S2102" s="3"/>
    </row>
    <row r="2103" spans="2:19" x14ac:dyDescent="0.5">
      <c r="B2103" s="5" t="str">
        <f t="shared" si="2216"/>
        <v>SPS1</v>
      </c>
      <c r="C2103" s="5" t="str">
        <f t="shared" si="2213"/>
        <v>CH</v>
      </c>
      <c r="D2103" t="s">
        <v>2232</v>
      </c>
      <c r="E2103" t="str">
        <f t="shared" si="2225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'[1]Electricity and CHPs_NCAP'!F$30</f>
        <v>0</v>
      </c>
      <c r="K2103" s="1">
        <f>'[1]Electricity and CHPs_NCAP'!G$30</f>
        <v>4.3414320538198101E-4</v>
      </c>
      <c r="L2103" s="1">
        <f>'[1]Electricity and CHPs_NCAP'!H$30</f>
        <v>6.9910410489095406E-5</v>
      </c>
      <c r="M2103" s="1">
        <f>'[1]Electricity and CHPs_NCAP'!I$30</f>
        <v>5.0554822372325399E-4</v>
      </c>
      <c r="N2103" s="1">
        <f>'[1]Electricity and CHPs_NCAP'!J$30</f>
        <v>1.6543972459088401E-5</v>
      </c>
      <c r="O2103" s="1">
        <f>'[1]Electricity and CHPs_NCAP'!K$30</f>
        <v>2.73563474329107E-3</v>
      </c>
      <c r="P2103" s="1">
        <f>'[1]Electricity and CHPs_NCAP'!L$30</f>
        <v>1.53875605239342E-4</v>
      </c>
      <c r="Q2103" s="1">
        <f>'[1]Electricity and CHPs_NCAP'!M$30</f>
        <v>1.7914998137835E-3</v>
      </c>
      <c r="S2103" s="3"/>
    </row>
    <row r="2104" spans="2:19" x14ac:dyDescent="0.5">
      <c r="B2104" s="5" t="str">
        <f t="shared" si="2216"/>
        <v>SPS1</v>
      </c>
      <c r="C2104" s="5" t="str">
        <f t="shared" si="2213"/>
        <v>CH</v>
      </c>
      <c r="D2104" t="s">
        <v>2233</v>
      </c>
      <c r="E2104" t="str">
        <f t="shared" si="2225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4.0850687433292902E-4</v>
      </c>
      <c r="J2104" s="1">
        <f>'[1]Electricity and CHPs_NCAP'!F$46</f>
        <v>6.1026221139470196E-4</v>
      </c>
      <c r="K2104" s="1">
        <f>'[1]Electricity and CHPs_NCAP'!G$46</f>
        <v>4.3072544563711301E-4</v>
      </c>
      <c r="L2104" s="1">
        <f>'[1]Electricity and CHPs_NCAP'!H$46</f>
        <v>3.0728868857170802E-4</v>
      </c>
      <c r="M2104" s="1">
        <f>'[1]Electricity and CHPs_NCAP'!I$46</f>
        <v>2.2792493734686602E-3</v>
      </c>
      <c r="N2104" s="1">
        <f>'[1]Electricity and CHPs_NCAP'!J$46</f>
        <v>9.6343679924250907E-6</v>
      </c>
      <c r="O2104" s="1">
        <f>'[1]Electricity and CHPs_NCAP'!K$46</f>
        <v>4.3896498222966299E-3</v>
      </c>
      <c r="P2104" s="1">
        <f>'[1]Electricity and CHPs_NCAP'!L$46</f>
        <v>1.52571213428243E-3</v>
      </c>
      <c r="Q2104" s="1">
        <f>'[1]Electricity and CHPs_NCAP'!M$46</f>
        <v>3.2979289487539399E-3</v>
      </c>
      <c r="S2104" s="3"/>
    </row>
    <row r="2105" spans="2:19" x14ac:dyDescent="0.5">
      <c r="B2105" s="5" t="str">
        <f t="shared" si="2216"/>
        <v>SPS1</v>
      </c>
      <c r="C2105" s="5" t="str">
        <f t="shared" si="2213"/>
        <v>CH</v>
      </c>
      <c r="D2105" t="s">
        <v>2234</v>
      </c>
      <c r="E2105" t="str">
        <f t="shared" si="2225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2.1639127651212401E-4</v>
      </c>
      <c r="J2105" s="1">
        <f>'[1]Electricity and CHPs_NCAP'!F$57</f>
        <v>3.1019502269943498E-4</v>
      </c>
      <c r="K2105" s="1">
        <f>'[1]Electricity and CHPs_NCAP'!G$57</f>
        <v>9.2733986157589503E-5</v>
      </c>
      <c r="L2105" s="1">
        <f>'[1]Electricity and CHPs_NCAP'!H$57</f>
        <v>2.4705696033214502E-4</v>
      </c>
      <c r="M2105" s="1">
        <f>'[1]Electricity and CHPs_NCAP'!I$57</f>
        <v>1.5027492604412899E-3</v>
      </c>
      <c r="N2105" s="1">
        <f>'[1]Electricity and CHPs_NCAP'!J$57</f>
        <v>1.0563144294431599E-5</v>
      </c>
      <c r="O2105" s="1">
        <f>'[1]Electricity and CHPs_NCAP'!K$57</f>
        <v>2.3875759403004502E-3</v>
      </c>
      <c r="P2105" s="1">
        <f>'[1]Electricity and CHPs_NCAP'!L$57</f>
        <v>3.3933926259276402E-4</v>
      </c>
      <c r="Q2105" s="1">
        <f>'[1]Electricity and CHPs_NCAP'!M$57</f>
        <v>2.7084429223044699E-3</v>
      </c>
      <c r="S2105" s="3"/>
    </row>
    <row r="2106" spans="2:19" x14ac:dyDescent="0.5">
      <c r="B2106" s="5" t="str">
        <f t="shared" si="2216"/>
        <v>SPS1</v>
      </c>
      <c r="C2106" s="5" t="str">
        <f t="shared" si="2213"/>
        <v>CH</v>
      </c>
      <c r="D2106" t="s">
        <v>2235</v>
      </c>
      <c r="E2106" t="str">
        <f t="shared" si="2225"/>
        <v>GWe/yr.</v>
      </c>
      <c r="F2106" s="1">
        <f t="shared" ref="F2106:K2106" si="2235">SUM(F2107:F2113)</f>
        <v>9.4936544201132799E-3</v>
      </c>
      <c r="G2106" s="1">
        <f t="shared" si="2235"/>
        <v>1.7348336007954137E-5</v>
      </c>
      <c r="H2106" s="1">
        <f t="shared" si="2235"/>
        <v>5.2037929462404737E-5</v>
      </c>
      <c r="I2106" s="1">
        <f t="shared" si="2235"/>
        <v>0.12973963530700308</v>
      </c>
      <c r="J2106" s="1">
        <f t="shared" si="2235"/>
        <v>2.1274049125663285E-2</v>
      </c>
      <c r="K2106" s="1">
        <f t="shared" si="2235"/>
        <v>0.1641505541119668</v>
      </c>
      <c r="L2106" s="1">
        <f t="shared" ref="L2106:O2106" si="2236">SUM(L2107:L2113)</f>
        <v>0.17015536200034478</v>
      </c>
      <c r="M2106" s="1">
        <f t="shared" si="2236"/>
        <v>0.16653811389084336</v>
      </c>
      <c r="N2106" s="1">
        <f t="shared" si="2236"/>
        <v>0.24249473624044066</v>
      </c>
      <c r="O2106" s="1">
        <f t="shared" si="2236"/>
        <v>0.21651184614322866</v>
      </c>
      <c r="P2106" s="1">
        <f>SUM(P2107:P2113)</f>
        <v>0.34056045084461117</v>
      </c>
      <c r="Q2106" s="1">
        <f>SUM(Q2107:Q2113)</f>
        <v>0.21002151802674862</v>
      </c>
      <c r="S2106" s="3"/>
    </row>
    <row r="2107" spans="2:19" x14ac:dyDescent="0.5">
      <c r="B2107" s="5" t="str">
        <f t="shared" si="2216"/>
        <v>SPS1</v>
      </c>
      <c r="C2107" s="5" t="str">
        <f t="shared" si="2213"/>
        <v>CH</v>
      </c>
      <c r="D2107" t="s">
        <v>2236</v>
      </c>
      <c r="E2107" t="str">
        <f t="shared" si="2225"/>
        <v>GWe/yr.</v>
      </c>
      <c r="F2107" s="1">
        <f>'[1]Electricity and CHPs_NCAP'!B$63</f>
        <v>0</v>
      </c>
      <c r="G2107" s="1">
        <f>'[1]Electricity and CHPs_NCAP'!C$63</f>
        <v>1.99236037354088E-6</v>
      </c>
      <c r="H2107" s="1">
        <f>'[1]Electricity and CHPs_NCAP'!D$63</f>
        <v>1.9898500773504102E-6</v>
      </c>
      <c r="I2107" s="1">
        <f>'[1]Electricity and CHPs_NCAP'!E$63</f>
        <v>1.7739431014527201E-6</v>
      </c>
      <c r="J2107" s="1">
        <f>'[1]Electricity and CHPs_NCAP'!F$63</f>
        <v>5.8898558155153904E-6</v>
      </c>
      <c r="K2107" s="1">
        <f>'[1]Electricity and CHPs_NCAP'!G$63</f>
        <v>7.2818847185658099E-6</v>
      </c>
      <c r="L2107" s="1">
        <f>'[1]Electricity and CHPs_NCAP'!H$63</f>
        <v>1.0040211358011E-5</v>
      </c>
      <c r="M2107" s="1">
        <f>'[1]Electricity and CHPs_NCAP'!I$63</f>
        <v>1.0719286622064601E-5</v>
      </c>
      <c r="N2107" s="1">
        <f>'[1]Electricity and CHPs_NCAP'!J$63</f>
        <v>4.6428748891401203E-6</v>
      </c>
      <c r="O2107" s="1">
        <f>'[1]Electricity and CHPs_NCAP'!K$63</f>
        <v>2.1424434802142699E-5</v>
      </c>
      <c r="P2107" s="1">
        <f>'[1]Electricity and CHPs_NCAP'!L$63</f>
        <v>1.0523372181016701E-5</v>
      </c>
      <c r="Q2107" s="1">
        <f>'[1]Electricity and CHPs_NCAP'!M$63</f>
        <v>5.1682020138942899E-5</v>
      </c>
      <c r="S2107" s="3"/>
    </row>
    <row r="2108" spans="2:19" x14ac:dyDescent="0.5">
      <c r="B2108" s="5" t="str">
        <f t="shared" si="2216"/>
        <v>SPS1</v>
      </c>
      <c r="C2108" s="5" t="str">
        <f t="shared" si="2213"/>
        <v>CH</v>
      </c>
      <c r="D2108" t="s">
        <v>2237</v>
      </c>
      <c r="E2108" t="str">
        <f t="shared" si="2225"/>
        <v>GWe/yr.</v>
      </c>
      <c r="F2108" s="1">
        <f>'[1]Electricity and CHPs_NCAP'!B$64</f>
        <v>1.5822023627908E-3</v>
      </c>
      <c r="G2108" s="1">
        <f>'[1]Electricity and CHPs_NCAP'!C$64</f>
        <v>2.4645004912685798E-6</v>
      </c>
      <c r="H2108" s="1">
        <f>'[1]Electricity and CHPs_NCAP'!D$64</f>
        <v>9.9939977477860999E-6</v>
      </c>
      <c r="I2108" s="1">
        <f>'[1]Electricity and CHPs_NCAP'!E$64</f>
        <v>2.6456969115552098E-4</v>
      </c>
      <c r="J2108" s="1">
        <f>'[1]Electricity and CHPs_NCAP'!F$64</f>
        <v>3.1590717065841599E-3</v>
      </c>
      <c r="K2108" s="1">
        <f>'[1]Electricity and CHPs_NCAP'!G$64</f>
        <v>4.1384134711770999E-2</v>
      </c>
      <c r="L2108" s="1">
        <f>'[1]Electricity and CHPs_NCAP'!H$64</f>
        <v>2.5410641082908102E-2</v>
      </c>
      <c r="M2108" s="1">
        <f>'[1]Electricity and CHPs_NCAP'!I$64</f>
        <v>2.8973810594040601E-2</v>
      </c>
      <c r="N2108" s="1">
        <f>'[1]Electricity and CHPs_NCAP'!J$64</f>
        <v>2.82020285654597E-2</v>
      </c>
      <c r="O2108" s="1">
        <f>'[1]Electricity and CHPs_NCAP'!K$64</f>
        <v>2.5721414572864601E-2</v>
      </c>
      <c r="P2108" s="1">
        <f>'[1]Electricity and CHPs_NCAP'!L$64</f>
        <v>3.8340963634056202E-2</v>
      </c>
      <c r="Q2108" s="1">
        <f>'[1]Electricity and CHPs_NCAP'!M$64</f>
        <v>2.05330968820342E-2</v>
      </c>
      <c r="S2108" s="3"/>
    </row>
    <row r="2109" spans="2:19" x14ac:dyDescent="0.5">
      <c r="B2109" s="5" t="str">
        <f t="shared" si="2216"/>
        <v>SPS1</v>
      </c>
      <c r="C2109" s="5" t="str">
        <f t="shared" si="2213"/>
        <v>CH</v>
      </c>
      <c r="D2109" t="s">
        <v>2238</v>
      </c>
      <c r="E2109" t="str">
        <f t="shared" si="2225"/>
        <v>GWe/yr.</v>
      </c>
      <c r="F2109" s="1">
        <f>'[1]Electricity and CHPs_NCAP'!B$65</f>
        <v>1.1803926187773401E-3</v>
      </c>
      <c r="G2109" s="1">
        <f>'[1]Electricity and CHPs_NCAP'!C$65</f>
        <v>1.9162027547871998E-6</v>
      </c>
      <c r="H2109" s="1">
        <f>'[1]Electricity and CHPs_NCAP'!D$65</f>
        <v>7.6736107339136296E-6</v>
      </c>
      <c r="I2109" s="1">
        <f>'[1]Electricity and CHPs_NCAP'!E$65</f>
        <v>2.3580276163881001E-4</v>
      </c>
      <c r="J2109" s="1">
        <f>'[1]Electricity and CHPs_NCAP'!F$65</f>
        <v>2.4989293575580001E-3</v>
      </c>
      <c r="K2109" s="1">
        <f>'[1]Electricity and CHPs_NCAP'!G$65</f>
        <v>9.61162023153991E-3</v>
      </c>
      <c r="L2109" s="1">
        <f>'[1]Electricity and CHPs_NCAP'!H$65</f>
        <v>9.7934743777942798E-2</v>
      </c>
      <c r="M2109" s="1">
        <f>'[1]Electricity and CHPs_NCAP'!I$65</f>
        <v>3.9857733458744903E-2</v>
      </c>
      <c r="N2109" s="1">
        <f>'[1]Electricity and CHPs_NCAP'!J$65</f>
        <v>0.14249004498034801</v>
      </c>
      <c r="O2109" s="1">
        <f>'[1]Electricity and CHPs_NCAP'!K$65</f>
        <v>0.11117985438233501</v>
      </c>
      <c r="P2109" s="1">
        <f>'[1]Electricity and CHPs_NCAP'!L$65</f>
        <v>0.1830201944322</v>
      </c>
      <c r="Q2109" s="1">
        <f>'[1]Electricity and CHPs_NCAP'!M$65</f>
        <v>0.13823293923374999</v>
      </c>
      <c r="S2109" s="3"/>
    </row>
    <row r="2110" spans="2:19" x14ac:dyDescent="0.5">
      <c r="B2110" s="5" t="str">
        <f t="shared" si="2216"/>
        <v>SPS1</v>
      </c>
      <c r="C2110" s="5" t="str">
        <f t="shared" si="2213"/>
        <v>CH</v>
      </c>
      <c r="D2110" t="s">
        <v>2239</v>
      </c>
      <c r="E2110" t="str">
        <f t="shared" si="2225"/>
        <v>GWe/yr.</v>
      </c>
      <c r="F2110" s="1">
        <f>'[1]Electricity and CHPs_NCAP'!B$66</f>
        <v>1.1198755675216E-3</v>
      </c>
      <c r="G2110" s="1">
        <f>'[1]Electricity and CHPs_NCAP'!C$66</f>
        <v>1.8164676587655701E-6</v>
      </c>
      <c r="H2110" s="1">
        <f>'[1]Electricity and CHPs_NCAP'!D$66</f>
        <v>5.3942228605265499E-6</v>
      </c>
      <c r="I2110" s="1">
        <f>'[1]Electricity and CHPs_NCAP'!E$66</f>
        <v>2.57198130026941E-2</v>
      </c>
      <c r="J2110" s="1">
        <f>'[1]Electricity and CHPs_NCAP'!F$66</f>
        <v>1.0641814091316101E-3</v>
      </c>
      <c r="K2110" s="1">
        <f>'[1]Electricity and CHPs_NCAP'!G$66</f>
        <v>2.1972936752181399E-2</v>
      </c>
      <c r="L2110" s="1">
        <f>'[1]Electricity and CHPs_NCAP'!H$66</f>
        <v>7.4624984587396501E-3</v>
      </c>
      <c r="M2110" s="1">
        <f>'[1]Electricity and CHPs_NCAP'!I$66</f>
        <v>2.09681854705462E-2</v>
      </c>
      <c r="N2110" s="1">
        <f>'[1]Electricity and CHPs_NCAP'!J$66</f>
        <v>1.12860760663247E-2</v>
      </c>
      <c r="O2110" s="1">
        <f>'[1]Electricity and CHPs_NCAP'!K$66</f>
        <v>2.0060256054882899E-2</v>
      </c>
      <c r="P2110" s="1">
        <f>'[1]Electricity and CHPs_NCAP'!L$66</f>
        <v>3.0654093150662001E-2</v>
      </c>
      <c r="Q2110" s="1">
        <f>'[1]Electricity and CHPs_NCAP'!M$66</f>
        <v>6.03870186956601E-3</v>
      </c>
      <c r="S2110" s="3"/>
    </row>
    <row r="2111" spans="2:19" x14ac:dyDescent="0.5">
      <c r="B2111" s="5" t="str">
        <f t="shared" si="2216"/>
        <v>SPS1</v>
      </c>
      <c r="C2111" s="5" t="str">
        <f t="shared" si="2213"/>
        <v>CH</v>
      </c>
      <c r="D2111" t="s">
        <v>2240</v>
      </c>
      <c r="E2111" t="str">
        <f t="shared" si="2225"/>
        <v>GWe/yr.</v>
      </c>
      <c r="F2111" s="1">
        <f>'[1]Electricity and CHPs_NCAP'!B$67</f>
        <v>2.2446860095468903E-3</v>
      </c>
      <c r="G2111" s="1">
        <f>'[1]Electricity and CHPs_NCAP'!C$67</f>
        <v>3.6730494353226197E-6</v>
      </c>
      <c r="H2111" s="1">
        <f>'[1]Electricity and CHPs_NCAP'!D$67</f>
        <v>1.0847149299785069E-5</v>
      </c>
      <c r="I2111" s="1">
        <f>'[1]Electricity and CHPs_NCAP'!E$67</f>
        <v>3.9468130579583094E-2</v>
      </c>
      <c r="J2111" s="1">
        <f>'[1]Electricity and CHPs_NCAP'!F$67</f>
        <v>4.7158636626786505E-3</v>
      </c>
      <c r="K2111" s="1">
        <f>'[1]Electricity and CHPs_NCAP'!G$67</f>
        <v>3.2705155648865801E-2</v>
      </c>
      <c r="L2111" s="1">
        <f>'[1]Electricity and CHPs_NCAP'!H$67</f>
        <v>1.6191095315034529E-2</v>
      </c>
      <c r="M2111" s="1">
        <f>'[1]Electricity and CHPs_NCAP'!I$67</f>
        <v>2.7693771926939198E-2</v>
      </c>
      <c r="N2111" s="1">
        <f>'[1]Electricity and CHPs_NCAP'!J$67</f>
        <v>2.34705525098017E-2</v>
      </c>
      <c r="O2111" s="1">
        <f>'[1]Electricity and CHPs_NCAP'!K$67</f>
        <v>2.2248070776728801E-2</v>
      </c>
      <c r="P2111" s="1">
        <f>'[1]Electricity and CHPs_NCAP'!L$67</f>
        <v>3.328594099545E-2</v>
      </c>
      <c r="Q2111" s="1">
        <f>'[1]Electricity and CHPs_NCAP'!M$67</f>
        <v>1.682026237709883E-2</v>
      </c>
      <c r="S2111" s="3"/>
    </row>
    <row r="2112" spans="2:19" x14ac:dyDescent="0.5">
      <c r="B2112" s="5" t="str">
        <f t="shared" si="2216"/>
        <v>SPS1</v>
      </c>
      <c r="C2112" s="5" t="str">
        <f t="shared" si="2213"/>
        <v>CH</v>
      </c>
      <c r="D2112" t="s">
        <v>2241</v>
      </c>
      <c r="E2112" t="str">
        <f t="shared" si="2225"/>
        <v>GWe/yr.</v>
      </c>
      <c r="F2112" s="1">
        <f>'[1]Electricity and CHPs_NCAP'!B$68</f>
        <v>2.2435284267992997E-3</v>
      </c>
      <c r="G2112" s="1">
        <f>'[1]Electricity and CHPs_NCAP'!C$68</f>
        <v>3.670395968614E-6</v>
      </c>
      <c r="H2112" s="1">
        <f>'[1]Electricity and CHPs_NCAP'!D$68</f>
        <v>1.077993712460252E-5</v>
      </c>
      <c r="I2112" s="1">
        <f>'[1]Electricity and CHPs_NCAP'!E$68</f>
        <v>3.9437497032694002E-2</v>
      </c>
      <c r="J2112" s="1">
        <f>'[1]Electricity and CHPs_NCAP'!F$68</f>
        <v>5.0820142934998296E-3</v>
      </c>
      <c r="K2112" s="1">
        <f>'[1]Electricity and CHPs_NCAP'!G$68</f>
        <v>3.5665161817422901E-2</v>
      </c>
      <c r="L2112" s="1">
        <f>'[1]Electricity and CHPs_NCAP'!H$68</f>
        <v>1.418966318978083E-2</v>
      </c>
      <c r="M2112" s="1">
        <f>'[1]Electricity and CHPs_NCAP'!I$68</f>
        <v>2.8667873444505901E-2</v>
      </c>
      <c r="N2112" s="1">
        <f>'[1]Electricity and CHPs_NCAP'!J$68</f>
        <v>2.3364593307453399E-2</v>
      </c>
      <c r="O2112" s="1">
        <f>'[1]Electricity and CHPs_NCAP'!K$68</f>
        <v>2.18331942081594E-2</v>
      </c>
      <c r="P2112" s="1">
        <f>'[1]Electricity and CHPs_NCAP'!L$68</f>
        <v>3.3689359562137103E-2</v>
      </c>
      <c r="Q2112" s="1">
        <f>'[1]Electricity and CHPs_NCAP'!M$68</f>
        <v>1.668710870380135E-2</v>
      </c>
      <c r="S2112" s="3"/>
    </row>
    <row r="2113" spans="2:19" x14ac:dyDescent="0.5">
      <c r="B2113" s="5" t="str">
        <f t="shared" si="2216"/>
        <v>SPS1</v>
      </c>
      <c r="C2113" s="5" t="str">
        <f t="shared" si="2213"/>
        <v>CH</v>
      </c>
      <c r="D2113" t="s">
        <v>2242</v>
      </c>
      <c r="E2113" t="str">
        <f t="shared" si="2225"/>
        <v>GWe/yr.</v>
      </c>
      <c r="F2113" s="1">
        <f>'[1]Electricity and CHPs_NCAP'!B$69</f>
        <v>1.12296943467735E-3</v>
      </c>
      <c r="G2113" s="1">
        <f>'[1]Electricity and CHPs_NCAP'!C$69</f>
        <v>1.8153593256552901E-6</v>
      </c>
      <c r="H2113" s="1">
        <f>'[1]Electricity and CHPs_NCAP'!D$69</f>
        <v>5.3591616184404501E-6</v>
      </c>
      <c r="I2113" s="1">
        <f>'[1]Electricity and CHPs_NCAP'!E$69</f>
        <v>2.4612048296136099E-2</v>
      </c>
      <c r="J2113" s="1">
        <f>'[1]Electricity and CHPs_NCAP'!F$69</f>
        <v>4.7480988403955197E-3</v>
      </c>
      <c r="K2113" s="1">
        <f>'[1]Electricity and CHPs_NCAP'!G$69</f>
        <v>2.2804263065467199E-2</v>
      </c>
      <c r="L2113" s="1">
        <f>'[1]Electricity and CHPs_NCAP'!H$69</f>
        <v>8.9566799645808496E-3</v>
      </c>
      <c r="M2113" s="1">
        <f>'[1]Electricity and CHPs_NCAP'!I$69</f>
        <v>2.0366019709444499E-2</v>
      </c>
      <c r="N2113" s="1">
        <f>'[1]Electricity and CHPs_NCAP'!J$69</f>
        <v>1.3676797936164E-2</v>
      </c>
      <c r="O2113" s="1">
        <f>'[1]Electricity and CHPs_NCAP'!K$69</f>
        <v>1.54476317134558E-2</v>
      </c>
      <c r="P2113" s="1">
        <f>'[1]Electricity and CHPs_NCAP'!L$69</f>
        <v>2.1559375697924901E-2</v>
      </c>
      <c r="Q2113" s="1">
        <f>'[1]Electricity and CHPs_NCAP'!M$69</f>
        <v>1.1657726940359299E-2</v>
      </c>
      <c r="S2113" s="3"/>
    </row>
    <row r="2114" spans="2:19" x14ac:dyDescent="0.5">
      <c r="B2114" s="5" t="str">
        <f>'SPS1'!B1902</f>
        <v>SPS1</v>
      </c>
      <c r="C2114" s="5" t="str">
        <f>'SPS1'!C1902</f>
        <v>CH</v>
      </c>
      <c r="D2114" s="2" t="s">
        <v>2243</v>
      </c>
      <c r="E2114" s="2" t="s">
        <v>1972</v>
      </c>
      <c r="F2114" s="3">
        <f t="shared" ref="F2114:K2114" si="2237">SUM(F2115:F2164)</f>
        <v>5.5214360225768996E-4</v>
      </c>
      <c r="G2114" s="3">
        <f t="shared" si="2237"/>
        <v>0.42611147904269064</v>
      </c>
      <c r="H2114" s="3">
        <f t="shared" si="2237"/>
        <v>1.0464075726174873</v>
      </c>
      <c r="I2114" s="3">
        <f t="shared" si="2237"/>
        <v>2.3309845651490999</v>
      </c>
      <c r="J2114" s="3">
        <f t="shared" si="2237"/>
        <v>3.1890105251621903</v>
      </c>
      <c r="K2114" s="3">
        <f t="shared" si="2237"/>
        <v>2.0336103426714329</v>
      </c>
      <c r="L2114" s="3">
        <f t="shared" ref="L2114:O2114" si="2238">SUM(L2115:L2164)</f>
        <v>2.4883263965882754</v>
      </c>
      <c r="M2114" s="3">
        <f t="shared" si="2238"/>
        <v>2.8773966434963936</v>
      </c>
      <c r="N2114" s="3">
        <f t="shared" si="2238"/>
        <v>2.4376369529952533</v>
      </c>
      <c r="O2114" s="3">
        <f t="shared" si="2238"/>
        <v>2.3797220029291863</v>
      </c>
      <c r="P2114" s="3">
        <f>SUM(P2115:P2164)</f>
        <v>2.5186316811819132</v>
      </c>
      <c r="Q2114" s="3">
        <f>SUM(Q2115:Q2164)</f>
        <v>2.0415266612784926</v>
      </c>
      <c r="S2114" s="3"/>
    </row>
    <row r="2115" spans="2:19" x14ac:dyDescent="0.5">
      <c r="B2115" s="5" t="str">
        <f t="shared" ref="B2115:B2146" si="2239">B2114</f>
        <v>SPS1</v>
      </c>
      <c r="C2115" s="5" t="str">
        <f t="shared" ref="C2115:C2146" si="2240">C2114</f>
        <v>CH</v>
      </c>
      <c r="D2115" t="s">
        <v>2244</v>
      </c>
      <c r="E2115" t="str">
        <f t="shared" ref="E2115:E2146" si="2241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SUMPRODUCT(("var_ncap"=[1]OUT_TransportEnergyCons!$B$4:$B$10000)*1,("-"=[1]OUT_TransportEnergyCons!$C$4:$C$10000)*1,ISNUMBER(SEARCH("T_C*bat*ext",[1]OUT_TransportEnergyCons!$A$4:$A$10000))*1,[1]OUT_TransportEnergyCons!H$4:H$10000)</f>
        <v>0</v>
      </c>
      <c r="K2115" s="1" cm="1">
        <f t="array" ref="K2115">SUMPRODUCT(("var_ncap"=[1]OUT_TransportEnergyCons!$B$4:$B$10000)*1,("-"=[1]OUT_TransportEnergyCons!$C$4:$C$10000)*1,ISNUMBER(SEARCH("T_C*bat*ext",[1]OUT_TransportEnergyCons!$A$4:$A$10000))*1,[1]OUT_TransportEnergyCons!I$4:I$10000)</f>
        <v>0</v>
      </c>
      <c r="L2115" s="1" cm="1">
        <f t="array" ref="L2115">SUMPRODUCT(("var_ncap"=[1]OUT_TransportEnergyCons!$B$4:$B$10000)*1,("-"=[1]OUT_TransportEnergyCons!$C$4:$C$10000)*1,ISNUMBER(SEARCH("T_C*bat*ext",[1]OUT_TransportEnergyCons!$A$4:$A$10000))*1,[1]OUT_TransportEnergyCons!J$4:J$10000)</f>
        <v>0</v>
      </c>
      <c r="M2115" s="1" cm="1">
        <f t="array" ref="M2115">SUMPRODUCT(("var_ncap"=[1]OUT_TransportEnergyCons!$B$4:$B$10000)*1,("-"=[1]OUT_TransportEnergyCons!$C$4:$C$10000)*1,ISNUMBER(SEARCH("T_C*bat*ext",[1]OUT_TransportEnergyCons!$A$4:$A$10000))*1,[1]OUT_TransportEnergyCons!K$4:K$10000)</f>
        <v>0</v>
      </c>
      <c r="N2115" s="1" cm="1">
        <f t="array" ref="N2115">SUMPRODUCT(("var_ncap"=[1]OUT_TransportEnergyCons!$B$4:$B$10000)*1,("-"=[1]OUT_TransportEnergyCons!$C$4:$C$10000)*1,ISNUMBER(SEARCH("T_C*bat*ext",[1]OUT_TransportEnergyCons!$A$4:$A$10000))*1,[1]OUT_TransportEnergyCons!L$4:L$10000)</f>
        <v>0</v>
      </c>
      <c r="O2115" s="1" cm="1">
        <f t="array" ref="O2115">SUMPRODUCT(("var_ncap"=[1]OUT_TransportEnergyCons!$B$4:$B$10000)*1,("-"=[1]OUT_TransportEnergyCons!$C$4:$C$10000)*1,ISNUMBER(SEARCH("T_C*bat*ext",[1]OUT_TransportEnergyCons!$A$4:$A$10000))*1,[1]OUT_TransportEnergyCons!M$4:M$10000)</f>
        <v>0</v>
      </c>
      <c r="P2115" s="1" cm="1">
        <f t="array" ref="P2115">SUMPRODUCT(("var_ncap"=[1]OUT_TransportEnergyCons!$B$4:$B$10000)*1,("-"=[1]OUT_TransportEnergyCons!$C$4:$C$10000)*1,ISNUMBER(SEARCH("T_C*bat*ext",[1]OUT_TransportEnergyCons!$A$4:$A$10000))*1,[1]OUT_TransportEnergyCons!N$4:N$10000)</f>
        <v>0</v>
      </c>
      <c r="Q2115" s="1" cm="1">
        <f t="array" ref="Q2115">SUMPRODUCT(("var_ncap"=[1]OUT_TransportEnergyCons!$B$4:$B$10000)*1,("-"=[1]OUT_TransportEnergyCons!$C$4:$C$10000)*1,ISNUMBER(SEARCH("T_C*bat*ext",[1]OUT_TransportEnergyCons!$A$4:$A$10000))*1,[1]OUT_TransportEnergyCons!O$4:O$10000)</f>
        <v>0</v>
      </c>
      <c r="S2115" s="3"/>
    </row>
    <row r="2116" spans="2:19" x14ac:dyDescent="0.5">
      <c r="B2116" s="5" t="str">
        <f t="shared" si="2239"/>
        <v>SPS1</v>
      </c>
      <c r="C2116" s="5" t="str">
        <f t="shared" si="2240"/>
        <v>CH</v>
      </c>
      <c r="D2116" t="s">
        <v>2245</v>
      </c>
      <c r="E2116" t="str">
        <f t="shared" si="2241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1.6086052923285399E-4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3.0302109693814698E-3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7.4836412472167196E-4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7.2359923556365897E-4</v>
      </c>
      <c r="J2116" s="1" cm="1">
        <f t="array" ref="J2116">SUMPRODUCT(("var_ncap"=[1]OUT_TransportEnergyCons!$B$4:$B$10000)*1,("-"=[1]OUT_TransportEnergyCons!$C$4:$C$10000)*1,ISNUMBER(SEARCH("T_C*bat*s1",[1]OUT_TransportEnergyCons!$A$4:$A$10000))*1,[1]OUT_TransportEnergyCons!H$4:H$10000)</f>
        <v>9.8843894617600095E-4</v>
      </c>
      <c r="K2116" s="1" cm="1">
        <f t="array" ref="K2116">SUMPRODUCT(("var_ncap"=[1]OUT_TransportEnergyCons!$B$4:$B$10000)*1,("-"=[1]OUT_TransportEnergyCons!$C$4:$C$10000)*1,ISNUMBER(SEARCH("T_C*bat*s1",[1]OUT_TransportEnergyCons!$A$4:$A$10000))*1,[1]OUT_TransportEnergyCons!I$4:I$10000)</f>
        <v>3.8121321105892197E-2</v>
      </c>
      <c r="L2116" s="1" cm="1">
        <f t="array" ref="L2116">SUMPRODUCT(("var_ncap"=[1]OUT_TransportEnergyCons!$B$4:$B$10000)*1,("-"=[1]OUT_TransportEnergyCons!$C$4:$C$10000)*1,ISNUMBER(SEARCH("T_C*bat*s1",[1]OUT_TransportEnergyCons!$A$4:$A$10000))*1,[1]OUT_TransportEnergyCons!J$4:J$10000)</f>
        <v>8.8084917530127996E-2</v>
      </c>
      <c r="M2116" s="1" cm="1">
        <f t="array" ref="M2116">SUMPRODUCT(("var_ncap"=[1]OUT_TransportEnergyCons!$B$4:$B$10000)*1,("-"=[1]OUT_TransportEnergyCons!$C$4:$C$10000)*1,ISNUMBER(SEARCH("T_C*bat*s1",[1]OUT_TransportEnergyCons!$A$4:$A$10000))*1,[1]OUT_TransportEnergyCons!K$4:K$10000)</f>
        <v>0.16283304434023099</v>
      </c>
      <c r="N2116" s="1" cm="1">
        <f t="array" ref="N2116">SUMPRODUCT(("var_ncap"=[1]OUT_TransportEnergyCons!$B$4:$B$10000)*1,("-"=[1]OUT_TransportEnergyCons!$C$4:$C$10000)*1,ISNUMBER(SEARCH("T_C*bat*s1",[1]OUT_TransportEnergyCons!$A$4:$A$10000))*1,[1]OUT_TransportEnergyCons!L$4:L$10000)</f>
        <v>8.9111891698583801E-2</v>
      </c>
      <c r="O2116" s="1" cm="1">
        <f t="array" ref="O2116">SUMPRODUCT(("var_ncap"=[1]OUT_TransportEnergyCons!$B$4:$B$10000)*1,("-"=[1]OUT_TransportEnergyCons!$C$4:$C$10000)*1,ISNUMBER(SEARCH("T_C*bat*s1",[1]OUT_TransportEnergyCons!$A$4:$A$10000))*1,[1]OUT_TransportEnergyCons!M$4:M$10000)</f>
        <v>8.9158530441986197E-2</v>
      </c>
      <c r="P2116" s="1" cm="1">
        <f t="array" ref="P2116">SUMPRODUCT(("var_ncap"=[1]OUT_TransportEnergyCons!$B$4:$B$10000)*1,("-"=[1]OUT_TransportEnergyCons!$C$4:$C$10000)*1,ISNUMBER(SEARCH("T_C*bat*s1",[1]OUT_TransportEnergyCons!$A$4:$A$10000))*1,[1]OUT_TransportEnergyCons!N$4:N$10000)</f>
        <v>0.120465498049315</v>
      </c>
      <c r="Q2116" s="1" cm="1">
        <f t="array" ref="Q2116">SUMPRODUCT(("var_ncap"=[1]OUT_TransportEnergyCons!$B$4:$B$10000)*1,("-"=[1]OUT_TransportEnergyCons!$C$4:$C$10000)*1,ISNUMBER(SEARCH("T_C*bat*s1",[1]OUT_TransportEnergyCons!$A$4:$A$10000))*1,[1]OUT_TransportEnergyCons!O$4:O$10000)</f>
        <v>4.5840476973718902E-2</v>
      </c>
      <c r="S2116" s="3"/>
    </row>
    <row r="2117" spans="2:19" x14ac:dyDescent="0.5">
      <c r="B2117" s="5" t="str">
        <f t="shared" si="2239"/>
        <v>SPS1</v>
      </c>
      <c r="C2117" s="5" t="str">
        <f t="shared" si="2240"/>
        <v>CH</v>
      </c>
      <c r="D2117" t="s">
        <v>2246</v>
      </c>
      <c r="E2117" t="str">
        <f t="shared" si="2241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1.05684058718048E-4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4.74815065714457E-4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0.198306880182716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0.60287533097175405</v>
      </c>
      <c r="J2117" s="1" cm="1">
        <f t="array" ref="J2117">SUMPRODUCT(("var_ncap"=[1]OUT_TransportEnergyCons!$B$4:$B$10000)*1,("-"=[1]OUT_TransportEnergyCons!$C$4:$C$10000)*1,ISNUMBER(SEARCH("T_C*bat*s2",[1]OUT_TransportEnergyCons!$A$4:$A$10000))*1,[1]OUT_TransportEnergyCons!H$4:H$10000)</f>
        <v>1.17298676648085</v>
      </c>
      <c r="K2117" s="1" cm="1">
        <f t="array" ref="K2117">SUMPRODUCT(("var_ncap"=[1]OUT_TransportEnergyCons!$B$4:$B$10000)*1,("-"=[1]OUT_TransportEnergyCons!$C$4:$C$10000)*1,ISNUMBER(SEARCH("T_C*bat*s2",[1]OUT_TransportEnergyCons!$A$4:$A$10000))*1,[1]OUT_TransportEnergyCons!I$4:I$10000)</f>
        <v>0.54292903517073099</v>
      </c>
      <c r="L2117" s="1" cm="1">
        <f t="array" ref="L2117">SUMPRODUCT(("var_ncap"=[1]OUT_TransportEnergyCons!$B$4:$B$10000)*1,("-"=[1]OUT_TransportEnergyCons!$C$4:$C$10000)*1,ISNUMBER(SEARCH("T_C*bat*s2",[1]OUT_TransportEnergyCons!$A$4:$A$10000))*1,[1]OUT_TransportEnergyCons!J$4:J$10000)</f>
        <v>0.72264099124606596</v>
      </c>
      <c r="M2117" s="1" cm="1">
        <f t="array" ref="M2117">SUMPRODUCT(("var_ncap"=[1]OUT_TransportEnergyCons!$B$4:$B$10000)*1,("-"=[1]OUT_TransportEnergyCons!$C$4:$C$10000)*1,ISNUMBER(SEARCH("T_C*bat*s2",[1]OUT_TransportEnergyCons!$A$4:$A$10000))*1,[1]OUT_TransportEnergyCons!K$4:K$10000)</f>
        <v>0.98301960818200695</v>
      </c>
      <c r="N2117" s="1" cm="1">
        <f t="array" ref="N2117">SUMPRODUCT(("var_ncap"=[1]OUT_TransportEnergyCons!$B$4:$B$10000)*1,("-"=[1]OUT_TransportEnergyCons!$C$4:$C$10000)*1,ISNUMBER(SEARCH("T_C*bat*s2",[1]OUT_TransportEnergyCons!$A$4:$A$10000))*1,[1]OUT_TransportEnergyCons!L$4:L$10000)</f>
        <v>0.61055476789401197</v>
      </c>
      <c r="O2117" s="1" cm="1">
        <f t="array" ref="O2117">SUMPRODUCT(("var_ncap"=[1]OUT_TransportEnergyCons!$B$4:$B$10000)*1,("-"=[1]OUT_TransportEnergyCons!$C$4:$C$10000)*1,ISNUMBER(SEARCH("T_C*bat*s2",[1]OUT_TransportEnergyCons!$A$4:$A$10000))*1,[1]OUT_TransportEnergyCons!M$4:M$10000)</f>
        <v>0.65346808000363898</v>
      </c>
      <c r="P2117" s="1" cm="1">
        <f t="array" ref="P2117">SUMPRODUCT(("var_ncap"=[1]OUT_TransportEnergyCons!$B$4:$B$10000)*1,("-"=[1]OUT_TransportEnergyCons!$C$4:$C$10000)*1,ISNUMBER(SEARCH("T_C*bat*s2",[1]OUT_TransportEnergyCons!$A$4:$A$10000))*1,[1]OUT_TransportEnergyCons!N$4:N$10000)</f>
        <v>0.65616880456718296</v>
      </c>
      <c r="Q2117" s="1" cm="1">
        <f t="array" ref="Q2117">SUMPRODUCT(("var_ncap"=[1]OUT_TransportEnergyCons!$B$4:$B$10000)*1,("-"=[1]OUT_TransportEnergyCons!$C$4:$C$10000)*1,ISNUMBER(SEARCH("T_C*bat*s2",[1]OUT_TransportEnergyCons!$A$4:$A$10000))*1,[1]OUT_TransportEnergyCons!O$4:O$10000)</f>
        <v>0.48133736664551102</v>
      </c>
      <c r="S2117" s="3"/>
    </row>
    <row r="2118" spans="2:19" x14ac:dyDescent="0.5">
      <c r="B2118" s="5" t="str">
        <f t="shared" si="2239"/>
        <v>SPS1</v>
      </c>
      <c r="C2118" s="5" t="str">
        <f t="shared" si="2240"/>
        <v>CH</v>
      </c>
      <c r="D2118" t="s">
        <v>2247</v>
      </c>
      <c r="E2118" t="str">
        <f t="shared" si="2241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1.16017087267213E-4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2.7141849137809499E-3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3.10145110444048E-3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0.17961329142620999</v>
      </c>
      <c r="J2118" s="1" cm="1">
        <f t="array" ref="J2118">SUMPRODUCT(("var_ncap"=[1]OUT_TransportEnergyCons!$B$4:$B$10000)*1,("-"=[1]OUT_TransportEnergyCons!$C$4:$C$10000)*1,ISNUMBER(SEARCH("T_C*bat*s3",[1]OUT_TransportEnergyCons!$A$4:$A$10000))*1,[1]OUT_TransportEnergyCons!H$4:H$10000)</f>
        <v>0.38632778303259302</v>
      </c>
      <c r="K2118" s="1" cm="1">
        <f t="array" ref="K2118">SUMPRODUCT(("var_ncap"=[1]OUT_TransportEnergyCons!$B$4:$B$10000)*1,("-"=[1]OUT_TransportEnergyCons!$C$4:$C$10000)*1,ISNUMBER(SEARCH("T_C*bat*s3",[1]OUT_TransportEnergyCons!$A$4:$A$10000))*1,[1]OUT_TransportEnergyCons!I$4:I$10000)</f>
        <v>0.32857391693802701</v>
      </c>
      <c r="L2118" s="1" cm="1">
        <f t="array" ref="L2118">SUMPRODUCT(("var_ncap"=[1]OUT_TransportEnergyCons!$B$4:$B$10000)*1,("-"=[1]OUT_TransportEnergyCons!$C$4:$C$10000)*1,ISNUMBER(SEARCH("T_C*bat*s3",[1]OUT_TransportEnergyCons!$A$4:$A$10000))*1,[1]OUT_TransportEnergyCons!J$4:J$10000)</f>
        <v>0.27900346357205402</v>
      </c>
      <c r="M2118" s="1" cm="1">
        <f t="array" ref="M2118">SUMPRODUCT(("var_ncap"=[1]OUT_TransportEnergyCons!$B$4:$B$10000)*1,("-"=[1]OUT_TransportEnergyCons!$C$4:$C$10000)*1,ISNUMBER(SEARCH("T_C*bat*s3",[1]OUT_TransportEnergyCons!$A$4:$A$10000))*1,[1]OUT_TransportEnergyCons!K$4:K$10000)</f>
        <v>0.33185562850199601</v>
      </c>
      <c r="N2118" s="1" cm="1">
        <f t="array" ref="N2118">SUMPRODUCT(("var_ncap"=[1]OUT_TransportEnergyCons!$B$4:$B$10000)*1,("-"=[1]OUT_TransportEnergyCons!$C$4:$C$10000)*1,ISNUMBER(SEARCH("T_C*bat*s3",[1]OUT_TransportEnergyCons!$A$4:$A$10000))*1,[1]OUT_TransportEnergyCons!L$4:L$10000)</f>
        <v>0.42812325222301301</v>
      </c>
      <c r="O2118" s="1" cm="1">
        <f t="array" ref="O2118">SUMPRODUCT(("var_ncap"=[1]OUT_TransportEnergyCons!$B$4:$B$10000)*1,("-"=[1]OUT_TransportEnergyCons!$C$4:$C$10000)*1,ISNUMBER(SEARCH("T_C*bat*s3",[1]OUT_TransportEnergyCons!$A$4:$A$10000))*1,[1]OUT_TransportEnergyCons!M$4:M$10000)</f>
        <v>0.42596203521222198</v>
      </c>
      <c r="P2118" s="1" cm="1">
        <f t="array" ref="P2118">SUMPRODUCT(("var_ncap"=[1]OUT_TransportEnergyCons!$B$4:$B$10000)*1,("-"=[1]OUT_TransportEnergyCons!$C$4:$C$10000)*1,ISNUMBER(SEARCH("T_C*bat*s3",[1]OUT_TransportEnergyCons!$A$4:$A$10000))*1,[1]OUT_TransportEnergyCons!N$4:N$10000)</f>
        <v>0.65254813215815899</v>
      </c>
      <c r="Q2118" s="1" cm="1">
        <f t="array" ref="Q2118">SUMPRODUCT(("var_ncap"=[1]OUT_TransportEnergyCons!$B$4:$B$10000)*1,("-"=[1]OUT_TransportEnergyCons!$C$4:$C$10000)*1,ISNUMBER(SEARCH("T_C*bat*s3",[1]OUT_TransportEnergyCons!$A$4:$A$10000))*1,[1]OUT_TransportEnergyCons!O$4:O$10000)</f>
        <v>0.42044283535828902</v>
      </c>
      <c r="S2118" s="3"/>
    </row>
    <row r="2119" spans="2:19" x14ac:dyDescent="0.5">
      <c r="B2119" s="5" t="str">
        <f t="shared" si="2239"/>
        <v>SPS1</v>
      </c>
      <c r="C2119" s="5" t="str">
        <f t="shared" si="2240"/>
        <v>CH</v>
      </c>
      <c r="D2119" t="s">
        <v>2248</v>
      </c>
      <c r="E2119" t="str">
        <f t="shared" si="2241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1.6958192703957499E-4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6.9050100184803898E-2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7.8654213054360197E-2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0.17335141559482201</v>
      </c>
      <c r="J2119" s="1" cm="1">
        <f t="array" ref="J2119">SUMPRODUCT(("var_ncap"=[1]OUT_TransportEnergyCons!$B$4:$B$10000)*1,("-"=[1]OUT_TransportEnergyCons!$C$4:$C$10000)*1,ISNUMBER(SEARCH("T_C*bat*s4",[1]OUT_TransportEnergyCons!$A$4:$A$10000))*1,[1]OUT_TransportEnergyCons!H$4:H$10000)</f>
        <v>0.12840853403373401</v>
      </c>
      <c r="K2119" s="1" cm="1">
        <f t="array" ref="K2119">SUMPRODUCT(("var_ncap"=[1]OUT_TransportEnergyCons!$B$4:$B$10000)*1,("-"=[1]OUT_TransportEnergyCons!$C$4:$C$10000)*1,ISNUMBER(SEARCH("T_C*bat*s4",[1]OUT_TransportEnergyCons!$A$4:$A$10000))*1,[1]OUT_TransportEnergyCons!I$4:I$10000)</f>
        <v>9.3917696314737495E-3</v>
      </c>
      <c r="L2119" s="1" cm="1">
        <f t="array" ref="L2119">SUMPRODUCT(("var_ncap"=[1]OUT_TransportEnergyCons!$B$4:$B$10000)*1,("-"=[1]OUT_TransportEnergyCons!$C$4:$C$10000)*1,ISNUMBER(SEARCH("T_C*bat*s4",[1]OUT_TransportEnergyCons!$A$4:$A$10000))*1,[1]OUT_TransportEnergyCons!J$4:J$10000)</f>
        <v>0.13732463745291801</v>
      </c>
      <c r="M2119" s="1" cm="1">
        <f t="array" ref="M2119">SUMPRODUCT(("var_ncap"=[1]OUT_TransportEnergyCons!$B$4:$B$10000)*1,("-"=[1]OUT_TransportEnergyCons!$C$4:$C$10000)*1,ISNUMBER(SEARCH("T_C*bat*s4",[1]OUT_TransportEnergyCons!$A$4:$A$10000))*1,[1]OUT_TransportEnergyCons!K$4:K$10000)</f>
        <v>0.11030903383480101</v>
      </c>
      <c r="N2119" s="1" cm="1">
        <f t="array" ref="N2119">SUMPRODUCT(("var_ncap"=[1]OUT_TransportEnergyCons!$B$4:$B$10000)*1,("-"=[1]OUT_TransportEnergyCons!$C$4:$C$10000)*1,ISNUMBER(SEARCH("T_C*bat*s4",[1]OUT_TransportEnergyCons!$A$4:$A$10000))*1,[1]OUT_TransportEnergyCons!L$4:L$10000)</f>
        <v>0.17327440636223801</v>
      </c>
      <c r="O2119" s="1" cm="1">
        <f t="array" ref="O2119">SUMPRODUCT(("var_ncap"=[1]OUT_TransportEnergyCons!$B$4:$B$10000)*1,("-"=[1]OUT_TransportEnergyCons!$C$4:$C$10000)*1,ISNUMBER(SEARCH("T_C*bat*s4",[1]OUT_TransportEnergyCons!$A$4:$A$10000))*1,[1]OUT_TransportEnergyCons!M$4:M$10000)</f>
        <v>0.114374352582714</v>
      </c>
      <c r="P2119" s="1" cm="1">
        <f t="array" ref="P2119">SUMPRODUCT(("var_ncap"=[1]OUT_TransportEnergyCons!$B$4:$B$10000)*1,("-"=[1]OUT_TransportEnergyCons!$C$4:$C$10000)*1,ISNUMBER(SEARCH("T_C*bat*s4",[1]OUT_TransportEnergyCons!$A$4:$A$10000))*1,[1]OUT_TransportEnergyCons!N$4:N$10000)</f>
        <v>2.5059557030122699E-2</v>
      </c>
      <c r="Q2119" s="1" cm="1">
        <f t="array" ref="Q2119">SUMPRODUCT(("var_ncap"=[1]OUT_TransportEnergyCons!$B$4:$B$10000)*1,("-"=[1]OUT_TransportEnergyCons!$C$4:$C$10000)*1,ISNUMBER(SEARCH("T_C*bat*s4",[1]OUT_TransportEnergyCons!$A$4:$A$10000))*1,[1]OUT_TransportEnergyCons!O$4:O$10000)</f>
        <v>0.25925896571630602</v>
      </c>
      <c r="S2119" s="3"/>
    </row>
    <row r="2120" spans="2:19" x14ac:dyDescent="0.5">
      <c r="B2120" s="5" t="str">
        <f t="shared" si="2239"/>
        <v>SPS1</v>
      </c>
      <c r="C2120" s="5" t="str">
        <f t="shared" si="2240"/>
        <v>CH</v>
      </c>
      <c r="D2120" t="s">
        <v>2249</v>
      </c>
      <c r="E2120" t="str">
        <f t="shared" si="2241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1.2640303757472301E-4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1.28121368565122E-4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9.6462674851081103E-5</v>
      </c>
      <c r="J2120" s="1" cm="1">
        <f t="array" ref="J2120">SUMPRODUCT(("var_ncap"=[1]OUT_TransportEnergyCons!$B$4:$B$10000)*1,("-"=[1]OUT_TransportEnergyCons!$C$4:$C$10000)*1,ISNUMBER(SEARCH("T_C*pev*GSL*s1",[1]OUT_TransportEnergyCons!$A$4:$A$10000))*1,[1]OUT_TransportEnergyCons!H$4:H$10000)</f>
        <v>1.2751218826483399E-4</v>
      </c>
      <c r="K2120" s="1" cm="1">
        <f t="array" ref="K2120">SUMPRODUCT(("var_ncap"=[1]OUT_TransportEnergyCons!$B$4:$B$10000)*1,("-"=[1]OUT_TransportEnergyCons!$C$4:$C$10000)*1,ISNUMBER(SEARCH("T_C*pev*GSL*s1",[1]OUT_TransportEnergyCons!$A$4:$A$10000))*1,[1]OUT_TransportEnergyCons!I$4:I$10000)</f>
        <v>1.6987494050829801E-4</v>
      </c>
      <c r="L2120" s="1" cm="1">
        <f t="array" ref="L2120">SUMPRODUCT(("var_ncap"=[1]OUT_TransportEnergyCons!$B$4:$B$10000)*1,("-"=[1]OUT_TransportEnergyCons!$C$4:$C$10000)*1,ISNUMBER(SEARCH("T_C*pev*GSL*s1",[1]OUT_TransportEnergyCons!$A$4:$A$10000))*1,[1]OUT_TransportEnergyCons!J$4:J$10000)</f>
        <v>2.49631494655204E-4</v>
      </c>
      <c r="M2120" s="1" cm="1">
        <f t="array" ref="M2120">SUMPRODUCT(("var_ncap"=[1]OUT_TransportEnergyCons!$B$4:$B$10000)*1,("-"=[1]OUT_TransportEnergyCons!$C$4:$C$10000)*1,ISNUMBER(SEARCH("T_C*pev*GSL*s1",[1]OUT_TransportEnergyCons!$A$4:$A$10000))*1,[1]OUT_TransportEnergyCons!K$4:K$10000)</f>
        <v>1.3383125035607401E-4</v>
      </c>
      <c r="N2120" s="1" cm="1">
        <f t="array" ref="N2120">SUMPRODUCT(("var_ncap"=[1]OUT_TransportEnergyCons!$B$4:$B$10000)*1,("-"=[1]OUT_TransportEnergyCons!$C$4:$C$10000)*1,ISNUMBER(SEARCH("T_C*pev*GSL*s1",[1]OUT_TransportEnergyCons!$A$4:$A$10000))*1,[1]OUT_TransportEnergyCons!L$4:L$10000)</f>
        <v>5.9590166335608504E-4</v>
      </c>
      <c r="O2120" s="1" cm="1">
        <f t="array" ref="O2120">SUMPRODUCT(("var_ncap"=[1]OUT_TransportEnergyCons!$B$4:$B$10000)*1,("-"=[1]OUT_TransportEnergyCons!$C$4:$C$10000)*1,ISNUMBER(SEARCH("T_C*pev*GSL*s1",[1]OUT_TransportEnergyCons!$A$4:$A$10000))*1,[1]OUT_TransportEnergyCons!M$4:M$10000)</f>
        <v>9.5332473988177398E-4</v>
      </c>
      <c r="P2120" s="1" cm="1">
        <f t="array" ref="P2120">SUMPRODUCT(("var_ncap"=[1]OUT_TransportEnergyCons!$B$4:$B$10000)*1,("-"=[1]OUT_TransportEnergyCons!$C$4:$C$10000)*1,ISNUMBER(SEARCH("T_C*pev*GSL*s1",[1]OUT_TransportEnergyCons!$A$4:$A$10000))*1,[1]OUT_TransportEnergyCons!N$4:N$10000)</f>
        <v>1.05148504602431E-3</v>
      </c>
      <c r="Q2120" s="1" cm="1">
        <f t="array" ref="Q2120">SUMPRODUCT(("var_ncap"=[1]OUT_TransportEnergyCons!$B$4:$B$10000)*1,("-"=[1]OUT_TransportEnergyCons!$C$4:$C$10000)*1,ISNUMBER(SEARCH("T_C*pev*GSL*s1",[1]OUT_TransportEnergyCons!$A$4:$A$10000))*1,[1]OUT_TransportEnergyCons!O$4:O$10000)</f>
        <v>1.74517325761685E-3</v>
      </c>
      <c r="S2120" s="3"/>
    </row>
    <row r="2121" spans="2:19" x14ac:dyDescent="0.5">
      <c r="B2121" s="5" t="str">
        <f t="shared" si="2239"/>
        <v>SPS1</v>
      </c>
      <c r="C2121" s="5" t="str">
        <f t="shared" si="2240"/>
        <v>CH</v>
      </c>
      <c r="D2121" t="s">
        <v>2250</v>
      </c>
      <c r="E2121" t="str">
        <f t="shared" si="2241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7.3917846934038706E-5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2.9560826782347297E-4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2.07412132297004E-4</v>
      </c>
      <c r="J2121" s="1" cm="1">
        <f t="array" ref="J2121">SUMPRODUCT(("var_ncap"=[1]OUT_TransportEnergyCons!$B$4:$B$10000)*1,("-"=[1]OUT_TransportEnergyCons!$C$4:$C$10000)*1,ISNUMBER(SEARCH("T_C*pev*GSL*s2",[1]OUT_TransportEnergyCons!$A$4:$A$10000))*1,[1]OUT_TransportEnergyCons!H$4:H$10000)</f>
        <v>3.0341371951759599E-4</v>
      </c>
      <c r="K2121" s="1" cm="1">
        <f t="array" ref="K2121">SUMPRODUCT(("var_ncap"=[1]OUT_TransportEnergyCons!$B$4:$B$10000)*1,("-"=[1]OUT_TransportEnergyCons!$C$4:$C$10000)*1,ISNUMBER(SEARCH("T_C*pev*GSL*s2",[1]OUT_TransportEnergyCons!$A$4:$A$10000))*1,[1]OUT_TransportEnergyCons!I$4:I$10000)</f>
        <v>3.2444959670993698E-4</v>
      </c>
      <c r="L2121" s="1" cm="1">
        <f t="array" ref="L2121">SUMPRODUCT(("var_ncap"=[1]OUT_TransportEnergyCons!$B$4:$B$10000)*1,("-"=[1]OUT_TransportEnergyCons!$C$4:$C$10000)*1,ISNUMBER(SEARCH("T_C*pev*GSL*s2",[1]OUT_TransportEnergyCons!$A$4:$A$10000))*1,[1]OUT_TransportEnergyCons!J$4:J$10000)</f>
        <v>4.6209085072292197E-4</v>
      </c>
      <c r="M2121" s="1" cm="1">
        <f t="array" ref="M2121">SUMPRODUCT(("var_ncap"=[1]OUT_TransportEnergyCons!$B$4:$B$10000)*1,("-"=[1]OUT_TransportEnergyCons!$C$4:$C$10000)*1,ISNUMBER(SEARCH("T_C*pev*GSL*s2",[1]OUT_TransportEnergyCons!$A$4:$A$10000))*1,[1]OUT_TransportEnergyCons!K$4:K$10000)</f>
        <v>1.6524944248317699E-4</v>
      </c>
      <c r="N2121" s="1" cm="1">
        <f t="array" ref="N2121">SUMPRODUCT(("var_ncap"=[1]OUT_TransportEnergyCons!$B$4:$B$10000)*1,("-"=[1]OUT_TransportEnergyCons!$C$4:$C$10000)*1,ISNUMBER(SEARCH("T_C*pev*GSL*s2",[1]OUT_TransportEnergyCons!$A$4:$A$10000))*1,[1]OUT_TransportEnergyCons!L$4:L$10000)</f>
        <v>9.8930651480366705E-4</v>
      </c>
      <c r="O2121" s="1" cm="1">
        <f t="array" ref="O2121">SUMPRODUCT(("var_ncap"=[1]OUT_TransportEnergyCons!$B$4:$B$10000)*1,("-"=[1]OUT_TransportEnergyCons!$C$4:$C$10000)*1,ISNUMBER(SEARCH("T_C*pev*GSL*s2",[1]OUT_TransportEnergyCons!$A$4:$A$10000))*1,[1]OUT_TransportEnergyCons!M$4:M$10000)</f>
        <v>1.28973158836704E-2</v>
      </c>
      <c r="P2121" s="1" cm="1">
        <f t="array" ref="P2121">SUMPRODUCT(("var_ncap"=[1]OUT_TransportEnergyCons!$B$4:$B$10000)*1,("-"=[1]OUT_TransportEnergyCons!$C$4:$C$10000)*1,ISNUMBER(SEARCH("T_C*pev*GSL*s2",[1]OUT_TransportEnergyCons!$A$4:$A$10000))*1,[1]OUT_TransportEnergyCons!N$4:N$10000)</f>
        <v>1.8699482066165701E-2</v>
      </c>
      <c r="Q2121" s="1" cm="1">
        <f t="array" ref="Q2121">SUMPRODUCT(("var_ncap"=[1]OUT_TransportEnergyCons!$B$4:$B$10000)*1,("-"=[1]OUT_TransportEnergyCons!$C$4:$C$10000)*1,ISNUMBER(SEARCH("T_C*pev*GSL*s2",[1]OUT_TransportEnergyCons!$A$4:$A$10000))*1,[1]OUT_TransportEnergyCons!O$4:O$10000)</f>
        <v>1.18041330183297E-2</v>
      </c>
      <c r="S2121" s="3"/>
    </row>
    <row r="2122" spans="2:19" x14ac:dyDescent="0.5">
      <c r="B2122" s="5" t="str">
        <f t="shared" si="2239"/>
        <v>SPS1</v>
      </c>
      <c r="C2122" s="5" t="str">
        <f t="shared" si="2240"/>
        <v>CH</v>
      </c>
      <c r="D2122" t="s">
        <v>2251</v>
      </c>
      <c r="E2122" t="str">
        <f t="shared" si="2241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8.4552131658657901E-4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3.3369960928852797E-2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1.3094309755387499E-2</v>
      </c>
      <c r="J2122" s="1" cm="1">
        <f t="array" ref="J2122">SUMPRODUCT(("var_ncap"=[1]OUT_TransportEnergyCons!$B$4:$B$10000)*1,("-"=[1]OUT_TransportEnergyCons!$C$4:$C$10000)*1,ISNUMBER(SEARCH("T_C*pev*GSL*s3",[1]OUT_TransportEnergyCons!$A$4:$A$10000))*1,[1]OUT_TransportEnergyCons!H$4:H$10000)</f>
        <v>3.02023928720393E-2</v>
      </c>
      <c r="K2122" s="1" cm="1">
        <f t="array" ref="K2122">SUMPRODUCT(("var_ncap"=[1]OUT_TransportEnergyCons!$B$4:$B$10000)*1,("-"=[1]OUT_TransportEnergyCons!$C$4:$C$10000)*1,ISNUMBER(SEARCH("T_C*pev*GSL*s3",[1]OUT_TransportEnergyCons!$A$4:$A$10000))*1,[1]OUT_TransportEnergyCons!I$4:I$10000)</f>
        <v>1.74392100418025E-3</v>
      </c>
      <c r="L2122" s="1" cm="1">
        <f t="array" ref="L2122">SUMPRODUCT(("var_ncap"=[1]OUT_TransportEnergyCons!$B$4:$B$10000)*1,("-"=[1]OUT_TransportEnergyCons!$C$4:$C$10000)*1,ISNUMBER(SEARCH("T_C*pev*GSL*s3",[1]OUT_TransportEnergyCons!$A$4:$A$10000))*1,[1]OUT_TransportEnergyCons!J$4:J$10000)</f>
        <v>1.5578174050124301E-2</v>
      </c>
      <c r="M2122" s="1" cm="1">
        <f t="array" ref="M2122">SUMPRODUCT(("var_ncap"=[1]OUT_TransportEnergyCons!$B$4:$B$10000)*1,("-"=[1]OUT_TransportEnergyCons!$C$4:$C$10000)*1,ISNUMBER(SEARCH("T_C*pev*GSL*s3",[1]OUT_TransportEnergyCons!$A$4:$A$10000))*1,[1]OUT_TransportEnergyCons!K$4:K$10000)</f>
        <v>1.9872200116786799E-4</v>
      </c>
      <c r="N2122" s="1" cm="1">
        <f t="array" ref="N2122">SUMPRODUCT(("var_ncap"=[1]OUT_TransportEnergyCons!$B$4:$B$10000)*1,("-"=[1]OUT_TransportEnergyCons!$C$4:$C$10000)*1,ISNUMBER(SEARCH("T_C*pev*GSL*s3",[1]OUT_TransportEnergyCons!$A$4:$A$10000))*1,[1]OUT_TransportEnergyCons!L$4:L$10000)</f>
        <v>4.8192568730118297E-2</v>
      </c>
      <c r="O2122" s="1" cm="1">
        <f t="array" ref="O2122">SUMPRODUCT(("var_ncap"=[1]OUT_TransportEnergyCons!$B$4:$B$10000)*1,("-"=[1]OUT_TransportEnergyCons!$C$4:$C$10000)*1,ISNUMBER(SEARCH("T_C*pev*GSL*s3",[1]OUT_TransportEnergyCons!$A$4:$A$10000))*1,[1]OUT_TransportEnergyCons!M$4:M$10000)</f>
        <v>5.3614646269227097E-3</v>
      </c>
      <c r="P2122" s="1" cm="1">
        <f t="array" ref="P2122">SUMPRODUCT(("var_ncap"=[1]OUT_TransportEnergyCons!$B$4:$B$10000)*1,("-"=[1]OUT_TransportEnergyCons!$C$4:$C$10000)*1,ISNUMBER(SEARCH("T_C*pev*GSL*s3",[1]OUT_TransportEnergyCons!$A$4:$A$10000))*1,[1]OUT_TransportEnergyCons!N$4:N$10000)</f>
        <v>3.3151561701609202E-3</v>
      </c>
      <c r="Q2122" s="1" cm="1">
        <f t="array" ref="Q2122">SUMPRODUCT(("var_ncap"=[1]OUT_TransportEnergyCons!$B$4:$B$10000)*1,("-"=[1]OUT_TransportEnergyCons!$C$4:$C$10000)*1,ISNUMBER(SEARCH("T_C*pev*GSL*s3",[1]OUT_TransportEnergyCons!$A$4:$A$10000))*1,[1]OUT_TransportEnergyCons!O$4:O$10000)</f>
        <v>4.0988293794942702E-3</v>
      </c>
      <c r="S2122" s="3"/>
    </row>
    <row r="2123" spans="2:19" x14ac:dyDescent="0.5">
      <c r="B2123" s="5" t="str">
        <f t="shared" si="2239"/>
        <v>SPS1</v>
      </c>
      <c r="C2123" s="5" t="str">
        <f t="shared" si="2240"/>
        <v>CH</v>
      </c>
      <c r="D2123" t="s">
        <v>2252</v>
      </c>
      <c r="E2123" t="str">
        <f t="shared" si="2241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2.48559821441302E-4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3.9650455721996298E-4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3.49029660545013E-4</v>
      </c>
      <c r="J2123" s="1" cm="1">
        <f t="array" ref="J2123">SUMPRODUCT(("var_ncap"=[1]OUT_TransportEnergyCons!$B$4:$B$10000)*1,("-"=[1]OUT_TransportEnergyCons!$C$4:$C$10000)*1,ISNUMBER(SEARCH("T_C*pev*GSL*s4",[1]OUT_TransportEnergyCons!$A$4:$A$10000))*1,[1]OUT_TransportEnergyCons!H$4:H$10000)</f>
        <v>7.2199309531253595E-4</v>
      </c>
      <c r="K2123" s="1" cm="1">
        <f t="array" ref="K2123">SUMPRODUCT(("var_ncap"=[1]OUT_TransportEnergyCons!$B$4:$B$10000)*1,("-"=[1]OUT_TransportEnergyCons!$C$4:$C$10000)*1,ISNUMBER(SEARCH("T_C*pev*GSL*s4",[1]OUT_TransportEnergyCons!$A$4:$A$10000))*1,[1]OUT_TransportEnergyCons!I$4:I$10000)</f>
        <v>8.72782324747104E-4</v>
      </c>
      <c r="L2123" s="1" cm="1">
        <f t="array" ref="L2123">SUMPRODUCT(("var_ncap"=[1]OUT_TransportEnergyCons!$B$4:$B$10000)*1,("-"=[1]OUT_TransportEnergyCons!$C$4:$C$10000)*1,ISNUMBER(SEARCH("T_C*pev*GSL*s4",[1]OUT_TransportEnergyCons!$A$4:$A$10000))*1,[1]OUT_TransportEnergyCons!J$4:J$10000)</f>
        <v>1.8006354307663799E-3</v>
      </c>
      <c r="M2123" s="1" cm="1">
        <f t="array" ref="M2123">SUMPRODUCT(("var_ncap"=[1]OUT_TransportEnergyCons!$B$4:$B$10000)*1,("-"=[1]OUT_TransportEnergyCons!$C$4:$C$10000)*1,ISNUMBER(SEARCH("T_C*pev*GSL*s4",[1]OUT_TransportEnergyCons!$A$4:$A$10000))*1,[1]OUT_TransportEnergyCons!K$4:K$10000)</f>
        <v>2.1218759781532599E-4</v>
      </c>
      <c r="N2123" s="1" cm="1">
        <f t="array" ref="N2123">SUMPRODUCT(("var_ncap"=[1]OUT_TransportEnergyCons!$B$4:$B$10000)*1,("-"=[1]OUT_TransportEnergyCons!$C$4:$C$10000)*1,ISNUMBER(SEARCH("T_C*pev*GSL*s4",[1]OUT_TransportEnergyCons!$A$4:$A$10000))*1,[1]OUT_TransportEnergyCons!L$4:L$10000)</f>
        <v>2.1821842976261299E-2</v>
      </c>
      <c r="O2123" s="1" cm="1">
        <f t="array" ref="O2123">SUMPRODUCT(("var_ncap"=[1]OUT_TransportEnergyCons!$B$4:$B$10000)*1,("-"=[1]OUT_TransportEnergyCons!$C$4:$C$10000)*1,ISNUMBER(SEARCH("T_C*pev*GSL*s4",[1]OUT_TransportEnergyCons!$A$4:$A$10000))*1,[1]OUT_TransportEnergyCons!M$4:M$10000)</f>
        <v>2.5486793913824399E-4</v>
      </c>
      <c r="P2123" s="1" cm="1">
        <f t="array" ref="P2123">SUMPRODUCT(("var_ncap"=[1]OUT_TransportEnergyCons!$B$4:$B$10000)*1,("-"=[1]OUT_TransportEnergyCons!$C$4:$C$10000)*1,ISNUMBER(SEARCH("T_C*pev*GSL*s4",[1]OUT_TransportEnergyCons!$A$4:$A$10000))*1,[1]OUT_TransportEnergyCons!N$4:N$10000)</f>
        <v>1.7046823063294699E-4</v>
      </c>
      <c r="Q2123" s="1" cm="1">
        <f t="array" ref="Q2123">SUMPRODUCT(("var_ncap"=[1]OUT_TransportEnergyCons!$B$4:$B$10000)*1,("-"=[1]OUT_TransportEnergyCons!$C$4:$C$10000)*1,ISNUMBER(SEARCH("T_C*pev*GSL*s4",[1]OUT_TransportEnergyCons!$A$4:$A$10000))*1,[1]OUT_TransportEnergyCons!O$4:O$10000)</f>
        <v>0.10643575739484</v>
      </c>
      <c r="S2123" s="3"/>
    </row>
    <row r="2124" spans="2:19" x14ac:dyDescent="0.5">
      <c r="B2124" s="5" t="str">
        <f t="shared" si="2239"/>
        <v>SPS1</v>
      </c>
      <c r="C2124" s="5" t="str">
        <f t="shared" si="2240"/>
        <v>CH</v>
      </c>
      <c r="D2124" t="s">
        <v>2253</v>
      </c>
      <c r="E2124" t="str">
        <f t="shared" si="2241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1.4517579512049E-4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1.4958847059971301E-4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1.41556863644537E-4</v>
      </c>
      <c r="J2124" s="1" cm="1">
        <f t="array" ref="J2124">SUMPRODUCT(("var_ncap"=[1]OUT_TransportEnergyCons!$B$4:$B$10000)*1,("-"=[1]OUT_TransportEnergyCons!$C$4:$C$10000)*1,ISNUMBER(SEARCH("T_C*pev*dsl*s1",[1]OUT_TransportEnergyCons!$A$4:$A$10000))*1,[1]OUT_TransportEnergyCons!H$4:H$10000)</f>
        <v>2.74682522149964E-4</v>
      </c>
      <c r="K2124" s="1" cm="1">
        <f t="array" ref="K2124">SUMPRODUCT(("var_ncap"=[1]OUT_TransportEnergyCons!$B$4:$B$10000)*1,("-"=[1]OUT_TransportEnergyCons!$C$4:$C$10000)*1,ISNUMBER(SEARCH("T_C*pev*dsl*s1",[1]OUT_TransportEnergyCons!$A$4:$A$10000))*1,[1]OUT_TransportEnergyCons!I$4:I$10000)</f>
        <v>5.6088814233688604E-4</v>
      </c>
      <c r="L2124" s="1" cm="1">
        <f t="array" ref="L2124">SUMPRODUCT(("var_ncap"=[1]OUT_TransportEnergyCons!$B$4:$B$10000)*1,("-"=[1]OUT_TransportEnergyCons!$C$4:$C$10000)*1,ISNUMBER(SEARCH("T_C*pev*dsl*s1",[1]OUT_TransportEnergyCons!$A$4:$A$10000))*1,[1]OUT_TransportEnergyCons!J$4:J$10000)</f>
        <v>3.9667556309374002E-4</v>
      </c>
      <c r="M2124" s="1" cm="1">
        <f t="array" ref="M2124">SUMPRODUCT(("var_ncap"=[1]OUT_TransportEnergyCons!$B$4:$B$10000)*1,("-"=[1]OUT_TransportEnergyCons!$C$4:$C$10000)*1,ISNUMBER(SEARCH("T_C*pev*dsl*s1",[1]OUT_TransportEnergyCons!$A$4:$A$10000))*1,[1]OUT_TransportEnergyCons!K$4:K$10000)</f>
        <v>1.1501658642998399E-3</v>
      </c>
      <c r="N2124" s="1" cm="1">
        <f t="array" ref="N2124">SUMPRODUCT(("var_ncap"=[1]OUT_TransportEnergyCons!$B$4:$B$10000)*1,("-"=[1]OUT_TransportEnergyCons!$C$4:$C$10000)*1,ISNUMBER(SEARCH("T_C*pev*dsl*s1",[1]OUT_TransportEnergyCons!$A$4:$A$10000))*1,[1]OUT_TransportEnergyCons!L$4:L$10000)</f>
        <v>1.2089186124998101E-4</v>
      </c>
      <c r="O2124" s="1" cm="1">
        <f t="array" ref="O2124">SUMPRODUCT(("var_ncap"=[1]OUT_TransportEnergyCons!$B$4:$B$10000)*1,("-"=[1]OUT_TransportEnergyCons!$C$4:$C$10000)*1,ISNUMBER(SEARCH("T_C*pev*dsl*s1",[1]OUT_TransportEnergyCons!$A$4:$A$10000))*1,[1]OUT_TransportEnergyCons!M$4:M$10000)</f>
        <v>4.1119519756903902E-5</v>
      </c>
      <c r="P2124" s="1" cm="1">
        <f t="array" ref="P2124">SUMPRODUCT(("var_ncap"=[1]OUT_TransportEnergyCons!$B$4:$B$10000)*1,("-"=[1]OUT_TransportEnergyCons!$C$4:$C$10000)*1,ISNUMBER(SEARCH("T_C*pev*dsl*s1",[1]OUT_TransportEnergyCons!$A$4:$A$10000))*1,[1]OUT_TransportEnergyCons!N$4:N$10000)</f>
        <v>4.0256543724134803E-5</v>
      </c>
      <c r="Q2124" s="1" cm="1">
        <f t="array" ref="Q2124">SUMPRODUCT(("var_ncap"=[1]OUT_TransportEnergyCons!$B$4:$B$10000)*1,("-"=[1]OUT_TransportEnergyCons!$C$4:$C$10000)*1,ISNUMBER(SEARCH("T_C*pev*dsl*s1",[1]OUT_TransportEnergyCons!$A$4:$A$10000))*1,[1]OUT_TransportEnergyCons!O$4:O$10000)</f>
        <v>5.38219375083894E-5</v>
      </c>
      <c r="S2124" s="3"/>
    </row>
    <row r="2125" spans="2:19" x14ac:dyDescent="0.5">
      <c r="B2125" s="5" t="str">
        <f t="shared" si="2239"/>
        <v>SPS1</v>
      </c>
      <c r="C2125" s="5" t="str">
        <f t="shared" si="2240"/>
        <v>CH</v>
      </c>
      <c r="D2125" t="s">
        <v>2254</v>
      </c>
      <c r="E2125" t="str">
        <f t="shared" si="2241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1.0395331705723799E-4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4.4574487465784299E-4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3.5577553439756501E-4</v>
      </c>
      <c r="J2125" s="1" cm="1">
        <f t="array" ref="J2125">SUMPRODUCT(("var_ncap"=[1]OUT_TransportEnergyCons!$B$4:$B$10000)*1,("-"=[1]OUT_TransportEnergyCons!$C$4:$C$10000)*1,ISNUMBER(SEARCH("T_C*pev*dsl*s2",[1]OUT_TransportEnergyCons!$A$4:$A$10000))*1,[1]OUT_TransportEnergyCons!H$4:H$10000)</f>
        <v>1.5650248826219999E-3</v>
      </c>
      <c r="K2125" s="1" cm="1">
        <f t="array" ref="K2125">SUMPRODUCT(("var_ncap"=[1]OUT_TransportEnergyCons!$B$4:$B$10000)*1,("-"=[1]OUT_TransportEnergyCons!$C$4:$C$10000)*1,ISNUMBER(SEARCH("T_C*pev*dsl*s2",[1]OUT_TransportEnergyCons!$A$4:$A$10000))*1,[1]OUT_TransportEnergyCons!I$4:I$10000)</f>
        <v>1.43351384264652E-3</v>
      </c>
      <c r="L2125" s="1" cm="1">
        <f t="array" ref="L2125">SUMPRODUCT(("var_ncap"=[1]OUT_TransportEnergyCons!$B$4:$B$10000)*1,("-"=[1]OUT_TransportEnergyCons!$C$4:$C$10000)*1,ISNUMBER(SEARCH("T_C*pev*dsl*s2",[1]OUT_TransportEnergyCons!$A$4:$A$10000))*1,[1]OUT_TransportEnergyCons!J$4:J$10000)</f>
        <v>9.7515382811992602E-4</v>
      </c>
      <c r="M2125" s="1" cm="1">
        <f t="array" ref="M2125">SUMPRODUCT(("var_ncap"=[1]OUT_TransportEnergyCons!$B$4:$B$10000)*1,("-"=[1]OUT_TransportEnergyCons!$C$4:$C$10000)*1,ISNUMBER(SEARCH("T_C*pev*dsl*s2",[1]OUT_TransportEnergyCons!$A$4:$A$10000))*1,[1]OUT_TransportEnergyCons!K$4:K$10000)</f>
        <v>1.7831870606654799E-3</v>
      </c>
      <c r="N2125" s="1" cm="1">
        <f t="array" ref="N2125">SUMPRODUCT(("var_ncap"=[1]OUT_TransportEnergyCons!$B$4:$B$10000)*1,("-"=[1]OUT_TransportEnergyCons!$C$4:$C$10000)*1,ISNUMBER(SEARCH("T_C*pev*dsl*s2",[1]OUT_TransportEnergyCons!$A$4:$A$10000))*1,[1]OUT_TransportEnergyCons!L$4:L$10000)</f>
        <v>1.23276248332769E-4</v>
      </c>
      <c r="O2125" s="1" cm="1">
        <f t="array" ref="O2125">SUMPRODUCT(("var_ncap"=[1]OUT_TransportEnergyCons!$B$4:$B$10000)*1,("-"=[1]OUT_TransportEnergyCons!$C$4:$C$10000)*1,ISNUMBER(SEARCH("T_C*pev*dsl*s2",[1]OUT_TransportEnergyCons!$A$4:$A$10000))*1,[1]OUT_TransportEnergyCons!M$4:M$10000)</f>
        <v>4.1906613322988203E-5</v>
      </c>
      <c r="P2125" s="1" cm="1">
        <f t="array" ref="P2125">SUMPRODUCT(("var_ncap"=[1]OUT_TransportEnergyCons!$B$4:$B$10000)*1,("-"=[1]OUT_TransportEnergyCons!$C$4:$C$10000)*1,ISNUMBER(SEARCH("T_C*pev*dsl*s2",[1]OUT_TransportEnergyCons!$A$4:$A$10000))*1,[1]OUT_TransportEnergyCons!N$4:N$10000)</f>
        <v>4.16845503387382E-5</v>
      </c>
      <c r="Q2125" s="1" cm="1">
        <f t="array" ref="Q2125">SUMPRODUCT(("var_ncap"=[1]OUT_TransportEnergyCons!$B$4:$B$10000)*1,("-"=[1]OUT_TransportEnergyCons!$C$4:$C$10000)*1,ISNUMBER(SEARCH("T_C*pev*dsl*s2",[1]OUT_TransportEnergyCons!$A$4:$A$10000))*1,[1]OUT_TransportEnergyCons!O$4:O$10000)</f>
        <v>5.6507379751507902E-5</v>
      </c>
      <c r="S2125" s="3"/>
    </row>
    <row r="2126" spans="2:19" x14ac:dyDescent="0.5">
      <c r="B2126" s="5" t="str">
        <f t="shared" si="2239"/>
        <v>SPS1</v>
      </c>
      <c r="C2126" s="5" t="str">
        <f t="shared" si="2240"/>
        <v>CH</v>
      </c>
      <c r="D2126" t="s">
        <v>2255</v>
      </c>
      <c r="E2126" t="str">
        <f t="shared" si="2241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3.1118688456717902E-2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7.6157627393486596E-2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0.31207497928991301</v>
      </c>
      <c r="J2126" s="1" cm="1">
        <f t="array" ref="J2126">SUMPRODUCT(("var_ncap"=[1]OUT_TransportEnergyCons!$B$4:$B$10000)*1,("-"=[1]OUT_TransportEnergyCons!$C$4:$C$10000)*1,ISNUMBER(SEARCH("T_C*pev*dsl*s3",[1]OUT_TransportEnergyCons!$A$4:$A$10000))*1,[1]OUT_TransportEnergyCons!H$4:H$10000)</f>
        <v>0.33086634063613002</v>
      </c>
      <c r="K2126" s="1" cm="1">
        <f t="array" ref="K2126">SUMPRODUCT(("var_ncap"=[1]OUT_TransportEnergyCons!$B$4:$B$10000)*1,("-"=[1]OUT_TransportEnergyCons!$C$4:$C$10000)*1,ISNUMBER(SEARCH("T_C*pev*dsl*s3",[1]OUT_TransportEnergyCons!$A$4:$A$10000))*1,[1]OUT_TransportEnergyCons!I$4:I$10000)</f>
        <v>2.0420496018452501E-3</v>
      </c>
      <c r="L2126" s="1" cm="1">
        <f t="array" ref="L2126">SUMPRODUCT(("var_ncap"=[1]OUT_TransportEnergyCons!$B$4:$B$10000)*1,("-"=[1]OUT_TransportEnergyCons!$C$4:$C$10000)*1,ISNUMBER(SEARCH("T_C*pev*dsl*s3",[1]OUT_TransportEnergyCons!$A$4:$A$10000))*1,[1]OUT_TransportEnergyCons!J$4:J$10000)</f>
        <v>0.115078860177268</v>
      </c>
      <c r="M2126" s="1" cm="1">
        <f t="array" ref="M2126">SUMPRODUCT(("var_ncap"=[1]OUT_TransportEnergyCons!$B$4:$B$10000)*1,("-"=[1]OUT_TransportEnergyCons!$C$4:$C$10000)*1,ISNUMBER(SEARCH("T_C*pev*dsl*s3",[1]OUT_TransportEnergyCons!$A$4:$A$10000))*1,[1]OUT_TransportEnergyCons!K$4:K$10000)</f>
        <v>0.20984458998845401</v>
      </c>
      <c r="N2126" s="1" cm="1">
        <f t="array" ref="N2126">SUMPRODUCT(("var_ncap"=[1]OUT_TransportEnergyCons!$B$4:$B$10000)*1,("-"=[1]OUT_TransportEnergyCons!$C$4:$C$10000)*1,ISNUMBER(SEARCH("T_C*pev*dsl*s3",[1]OUT_TransportEnergyCons!$A$4:$A$10000))*1,[1]OUT_TransportEnergyCons!L$4:L$10000)</f>
        <v>1.3745481899223499E-4</v>
      </c>
      <c r="O2126" s="1" cm="1">
        <f t="array" ref="O2126">SUMPRODUCT(("var_ncap"=[1]OUT_TransportEnergyCons!$B$4:$B$10000)*1,("-"=[1]OUT_TransportEnergyCons!$C$4:$C$10000)*1,ISNUMBER(SEARCH("T_C*pev*dsl*s3",[1]OUT_TransportEnergyCons!$A$4:$A$10000))*1,[1]OUT_TransportEnergyCons!M$4:M$10000)</f>
        <v>4.3499092072505E-5</v>
      </c>
      <c r="P2126" s="1" cm="1">
        <f t="array" ref="P2126">SUMPRODUCT(("var_ncap"=[1]OUT_TransportEnergyCons!$B$4:$B$10000)*1,("-"=[1]OUT_TransportEnergyCons!$C$4:$C$10000)*1,ISNUMBER(SEARCH("T_C*pev*dsl*s3",[1]OUT_TransportEnergyCons!$A$4:$A$10000))*1,[1]OUT_TransportEnergyCons!N$4:N$10000)</f>
        <v>4.0703120902862503E-5</v>
      </c>
      <c r="Q2126" s="1" cm="1">
        <f t="array" ref="Q2126">SUMPRODUCT(("var_ncap"=[1]OUT_TransportEnergyCons!$B$4:$B$10000)*1,("-"=[1]OUT_TransportEnergyCons!$C$4:$C$10000)*1,ISNUMBER(SEARCH("T_C*pev*dsl*s3",[1]OUT_TransportEnergyCons!$A$4:$A$10000))*1,[1]OUT_TransportEnergyCons!O$4:O$10000)</f>
        <v>5.8780195145571201E-5</v>
      </c>
      <c r="S2126" s="3"/>
    </row>
    <row r="2127" spans="2:19" x14ac:dyDescent="0.5">
      <c r="B2127" s="5" t="str">
        <f t="shared" si="2239"/>
        <v>SPS1</v>
      </c>
      <c r="C2127" s="5" t="str">
        <f t="shared" si="2240"/>
        <v>CH</v>
      </c>
      <c r="D2127" t="s">
        <v>2256</v>
      </c>
      <c r="E2127" t="str">
        <f t="shared" si="2241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4.1929481552295501E-4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5.3148080735957197E-4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6.70557562551087E-4</v>
      </c>
      <c r="J2127" s="1" cm="1">
        <f t="array" ref="J2127">SUMPRODUCT(("var_ncap"=[1]OUT_TransportEnergyCons!$B$4:$B$10000)*1,("-"=[1]OUT_TransportEnergyCons!$C$4:$C$10000)*1,ISNUMBER(SEARCH("T_C*pev*dsl*s4",[1]OUT_TransportEnergyCons!$A$4:$A$10000))*1,[1]OUT_TransportEnergyCons!H$4:H$10000)</f>
        <v>0.14280648119344</v>
      </c>
      <c r="K2127" s="1" cm="1">
        <f t="array" ref="K2127">SUMPRODUCT(("var_ncap"=[1]OUT_TransportEnergyCons!$B$4:$B$10000)*1,("-"=[1]OUT_TransportEnergyCons!$C$4:$C$10000)*1,ISNUMBER(SEARCH("T_C*pev*dsl*s4",[1]OUT_TransportEnergyCons!$A$4:$A$10000))*1,[1]OUT_TransportEnergyCons!I$4:I$10000)</f>
        <v>0.238713002910559</v>
      </c>
      <c r="L2127" s="1" cm="1">
        <f t="array" ref="L2127">SUMPRODUCT(("var_ncap"=[1]OUT_TransportEnergyCons!$B$4:$B$10000)*1,("-"=[1]OUT_TransportEnergyCons!$C$4:$C$10000)*1,ISNUMBER(SEARCH("T_C*pev*dsl*s4",[1]OUT_TransportEnergyCons!$A$4:$A$10000))*1,[1]OUT_TransportEnergyCons!J$4:J$10000)</f>
        <v>0.161543976742962</v>
      </c>
      <c r="M2127" s="1" cm="1">
        <f t="array" ref="M2127">SUMPRODUCT(("var_ncap"=[1]OUT_TransportEnergyCons!$B$4:$B$10000)*1,("-"=[1]OUT_TransportEnergyCons!$C$4:$C$10000)*1,ISNUMBER(SEARCH("T_C*pev*dsl*s4",[1]OUT_TransportEnergyCons!$A$4:$A$10000))*1,[1]OUT_TransportEnergyCons!K$4:K$10000)</f>
        <v>0.13548401428467799</v>
      </c>
      <c r="N2127" s="1" cm="1">
        <f t="array" ref="N2127">SUMPRODUCT(("var_ncap"=[1]OUT_TransportEnergyCons!$B$4:$B$10000)*1,("-"=[1]OUT_TransportEnergyCons!$C$4:$C$10000)*1,ISNUMBER(SEARCH("T_C*pev*dsl*s4",[1]OUT_TransportEnergyCons!$A$4:$A$10000))*1,[1]OUT_TransportEnergyCons!L$4:L$10000)</f>
        <v>0.21393173493169901</v>
      </c>
      <c r="O2127" s="1" cm="1">
        <f t="array" ref="O2127">SUMPRODUCT(("var_ncap"=[1]OUT_TransportEnergyCons!$B$4:$B$10000)*1,("-"=[1]OUT_TransportEnergyCons!$C$4:$C$10000)*1,ISNUMBER(SEARCH("T_C*pev*dsl*s4",[1]OUT_TransportEnergyCons!$A$4:$A$10000))*1,[1]OUT_TransportEnergyCons!M$4:M$10000)</f>
        <v>0.26234161996425598</v>
      </c>
      <c r="P2127" s="1" cm="1">
        <f t="array" ref="P2127">SUMPRODUCT(("var_ncap"=[1]OUT_TransportEnergyCons!$B$4:$B$10000)*1,("-"=[1]OUT_TransportEnergyCons!$C$4:$C$10000)*1,ISNUMBER(SEARCH("T_C*pev*dsl*s4",[1]OUT_TransportEnergyCons!$A$4:$A$10000))*1,[1]OUT_TransportEnergyCons!N$4:N$10000)</f>
        <v>0.29621488542330099</v>
      </c>
      <c r="Q2127" s="1" cm="1">
        <f t="array" ref="Q2127">SUMPRODUCT(("var_ncap"=[1]OUT_TransportEnergyCons!$B$4:$B$10000)*1,("-"=[1]OUT_TransportEnergyCons!$C$4:$C$10000)*1,ISNUMBER(SEARCH("T_C*pev*dsl*s4",[1]OUT_TransportEnergyCons!$A$4:$A$10000))*1,[1]OUT_TransportEnergyCons!O$4:O$10000)</f>
        <v>0.14096186657767101</v>
      </c>
      <c r="S2127" s="3"/>
    </row>
    <row r="2128" spans="2:19" x14ac:dyDescent="0.5">
      <c r="B2128" s="5" t="str">
        <f t="shared" si="2239"/>
        <v>SPS1</v>
      </c>
      <c r="C2128" s="5" t="str">
        <f t="shared" si="2240"/>
        <v>CH</v>
      </c>
      <c r="D2128" t="s">
        <v>2257</v>
      </c>
      <c r="E2128" t="str">
        <f t="shared" si="2241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8.9313367028962395E-6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3.9341635523421398E-6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6.1259850428075505E-7</v>
      </c>
      <c r="J2128" s="1" cm="1">
        <f t="array" ref="J2128">SUMPRODUCT(("var_ncap"=[1]OUT_TransportEnergyCons!$B$4:$B$10000)*1,("-"=[1]OUT_TransportEnergyCons!$C$4:$C$10000)*1,ISNUMBER(SEARCH("T_C*h2o*s1",[1]OUT_TransportEnergyCons!$A$4:$A$10000))*1,[1]OUT_TransportEnergyCons!H$4:H$10000)</f>
        <v>7.6664542259365396E-7</v>
      </c>
      <c r="K2128" s="1" cm="1">
        <f t="array" ref="K2128">SUMPRODUCT(("var_ncap"=[1]OUT_TransportEnergyCons!$B$4:$B$10000)*1,("-"=[1]OUT_TransportEnergyCons!$C$4:$C$10000)*1,ISNUMBER(SEARCH("T_C*h2o*s1",[1]OUT_TransportEnergyCons!$A$4:$A$10000))*1,[1]OUT_TransportEnergyCons!I$4:I$10000)</f>
        <v>1.4130145025895499E-6</v>
      </c>
      <c r="L2128" s="1" cm="1">
        <f t="array" ref="L2128">SUMPRODUCT(("var_ncap"=[1]OUT_TransportEnergyCons!$B$4:$B$10000)*1,("-"=[1]OUT_TransportEnergyCons!$C$4:$C$10000)*1,ISNUMBER(SEARCH("T_C*h2o*s1",[1]OUT_TransportEnergyCons!$A$4:$A$10000))*1,[1]OUT_TransportEnergyCons!J$4:J$10000)</f>
        <v>9.7074485706685595E-7</v>
      </c>
      <c r="M2128" s="1" cm="1">
        <f t="array" ref="M2128">SUMPRODUCT(("var_ncap"=[1]OUT_TransportEnergyCons!$B$4:$B$10000)*1,("-"=[1]OUT_TransportEnergyCons!$C$4:$C$10000)*1,ISNUMBER(SEARCH("T_C*h2o*s1",[1]OUT_TransportEnergyCons!$A$4:$A$10000))*1,[1]OUT_TransportEnergyCons!K$4:K$10000)</f>
        <v>8.3082054305088395E-7</v>
      </c>
      <c r="N2128" s="1" cm="1">
        <f t="array" ref="N2128">SUMPRODUCT(("var_ncap"=[1]OUT_TransportEnergyCons!$B$4:$B$10000)*1,("-"=[1]OUT_TransportEnergyCons!$C$4:$C$10000)*1,ISNUMBER(SEARCH("T_C*h2o*s1",[1]OUT_TransportEnergyCons!$A$4:$A$10000))*1,[1]OUT_TransportEnergyCons!L$4:L$10000)</f>
        <v>6.1790699109998504E-7</v>
      </c>
      <c r="O2128" s="1" cm="1">
        <f t="array" ref="O2128">SUMPRODUCT(("var_ncap"=[1]OUT_TransportEnergyCons!$B$4:$B$10000)*1,("-"=[1]OUT_TransportEnergyCons!$C$4:$C$10000)*1,ISNUMBER(SEARCH("T_C*h2o*s1",[1]OUT_TransportEnergyCons!$A$4:$A$10000))*1,[1]OUT_TransportEnergyCons!M$4:M$10000)</f>
        <v>6.3382115313931198E-7</v>
      </c>
      <c r="P2128" s="1" cm="1">
        <f t="array" ref="P2128">SUMPRODUCT(("var_ncap"=[1]OUT_TransportEnergyCons!$B$4:$B$10000)*1,("-"=[1]OUT_TransportEnergyCons!$C$4:$C$10000)*1,ISNUMBER(SEARCH("T_C*h2o*s1",[1]OUT_TransportEnergyCons!$A$4:$A$10000))*1,[1]OUT_TransportEnergyCons!N$4:N$10000)</f>
        <v>4.5866994772885701E-7</v>
      </c>
      <c r="Q2128" s="1" cm="1">
        <f t="array" ref="Q2128">SUMPRODUCT(("var_ncap"=[1]OUT_TransportEnergyCons!$B$4:$B$10000)*1,("-"=[1]OUT_TransportEnergyCons!$C$4:$C$10000)*1,ISNUMBER(SEARCH("T_C*h2o*s1",[1]OUT_TransportEnergyCons!$A$4:$A$10000))*1,[1]OUT_TransportEnergyCons!O$4:O$10000)</f>
        <v>4.67081828480496E-6</v>
      </c>
      <c r="S2128" s="3"/>
    </row>
    <row r="2129" spans="2:19" x14ac:dyDescent="0.5">
      <c r="B2129" s="5" t="str">
        <f t="shared" si="2239"/>
        <v>SPS1</v>
      </c>
      <c r="C2129" s="5" t="str">
        <f t="shared" si="2240"/>
        <v>CH</v>
      </c>
      <c r="D2129" t="s">
        <v>2258</v>
      </c>
      <c r="E2129" t="str">
        <f t="shared" si="2241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4.8666626336373201E-6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2.2612221986354902E-6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6.01097201051421E-7</v>
      </c>
      <c r="J2129" s="1" cm="1">
        <f t="array" ref="J2129">SUMPRODUCT(("var_ncap"=[1]OUT_TransportEnergyCons!$B$4:$B$10000)*1,("-"=[1]OUT_TransportEnergyCons!$C$4:$C$10000)*1,ISNUMBER(SEARCH("T_C*h2o*s2",[1]OUT_TransportEnergyCons!$A$4:$A$10000))*1,[1]OUT_TransportEnergyCons!H$4:H$10000)</f>
        <v>6.4418820814951297E-7</v>
      </c>
      <c r="K2129" s="1" cm="1">
        <f t="array" ref="K2129">SUMPRODUCT(("var_ncap"=[1]OUT_TransportEnergyCons!$B$4:$B$10000)*1,("-"=[1]OUT_TransportEnergyCons!$C$4:$C$10000)*1,ISNUMBER(SEARCH("T_C*h2o*s2",[1]OUT_TransportEnergyCons!$A$4:$A$10000))*1,[1]OUT_TransportEnergyCons!I$4:I$10000)</f>
        <v>9.5975174905329308E-7</v>
      </c>
      <c r="L2129" s="1" cm="1">
        <f t="array" ref="L2129">SUMPRODUCT(("var_ncap"=[1]OUT_TransportEnergyCons!$B$4:$B$10000)*1,("-"=[1]OUT_TransportEnergyCons!$C$4:$C$10000)*1,ISNUMBER(SEARCH("T_C*h2o*s2",[1]OUT_TransportEnergyCons!$A$4:$A$10000))*1,[1]OUT_TransportEnergyCons!J$4:J$10000)</f>
        <v>8.5274412448949703E-7</v>
      </c>
      <c r="M2129" s="1" cm="1">
        <f t="array" ref="M2129">SUMPRODUCT(("var_ncap"=[1]OUT_TransportEnergyCons!$B$4:$B$10000)*1,("-"=[1]OUT_TransportEnergyCons!$C$4:$C$10000)*1,ISNUMBER(SEARCH("T_C*h2o*s2",[1]OUT_TransportEnergyCons!$A$4:$A$10000))*1,[1]OUT_TransportEnergyCons!K$4:K$10000)</f>
        <v>7.3005535924466596E-7</v>
      </c>
      <c r="N2129" s="1" cm="1">
        <f t="array" ref="N2129">SUMPRODUCT(("var_ncap"=[1]OUT_TransportEnergyCons!$B$4:$B$10000)*1,("-"=[1]OUT_TransportEnergyCons!$C$4:$C$10000)*1,ISNUMBER(SEARCH("T_C*h2o*s2",[1]OUT_TransportEnergyCons!$A$4:$A$10000))*1,[1]OUT_TransportEnergyCons!L$4:L$10000)</f>
        <v>6.3029131182026804E-7</v>
      </c>
      <c r="O2129" s="1" cm="1">
        <f t="array" ref="O2129">SUMPRODUCT(("var_ncap"=[1]OUT_TransportEnergyCons!$B$4:$B$10000)*1,("-"=[1]OUT_TransportEnergyCons!$C$4:$C$10000)*1,ISNUMBER(SEARCH("T_C*h2o*s2",[1]OUT_TransportEnergyCons!$A$4:$A$10000))*1,[1]OUT_TransportEnergyCons!M$4:M$10000)</f>
        <v>7.8211569536099503E-7</v>
      </c>
      <c r="P2129" s="1" cm="1">
        <f t="array" ref="P2129">SUMPRODUCT(("var_ncap"=[1]OUT_TransportEnergyCons!$B$4:$B$10000)*1,("-"=[1]OUT_TransportEnergyCons!$C$4:$C$10000)*1,ISNUMBER(SEARCH("T_C*h2o*s2",[1]OUT_TransportEnergyCons!$A$4:$A$10000))*1,[1]OUT_TransportEnergyCons!N$4:N$10000)</f>
        <v>7.2229728532570804E-7</v>
      </c>
      <c r="Q2129" s="1" cm="1">
        <f t="array" ref="Q2129">SUMPRODUCT(("var_ncap"=[1]OUT_TransportEnergyCons!$B$4:$B$10000)*1,("-"=[1]OUT_TransportEnergyCons!$C$4:$C$10000)*1,ISNUMBER(SEARCH("T_C*h2o*s2",[1]OUT_TransportEnergyCons!$A$4:$A$10000))*1,[1]OUT_TransportEnergyCons!O$4:O$10000)</f>
        <v>4.68637294678515E-6</v>
      </c>
      <c r="S2129" s="3"/>
    </row>
    <row r="2130" spans="2:19" x14ac:dyDescent="0.5">
      <c r="B2130" s="5" t="str">
        <f t="shared" si="2239"/>
        <v>SPS1</v>
      </c>
      <c r="C2130" s="5" t="str">
        <f t="shared" si="2240"/>
        <v>CH</v>
      </c>
      <c r="D2130" t="s">
        <v>2259</v>
      </c>
      <c r="E2130" t="str">
        <f t="shared" si="2241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4.1212688898546198E-6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1.6756623147922E-6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5.4712389484548699E-7</v>
      </c>
      <c r="J2130" s="1" cm="1">
        <f t="array" ref="J2130">SUMPRODUCT(("var_ncap"=[1]OUT_TransportEnergyCons!$B$4:$B$10000)*1,("-"=[1]OUT_TransportEnergyCons!$C$4:$C$10000)*1,ISNUMBER(SEARCH("T_C*h2o*s3",[1]OUT_TransportEnergyCons!$A$4:$A$10000))*1,[1]OUT_TransportEnergyCons!H$4:H$10000)</f>
        <v>5.9309855997933796E-7</v>
      </c>
      <c r="K2130" s="1" cm="1">
        <f t="array" ref="K2130">SUMPRODUCT(("var_ncap"=[1]OUT_TransportEnergyCons!$B$4:$B$10000)*1,("-"=[1]OUT_TransportEnergyCons!$C$4:$C$10000)*1,ISNUMBER(SEARCH("T_C*h2o*s3",[1]OUT_TransportEnergyCons!$A$4:$A$10000))*1,[1]OUT_TransportEnergyCons!I$4:I$10000)</f>
        <v>8.00067052535384E-7</v>
      </c>
      <c r="L2130" s="1" cm="1">
        <f t="array" ref="L2130">SUMPRODUCT(("var_ncap"=[1]OUT_TransportEnergyCons!$B$4:$B$10000)*1,("-"=[1]OUT_TransportEnergyCons!$C$4:$C$10000)*1,ISNUMBER(SEARCH("T_C*h2o*s3",[1]OUT_TransportEnergyCons!$A$4:$A$10000))*1,[1]OUT_TransportEnergyCons!J$4:J$10000)</f>
        <v>7.8444219389798295E-7</v>
      </c>
      <c r="M2130" s="1" cm="1">
        <f t="array" ref="M2130">SUMPRODUCT(("var_ncap"=[1]OUT_TransportEnergyCons!$B$4:$B$10000)*1,("-"=[1]OUT_TransportEnergyCons!$C$4:$C$10000)*1,ISNUMBER(SEARCH("T_C*h2o*s3",[1]OUT_TransportEnergyCons!$A$4:$A$10000))*1,[1]OUT_TransportEnergyCons!K$4:K$10000)</f>
        <v>6.8377650542472702E-7</v>
      </c>
      <c r="N2130" s="1" cm="1">
        <f t="array" ref="N2130">SUMPRODUCT(("var_ncap"=[1]OUT_TransportEnergyCons!$B$4:$B$10000)*1,("-"=[1]OUT_TransportEnergyCons!$C$4:$C$10000)*1,ISNUMBER(SEARCH("T_C*h2o*s3",[1]OUT_TransportEnergyCons!$A$4:$A$10000))*1,[1]OUT_TransportEnergyCons!L$4:L$10000)</f>
        <v>6.4152506504170197E-7</v>
      </c>
      <c r="O2130" s="1" cm="1">
        <f t="array" ref="O2130">SUMPRODUCT(("var_ncap"=[1]OUT_TransportEnergyCons!$B$4:$B$10000)*1,("-"=[1]OUT_TransportEnergyCons!$C$4:$C$10000)*1,ISNUMBER(SEARCH("T_C*h2o*s3",[1]OUT_TransportEnergyCons!$A$4:$A$10000))*1,[1]OUT_TransportEnergyCons!M$4:M$10000)</f>
        <v>8.5900330118951204E-7</v>
      </c>
      <c r="P2130" s="1" cm="1">
        <f t="array" ref="P2130">SUMPRODUCT(("var_ncap"=[1]OUT_TransportEnergyCons!$B$4:$B$10000)*1,("-"=[1]OUT_TransportEnergyCons!$C$4:$C$10000)*1,ISNUMBER(SEARCH("T_C*h2o*s3",[1]OUT_TransportEnergyCons!$A$4:$A$10000))*1,[1]OUT_TransportEnergyCons!N$4:N$10000)</f>
        <v>8.8936206790559495E-7</v>
      </c>
      <c r="Q2130" s="1" cm="1">
        <f t="array" ref="Q2130">SUMPRODUCT(("var_ncap"=[1]OUT_TransportEnergyCons!$B$4:$B$10000)*1,("-"=[1]OUT_TransportEnergyCons!$C$4:$C$10000)*1,ISNUMBER(SEARCH("T_C*h2o*s3",[1]OUT_TransportEnergyCons!$A$4:$A$10000))*1,[1]OUT_TransportEnergyCons!O$4:O$10000)</f>
        <v>4.8413456305761097E-6</v>
      </c>
      <c r="S2130" s="3"/>
    </row>
    <row r="2131" spans="2:19" x14ac:dyDescent="0.5">
      <c r="B2131" s="5" t="str">
        <f t="shared" si="2239"/>
        <v>SPS1</v>
      </c>
      <c r="C2131" s="5" t="str">
        <f t="shared" si="2240"/>
        <v>CH</v>
      </c>
      <c r="D2131" t="s">
        <v>2260</v>
      </c>
      <c r="E2131" t="str">
        <f t="shared" si="2241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5.4201340991180596E-6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2.1448588594481401E-6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5.9707790097051198E-7</v>
      </c>
      <c r="J2131" s="1" cm="1">
        <f t="array" ref="J2131">SUMPRODUCT(("var_ncap"=[1]OUT_TransportEnergyCons!$B$4:$B$10000)*1,("-"=[1]OUT_TransportEnergyCons!$C$4:$C$10000)*1,ISNUMBER(SEARCH("T_C*h2o*s4",[1]OUT_TransportEnergyCons!$A$4:$A$10000))*1,[1]OUT_TransportEnergyCons!H$4:H$10000)</f>
        <v>6.5633530712187399E-7</v>
      </c>
      <c r="K2131" s="1" cm="1">
        <f t="array" ref="K2131">SUMPRODUCT(("var_ncap"=[1]OUT_TransportEnergyCons!$B$4:$B$10000)*1,("-"=[1]OUT_TransportEnergyCons!$C$4:$C$10000)*1,ISNUMBER(SEARCH("T_C*h2o*s4",[1]OUT_TransportEnergyCons!$A$4:$A$10000))*1,[1]OUT_TransportEnergyCons!I$4:I$10000)</f>
        <v>9.9321408891714794E-7</v>
      </c>
      <c r="L2131" s="1" cm="1">
        <f t="array" ref="L2131">SUMPRODUCT(("var_ncap"=[1]OUT_TransportEnergyCons!$B$4:$B$10000)*1,("-"=[1]OUT_TransportEnergyCons!$C$4:$C$10000)*1,ISNUMBER(SEARCH("T_C*h2o*s4",[1]OUT_TransportEnergyCons!$A$4:$A$10000))*1,[1]OUT_TransportEnergyCons!J$4:J$10000)</f>
        <v>8.8401244848252203E-7</v>
      </c>
      <c r="M2131" s="1" cm="1">
        <f t="array" ref="M2131">SUMPRODUCT(("var_ncap"=[1]OUT_TransportEnergyCons!$B$4:$B$10000)*1,("-"=[1]OUT_TransportEnergyCons!$C$4:$C$10000)*1,ISNUMBER(SEARCH("T_C*h2o*s4",[1]OUT_TransportEnergyCons!$A$4:$A$10000))*1,[1]OUT_TransportEnergyCons!K$4:K$10000)</f>
        <v>7.3021213119708199E-7</v>
      </c>
      <c r="N2131" s="1" cm="1">
        <f t="array" ref="N2131">SUMPRODUCT(("var_ncap"=[1]OUT_TransportEnergyCons!$B$4:$B$10000)*1,("-"=[1]OUT_TransportEnergyCons!$C$4:$C$10000)*1,ISNUMBER(SEARCH("T_C*h2o*s4",[1]OUT_TransportEnergyCons!$A$4:$A$10000))*1,[1]OUT_TransportEnergyCons!L$4:L$10000)</f>
        <v>6.1494246744288296E-7</v>
      </c>
      <c r="O2131" s="1" cm="1">
        <f t="array" ref="O2131">SUMPRODUCT(("var_ncap"=[1]OUT_TransportEnergyCons!$B$4:$B$10000)*1,("-"=[1]OUT_TransportEnergyCons!$C$4:$C$10000)*1,ISNUMBER(SEARCH("T_C*h2o*s4",[1]OUT_TransportEnergyCons!$A$4:$A$10000))*1,[1]OUT_TransportEnergyCons!M$4:M$10000)</f>
        <v>7.5066610656522397E-7</v>
      </c>
      <c r="P2131" s="1" cm="1">
        <f t="array" ref="P2131">SUMPRODUCT(("var_ncap"=[1]OUT_TransportEnergyCons!$B$4:$B$10000)*1,("-"=[1]OUT_TransportEnergyCons!$C$4:$C$10000)*1,ISNUMBER(SEARCH("T_C*h2o*s4",[1]OUT_TransportEnergyCons!$A$4:$A$10000))*1,[1]OUT_TransportEnergyCons!N$4:N$10000)</f>
        <v>6.4653576750981496E-7</v>
      </c>
      <c r="Q2131" s="1" cm="1">
        <f t="array" ref="Q2131">SUMPRODUCT(("var_ncap"=[1]OUT_TransportEnergyCons!$B$4:$B$10000)*1,("-"=[1]OUT_TransportEnergyCons!$C$4:$C$10000)*1,ISNUMBER(SEARCH("T_C*h2o*s4",[1]OUT_TransportEnergyCons!$A$4:$A$10000))*1,[1]OUT_TransportEnergyCons!O$4:O$10000)</f>
        <v>4.7858381203038402E-6</v>
      </c>
      <c r="S2131" s="3"/>
    </row>
    <row r="2132" spans="2:19" x14ac:dyDescent="0.5">
      <c r="B2132" s="5" t="str">
        <f t="shared" si="2239"/>
        <v>SPS1</v>
      </c>
      <c r="C2132" s="5" t="str">
        <f t="shared" si="2240"/>
        <v>CH</v>
      </c>
      <c r="D2132" t="s">
        <v>2261</v>
      </c>
      <c r="E2132" t="str">
        <f t="shared" si="2241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SUMPRODUCT(("var_ncap"=[1]OUT_TransportEnergyCons!$B$4:$B$10000)*1,("-"=[1]OUT_TransportEnergyCons!$C$4:$C$10000)*1,ISNUMBER(SEARCH("T_C*hy*GSL*ext",[1]OUT_TransportEnergyCons!$A$4:$A$10000))*1,[1]OUT_TransportEnergyCons!H$4:H$10000)</f>
        <v>0</v>
      </c>
      <c r="K2132" s="1" cm="1">
        <f t="array" ref="K2132">SUMPRODUCT(("var_ncap"=[1]OUT_TransportEnergyCons!$B$4:$B$10000)*1,("-"=[1]OUT_TransportEnergyCons!$C$4:$C$10000)*1,ISNUMBER(SEARCH("T_C*hy*GSL*ext",[1]OUT_TransportEnergyCons!$A$4:$A$10000))*1,[1]OUT_TransportEnergyCons!I$4:I$10000)</f>
        <v>0</v>
      </c>
      <c r="L2132" s="1" cm="1">
        <f t="array" ref="L2132">SUMPRODUCT(("var_ncap"=[1]OUT_TransportEnergyCons!$B$4:$B$10000)*1,("-"=[1]OUT_TransportEnergyCons!$C$4:$C$10000)*1,ISNUMBER(SEARCH("T_C*hy*GSL*ext",[1]OUT_TransportEnergyCons!$A$4:$A$10000))*1,[1]OUT_TransportEnergyCons!J$4:J$10000)</f>
        <v>0</v>
      </c>
      <c r="M2132" s="1" cm="1">
        <f t="array" ref="M2132">SUMPRODUCT(("var_ncap"=[1]OUT_TransportEnergyCons!$B$4:$B$10000)*1,("-"=[1]OUT_TransportEnergyCons!$C$4:$C$10000)*1,ISNUMBER(SEARCH("T_C*hy*GSL*ext",[1]OUT_TransportEnergyCons!$A$4:$A$10000))*1,[1]OUT_TransportEnergyCons!K$4:K$10000)</f>
        <v>0</v>
      </c>
      <c r="N2132" s="1" cm="1">
        <f t="array" ref="N2132">SUMPRODUCT(("var_ncap"=[1]OUT_TransportEnergyCons!$B$4:$B$10000)*1,("-"=[1]OUT_TransportEnergyCons!$C$4:$C$10000)*1,ISNUMBER(SEARCH("T_C*hy*GSL*ext",[1]OUT_TransportEnergyCons!$A$4:$A$10000))*1,[1]OUT_TransportEnergyCons!L$4:L$10000)</f>
        <v>0</v>
      </c>
      <c r="O2132" s="1" cm="1">
        <f t="array" ref="O2132">SUMPRODUCT(("var_ncap"=[1]OUT_TransportEnergyCons!$B$4:$B$10000)*1,("-"=[1]OUT_TransportEnergyCons!$C$4:$C$10000)*1,ISNUMBER(SEARCH("T_C*hy*GSL*ext",[1]OUT_TransportEnergyCons!$A$4:$A$10000))*1,[1]OUT_TransportEnergyCons!M$4:M$10000)</f>
        <v>0</v>
      </c>
      <c r="P2132" s="1" cm="1">
        <f t="array" ref="P2132">SUMPRODUCT(("var_ncap"=[1]OUT_TransportEnergyCons!$B$4:$B$10000)*1,("-"=[1]OUT_TransportEnergyCons!$C$4:$C$10000)*1,ISNUMBER(SEARCH("T_C*hy*GSL*ext",[1]OUT_TransportEnergyCons!$A$4:$A$10000))*1,[1]OUT_TransportEnergyCons!N$4:N$10000)</f>
        <v>0</v>
      </c>
      <c r="Q2132" s="1" cm="1">
        <f t="array" ref="Q2132">SUMPRODUCT(("var_ncap"=[1]OUT_TransportEnergyCons!$B$4:$B$10000)*1,("-"=[1]OUT_TransportEnergyCons!$C$4:$C$10000)*1,ISNUMBER(SEARCH("T_C*hy*GSL*ext",[1]OUT_TransportEnergyCons!$A$4:$A$10000))*1,[1]OUT_TransportEnergyCons!O$4:O$10000)</f>
        <v>0</v>
      </c>
      <c r="S2132" s="3"/>
    </row>
    <row r="2133" spans="2:19" x14ac:dyDescent="0.5">
      <c r="B2133" s="5" t="str">
        <f t="shared" si="2239"/>
        <v>SPS1</v>
      </c>
      <c r="C2133" s="5" t="str">
        <f t="shared" si="2240"/>
        <v>CH</v>
      </c>
      <c r="D2133" t="s">
        <v>2262</v>
      </c>
      <c r="E2133" t="str">
        <f t="shared" si="2241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3.1978829017533021E-4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1.7490522373439846E-2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2.3764007054505507E-3</v>
      </c>
      <c r="J2133" s="1" cm="1">
        <f t="array" ref="J2133">SUMPRODUCT(("var_ncap"=[1]OUT_TransportEnergyCons!$B$4:$B$10000)*1,("-"=[1]OUT_TransportEnergyCons!$C$4:$C$10000)*1,ISNUMBER(SEARCH("T_C*hy*GSL*s1",[1]OUT_TransportEnergyCons!$A$4:$A$10000))*1,[1]OUT_TransportEnergyCons!H$4:H$10000)</f>
        <v>4.1553754521638106E-2</v>
      </c>
      <c r="K2133" s="1" cm="1">
        <f t="array" ref="K2133">SUMPRODUCT(("var_ncap"=[1]OUT_TransportEnergyCons!$B$4:$B$10000)*1,("-"=[1]OUT_TransportEnergyCons!$C$4:$C$10000)*1,ISNUMBER(SEARCH("T_C*hy*GSL*s1",[1]OUT_TransportEnergyCons!$A$4:$A$10000))*1,[1]OUT_TransportEnergyCons!I$4:I$10000)</f>
        <v>4.2023442588713579E-2</v>
      </c>
      <c r="L2133" s="1" cm="1">
        <f t="array" ref="L2133">SUMPRODUCT(("var_ncap"=[1]OUT_TransportEnergyCons!$B$4:$B$10000)*1,("-"=[1]OUT_TransportEnergyCons!$C$4:$C$10000)*1,ISNUMBER(SEARCH("T_C*hy*GSL*s1",[1]OUT_TransportEnergyCons!$A$4:$A$10000))*1,[1]OUT_TransportEnergyCons!J$4:J$10000)</f>
        <v>3.2939709384660089E-4</v>
      </c>
      <c r="M2133" s="1" cm="1">
        <f t="array" ref="M2133">SUMPRODUCT(("var_ncap"=[1]OUT_TransportEnergyCons!$B$4:$B$10000)*1,("-"=[1]OUT_TransportEnergyCons!$C$4:$C$10000)*1,ISNUMBER(SEARCH("T_C*hy*GSL*s1",[1]OUT_TransportEnergyCons!$A$4:$A$10000))*1,[1]OUT_TransportEnergyCons!K$4:K$10000)</f>
        <v>3.3768234706678163E-4</v>
      </c>
      <c r="N2133" s="1" cm="1">
        <f t="array" ref="N2133">SUMPRODUCT(("var_ncap"=[1]OUT_TransportEnergyCons!$B$4:$B$10000)*1,("-"=[1]OUT_TransportEnergyCons!$C$4:$C$10000)*1,ISNUMBER(SEARCH("T_C*hy*GSL*s1",[1]OUT_TransportEnergyCons!$A$4:$A$10000))*1,[1]OUT_TransportEnergyCons!L$4:L$10000)</f>
        <v>1.5739479714012457E-3</v>
      </c>
      <c r="O2133" s="1" cm="1">
        <f t="array" ref="O2133">SUMPRODUCT(("var_ncap"=[1]OUT_TransportEnergyCons!$B$4:$B$10000)*1,("-"=[1]OUT_TransportEnergyCons!$C$4:$C$10000)*1,ISNUMBER(SEARCH("T_C*hy*GSL*s1",[1]OUT_TransportEnergyCons!$A$4:$A$10000))*1,[1]OUT_TransportEnergyCons!M$4:M$10000)</f>
        <v>2.330612343694E-2</v>
      </c>
      <c r="P2133" s="1" cm="1">
        <f t="array" ref="P2133">SUMPRODUCT(("var_ncap"=[1]OUT_TransportEnergyCons!$B$4:$B$10000)*1,("-"=[1]OUT_TransportEnergyCons!$C$4:$C$10000)*1,ISNUMBER(SEARCH("T_C*hy*GSL*s1",[1]OUT_TransportEnergyCons!$A$4:$A$10000))*1,[1]OUT_TransportEnergyCons!N$4:N$10000)</f>
        <v>7.9598310443189269E-2</v>
      </c>
      <c r="Q2133" s="1" cm="1">
        <f t="array" ref="Q2133">SUMPRODUCT(("var_ncap"=[1]OUT_TransportEnergyCons!$B$4:$B$10000)*1,("-"=[1]OUT_TransportEnergyCons!$C$4:$C$10000)*1,ISNUMBER(SEARCH("T_C*hy*GSL*s1",[1]OUT_TransportEnergyCons!$A$4:$A$10000))*1,[1]OUT_TransportEnergyCons!O$4:O$10000)</f>
        <v>2.7235352617692613E-2</v>
      </c>
      <c r="S2133" s="3"/>
    </row>
    <row r="2134" spans="2:19" x14ac:dyDescent="0.5">
      <c r="B2134" s="5" t="str">
        <f t="shared" si="2239"/>
        <v>SPS1</v>
      </c>
      <c r="C2134" s="5" t="str">
        <f t="shared" si="2240"/>
        <v>CH</v>
      </c>
      <c r="D2134" t="s">
        <v>2263</v>
      </c>
      <c r="E2134" t="str">
        <f t="shared" si="2241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8.0873336358594299E-4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9.0460346908271885E-3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5.0560267887290599E-4</v>
      </c>
      <c r="J2134" s="1" cm="1">
        <f t="array" ref="J2134">SUMPRODUCT(("var_ncap"=[1]OUT_TransportEnergyCons!$B$4:$B$10000)*1,("-"=[1]OUT_TransportEnergyCons!$C$4:$C$10000)*1,ISNUMBER(SEARCH("T_C*hy*GSL*s2",[1]OUT_TransportEnergyCons!$A$4:$A$10000))*1,[1]OUT_TransportEnergyCons!H$4:H$10000)</f>
        <v>8.2390357839569314E-2</v>
      </c>
      <c r="K2134" s="1" cm="1">
        <f t="array" ref="K2134">SUMPRODUCT(("var_ncap"=[1]OUT_TransportEnergyCons!$B$4:$B$10000)*1,("-"=[1]OUT_TransportEnergyCons!$C$4:$C$10000)*1,ISNUMBER(SEARCH("T_C*hy*GSL*s2",[1]OUT_TransportEnergyCons!$A$4:$A$10000))*1,[1]OUT_TransportEnergyCons!I$4:I$10000)</f>
        <v>1.0768227200395469E-3</v>
      </c>
      <c r="L2134" s="1" cm="1">
        <f t="array" ref="L2134">SUMPRODUCT(("var_ncap"=[1]OUT_TransportEnergyCons!$B$4:$B$10000)*1,("-"=[1]OUT_TransportEnergyCons!$C$4:$C$10000)*1,ISNUMBER(SEARCH("T_C*hy*GSL*s2",[1]OUT_TransportEnergyCons!$A$4:$A$10000))*1,[1]OUT_TransportEnergyCons!J$4:J$10000)</f>
        <v>3.7322654862814941E-4</v>
      </c>
      <c r="M2134" s="1" cm="1">
        <f t="array" ref="M2134">SUMPRODUCT(("var_ncap"=[1]OUT_TransportEnergyCons!$B$4:$B$10000)*1,("-"=[1]OUT_TransportEnergyCons!$C$4:$C$10000)*1,ISNUMBER(SEARCH("T_C*hy*GSL*s2",[1]OUT_TransportEnergyCons!$A$4:$A$10000))*1,[1]OUT_TransportEnergyCons!K$4:K$10000)</f>
        <v>4.4161904031122498E-4</v>
      </c>
      <c r="N2134" s="1" cm="1">
        <f t="array" ref="N2134">SUMPRODUCT(("var_ncap"=[1]OUT_TransportEnergyCons!$B$4:$B$10000)*1,("-"=[1]OUT_TransportEnergyCons!$C$4:$C$10000)*1,ISNUMBER(SEARCH("T_C*hy*GSL*s2",[1]OUT_TransportEnergyCons!$A$4:$A$10000))*1,[1]OUT_TransportEnergyCons!L$4:L$10000)</f>
        <v>3.5007485566944125E-4</v>
      </c>
      <c r="O2134" s="1" cm="1">
        <f t="array" ref="O2134">SUMPRODUCT(("var_ncap"=[1]OUT_TransportEnergyCons!$B$4:$B$10000)*1,("-"=[1]OUT_TransportEnergyCons!$C$4:$C$10000)*1,ISNUMBER(SEARCH("T_C*hy*GSL*s2",[1]OUT_TransportEnergyCons!$A$4:$A$10000))*1,[1]OUT_TransportEnergyCons!M$4:M$10000)</f>
        <v>8.0465389283741002E-4</v>
      </c>
      <c r="P2134" s="1" cm="1">
        <f t="array" ref="P2134">SUMPRODUCT(("var_ncap"=[1]OUT_TransportEnergyCons!$B$4:$B$10000)*1,("-"=[1]OUT_TransportEnergyCons!$C$4:$C$10000)*1,ISNUMBER(SEARCH("T_C*hy*GSL*s2",[1]OUT_TransportEnergyCons!$A$4:$A$10000))*1,[1]OUT_TransportEnergyCons!N$4:N$10000)</f>
        <v>9.8980266728489609E-4</v>
      </c>
      <c r="Q2134" s="1" cm="1">
        <f t="array" ref="Q2134">SUMPRODUCT(("var_ncap"=[1]OUT_TransportEnergyCons!$B$4:$B$10000)*1,("-"=[1]OUT_TransportEnergyCons!$C$4:$C$10000)*1,ISNUMBER(SEARCH("T_C*hy*GSL*s2",[1]OUT_TransportEnergyCons!$A$4:$A$10000))*1,[1]OUT_TransportEnergyCons!O$4:O$10000)</f>
        <v>3.9158490882830997E-4</v>
      </c>
      <c r="S2134" s="3"/>
    </row>
    <row r="2135" spans="2:19" x14ac:dyDescent="0.5">
      <c r="B2135" s="5" t="str">
        <f t="shared" si="2239"/>
        <v>SPS1</v>
      </c>
      <c r="C2135" s="5" t="str">
        <f t="shared" si="2240"/>
        <v>CH</v>
      </c>
      <c r="D2135" t="s">
        <v>2264</v>
      </c>
      <c r="E2135" t="str">
        <f t="shared" si="2241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0.16788510502436441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3.46257110293288E-4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2.5379921463123718E-4</v>
      </c>
      <c r="J2135" s="1" cm="1">
        <f t="array" ref="J2135">SUMPRODUCT(("var_ncap"=[1]OUT_TransportEnergyCons!$B$4:$B$10000)*1,("-"=[1]OUT_TransportEnergyCons!$C$4:$C$10000)*1,ISNUMBER(SEARCH("T_C*hy*GSL*s3",[1]OUT_TransportEnergyCons!$A$4:$A$10000))*1,[1]OUT_TransportEnergyCons!H$4:H$10000)</f>
        <v>2.18866752729903E-4</v>
      </c>
      <c r="K2135" s="1" cm="1">
        <f t="array" ref="K2135">SUMPRODUCT(("var_ncap"=[1]OUT_TransportEnergyCons!$B$4:$B$10000)*1,("-"=[1]OUT_TransportEnergyCons!$C$4:$C$10000)*1,ISNUMBER(SEARCH("T_C*hy*GSL*s3",[1]OUT_TransportEnergyCons!$A$4:$A$10000))*1,[1]OUT_TransportEnergyCons!I$4:I$10000)</f>
        <v>2.7975522532237103E-4</v>
      </c>
      <c r="L2135" s="1" cm="1">
        <f t="array" ref="L2135">SUMPRODUCT(("var_ncap"=[1]OUT_TransportEnergyCons!$B$4:$B$10000)*1,("-"=[1]OUT_TransportEnergyCons!$C$4:$C$10000)*1,ISNUMBER(SEARCH("T_C*hy*GSL*s3",[1]OUT_TransportEnergyCons!$A$4:$A$10000))*1,[1]OUT_TransportEnergyCons!J$4:J$10000)</f>
        <v>2.3279641263643301E-4</v>
      </c>
      <c r="M2135" s="1" cm="1">
        <f t="array" ref="M2135">SUMPRODUCT(("var_ncap"=[1]OUT_TransportEnergyCons!$B$4:$B$10000)*1,("-"=[1]OUT_TransportEnergyCons!$C$4:$C$10000)*1,ISNUMBER(SEARCH("T_C*hy*GSL*s3",[1]OUT_TransportEnergyCons!$A$4:$A$10000))*1,[1]OUT_TransportEnergyCons!K$4:K$10000)</f>
        <v>3.4043878047446596E-4</v>
      </c>
      <c r="N2135" s="1" cm="1">
        <f t="array" ref="N2135">SUMPRODUCT(("var_ncap"=[1]OUT_TransportEnergyCons!$B$4:$B$10000)*1,("-"=[1]OUT_TransportEnergyCons!$C$4:$C$10000)*1,ISNUMBER(SEARCH("T_C*hy*GSL*s3",[1]OUT_TransportEnergyCons!$A$4:$A$10000))*1,[1]OUT_TransportEnergyCons!L$4:L$10000)</f>
        <v>2.7829303747821095E-4</v>
      </c>
      <c r="O2135" s="1" cm="1">
        <f t="array" ref="O2135">SUMPRODUCT(("var_ncap"=[1]OUT_TransportEnergyCons!$B$4:$B$10000)*1,("-"=[1]OUT_TransportEnergyCons!$C$4:$C$10000)*1,ISNUMBER(SEARCH("T_C*hy*GSL*s3",[1]OUT_TransportEnergyCons!$A$4:$A$10000))*1,[1]OUT_TransportEnergyCons!M$4:M$10000)</f>
        <v>4.02898095329155E-4</v>
      </c>
      <c r="P2135" s="1" cm="1">
        <f t="array" ref="P2135">SUMPRODUCT(("var_ncap"=[1]OUT_TransportEnergyCons!$B$4:$B$10000)*1,("-"=[1]OUT_TransportEnergyCons!$C$4:$C$10000)*1,ISNUMBER(SEARCH("T_C*hy*GSL*s3",[1]OUT_TransportEnergyCons!$A$4:$A$10000))*1,[1]OUT_TransportEnergyCons!N$4:N$10000)</f>
        <v>4.9237957838222605E-4</v>
      </c>
      <c r="Q2135" s="1" cm="1">
        <f t="array" ref="Q2135">SUMPRODUCT(("var_ncap"=[1]OUT_TransportEnergyCons!$B$4:$B$10000)*1,("-"=[1]OUT_TransportEnergyCons!$C$4:$C$10000)*1,ISNUMBER(SEARCH("T_C*hy*GSL*s3",[1]OUT_TransportEnergyCons!$A$4:$A$10000))*1,[1]OUT_TransportEnergyCons!O$4:O$10000)</f>
        <v>2.6802258779765601E-4</v>
      </c>
      <c r="S2135" s="3"/>
    </row>
    <row r="2136" spans="2:19" x14ac:dyDescent="0.5">
      <c r="B2136" s="5" t="str">
        <f t="shared" si="2239"/>
        <v>SPS1</v>
      </c>
      <c r="C2136" s="5" t="str">
        <f t="shared" si="2240"/>
        <v>CH</v>
      </c>
      <c r="D2136" t="s">
        <v>2265</v>
      </c>
      <c r="E2136" t="str">
        <f t="shared" si="2241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3.4585584951538507E-4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3.4015762437550889E-2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0.11842970713204436</v>
      </c>
      <c r="J2136" s="1" cm="1">
        <f t="array" ref="J2136">SUMPRODUCT(("var_ncap"=[1]OUT_TransportEnergyCons!$B$4:$B$10000)*1,("-"=[1]OUT_TransportEnergyCons!$C$4:$C$10000)*1,ISNUMBER(SEARCH("T_C*hy*GSL*s4",[1]OUT_TransportEnergyCons!$A$4:$A$10000))*1,[1]OUT_TransportEnergyCons!H$4:H$10000)</f>
        <v>4.8325622047754237E-2</v>
      </c>
      <c r="K2136" s="1" cm="1">
        <f t="array" ref="K2136">SUMPRODUCT(("var_ncap"=[1]OUT_TransportEnergyCons!$B$4:$B$10000)*1,("-"=[1]OUT_TransportEnergyCons!$C$4:$C$10000)*1,ISNUMBER(SEARCH("T_C*hy*GSL*s4",[1]OUT_TransportEnergyCons!$A$4:$A$10000))*1,[1]OUT_TransportEnergyCons!I$4:I$10000)</f>
        <v>0.10300646614833042</v>
      </c>
      <c r="L2136" s="1" cm="1">
        <f t="array" ref="L2136">SUMPRODUCT(("var_ncap"=[1]OUT_TransportEnergyCons!$B$4:$B$10000)*1,("-"=[1]OUT_TransportEnergyCons!$C$4:$C$10000)*1,ISNUMBER(SEARCH("T_C*hy*GSL*s4",[1]OUT_TransportEnergyCons!$A$4:$A$10000))*1,[1]OUT_TransportEnergyCons!J$4:J$10000)</f>
        <v>0.13196459433289573</v>
      </c>
      <c r="M2136" s="1" cm="1">
        <f t="array" ref="M2136">SUMPRODUCT(("var_ncap"=[1]OUT_TransportEnergyCons!$B$4:$B$10000)*1,("-"=[1]OUT_TransportEnergyCons!$C$4:$C$10000)*1,ISNUMBER(SEARCH("T_C*hy*GSL*s4",[1]OUT_TransportEnergyCons!$A$4:$A$10000))*1,[1]OUT_TransportEnergyCons!K$4:K$10000)</f>
        <v>0.15685263133818911</v>
      </c>
      <c r="N2136" s="1" cm="1">
        <f t="array" ref="N2136">SUMPRODUCT(("var_ncap"=[1]OUT_TransportEnergyCons!$B$4:$B$10000)*1,("-"=[1]OUT_TransportEnergyCons!$C$4:$C$10000)*1,ISNUMBER(SEARCH("T_C*hy*GSL*s4",[1]OUT_TransportEnergyCons!$A$4:$A$10000))*1,[1]OUT_TransportEnergyCons!L$4:L$10000)</f>
        <v>0.1321832631092324</v>
      </c>
      <c r="O2136" s="1" cm="1">
        <f t="array" ref="O2136">SUMPRODUCT(("var_ncap"=[1]OUT_TransportEnergyCons!$B$4:$B$10000)*1,("-"=[1]OUT_TransportEnergyCons!$C$4:$C$10000)*1,ISNUMBER(SEARCH("T_C*hy*GSL*s4",[1]OUT_TransportEnergyCons!$A$4:$A$10000))*1,[1]OUT_TransportEnergyCons!M$4:M$10000)</f>
        <v>9.8162458587847376E-2</v>
      </c>
      <c r="P2136" s="1" cm="1">
        <f t="array" ref="P2136">SUMPRODUCT(("var_ncap"=[1]OUT_TransportEnergyCons!$B$4:$B$10000)*1,("-"=[1]OUT_TransportEnergyCons!$C$4:$C$10000)*1,ISNUMBER(SEARCH("T_C*hy*GSL*s4",[1]OUT_TransportEnergyCons!$A$4:$A$10000))*1,[1]OUT_TransportEnergyCons!N$4:N$10000)</f>
        <v>6.8113163780288213E-2</v>
      </c>
      <c r="Q2136" s="1" cm="1">
        <f t="array" ref="Q2136">SUMPRODUCT(("var_ncap"=[1]OUT_TransportEnergyCons!$B$4:$B$10000)*1,("-"=[1]OUT_TransportEnergyCons!$C$4:$C$10000)*1,ISNUMBER(SEARCH("T_C*hy*GSL*s4",[1]OUT_TransportEnergyCons!$A$4:$A$10000))*1,[1]OUT_TransportEnergyCons!O$4:O$10000)</f>
        <v>7.6148885852733189E-2</v>
      </c>
      <c r="S2136" s="3"/>
    </row>
    <row r="2137" spans="2:19" x14ac:dyDescent="0.5">
      <c r="B2137" s="5" t="str">
        <f t="shared" si="2239"/>
        <v>SPS1</v>
      </c>
      <c r="C2137" s="5" t="str">
        <f t="shared" si="2240"/>
        <v>CH</v>
      </c>
      <c r="D2137" t="s">
        <v>2266</v>
      </c>
      <c r="E2137" t="str">
        <f t="shared" si="2241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SUMPRODUCT(("var_ncap"=[1]OUT_TransportEnergyCons!$B$4:$B$10000)*1,("-"=[1]OUT_TransportEnergyCons!$C$4:$C$10000)*1,ISNUMBER(SEARCH("T_C*ICE*GSL*ext",[1]OUT_TransportEnergyCons!$A$4:$A$10000))*1,[1]OUT_TransportEnergyCons!H$4:H$10000)</f>
        <v>0</v>
      </c>
      <c r="K2137" s="1" cm="1">
        <f t="array" ref="K2137">SUMPRODUCT(("var_ncap"=[1]OUT_TransportEnergyCons!$B$4:$B$10000)*1,("-"=[1]OUT_TransportEnergyCons!$C$4:$C$10000)*1,ISNUMBER(SEARCH("T_C*ICE*GSL*ext",[1]OUT_TransportEnergyCons!$A$4:$A$10000))*1,[1]OUT_TransportEnergyCons!I$4:I$10000)</f>
        <v>0</v>
      </c>
      <c r="L2137" s="1" cm="1">
        <f t="array" ref="L2137">SUMPRODUCT(("var_ncap"=[1]OUT_TransportEnergyCons!$B$4:$B$10000)*1,("-"=[1]OUT_TransportEnergyCons!$C$4:$C$10000)*1,ISNUMBER(SEARCH("T_C*ICE*GSL*ext",[1]OUT_TransportEnergyCons!$A$4:$A$10000))*1,[1]OUT_TransportEnergyCons!J$4:J$10000)</f>
        <v>0</v>
      </c>
      <c r="M2137" s="1" cm="1">
        <f t="array" ref="M2137">SUMPRODUCT(("var_ncap"=[1]OUT_TransportEnergyCons!$B$4:$B$10000)*1,("-"=[1]OUT_TransportEnergyCons!$C$4:$C$10000)*1,ISNUMBER(SEARCH("T_C*ICE*GSL*ext",[1]OUT_TransportEnergyCons!$A$4:$A$10000))*1,[1]OUT_TransportEnergyCons!K$4:K$10000)</f>
        <v>0</v>
      </c>
      <c r="N2137" s="1" cm="1">
        <f t="array" ref="N2137">SUMPRODUCT(("var_ncap"=[1]OUT_TransportEnergyCons!$B$4:$B$10000)*1,("-"=[1]OUT_TransportEnergyCons!$C$4:$C$10000)*1,ISNUMBER(SEARCH("T_C*ICE*GSL*ext",[1]OUT_TransportEnergyCons!$A$4:$A$10000))*1,[1]OUT_TransportEnergyCons!L$4:L$10000)</f>
        <v>0</v>
      </c>
      <c r="O2137" s="1" cm="1">
        <f t="array" ref="O2137">SUMPRODUCT(("var_ncap"=[1]OUT_TransportEnergyCons!$B$4:$B$10000)*1,("-"=[1]OUT_TransportEnergyCons!$C$4:$C$10000)*1,ISNUMBER(SEARCH("T_C*ICE*GSL*ext",[1]OUT_TransportEnergyCons!$A$4:$A$10000))*1,[1]OUT_TransportEnergyCons!M$4:M$10000)</f>
        <v>0</v>
      </c>
      <c r="P2137" s="1" cm="1">
        <f t="array" ref="P2137">SUMPRODUCT(("var_ncap"=[1]OUT_TransportEnergyCons!$B$4:$B$10000)*1,("-"=[1]OUT_TransportEnergyCons!$C$4:$C$10000)*1,ISNUMBER(SEARCH("T_C*ICE*GSL*ext",[1]OUT_TransportEnergyCons!$A$4:$A$10000))*1,[1]OUT_TransportEnergyCons!N$4:N$10000)</f>
        <v>0</v>
      </c>
      <c r="Q2137" s="1" cm="1">
        <f t="array" ref="Q2137">SUMPRODUCT(("var_ncap"=[1]OUT_TransportEnergyCons!$B$4:$B$10000)*1,("-"=[1]OUT_TransportEnergyCons!$C$4:$C$10000)*1,ISNUMBER(SEARCH("T_C*ICE*GSL*ext",[1]OUT_TransportEnergyCons!$A$4:$A$10000))*1,[1]OUT_TransportEnergyCons!O$4:O$10000)</f>
        <v>0</v>
      </c>
      <c r="S2137" s="3"/>
    </row>
    <row r="2138" spans="2:19" x14ac:dyDescent="0.5">
      <c r="B2138" s="5" t="str">
        <f t="shared" si="2239"/>
        <v>SPS1</v>
      </c>
      <c r="C2138" s="5" t="str">
        <f t="shared" si="2240"/>
        <v>CH</v>
      </c>
      <c r="D2138" t="s">
        <v>2267</v>
      </c>
      <c r="E2138" t="str">
        <f t="shared" si="2241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9.1807390622747199E-5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3.0657978747189202E-4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3.3423011891765901E-4</v>
      </c>
      <c r="J2138" s="1" cm="1">
        <f t="array" ref="J2138">SUMPRODUCT(("var_ncap"=[1]OUT_TransportEnergyCons!$B$4:$B$10000)*1,("-"=[1]OUT_TransportEnergyCons!$C$4:$C$10000)*1,ISNUMBER(SEARCH("T_C*ICE*GSL*s1",[1]OUT_TransportEnergyCons!$A$4:$A$10000))*1,[1]OUT_TransportEnergyCons!H$4:H$10000)</f>
        <v>2.2703215364006899E-4</v>
      </c>
      <c r="K2138" s="1" cm="1">
        <f t="array" ref="K2138">SUMPRODUCT(("var_ncap"=[1]OUT_TransportEnergyCons!$B$4:$B$10000)*1,("-"=[1]OUT_TransportEnergyCons!$C$4:$C$10000)*1,ISNUMBER(SEARCH("T_C*ICE*GSL*s1",[1]OUT_TransportEnergyCons!$A$4:$A$10000))*1,[1]OUT_TransportEnergyCons!I$4:I$10000)</f>
        <v>2.6600807431915302E-4</v>
      </c>
      <c r="L2138" s="1" cm="1">
        <f t="array" ref="L2138">SUMPRODUCT(("var_ncap"=[1]OUT_TransportEnergyCons!$B$4:$B$10000)*1,("-"=[1]OUT_TransportEnergyCons!$C$4:$C$10000)*1,ISNUMBER(SEARCH("T_C*ICE*GSL*s1",[1]OUT_TransportEnergyCons!$A$4:$A$10000))*1,[1]OUT_TransportEnergyCons!J$4:J$10000)</f>
        <v>7.7540609562794507E-5</v>
      </c>
      <c r="M2138" s="1" cm="1">
        <f t="array" ref="M2138">SUMPRODUCT(("var_ncap"=[1]OUT_TransportEnergyCons!$B$4:$B$10000)*1,("-"=[1]OUT_TransportEnergyCons!$C$4:$C$10000)*1,ISNUMBER(SEARCH("T_C*ICE*GSL*s1",[1]OUT_TransportEnergyCons!$A$4:$A$10000))*1,[1]OUT_TransportEnergyCons!K$4:K$10000)</f>
        <v>7.6708321013558696E-5</v>
      </c>
      <c r="N2138" s="1" cm="1">
        <f t="array" ref="N2138">SUMPRODUCT(("var_ncap"=[1]OUT_TransportEnergyCons!$B$4:$B$10000)*1,("-"=[1]OUT_TransportEnergyCons!$C$4:$C$10000)*1,ISNUMBER(SEARCH("T_C*ICE*GSL*s1",[1]OUT_TransportEnergyCons!$A$4:$A$10000))*1,[1]OUT_TransportEnergyCons!L$4:L$10000)</f>
        <v>5.4007628270699097E-5</v>
      </c>
      <c r="O2138" s="1" cm="1">
        <f t="array" ref="O2138">SUMPRODUCT(("var_ncap"=[1]OUT_TransportEnergyCons!$B$4:$B$10000)*1,("-"=[1]OUT_TransportEnergyCons!$C$4:$C$10000)*1,ISNUMBER(SEARCH("T_C*ICE*GSL*s1",[1]OUT_TransportEnergyCons!$A$4:$A$10000))*1,[1]OUT_TransportEnergyCons!M$4:M$10000)</f>
        <v>8.1269545941770196E-5</v>
      </c>
      <c r="P2138" s="1" cm="1">
        <f t="array" ref="P2138">SUMPRODUCT(("var_ncap"=[1]OUT_TransportEnergyCons!$B$4:$B$10000)*1,("-"=[1]OUT_TransportEnergyCons!$C$4:$C$10000)*1,ISNUMBER(SEARCH("T_C*ICE*GSL*s1",[1]OUT_TransportEnergyCons!$A$4:$A$10000))*1,[1]OUT_TransportEnergyCons!N$4:N$10000)</f>
        <v>8.7926768707293496E-5</v>
      </c>
      <c r="Q2138" s="1" cm="1">
        <f t="array" ref="Q2138">SUMPRODUCT(("var_ncap"=[1]OUT_TransportEnergyCons!$B$4:$B$10000)*1,("-"=[1]OUT_TransportEnergyCons!$C$4:$C$10000)*1,ISNUMBER(SEARCH("T_C*ICE*GSL*s1",[1]OUT_TransportEnergyCons!$A$4:$A$10000))*1,[1]OUT_TransportEnergyCons!O$4:O$10000)</f>
        <v>1.12854490065934E-4</v>
      </c>
      <c r="S2138" s="3"/>
    </row>
    <row r="2139" spans="2:19" x14ac:dyDescent="0.5">
      <c r="B2139" s="5" t="str">
        <f t="shared" si="2239"/>
        <v>SPS1</v>
      </c>
      <c r="C2139" s="5" t="str">
        <f t="shared" si="2240"/>
        <v>CH</v>
      </c>
      <c r="D2139" t="s">
        <v>2268</v>
      </c>
      <c r="E2139" t="str">
        <f t="shared" si="2241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8.0127436553176204E-5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2.5556383357246901E-3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7.0960155010883904E-4</v>
      </c>
      <c r="J2139" s="1" cm="1">
        <f t="array" ref="J2139">SUMPRODUCT(("var_ncap"=[1]OUT_TransportEnergyCons!$B$4:$B$10000)*1,("-"=[1]OUT_TransportEnergyCons!$C$4:$C$10000)*1,ISNUMBER(SEARCH("T_C*ICE*GSL*s2",[1]OUT_TransportEnergyCons!$A$4:$A$10000))*1,[1]OUT_TransportEnergyCons!H$4:H$10000)</f>
        <v>5.4165137835835201E-4</v>
      </c>
      <c r="K2139" s="1" cm="1">
        <f t="array" ref="K2139">SUMPRODUCT(("var_ncap"=[1]OUT_TransportEnergyCons!$B$4:$B$10000)*1,("-"=[1]OUT_TransportEnergyCons!$C$4:$C$10000)*1,ISNUMBER(SEARCH("T_C*ICE*GSL*s2",[1]OUT_TransportEnergyCons!$A$4:$A$10000))*1,[1]OUT_TransportEnergyCons!I$4:I$10000)</f>
        <v>3.6181459244935099E-4</v>
      </c>
      <c r="L2139" s="1" cm="1">
        <f t="array" ref="L2139">SUMPRODUCT(("var_ncap"=[1]OUT_TransportEnergyCons!$B$4:$B$10000)*1,("-"=[1]OUT_TransportEnergyCons!$C$4:$C$10000)*1,ISNUMBER(SEARCH("T_C*ICE*GSL*s2",[1]OUT_TransportEnergyCons!$A$4:$A$10000))*1,[1]OUT_TransportEnergyCons!J$4:J$10000)</f>
        <v>1.00185869094637E-4</v>
      </c>
      <c r="M2139" s="1" cm="1">
        <f t="array" ref="M2139">SUMPRODUCT(("var_ncap"=[1]OUT_TransportEnergyCons!$B$4:$B$10000)*1,("-"=[1]OUT_TransportEnergyCons!$C$4:$C$10000)*1,ISNUMBER(SEARCH("T_C*ICE*GSL*s2",[1]OUT_TransportEnergyCons!$A$4:$A$10000))*1,[1]OUT_TransportEnergyCons!K$4:K$10000)</f>
        <v>1.02483920643455E-4</v>
      </c>
      <c r="N2139" s="1" cm="1">
        <f t="array" ref="N2139">SUMPRODUCT(("var_ncap"=[1]OUT_TransportEnergyCons!$B$4:$B$10000)*1,("-"=[1]OUT_TransportEnergyCons!$C$4:$C$10000)*1,ISNUMBER(SEARCH("T_C*ICE*GSL*s2",[1]OUT_TransportEnergyCons!$A$4:$A$10000))*1,[1]OUT_TransportEnergyCons!L$4:L$10000)</f>
        <v>7.14307018667533E-5</v>
      </c>
      <c r="O2139" s="1" cm="1">
        <f t="array" ref="O2139">SUMPRODUCT(("var_ncap"=[1]OUT_TransportEnergyCons!$B$4:$B$10000)*1,("-"=[1]OUT_TransportEnergyCons!$C$4:$C$10000)*1,ISNUMBER(SEARCH("T_C*ICE*GSL*s2",[1]OUT_TransportEnergyCons!$A$4:$A$10000))*1,[1]OUT_TransportEnergyCons!M$4:M$10000)</f>
        <v>1.13697654731278E-4</v>
      </c>
      <c r="P2139" s="1" cm="1">
        <f t="array" ref="P2139">SUMPRODUCT(("var_ncap"=[1]OUT_TransportEnergyCons!$B$4:$B$10000)*1,("-"=[1]OUT_TransportEnergyCons!$C$4:$C$10000)*1,ISNUMBER(SEARCH("T_C*ICE*GSL*s2",[1]OUT_TransportEnergyCons!$A$4:$A$10000))*1,[1]OUT_TransportEnergyCons!N$4:N$10000)</f>
        <v>1.2478584917985299E-4</v>
      </c>
      <c r="Q2139" s="1" cm="1">
        <f t="array" ref="Q2139">SUMPRODUCT(("var_ncap"=[1]OUT_TransportEnergyCons!$B$4:$B$10000)*1,("-"=[1]OUT_TransportEnergyCons!$C$4:$C$10000)*1,ISNUMBER(SEARCH("T_C*ICE*GSL*s2",[1]OUT_TransportEnergyCons!$A$4:$A$10000))*1,[1]OUT_TransportEnergyCons!O$4:O$10000)</f>
        <v>1.4665702501609501E-4</v>
      </c>
      <c r="S2139" s="3"/>
    </row>
    <row r="2140" spans="2:19" x14ac:dyDescent="0.5">
      <c r="B2140" s="5" t="str">
        <f t="shared" si="2239"/>
        <v>SPS1</v>
      </c>
      <c r="C2140" s="5" t="str">
        <f t="shared" si="2240"/>
        <v>CH</v>
      </c>
      <c r="D2140" t="s">
        <v>2269</v>
      </c>
      <c r="E2140" t="str">
        <f t="shared" si="2241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1.5145180130944399E-4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6.2911872087322795E-2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3.02908133279918E-3</v>
      </c>
      <c r="J2140" s="1" cm="1">
        <f t="array" ref="J2140">SUMPRODUCT(("var_ncap"=[1]OUT_TransportEnergyCons!$B$4:$B$10000)*1,("-"=[1]OUT_TransportEnergyCons!$C$4:$C$10000)*1,ISNUMBER(SEARCH("T_C*ICE*GSL*s3",[1]OUT_TransportEnergyCons!$A$4:$A$10000))*1,[1]OUT_TransportEnergyCons!H$4:H$10000)</f>
        <v>2.6251143646730001E-2</v>
      </c>
      <c r="K2140" s="1" cm="1">
        <f t="array" ref="K2140">SUMPRODUCT(("var_ncap"=[1]OUT_TransportEnergyCons!$B$4:$B$10000)*1,("-"=[1]OUT_TransportEnergyCons!$C$4:$C$10000)*1,ISNUMBER(SEARCH("T_C*ICE*GSL*s3",[1]OUT_TransportEnergyCons!$A$4:$A$10000))*1,[1]OUT_TransportEnergyCons!I$4:I$10000)</f>
        <v>1.83153481416829E-3</v>
      </c>
      <c r="L2140" s="1" cm="1">
        <f t="array" ref="L2140">SUMPRODUCT(("var_ncap"=[1]OUT_TransportEnergyCons!$B$4:$B$10000)*1,("-"=[1]OUT_TransportEnergyCons!$C$4:$C$10000)*1,ISNUMBER(SEARCH("T_C*ICE*GSL*s3",[1]OUT_TransportEnergyCons!$A$4:$A$10000))*1,[1]OUT_TransportEnergyCons!J$4:J$10000)</f>
        <v>1.45520991109725E-4</v>
      </c>
      <c r="M2140" s="1" cm="1">
        <f t="array" ref="M2140">SUMPRODUCT(("var_ncap"=[1]OUT_TransportEnergyCons!$B$4:$B$10000)*1,("-"=[1]OUT_TransportEnergyCons!$C$4:$C$10000)*1,ISNUMBER(SEARCH("T_C*ICE*GSL*s3",[1]OUT_TransportEnergyCons!$A$4:$A$10000))*1,[1]OUT_TransportEnergyCons!K$4:K$10000)</f>
        <v>1.5356236750801899E-4</v>
      </c>
      <c r="N2140" s="1" cm="1">
        <f t="array" ref="N2140">SUMPRODUCT(("var_ncap"=[1]OUT_TransportEnergyCons!$B$4:$B$10000)*1,("-"=[1]OUT_TransportEnergyCons!$C$4:$C$10000)*1,ISNUMBER(SEARCH("T_C*ICE*GSL*s3",[1]OUT_TransportEnergyCons!$A$4:$A$10000))*1,[1]OUT_TransportEnergyCons!L$4:L$10000)</f>
        <v>1.06013935836187E-4</v>
      </c>
      <c r="O2140" s="1" cm="1">
        <f t="array" ref="O2140">SUMPRODUCT(("var_ncap"=[1]OUT_TransportEnergyCons!$B$4:$B$10000)*1,("-"=[1]OUT_TransportEnergyCons!$C$4:$C$10000)*1,ISNUMBER(SEARCH("T_C*ICE*GSL*s3",[1]OUT_TransportEnergyCons!$A$4:$A$10000))*1,[1]OUT_TransportEnergyCons!M$4:M$10000)</f>
        <v>1.59063329814344E-4</v>
      </c>
      <c r="P2140" s="1" cm="1">
        <f t="array" ref="P2140">SUMPRODUCT(("var_ncap"=[1]OUT_TransportEnergyCons!$B$4:$B$10000)*1,("-"=[1]OUT_TransportEnergyCons!$C$4:$C$10000)*1,ISNUMBER(SEARCH("T_C*ICE*GSL*s3",[1]OUT_TransportEnergyCons!$A$4:$A$10000))*1,[1]OUT_TransportEnergyCons!N$4:N$10000)</f>
        <v>1.61791628702117E-4</v>
      </c>
      <c r="Q2140" s="1" cm="1">
        <f t="array" ref="Q2140">SUMPRODUCT(("var_ncap"=[1]OUT_TransportEnergyCons!$B$4:$B$10000)*1,("-"=[1]OUT_TransportEnergyCons!$C$4:$C$10000)*1,ISNUMBER(SEARCH("T_C*ICE*GSL*s3",[1]OUT_TransportEnergyCons!$A$4:$A$10000))*1,[1]OUT_TransportEnergyCons!O$4:O$10000)</f>
        <v>1.6898262459787399E-4</v>
      </c>
      <c r="S2140" s="3"/>
    </row>
    <row r="2141" spans="2:19" x14ac:dyDescent="0.5">
      <c r="B2141" s="5" t="str">
        <f t="shared" si="2239"/>
        <v>SPS1</v>
      </c>
      <c r="C2141" s="5" t="str">
        <f t="shared" si="2240"/>
        <v>CH</v>
      </c>
      <c r="D2141" t="s">
        <v>2270</v>
      </c>
      <c r="E2141" t="str">
        <f t="shared" si="2241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1.13663160740117E-4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0.28085462702119501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0.51193163828720001</v>
      </c>
      <c r="J2141" s="1" cm="1">
        <f t="array" ref="J2141">SUMPRODUCT(("var_ncap"=[1]OUT_TransportEnergyCons!$B$4:$B$10000)*1,("-"=[1]OUT_TransportEnergyCons!$C$4:$C$10000)*1,ISNUMBER(SEARCH("T_C*ICE*GSL*s4",[1]OUT_TransportEnergyCons!$A$4:$A$10000))*1,[1]OUT_TransportEnergyCons!H$4:H$10000)</f>
        <v>0.57511079252989095</v>
      </c>
      <c r="K2141" s="1" cm="1">
        <f t="array" ref="K2141">SUMPRODUCT(("var_ncap"=[1]OUT_TransportEnergyCons!$B$4:$B$10000)*1,("-"=[1]OUT_TransportEnergyCons!$C$4:$C$10000)*1,ISNUMBER(SEARCH("T_C*ICE*GSL*s4",[1]OUT_TransportEnergyCons!$A$4:$A$10000))*1,[1]OUT_TransportEnergyCons!I$4:I$10000)</f>
        <v>0.45770803360991302</v>
      </c>
      <c r="L2141" s="1" cm="1">
        <f t="array" ref="L2141">SUMPRODUCT(("var_ncap"=[1]OUT_TransportEnergyCons!$B$4:$B$10000)*1,("-"=[1]OUT_TransportEnergyCons!$C$4:$C$10000)*1,ISNUMBER(SEARCH("T_C*ICE*GSL*s4",[1]OUT_TransportEnergyCons!$A$4:$A$10000))*1,[1]OUT_TransportEnergyCons!J$4:J$10000)</f>
        <v>0.51336588377001702</v>
      </c>
      <c r="M2141" s="1" cm="1">
        <f t="array" ref="M2141">SUMPRODUCT(("var_ncap"=[1]OUT_TransportEnergyCons!$B$4:$B$10000)*1,("-"=[1]OUT_TransportEnergyCons!$C$4:$C$10000)*1,ISNUMBER(SEARCH("T_C*ICE*GSL*s4",[1]OUT_TransportEnergyCons!$A$4:$A$10000))*1,[1]OUT_TransportEnergyCons!K$4:K$10000)</f>
        <v>0.54662379770661795</v>
      </c>
      <c r="N2141" s="1" cm="1">
        <f t="array" ref="N2141">SUMPRODUCT(("var_ncap"=[1]OUT_TransportEnergyCons!$B$4:$B$10000)*1,("-"=[1]OUT_TransportEnergyCons!$C$4:$C$10000)*1,ISNUMBER(SEARCH("T_C*ICE*GSL*s4",[1]OUT_TransportEnergyCons!$A$4:$A$10000))*1,[1]OUT_TransportEnergyCons!L$4:L$10000)</f>
        <v>0.459274104071976</v>
      </c>
      <c r="O2141" s="1" cm="1">
        <f t="array" ref="O2141">SUMPRODUCT(("var_ncap"=[1]OUT_TransportEnergyCons!$B$4:$B$10000)*1,("-"=[1]OUT_TransportEnergyCons!$C$4:$C$10000)*1,ISNUMBER(SEARCH("T_C*ICE*GSL*s4",[1]OUT_TransportEnergyCons!$A$4:$A$10000))*1,[1]OUT_TransportEnergyCons!M$4:M$10000)</f>
        <v>0.44524000252687801</v>
      </c>
      <c r="P2141" s="1" cm="1">
        <f t="array" ref="P2141">SUMPRODUCT(("var_ncap"=[1]OUT_TransportEnergyCons!$B$4:$B$10000)*1,("-"=[1]OUT_TransportEnergyCons!$C$4:$C$10000)*1,ISNUMBER(SEARCH("T_C*ICE*GSL*s4",[1]OUT_TransportEnergyCons!$A$4:$A$10000))*1,[1]OUT_TransportEnergyCons!N$4:N$10000)</f>
        <v>0.426141943542859</v>
      </c>
      <c r="Q2141" s="1" cm="1">
        <f t="array" ref="Q2141">SUMPRODUCT(("var_ncap"=[1]OUT_TransportEnergyCons!$B$4:$B$10000)*1,("-"=[1]OUT_TransportEnergyCons!$C$4:$C$10000)*1,ISNUMBER(SEARCH("T_C*ICE*GSL*s4",[1]OUT_TransportEnergyCons!$A$4:$A$10000))*1,[1]OUT_TransportEnergyCons!O$4:O$10000)</f>
        <v>0.29963075714526699</v>
      </c>
      <c r="S2141" s="3"/>
    </row>
    <row r="2142" spans="2:19" x14ac:dyDescent="0.5">
      <c r="B2142" s="5" t="str">
        <f t="shared" si="2239"/>
        <v>SPS1</v>
      </c>
      <c r="C2142" s="5" t="str">
        <f t="shared" si="2240"/>
        <v>CH</v>
      </c>
      <c r="D2142" t="s">
        <v>2271</v>
      </c>
      <c r="E2142" t="str">
        <f t="shared" si="2241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8.8413422584416199E-5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1.7273028316804499E-2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2.2345187059554998E-3</v>
      </c>
      <c r="J2142" s="1" cm="1">
        <f t="array" ref="J2142">SUMPRODUCT(("var_ncap"=[1]OUT_TransportEnergyCons!$B$4:$B$10000)*1,("-"=[1]OUT_TransportEnergyCons!$C$4:$C$10000)*1,ISNUMBER(SEARCH("T_C*mhy*GSL*s1",[1]OUT_TransportEnergyCons!$A$4:$A$10000))*1,[1]OUT_TransportEnergyCons!H$4:H$10000)</f>
        <v>1.5784136588580799E-4</v>
      </c>
      <c r="K2142" s="1" cm="1">
        <f t="array" ref="K2142">SUMPRODUCT(("var_ncap"=[1]OUT_TransportEnergyCons!$B$4:$B$10000)*1,("-"=[1]OUT_TransportEnergyCons!$C$4:$C$10000)*1,ISNUMBER(SEARCH("T_C*mhy*GSL*s1",[1]OUT_TransportEnergyCons!$A$4:$A$10000))*1,[1]OUT_TransportEnergyCons!I$4:I$10000)</f>
        <v>1.69073798791382E-4</v>
      </c>
      <c r="L2142" s="1" cm="1">
        <f t="array" ref="L2142">SUMPRODUCT(("var_ncap"=[1]OUT_TransportEnergyCons!$B$4:$B$10000)*1,("-"=[1]OUT_TransportEnergyCons!$C$4:$C$10000)*1,ISNUMBER(SEARCH("T_C*mhy*GSL*s1",[1]OUT_TransportEnergyCons!$A$4:$A$10000))*1,[1]OUT_TransportEnergyCons!J$4:J$10000)</f>
        <v>8.6742875073079906E-5</v>
      </c>
      <c r="M2142" s="1" cm="1">
        <f t="array" ref="M2142">SUMPRODUCT(("var_ncap"=[1]OUT_TransportEnergyCons!$B$4:$B$10000)*1,("-"=[1]OUT_TransportEnergyCons!$C$4:$C$10000)*1,ISNUMBER(SEARCH("T_C*mhy*GSL*s1",[1]OUT_TransportEnergyCons!$A$4:$A$10000))*1,[1]OUT_TransportEnergyCons!K$4:K$10000)</f>
        <v>9.3870039847890606E-5</v>
      </c>
      <c r="N2142" s="1" cm="1">
        <f t="array" ref="N2142">SUMPRODUCT(("var_ncap"=[1]OUT_TransportEnergyCons!$B$4:$B$10000)*1,("-"=[1]OUT_TransportEnergyCons!$C$4:$C$10000)*1,ISNUMBER(SEARCH("T_C*mhy*GSL*s1",[1]OUT_TransportEnergyCons!$A$4:$A$10000))*1,[1]OUT_TransportEnergyCons!L$4:L$10000)</f>
        <v>7.5756362422845503E-5</v>
      </c>
      <c r="O2142" s="1" cm="1">
        <f t="array" ref="O2142">SUMPRODUCT(("var_ncap"=[1]OUT_TransportEnergyCons!$B$4:$B$10000)*1,("-"=[1]OUT_TransportEnergyCons!$C$4:$C$10000)*1,ISNUMBER(SEARCH("T_C*mhy*GSL*s1",[1]OUT_TransportEnergyCons!$A$4:$A$10000))*1,[1]OUT_TransportEnergyCons!M$4:M$10000)</f>
        <v>1.9938788273949999E-4</v>
      </c>
      <c r="P2142" s="1" cm="1">
        <f t="array" ref="P2142">SUMPRODUCT(("var_ncap"=[1]OUT_TransportEnergyCons!$B$4:$B$10000)*1,("-"=[1]OUT_TransportEnergyCons!$C$4:$C$10000)*1,ISNUMBER(SEARCH("T_C*mhy*GSL*s1",[1]OUT_TransportEnergyCons!$A$4:$A$10000))*1,[1]OUT_TransportEnergyCons!N$4:N$10000)</f>
        <v>5.0608448143226598E-4</v>
      </c>
      <c r="Q2142" s="1" cm="1">
        <f t="array" ref="Q2142">SUMPRODUCT(("var_ncap"=[1]OUT_TransportEnergyCons!$B$4:$B$10000)*1,("-"=[1]OUT_TransportEnergyCons!$C$4:$C$10000)*1,ISNUMBER(SEARCH("T_C*mhy*GSL*s1",[1]OUT_TransportEnergyCons!$A$4:$A$10000))*1,[1]OUT_TransportEnergyCons!O$4:O$10000)</f>
        <v>3.1217249726811199E-4</v>
      </c>
      <c r="S2142" s="3"/>
    </row>
    <row r="2143" spans="2:19" x14ac:dyDescent="0.5">
      <c r="B2143" s="5" t="str">
        <f t="shared" si="2239"/>
        <v>SPS1</v>
      </c>
      <c r="C2143" s="5" t="str">
        <f t="shared" si="2240"/>
        <v>CH</v>
      </c>
      <c r="D2143" t="s">
        <v>2272</v>
      </c>
      <c r="E2143" t="str">
        <f t="shared" si="2241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4.5136282207592997E-5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4.9281972896534905E-4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3.3661459606595099E-4</v>
      </c>
      <c r="J2143" s="1" cm="1">
        <f t="array" ref="J2143">SUMPRODUCT(("var_ncap"=[1]OUT_TransportEnergyCons!$B$4:$B$10000)*1,("-"=[1]OUT_TransportEnergyCons!$C$4:$C$10000)*1,ISNUMBER(SEARCH("T_C*mhy*GSL*s2",[1]OUT_TransportEnergyCons!$A$4:$A$10000))*1,[1]OUT_TransportEnergyCons!H$4:H$10000)</f>
        <v>1.4775989120902199E-4</v>
      </c>
      <c r="K2143" s="1" cm="1">
        <f t="array" ref="K2143">SUMPRODUCT(("var_ncap"=[1]OUT_TransportEnergyCons!$B$4:$B$10000)*1,("-"=[1]OUT_TransportEnergyCons!$C$4:$C$10000)*1,ISNUMBER(SEARCH("T_C*mhy*GSL*s2",[1]OUT_TransportEnergyCons!$A$4:$A$10000))*1,[1]OUT_TransportEnergyCons!I$4:I$10000)</f>
        <v>1.481592467559E-4</v>
      </c>
      <c r="L2143" s="1" cm="1">
        <f t="array" ref="L2143">SUMPRODUCT(("var_ncap"=[1]OUT_TransportEnergyCons!$B$4:$B$10000)*1,("-"=[1]OUT_TransportEnergyCons!$C$4:$C$10000)*1,ISNUMBER(SEARCH("T_C*mhy*GSL*s2",[1]OUT_TransportEnergyCons!$A$4:$A$10000))*1,[1]OUT_TransportEnergyCons!J$4:J$10000)</f>
        <v>9.4217387453895406E-5</v>
      </c>
      <c r="M2143" s="1" cm="1">
        <f t="array" ref="M2143">SUMPRODUCT(("var_ncap"=[1]OUT_TransportEnergyCons!$B$4:$B$10000)*1,("-"=[1]OUT_TransportEnergyCons!$C$4:$C$10000)*1,ISNUMBER(SEARCH("T_C*mhy*GSL*s2",[1]OUT_TransportEnergyCons!$A$4:$A$10000))*1,[1]OUT_TransportEnergyCons!K$4:K$10000)</f>
        <v>1.0539542226146201E-4</v>
      </c>
      <c r="N2143" s="1" cm="1">
        <f t="array" ref="N2143">SUMPRODUCT(("var_ncap"=[1]OUT_TransportEnergyCons!$B$4:$B$10000)*1,("-"=[1]OUT_TransportEnergyCons!$C$4:$C$10000)*1,ISNUMBER(SEARCH("T_C*mhy*GSL*s2",[1]OUT_TransportEnergyCons!$A$4:$A$10000))*1,[1]OUT_TransportEnergyCons!L$4:L$10000)</f>
        <v>8.6293273555507302E-5</v>
      </c>
      <c r="O2143" s="1" cm="1">
        <f t="array" ref="O2143">SUMPRODUCT(("var_ncap"=[1]OUT_TransportEnergyCons!$B$4:$B$10000)*1,("-"=[1]OUT_TransportEnergyCons!$C$4:$C$10000)*1,ISNUMBER(SEARCH("T_C*mhy*GSL*s2",[1]OUT_TransportEnergyCons!$A$4:$A$10000))*1,[1]OUT_TransportEnergyCons!M$4:M$10000)</f>
        <v>1.7476010474651101E-4</v>
      </c>
      <c r="P2143" s="1" cm="1">
        <f t="array" ref="P2143">SUMPRODUCT(("var_ncap"=[1]OUT_TransportEnergyCons!$B$4:$B$10000)*1,("-"=[1]OUT_TransportEnergyCons!$C$4:$C$10000)*1,ISNUMBER(SEARCH("T_C*mhy*GSL*s2",[1]OUT_TransportEnergyCons!$A$4:$A$10000))*1,[1]OUT_TransportEnergyCons!N$4:N$10000)</f>
        <v>2.5668392756016302E-4</v>
      </c>
      <c r="Q2143" s="1" cm="1">
        <f t="array" ref="Q2143">SUMPRODUCT(("var_ncap"=[1]OUT_TransportEnergyCons!$B$4:$B$10000)*1,("-"=[1]OUT_TransportEnergyCons!$C$4:$C$10000)*1,ISNUMBER(SEARCH("T_C*mhy*GSL*s2",[1]OUT_TransportEnergyCons!$A$4:$A$10000))*1,[1]OUT_TransportEnergyCons!O$4:O$10000)</f>
        <v>1.44077735810214E-4</v>
      </c>
      <c r="S2143" s="3"/>
    </row>
    <row r="2144" spans="2:19" x14ac:dyDescent="0.5">
      <c r="B2144" s="5" t="str">
        <f t="shared" si="2239"/>
        <v>SPS1</v>
      </c>
      <c r="C2144" s="5" t="str">
        <f t="shared" si="2240"/>
        <v>CH</v>
      </c>
      <c r="D2144" t="s">
        <v>2273</v>
      </c>
      <c r="E2144" t="str">
        <f t="shared" si="2241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5.7077669343399001E-5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2.5128819705796799E-4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1.98060423023641E-4</v>
      </c>
      <c r="J2144" s="1" cm="1">
        <f t="array" ref="J2144">SUMPRODUCT(("var_ncap"=[1]OUT_TransportEnergyCons!$B$4:$B$10000)*1,("-"=[1]OUT_TransportEnergyCons!$C$4:$C$10000)*1,ISNUMBER(SEARCH("T_C*mhy*GSL*s3",[1]OUT_TransportEnergyCons!$A$4:$A$10000))*1,[1]OUT_TransportEnergyCons!H$4:H$10000)</f>
        <v>1.18410247093722E-4</v>
      </c>
      <c r="K2144" s="1" cm="1">
        <f t="array" ref="K2144">SUMPRODUCT(("var_ncap"=[1]OUT_TransportEnergyCons!$B$4:$B$10000)*1,("-"=[1]OUT_TransportEnergyCons!$C$4:$C$10000)*1,ISNUMBER(SEARCH("T_C*mhy*GSL*s3",[1]OUT_TransportEnergyCons!$A$4:$A$10000))*1,[1]OUT_TransportEnergyCons!I$4:I$10000)</f>
        <v>1.4109378879017699E-4</v>
      </c>
      <c r="L2144" s="1" cm="1">
        <f t="array" ref="L2144">SUMPRODUCT(("var_ncap"=[1]OUT_TransportEnergyCons!$B$4:$B$10000)*1,("-"=[1]OUT_TransportEnergyCons!$C$4:$C$10000)*1,ISNUMBER(SEARCH("T_C*mhy*GSL*s3",[1]OUT_TransportEnergyCons!$A$4:$A$10000))*1,[1]OUT_TransportEnergyCons!J$4:J$10000)</f>
        <v>1.17408929881584E-4</v>
      </c>
      <c r="M2144" s="1" cm="1">
        <f t="array" ref="M2144">SUMPRODUCT(("var_ncap"=[1]OUT_TransportEnergyCons!$B$4:$B$10000)*1,("-"=[1]OUT_TransportEnergyCons!$C$4:$C$10000)*1,ISNUMBER(SEARCH("T_C*mhy*GSL*s3",[1]OUT_TransportEnergyCons!$A$4:$A$10000))*1,[1]OUT_TransportEnergyCons!K$4:K$10000)</f>
        <v>1.48135138181934E-4</v>
      </c>
      <c r="N2144" s="1" cm="1">
        <f t="array" ref="N2144">SUMPRODUCT(("var_ncap"=[1]OUT_TransportEnergyCons!$B$4:$B$10000)*1,("-"=[1]OUT_TransportEnergyCons!$C$4:$C$10000)*1,ISNUMBER(SEARCH("T_C*mhy*GSL*s3",[1]OUT_TransportEnergyCons!$A$4:$A$10000))*1,[1]OUT_TransportEnergyCons!L$4:L$10000)</f>
        <v>1.2682955867519499E-4</v>
      </c>
      <c r="O2144" s="1" cm="1">
        <f t="array" ref="O2144">SUMPRODUCT(("var_ncap"=[1]OUT_TransportEnergyCons!$B$4:$B$10000)*1,("-"=[1]OUT_TransportEnergyCons!$C$4:$C$10000)*1,ISNUMBER(SEARCH("T_C*mhy*GSL*s3",[1]OUT_TransportEnergyCons!$A$4:$A$10000))*1,[1]OUT_TransportEnergyCons!M$4:M$10000)</f>
        <v>2.2335106392350901E-4</v>
      </c>
      <c r="P2144" s="1" cm="1">
        <f t="array" ref="P2144">SUMPRODUCT(("var_ncap"=[1]OUT_TransportEnergyCons!$B$4:$B$10000)*1,("-"=[1]OUT_TransportEnergyCons!$C$4:$C$10000)*1,ISNUMBER(SEARCH("T_C*mhy*GSL*s3",[1]OUT_TransportEnergyCons!$A$4:$A$10000))*1,[1]OUT_TransportEnergyCons!N$4:N$10000)</f>
        <v>3.2151502663028199E-4</v>
      </c>
      <c r="Q2144" s="1" cm="1">
        <f t="array" ref="Q2144">SUMPRODUCT(("var_ncap"=[1]OUT_TransportEnergyCons!$B$4:$B$10000)*1,("-"=[1]OUT_TransportEnergyCons!$C$4:$C$10000)*1,ISNUMBER(SEARCH("T_C*mhy*GSL*s3",[1]OUT_TransportEnergyCons!$A$4:$A$10000))*1,[1]OUT_TransportEnergyCons!O$4:O$10000)</f>
        <v>1.3981834337278501E-4</v>
      </c>
      <c r="S2144" s="3"/>
    </row>
    <row r="2145" spans="2:19" x14ac:dyDescent="0.5">
      <c r="B2145" s="5" t="str">
        <f t="shared" si="2239"/>
        <v>SPS1</v>
      </c>
      <c r="C2145" s="5" t="str">
        <f t="shared" si="2240"/>
        <v>CH</v>
      </c>
      <c r="D2145" t="s">
        <v>2274</v>
      </c>
      <c r="E2145" t="str">
        <f t="shared" si="2241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8.5738888672547102E-5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3.3918523325618698E-2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0.118361976849872</v>
      </c>
      <c r="J2145" s="1" cm="1">
        <f t="array" ref="J2145">SUMPRODUCT(("var_ncap"=[1]OUT_TransportEnergyCons!$B$4:$B$10000)*1,("-"=[1]OUT_TransportEnergyCons!$C$4:$C$10000)*1,ISNUMBER(SEARCH("T_C*mhy*GSL*s4",[1]OUT_TransportEnergyCons!$A$4:$A$10000))*1,[1]OUT_TransportEnergyCons!H$4:H$10000)</f>
        <v>4.8087090597344201E-2</v>
      </c>
      <c r="K2145" s="1" cm="1">
        <f t="array" ref="K2145">SUMPRODUCT(("var_ncap"=[1]OUT_TransportEnergyCons!$B$4:$B$10000)*1,("-"=[1]OUT_TransportEnergyCons!$C$4:$C$10000)*1,ISNUMBER(SEARCH("T_C*mhy*GSL*s4",[1]OUT_TransportEnergyCons!$A$4:$A$10000))*1,[1]OUT_TransportEnergyCons!I$4:I$10000)</f>
        <v>0.102403393404347</v>
      </c>
      <c r="L2145" s="1" cm="1">
        <f t="array" ref="L2145">SUMPRODUCT(("var_ncap"=[1]OUT_TransportEnergyCons!$B$4:$B$10000)*1,("-"=[1]OUT_TransportEnergyCons!$C$4:$C$10000)*1,ISNUMBER(SEARCH("T_C*mhy*GSL*s4",[1]OUT_TransportEnergyCons!$A$4:$A$10000))*1,[1]OUT_TransportEnergyCons!J$4:J$10000)</f>
        <v>0.13147051539313701</v>
      </c>
      <c r="M2145" s="1" cm="1">
        <f t="array" ref="M2145">SUMPRODUCT(("var_ncap"=[1]OUT_TransportEnergyCons!$B$4:$B$10000)*1,("-"=[1]OUT_TransportEnergyCons!$C$4:$C$10000)*1,ISNUMBER(SEARCH("T_C*mhy*GSL*s4",[1]OUT_TransportEnergyCons!$A$4:$A$10000))*1,[1]OUT_TransportEnergyCons!K$4:K$10000)</f>
        <v>7.8746579795811705E-2</v>
      </c>
      <c r="N2145" s="1" cm="1">
        <f t="array" ref="N2145">SUMPRODUCT(("var_ncap"=[1]OUT_TransportEnergyCons!$B$4:$B$10000)*1,("-"=[1]OUT_TransportEnergyCons!$C$4:$C$10000)*1,ISNUMBER(SEARCH("T_C*mhy*GSL*s4",[1]OUT_TransportEnergyCons!$A$4:$A$10000))*1,[1]OUT_TransportEnergyCons!L$4:L$10000)</f>
        <v>0.106225220988136</v>
      </c>
      <c r="O2145" s="1" cm="1">
        <f t="array" ref="O2145">SUMPRODUCT(("var_ncap"=[1]OUT_TransportEnergyCons!$B$4:$B$10000)*1,("-"=[1]OUT_TransportEnergyCons!$C$4:$C$10000)*1,ISNUMBER(SEARCH("T_C*mhy*GSL*s4",[1]OUT_TransportEnergyCons!$A$4:$A$10000))*1,[1]OUT_TransportEnergyCons!M$4:M$10000)</f>
        <v>9.7820074964763207E-2</v>
      </c>
      <c r="P2145" s="1" cm="1">
        <f t="array" ref="P2145">SUMPRODUCT(("var_ncap"=[1]OUT_TransportEnergyCons!$B$4:$B$10000)*1,("-"=[1]OUT_TransportEnergyCons!$C$4:$C$10000)*1,ISNUMBER(SEARCH("T_C*mhy*GSL*s4",[1]OUT_TransportEnergyCons!$A$4:$A$10000))*1,[1]OUT_TransportEnergyCons!N$4:N$10000)</f>
        <v>6.7898509628636E-2</v>
      </c>
      <c r="Q2145" s="1" cm="1">
        <f t="array" ref="Q2145">SUMPRODUCT(("var_ncap"=[1]OUT_TransportEnergyCons!$B$4:$B$10000)*1,("-"=[1]OUT_TransportEnergyCons!$C$4:$C$10000)*1,ISNUMBER(SEARCH("T_C*mhy*GSL*s4",[1]OUT_TransportEnergyCons!$A$4:$A$10000))*1,[1]OUT_TransportEnergyCons!O$4:O$10000)</f>
        <v>7.5542685399297801E-2</v>
      </c>
      <c r="S2145" s="3"/>
    </row>
    <row r="2146" spans="2:19" x14ac:dyDescent="0.5">
      <c r="B2146" s="5" t="str">
        <f t="shared" si="2239"/>
        <v>SPS1</v>
      </c>
      <c r="C2146" s="5" t="str">
        <f t="shared" si="2240"/>
        <v>CH</v>
      </c>
      <c r="D2146" t="s">
        <v>2275</v>
      </c>
      <c r="E2146" t="str">
        <f t="shared" si="2241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SUMPRODUCT(("var_ncap"=[1]OUT_TransportEnergyCons!$B$4:$B$10000)*1,("-"=[1]OUT_TransportEnergyCons!$C$4:$C$10000)*1,ISNUMBER(SEARCH("T_C*hy*dsl*ext",[1]OUT_TransportEnergyCons!$A$4:$A$10000))*1,[1]OUT_TransportEnergyCons!H$4:H$10000)</f>
        <v>0</v>
      </c>
      <c r="K2146" s="1" cm="1">
        <f t="array" ref="K2146">SUMPRODUCT(("var_ncap"=[1]OUT_TransportEnergyCons!$B$4:$B$10000)*1,("-"=[1]OUT_TransportEnergyCons!$C$4:$C$10000)*1,ISNUMBER(SEARCH("T_C*hy*dsl*ext",[1]OUT_TransportEnergyCons!$A$4:$A$10000))*1,[1]OUT_TransportEnergyCons!I$4:I$10000)</f>
        <v>0</v>
      </c>
      <c r="L2146" s="1" cm="1">
        <f t="array" ref="L2146">SUMPRODUCT(("var_ncap"=[1]OUT_TransportEnergyCons!$B$4:$B$10000)*1,("-"=[1]OUT_TransportEnergyCons!$C$4:$C$10000)*1,ISNUMBER(SEARCH("T_C*hy*dsl*ext",[1]OUT_TransportEnergyCons!$A$4:$A$10000))*1,[1]OUT_TransportEnergyCons!J$4:J$10000)</f>
        <v>0</v>
      </c>
      <c r="M2146" s="1" cm="1">
        <f t="array" ref="M2146">SUMPRODUCT(("var_ncap"=[1]OUT_TransportEnergyCons!$B$4:$B$10000)*1,("-"=[1]OUT_TransportEnergyCons!$C$4:$C$10000)*1,ISNUMBER(SEARCH("T_C*hy*dsl*ext",[1]OUT_TransportEnergyCons!$A$4:$A$10000))*1,[1]OUT_TransportEnergyCons!K$4:K$10000)</f>
        <v>0</v>
      </c>
      <c r="N2146" s="1" cm="1">
        <f t="array" ref="N2146">SUMPRODUCT(("var_ncap"=[1]OUT_TransportEnergyCons!$B$4:$B$10000)*1,("-"=[1]OUT_TransportEnergyCons!$C$4:$C$10000)*1,ISNUMBER(SEARCH("T_C*hy*dsl*ext",[1]OUT_TransportEnergyCons!$A$4:$A$10000))*1,[1]OUT_TransportEnergyCons!L$4:L$10000)</f>
        <v>0</v>
      </c>
      <c r="O2146" s="1" cm="1">
        <f t="array" ref="O2146">SUMPRODUCT(("var_ncap"=[1]OUT_TransportEnergyCons!$B$4:$B$10000)*1,("-"=[1]OUT_TransportEnergyCons!$C$4:$C$10000)*1,ISNUMBER(SEARCH("T_C*hy*dsl*ext",[1]OUT_TransportEnergyCons!$A$4:$A$10000))*1,[1]OUT_TransportEnergyCons!M$4:M$10000)</f>
        <v>0</v>
      </c>
      <c r="P2146" s="1" cm="1">
        <f t="array" ref="P2146">SUMPRODUCT(("var_ncap"=[1]OUT_TransportEnergyCons!$B$4:$B$10000)*1,("-"=[1]OUT_TransportEnergyCons!$C$4:$C$10000)*1,ISNUMBER(SEARCH("T_C*hy*dsl*ext",[1]OUT_TransportEnergyCons!$A$4:$A$10000))*1,[1]OUT_TransportEnergyCons!N$4:N$10000)</f>
        <v>0</v>
      </c>
      <c r="Q2146" s="1" cm="1">
        <f t="array" ref="Q2146">SUMPRODUCT(("var_ncap"=[1]OUT_TransportEnergyCons!$B$4:$B$10000)*1,("-"=[1]OUT_TransportEnergyCons!$C$4:$C$10000)*1,ISNUMBER(SEARCH("T_C*hy*dsl*ext",[1]OUT_TransportEnergyCons!$A$4:$A$10000))*1,[1]OUT_TransportEnergyCons!O$4:O$10000)</f>
        <v>0</v>
      </c>
      <c r="S2146" s="3"/>
    </row>
    <row r="2147" spans="2:19" x14ac:dyDescent="0.5">
      <c r="B2147" s="5" t="str">
        <f t="shared" ref="B2147:B2164" si="2242">B2146</f>
        <v>SPS1</v>
      </c>
      <c r="C2147" s="5" t="str">
        <f t="shared" ref="C2147:C2164" si="2243">C2146</f>
        <v>CH</v>
      </c>
      <c r="D2147" t="s">
        <v>2276</v>
      </c>
      <c r="E2147" t="str">
        <f t="shared" ref="E2147:E2164" si="2244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2.7005197588755893E-2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7.6128521408719035E-2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0.14323927245722057</v>
      </c>
      <c r="J2147" s="1" cm="1">
        <f t="array" ref="J2147">SUMPRODUCT(("var_ncap"=[1]OUT_TransportEnergyCons!$B$4:$B$10000)*1,("-"=[1]OUT_TransportEnergyCons!$C$4:$C$10000)*1,ISNUMBER(SEARCH("T_C*hy*dsl*s1",[1]OUT_TransportEnergyCons!$A$4:$A$10000))*1,[1]OUT_TransportEnergyCons!H$4:H$10000)</f>
        <v>0.13040427702985019</v>
      </c>
      <c r="K2147" s="1" cm="1">
        <f t="array" ref="K2147">SUMPRODUCT(("var_ncap"=[1]OUT_TransportEnergyCons!$B$4:$B$10000)*1,("-"=[1]OUT_TransportEnergyCons!$C$4:$C$10000)*1,ISNUMBER(SEARCH("T_C*hy*dsl*s1",[1]OUT_TransportEnergyCons!$A$4:$A$10000))*1,[1]OUT_TransportEnergyCons!I$4:I$10000)</f>
        <v>5.14264498594545E-2</v>
      </c>
      <c r="L2147" s="1" cm="1">
        <f t="array" ref="L2147">SUMPRODUCT(("var_ncap"=[1]OUT_TransportEnergyCons!$B$4:$B$10000)*1,("-"=[1]OUT_TransportEnergyCons!$C$4:$C$10000)*1,ISNUMBER(SEARCH("T_C*hy*dsl*s1",[1]OUT_TransportEnergyCons!$A$4:$A$10000))*1,[1]OUT_TransportEnergyCons!J$4:J$10000)</f>
        <v>6.434644545179273E-2</v>
      </c>
      <c r="M2147" s="1" cm="1">
        <f t="array" ref="M2147">SUMPRODUCT(("var_ncap"=[1]OUT_TransportEnergyCons!$B$4:$B$10000)*1,("-"=[1]OUT_TransportEnergyCons!$C$4:$C$10000)*1,ISNUMBER(SEARCH("T_C*hy*dsl*s1",[1]OUT_TransportEnergyCons!$A$4:$A$10000))*1,[1]OUT_TransportEnergyCons!K$4:K$10000)</f>
        <v>3.9867697793316402E-4</v>
      </c>
      <c r="N2147" s="1" cm="1">
        <f t="array" ref="N2147">SUMPRODUCT(("var_ncap"=[1]OUT_TransportEnergyCons!$B$4:$B$10000)*1,("-"=[1]OUT_TransportEnergyCons!$C$4:$C$10000)*1,ISNUMBER(SEARCH("T_C*hy*dsl*s1",[1]OUT_TransportEnergyCons!$A$4:$A$10000))*1,[1]OUT_TransportEnergyCons!L$4:L$10000)</f>
        <v>4.3718419762062116E-2</v>
      </c>
      <c r="O2147" s="1" cm="1">
        <f t="array" ref="O2147">SUMPRODUCT(("var_ncap"=[1]OUT_TransportEnergyCons!$B$4:$B$10000)*1,("-"=[1]OUT_TransportEnergyCons!$C$4:$C$10000)*1,ISNUMBER(SEARCH("T_C*hy*dsl*s1",[1]OUT_TransportEnergyCons!$A$4:$A$10000))*1,[1]OUT_TransportEnergyCons!M$4:M$10000)</f>
        <v>6.3802518484307347E-2</v>
      </c>
      <c r="P2147" s="1" cm="1">
        <f t="array" ref="P2147">SUMPRODUCT(("var_ncap"=[1]OUT_TransportEnergyCons!$B$4:$B$10000)*1,("-"=[1]OUT_TransportEnergyCons!$C$4:$C$10000)*1,ISNUMBER(SEARCH("T_C*hy*dsl*s1",[1]OUT_TransportEnergyCons!$A$4:$A$10000))*1,[1]OUT_TransportEnergyCons!N$4:N$10000)</f>
        <v>3.5931589007051298E-4</v>
      </c>
      <c r="Q2147" s="1" cm="1">
        <f t="array" ref="Q2147">SUMPRODUCT(("var_ncap"=[1]OUT_TransportEnergyCons!$B$4:$B$10000)*1,("-"=[1]OUT_TransportEnergyCons!$C$4:$C$10000)*1,ISNUMBER(SEARCH("T_C*hy*dsl*s1",[1]OUT_TransportEnergyCons!$A$4:$A$10000))*1,[1]OUT_TransportEnergyCons!O$4:O$10000)</f>
        <v>2.4558923611518502E-4</v>
      </c>
      <c r="S2147" s="3"/>
    </row>
    <row r="2148" spans="2:19" x14ac:dyDescent="0.5">
      <c r="B2148" s="5" t="str">
        <f t="shared" si="2242"/>
        <v>SPS1</v>
      </c>
      <c r="C2148" s="5" t="str">
        <f t="shared" si="2243"/>
        <v>CH</v>
      </c>
      <c r="D2148" t="s">
        <v>2277</v>
      </c>
      <c r="E2148" t="str">
        <f t="shared" si="2244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0.11922171175479743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4.1157750106722089E-2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5.9170733769222902E-4</v>
      </c>
      <c r="J2148" s="1" cm="1">
        <f t="array" ref="J2148">SUMPRODUCT(("var_ncap"=[1]OUT_TransportEnergyCons!$B$4:$B$10000)*1,("-"=[1]OUT_TransportEnergyCons!$C$4:$C$10000)*1,ISNUMBER(SEARCH("T_C*hy*dsl*s2",[1]OUT_TransportEnergyCons!$A$4:$A$10000))*1,[1]OUT_TransportEnergyCons!H$4:H$10000)</f>
        <v>2.31843264533375E-3</v>
      </c>
      <c r="K2148" s="1" cm="1">
        <f t="array" ref="K2148">SUMPRODUCT(("var_ncap"=[1]OUT_TransportEnergyCons!$B$4:$B$10000)*1,("-"=[1]OUT_TransportEnergyCons!$C$4:$C$10000)*1,ISNUMBER(SEARCH("T_C*hy*dsl*s2",[1]OUT_TransportEnergyCons!$A$4:$A$10000))*1,[1]OUT_TransportEnergyCons!I$4:I$10000)</f>
        <v>1.1030366856605821E-3</v>
      </c>
      <c r="L2148" s="1" cm="1">
        <f t="array" ref="L2148">SUMPRODUCT(("var_ncap"=[1]OUT_TransportEnergyCons!$B$4:$B$10000)*1,("-"=[1]OUT_TransportEnergyCons!$C$4:$C$10000)*1,ISNUMBER(SEARCH("T_C*hy*dsl*s2",[1]OUT_TransportEnergyCons!$A$4:$A$10000))*1,[1]OUT_TransportEnergyCons!J$4:J$10000)</f>
        <v>1.408555866697027E-3</v>
      </c>
      <c r="M2148" s="1" cm="1">
        <f t="array" ref="M2148">SUMPRODUCT(("var_ncap"=[1]OUT_TransportEnergyCons!$B$4:$B$10000)*1,("-"=[1]OUT_TransportEnergyCons!$C$4:$C$10000)*1,ISNUMBER(SEARCH("T_C*hy*dsl*s2",[1]OUT_TransportEnergyCons!$A$4:$A$10000))*1,[1]OUT_TransportEnergyCons!K$4:K$10000)</f>
        <v>5.3516596179105098E-4</v>
      </c>
      <c r="N2148" s="1" cm="1">
        <f t="array" ref="N2148">SUMPRODUCT(("var_ncap"=[1]OUT_TransportEnergyCons!$B$4:$B$10000)*1,("-"=[1]OUT_TransportEnergyCons!$C$4:$C$10000)*1,ISNUMBER(SEARCH("T_C*hy*dsl*s2",[1]OUT_TransportEnergyCons!$A$4:$A$10000))*1,[1]OUT_TransportEnergyCons!L$4:L$10000)</f>
        <v>4.4992166335653598E-4</v>
      </c>
      <c r="O2148" s="1" cm="1">
        <f t="array" ref="O2148">SUMPRODUCT(("var_ncap"=[1]OUT_TransportEnergyCons!$B$4:$B$10000)*1,("-"=[1]OUT_TransportEnergyCons!$C$4:$C$10000)*1,ISNUMBER(SEARCH("T_C*hy*dsl*s2",[1]OUT_TransportEnergyCons!$A$4:$A$10000))*1,[1]OUT_TransportEnergyCons!M$4:M$10000)</f>
        <v>1.407226528561031E-3</v>
      </c>
      <c r="P2148" s="1" cm="1">
        <f t="array" ref="P2148">SUMPRODUCT(("var_ncap"=[1]OUT_TransportEnergyCons!$B$4:$B$10000)*1,("-"=[1]OUT_TransportEnergyCons!$C$4:$C$10000)*1,ISNUMBER(SEARCH("T_C*hy*dsl*s2",[1]OUT_TransportEnergyCons!$A$4:$A$10000))*1,[1]OUT_TransportEnergyCons!N$4:N$10000)</f>
        <v>4.027609123562953E-2</v>
      </c>
      <c r="Q2148" s="1" cm="1">
        <f t="array" ref="Q2148">SUMPRODUCT(("var_ncap"=[1]OUT_TransportEnergyCons!$B$4:$B$10000)*1,("-"=[1]OUT_TransportEnergyCons!$C$4:$C$10000)*1,ISNUMBER(SEARCH("T_C*hy*dsl*s2",[1]OUT_TransportEnergyCons!$A$4:$A$10000))*1,[1]OUT_TransportEnergyCons!O$4:O$10000)</f>
        <v>5.8719577360358214E-3</v>
      </c>
      <c r="S2148" s="3"/>
    </row>
    <row r="2149" spans="2:19" x14ac:dyDescent="0.5">
      <c r="B2149" s="5" t="str">
        <f t="shared" si="2242"/>
        <v>SPS1</v>
      </c>
      <c r="C2149" s="5" t="str">
        <f t="shared" si="2243"/>
        <v>CH</v>
      </c>
      <c r="D2149" t="s">
        <v>2278</v>
      </c>
      <c r="E2149" t="str">
        <f t="shared" si="2244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4.1919871274883605E-4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2.7445180736952659E-4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3.2768133837073678E-4</v>
      </c>
      <c r="J2149" s="1" cm="1">
        <f t="array" ref="J2149">SUMPRODUCT(("var_ncap"=[1]OUT_TransportEnergyCons!$B$4:$B$10000)*1,("-"=[1]OUT_TransportEnergyCons!$C$4:$C$10000)*1,ISNUMBER(SEARCH("T_C*hy*dsl*s3",[1]OUT_TransportEnergyCons!$A$4:$A$10000))*1,[1]OUT_TransportEnergyCons!H$4:H$10000)</f>
        <v>4.5602628004592777E-3</v>
      </c>
      <c r="K2149" s="1" cm="1">
        <f t="array" ref="K2149">SUMPRODUCT(("var_ncap"=[1]OUT_TransportEnergyCons!$B$4:$B$10000)*1,("-"=[1]OUT_TransportEnergyCons!$C$4:$C$10000)*1,ISNUMBER(SEARCH("T_C*hy*dsl*s3",[1]OUT_TransportEnergyCons!$A$4:$A$10000))*1,[1]OUT_TransportEnergyCons!I$4:I$10000)</f>
        <v>3.9434611335653617E-2</v>
      </c>
      <c r="L2149" s="1" cm="1">
        <f t="array" ref="L2149">SUMPRODUCT(("var_ncap"=[1]OUT_TransportEnergyCons!$B$4:$B$10000)*1,("-"=[1]OUT_TransportEnergyCons!$C$4:$C$10000)*1,ISNUMBER(SEARCH("T_C*hy*dsl*s3",[1]OUT_TransportEnergyCons!$A$4:$A$10000))*1,[1]OUT_TransportEnergyCons!J$4:J$10000)</f>
        <v>5.3970493731113831E-2</v>
      </c>
      <c r="M2149" s="1" cm="1">
        <f t="array" ref="M2149">SUMPRODUCT(("var_ncap"=[1]OUT_TransportEnergyCons!$B$4:$B$10000)*1,("-"=[1]OUT_TransportEnergyCons!$C$4:$C$10000)*1,ISNUMBER(SEARCH("T_C*hy*dsl*s3",[1]OUT_TransportEnergyCons!$A$4:$A$10000))*1,[1]OUT_TransportEnergyCons!K$4:K$10000)</f>
        <v>3.109751935592614E-2</v>
      </c>
      <c r="N2149" s="1" cm="1">
        <f t="array" ref="N2149">SUMPRODUCT(("var_ncap"=[1]OUT_TransportEnergyCons!$B$4:$B$10000)*1,("-"=[1]OUT_TransportEnergyCons!$C$4:$C$10000)*1,ISNUMBER(SEARCH("T_C*hy*dsl*s3",[1]OUT_TransportEnergyCons!$A$4:$A$10000))*1,[1]OUT_TransportEnergyCons!L$4:L$10000)</f>
        <v>4.7304485453698433E-2</v>
      </c>
      <c r="O2149" s="1" cm="1">
        <f t="array" ref="O2149">SUMPRODUCT(("var_ncap"=[1]OUT_TransportEnergyCons!$B$4:$B$10000)*1,("-"=[1]OUT_TransportEnergyCons!$C$4:$C$10000)*1,ISNUMBER(SEARCH("T_C*hy*dsl*s3",[1]OUT_TransportEnergyCons!$A$4:$A$10000))*1,[1]OUT_TransportEnergyCons!M$4:M$10000)</f>
        <v>4.0884034412064708E-2</v>
      </c>
      <c r="P2149" s="1" cm="1">
        <f t="array" ref="P2149">SUMPRODUCT(("var_ncap"=[1]OUT_TransportEnergyCons!$B$4:$B$10000)*1,("-"=[1]OUT_TransportEnergyCons!$C$4:$C$10000)*1,ISNUMBER(SEARCH("T_C*hy*dsl*s3",[1]OUT_TransportEnergyCons!$A$4:$A$10000))*1,[1]OUT_TransportEnergyCons!N$4:N$10000)</f>
        <v>2.9275974385248368E-2</v>
      </c>
      <c r="Q2149" s="1" cm="1">
        <f t="array" ref="Q2149">SUMPRODUCT(("var_ncap"=[1]OUT_TransportEnergyCons!$B$4:$B$10000)*1,("-"=[1]OUT_TransportEnergyCons!$C$4:$C$10000)*1,ISNUMBER(SEARCH("T_C*hy*dsl*s3",[1]OUT_TransportEnergyCons!$A$4:$A$10000))*1,[1]OUT_TransportEnergyCons!O$4:O$10000)</f>
        <v>3.8164590359704313E-2</v>
      </c>
      <c r="S2149" s="3"/>
    </row>
    <row r="2150" spans="2:19" x14ac:dyDescent="0.5">
      <c r="B2150" s="5" t="str">
        <f t="shared" si="2242"/>
        <v>SPS1</v>
      </c>
      <c r="C2150" s="5" t="str">
        <f t="shared" si="2243"/>
        <v>CH</v>
      </c>
      <c r="D2150" t="s">
        <v>2279</v>
      </c>
      <c r="E2150" t="str">
        <f t="shared" si="2244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4.6704299690465472E-4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1.8000318108388251E-4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1.432303161519456E-4</v>
      </c>
      <c r="J2150" s="1" cm="1">
        <f t="array" ref="J2150">SUMPRODUCT(("var_ncap"=[1]OUT_TransportEnergyCons!$B$4:$B$10000)*1,("-"=[1]OUT_TransportEnergyCons!$C$4:$C$10000)*1,ISNUMBER(SEARCH("T_C*hy*dsl*s4",[1]OUT_TransportEnergyCons!$A$4:$A$10000))*1,[1]OUT_TransportEnergyCons!H$4:H$10000)</f>
        <v>3.4588966356113301E-4</v>
      </c>
      <c r="K2150" s="1" cm="1">
        <f t="array" ref="K2150">SUMPRODUCT(("var_ncap"=[1]OUT_TransportEnergyCons!$B$4:$B$10000)*1,("-"=[1]OUT_TransportEnergyCons!$C$4:$C$10000)*1,ISNUMBER(SEARCH("T_C*hy*dsl*s4",[1]OUT_TransportEnergyCons!$A$4:$A$10000))*1,[1]OUT_TransportEnergyCons!I$4:I$10000)</f>
        <v>7.2811271252034302E-4</v>
      </c>
      <c r="L2150" s="1" cm="1">
        <f t="array" ref="L2150">SUMPRODUCT(("var_ncap"=[1]OUT_TransportEnergyCons!$B$4:$B$10000)*1,("-"=[1]OUT_TransportEnergyCons!$C$4:$C$10000)*1,ISNUMBER(SEARCH("T_C*hy*dsl*s4",[1]OUT_TransportEnergyCons!$A$4:$A$10000))*1,[1]OUT_TransportEnergyCons!J$4:J$10000)</f>
        <v>1.1920765637668739E-2</v>
      </c>
      <c r="M2150" s="1" cm="1">
        <f t="array" ref="M2150">SUMPRODUCT(("var_ncap"=[1]OUT_TransportEnergyCons!$B$4:$B$10000)*1,("-"=[1]OUT_TransportEnergyCons!$C$4:$C$10000)*1,ISNUMBER(SEARCH("T_C*hy*dsl*s4",[1]OUT_TransportEnergyCons!$A$4:$A$10000))*1,[1]OUT_TransportEnergyCons!K$4:K$10000)</f>
        <v>9.1714589634225727E-2</v>
      </c>
      <c r="N2150" s="1" cm="1">
        <f t="array" ref="N2150">SUMPRODUCT(("var_ncap"=[1]OUT_TransportEnergyCons!$B$4:$B$10000)*1,("-"=[1]OUT_TransportEnergyCons!$C$4:$C$10000)*1,ISNUMBER(SEARCH("T_C*hy*dsl*s4",[1]OUT_TransportEnergyCons!$A$4:$A$10000))*1,[1]OUT_TransportEnergyCons!L$4:L$10000)</f>
        <v>1.0607364611558629E-2</v>
      </c>
      <c r="O2150" s="1" cm="1">
        <f t="array" ref="O2150">SUMPRODUCT(("var_ncap"=[1]OUT_TransportEnergyCons!$B$4:$B$10000)*1,("-"=[1]OUT_TransportEnergyCons!$C$4:$C$10000)*1,ISNUMBER(SEARCH("T_C*hy*dsl*s4",[1]OUT_TransportEnergyCons!$A$4:$A$10000))*1,[1]OUT_TransportEnergyCons!M$4:M$10000)</f>
        <v>5.3839793018580092E-4</v>
      </c>
      <c r="P2150" s="1" cm="1">
        <f t="array" ref="P2150">SUMPRODUCT(("var_ncap"=[1]OUT_TransportEnergyCons!$B$4:$B$10000)*1,("-"=[1]OUT_TransportEnergyCons!$C$4:$C$10000)*1,ISNUMBER(SEARCH("T_C*hy*dsl*s4",[1]OUT_TransportEnergyCons!$A$4:$A$10000))*1,[1]OUT_TransportEnergyCons!N$4:N$10000)</f>
        <v>3.5252163744527404E-4</v>
      </c>
      <c r="Q2150" s="1" cm="1">
        <f t="array" ref="Q2150">SUMPRODUCT(("var_ncap"=[1]OUT_TransportEnergyCons!$B$4:$B$10000)*1,("-"=[1]OUT_TransportEnergyCons!$C$4:$C$10000)*1,ISNUMBER(SEARCH("T_C*hy*dsl*s4",[1]OUT_TransportEnergyCons!$A$4:$A$10000))*1,[1]OUT_TransportEnergyCons!O$4:O$10000)</f>
        <v>6.0959239902805377E-3</v>
      </c>
      <c r="S2150" s="3"/>
    </row>
    <row r="2151" spans="2:19" x14ac:dyDescent="0.5">
      <c r="B2151" s="5" t="str">
        <f t="shared" si="2242"/>
        <v>SPS1</v>
      </c>
      <c r="C2151" s="5" t="str">
        <f t="shared" si="2243"/>
        <v>CH</v>
      </c>
      <c r="D2151" t="s">
        <v>2280</v>
      </c>
      <c r="E2151" t="str">
        <f t="shared" si="2244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SUMPRODUCT(("var_ncap"=[1]OUT_TransportEnergyCons!$B$4:$B$10000)*1,("-"=[1]OUT_TransportEnergyCons!$C$4:$C$10000)*1,ISNUMBER(SEARCH("T_C*ICE*dsl*ext",[1]OUT_TransportEnergyCons!$A$4:$A$10000))*1,[1]OUT_TransportEnergyCons!H$4:H$10000)</f>
        <v>0</v>
      </c>
      <c r="K2151" s="1" cm="1">
        <f t="array" ref="K2151">SUMPRODUCT(("var_ncap"=[1]OUT_TransportEnergyCons!$B$4:$B$10000)*1,("-"=[1]OUT_TransportEnergyCons!$C$4:$C$10000)*1,ISNUMBER(SEARCH("T_C*ICE*dsl*ext",[1]OUT_TransportEnergyCons!$A$4:$A$10000))*1,[1]OUT_TransportEnergyCons!I$4:I$10000)</f>
        <v>0</v>
      </c>
      <c r="L2151" s="1" cm="1">
        <f t="array" ref="L2151">SUMPRODUCT(("var_ncap"=[1]OUT_TransportEnergyCons!$B$4:$B$10000)*1,("-"=[1]OUT_TransportEnergyCons!$C$4:$C$10000)*1,ISNUMBER(SEARCH("T_C*ICE*dsl*ext",[1]OUT_TransportEnergyCons!$A$4:$A$10000))*1,[1]OUT_TransportEnergyCons!J$4:J$10000)</f>
        <v>0</v>
      </c>
      <c r="M2151" s="1" cm="1">
        <f t="array" ref="M2151">SUMPRODUCT(("var_ncap"=[1]OUT_TransportEnergyCons!$B$4:$B$10000)*1,("-"=[1]OUT_TransportEnergyCons!$C$4:$C$10000)*1,ISNUMBER(SEARCH("T_C*ICE*dsl*ext",[1]OUT_TransportEnergyCons!$A$4:$A$10000))*1,[1]OUT_TransportEnergyCons!K$4:K$10000)</f>
        <v>0</v>
      </c>
      <c r="N2151" s="1" cm="1">
        <f t="array" ref="N2151">SUMPRODUCT(("var_ncap"=[1]OUT_TransportEnergyCons!$B$4:$B$10000)*1,("-"=[1]OUT_TransportEnergyCons!$C$4:$C$10000)*1,ISNUMBER(SEARCH("T_C*ICE*dsl*ext",[1]OUT_TransportEnergyCons!$A$4:$A$10000))*1,[1]OUT_TransportEnergyCons!L$4:L$10000)</f>
        <v>0</v>
      </c>
      <c r="O2151" s="1" cm="1">
        <f t="array" ref="O2151">SUMPRODUCT(("var_ncap"=[1]OUT_TransportEnergyCons!$B$4:$B$10000)*1,("-"=[1]OUT_TransportEnergyCons!$C$4:$C$10000)*1,ISNUMBER(SEARCH("T_C*ICE*dsl*ext",[1]OUT_TransportEnergyCons!$A$4:$A$10000))*1,[1]OUT_TransportEnergyCons!M$4:M$10000)</f>
        <v>0</v>
      </c>
      <c r="P2151" s="1" cm="1">
        <f t="array" ref="P2151">SUMPRODUCT(("var_ncap"=[1]OUT_TransportEnergyCons!$B$4:$B$10000)*1,("-"=[1]OUT_TransportEnergyCons!$C$4:$C$10000)*1,ISNUMBER(SEARCH("T_C*ICE*dsl*ext",[1]OUT_TransportEnergyCons!$A$4:$A$10000))*1,[1]OUT_TransportEnergyCons!N$4:N$10000)</f>
        <v>0</v>
      </c>
      <c r="Q2151" s="1" cm="1">
        <f t="array" ref="Q2151">SUMPRODUCT(("var_ncap"=[1]OUT_TransportEnergyCons!$B$4:$B$10000)*1,("-"=[1]OUT_TransportEnergyCons!$C$4:$C$10000)*1,ISNUMBER(SEARCH("T_C*ICE*dsl*ext",[1]OUT_TransportEnergyCons!$A$4:$A$10000))*1,[1]OUT_TransportEnergyCons!O$4:O$10000)</f>
        <v>0</v>
      </c>
      <c r="S2151" s="3"/>
    </row>
    <row r="2152" spans="2:19" x14ac:dyDescent="0.5">
      <c r="B2152" s="5" t="str">
        <f t="shared" si="2242"/>
        <v>SPS1</v>
      </c>
      <c r="C2152" s="5" t="str">
        <f t="shared" si="2243"/>
        <v>CH</v>
      </c>
      <c r="D2152" t="s">
        <v>2281</v>
      </c>
      <c r="E2152" t="str">
        <f t="shared" si="2244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1.09448194244818E-4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1.7385209523217501E-4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2.17279440948094E-4</v>
      </c>
      <c r="J2152" s="1" cm="1">
        <f t="array" ref="J2152">SUMPRODUCT(("var_ncap"=[1]OUT_TransportEnergyCons!$B$4:$B$10000)*1,("-"=[1]OUT_TransportEnergyCons!$C$4:$C$10000)*1,ISNUMBER(SEARCH("T_C*ICE*dsl*s1",[1]OUT_TransportEnergyCons!$A$4:$A$10000))*1,[1]OUT_TransportEnergyCons!H$4:H$10000)</f>
        <v>3.8130372642758398E-4</v>
      </c>
      <c r="K2152" s="1" cm="1">
        <f t="array" ref="K2152">SUMPRODUCT(("var_ncap"=[1]OUT_TransportEnergyCons!$B$4:$B$10000)*1,("-"=[1]OUT_TransportEnergyCons!$C$4:$C$10000)*1,ISNUMBER(SEARCH("T_C*ICE*dsl*s1",[1]OUT_TransportEnergyCons!$A$4:$A$10000))*1,[1]OUT_TransportEnergyCons!I$4:I$10000)</f>
        <v>4.0176864269646003E-3</v>
      </c>
      <c r="L2152" s="1" cm="1">
        <f t="array" ref="L2152">SUMPRODUCT(("var_ncap"=[1]OUT_TransportEnergyCons!$B$4:$B$10000)*1,("-"=[1]OUT_TransportEnergyCons!$C$4:$C$10000)*1,ISNUMBER(SEARCH("T_C*ICE*dsl*s1",[1]OUT_TransportEnergyCons!$A$4:$A$10000))*1,[1]OUT_TransportEnergyCons!J$4:J$10000)</f>
        <v>7.7711111957761396E-5</v>
      </c>
      <c r="M2152" s="1" cm="1">
        <f t="array" ref="M2152">SUMPRODUCT(("var_ncap"=[1]OUT_TransportEnergyCons!$B$4:$B$10000)*1,("-"=[1]OUT_TransportEnergyCons!$C$4:$C$10000)*1,ISNUMBER(SEARCH("T_C*ICE*dsl*s1",[1]OUT_TransportEnergyCons!$A$4:$A$10000))*1,[1]OUT_TransportEnergyCons!K$4:K$10000)</f>
        <v>1.11376946067059E-4</v>
      </c>
      <c r="N2152" s="1" cm="1">
        <f t="array" ref="N2152">SUMPRODUCT(("var_ncap"=[1]OUT_TransportEnergyCons!$B$4:$B$10000)*1,("-"=[1]OUT_TransportEnergyCons!$C$4:$C$10000)*1,ISNUMBER(SEARCH("T_C*ICE*dsl*s1",[1]OUT_TransportEnergyCons!$A$4:$A$10000))*1,[1]OUT_TransportEnergyCons!L$4:L$10000)</f>
        <v>3.3630794079201301E-5</v>
      </c>
      <c r="O2152" s="1" cm="1">
        <f t="array" ref="O2152">SUMPRODUCT(("var_ncap"=[1]OUT_TransportEnergyCons!$B$4:$B$10000)*1,("-"=[1]OUT_TransportEnergyCons!$C$4:$C$10000)*1,ISNUMBER(SEARCH("T_C*ICE*dsl*s1",[1]OUT_TransportEnergyCons!$A$4:$A$10000))*1,[1]OUT_TransportEnergyCons!M$4:M$10000)</f>
        <v>2.3131175110695302E-5</v>
      </c>
      <c r="P2152" s="1" cm="1">
        <f t="array" ref="P2152">SUMPRODUCT(("var_ncap"=[1]OUT_TransportEnergyCons!$B$4:$B$10000)*1,("-"=[1]OUT_TransportEnergyCons!$C$4:$C$10000)*1,ISNUMBER(SEARCH("T_C*ICE*dsl*s1",[1]OUT_TransportEnergyCons!$A$4:$A$10000))*1,[1]OUT_TransportEnergyCons!N$4:N$10000)</f>
        <v>2.1910456176499101E-5</v>
      </c>
      <c r="Q2152" s="1" cm="1">
        <f t="array" ref="Q2152">SUMPRODUCT(("var_ncap"=[1]OUT_TransportEnergyCons!$B$4:$B$10000)*1,("-"=[1]OUT_TransportEnergyCons!$C$4:$C$10000)*1,ISNUMBER(SEARCH("T_C*ICE*dsl*s1",[1]OUT_TransportEnergyCons!$A$4:$A$10000))*1,[1]OUT_TransportEnergyCons!O$4:O$10000)</f>
        <v>2.7903655958205099E-5</v>
      </c>
      <c r="S2152" s="3"/>
    </row>
    <row r="2153" spans="2:19" x14ac:dyDescent="0.5">
      <c r="B2153" s="5" t="str">
        <f t="shared" si="2242"/>
        <v>SPS1</v>
      </c>
      <c r="C2153" s="5" t="str">
        <f t="shared" si="2243"/>
        <v>CH</v>
      </c>
      <c r="D2153" t="s">
        <v>2282</v>
      </c>
      <c r="E2153" t="str">
        <f t="shared" si="2244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6.83014349185153E-5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1.64452808171364E-4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1.2463634211469201E-4</v>
      </c>
      <c r="J2153" s="1" cm="1">
        <f t="array" ref="J2153">SUMPRODUCT(("var_ncap"=[1]OUT_TransportEnergyCons!$B$4:$B$10000)*1,("-"=[1]OUT_TransportEnergyCons!$C$4:$C$10000)*1,ISNUMBER(SEARCH("T_C*ICE*dsl*s2",[1]OUT_TransportEnergyCons!$A$4:$A$10000))*1,[1]OUT_TransportEnergyCons!H$4:H$10000)</f>
        <v>1.6988876121661799E-4</v>
      </c>
      <c r="K2153" s="1" cm="1">
        <f t="array" ref="K2153">SUMPRODUCT(("var_ncap"=[1]OUT_TransportEnergyCons!$B$4:$B$10000)*1,("-"=[1]OUT_TransportEnergyCons!$C$4:$C$10000)*1,ISNUMBER(SEARCH("T_C*ICE*dsl*s2",[1]OUT_TransportEnergyCons!$A$4:$A$10000))*1,[1]OUT_TransportEnergyCons!I$4:I$10000)</f>
        <v>2.04655913139471E-4</v>
      </c>
      <c r="L2153" s="1" cm="1">
        <f t="array" ref="L2153">SUMPRODUCT(("var_ncap"=[1]OUT_TransportEnergyCons!$B$4:$B$10000)*1,("-"=[1]OUT_TransportEnergyCons!$C$4:$C$10000)*1,ISNUMBER(SEARCH("T_C*ICE*dsl*s2",[1]OUT_TransportEnergyCons!$A$4:$A$10000))*1,[1]OUT_TransportEnergyCons!J$4:J$10000)</f>
        <v>7.5136801652163197E-5</v>
      </c>
      <c r="M2153" s="1" cm="1">
        <f t="array" ref="M2153">SUMPRODUCT(("var_ncap"=[1]OUT_TransportEnergyCons!$B$4:$B$10000)*1,("-"=[1]OUT_TransportEnergyCons!$C$4:$C$10000)*1,ISNUMBER(SEARCH("T_C*ICE*dsl*s2",[1]OUT_TransportEnergyCons!$A$4:$A$10000))*1,[1]OUT_TransportEnergyCons!K$4:K$10000)</f>
        <v>1.21135758610311E-4</v>
      </c>
      <c r="N2153" s="1" cm="1">
        <f t="array" ref="N2153">SUMPRODUCT(("var_ncap"=[1]OUT_TransportEnergyCons!$B$4:$B$10000)*1,("-"=[1]OUT_TransportEnergyCons!$C$4:$C$10000)*1,ISNUMBER(SEARCH("T_C*ICE*dsl*s2",[1]OUT_TransportEnergyCons!$A$4:$A$10000))*1,[1]OUT_TransportEnergyCons!L$4:L$10000)</f>
        <v>3.7956211298763399E-5</v>
      </c>
      <c r="O2153" s="1" cm="1">
        <f t="array" ref="O2153">SUMPRODUCT(("var_ncap"=[1]OUT_TransportEnergyCons!$B$4:$B$10000)*1,("-"=[1]OUT_TransportEnergyCons!$C$4:$C$10000)*1,ISNUMBER(SEARCH("T_C*ICE*dsl*s2",[1]OUT_TransportEnergyCons!$A$4:$A$10000))*1,[1]OUT_TransportEnergyCons!M$4:M$10000)</f>
        <v>2.5917183977424799E-5</v>
      </c>
      <c r="P2153" s="1" cm="1">
        <f t="array" ref="P2153">SUMPRODUCT(("var_ncap"=[1]OUT_TransportEnergyCons!$B$4:$B$10000)*1,("-"=[1]OUT_TransportEnergyCons!$C$4:$C$10000)*1,ISNUMBER(SEARCH("T_C*ICE*dsl*s2",[1]OUT_TransportEnergyCons!$A$4:$A$10000))*1,[1]OUT_TransportEnergyCons!N$4:N$10000)</f>
        <v>2.44944787141012E-5</v>
      </c>
      <c r="Q2153" s="1" cm="1">
        <f t="array" ref="Q2153">SUMPRODUCT(("var_ncap"=[1]OUT_TransportEnergyCons!$B$4:$B$10000)*1,("-"=[1]OUT_TransportEnergyCons!$C$4:$C$10000)*1,ISNUMBER(SEARCH("T_C*ICE*dsl*s2",[1]OUT_TransportEnergyCons!$A$4:$A$10000))*1,[1]OUT_TransportEnergyCons!O$4:O$10000)</f>
        <v>2.9773881108667101E-5</v>
      </c>
      <c r="S2153" s="3"/>
    </row>
    <row r="2154" spans="2:19" x14ac:dyDescent="0.5">
      <c r="B2154" s="5" t="str">
        <f t="shared" si="2242"/>
        <v>SPS1</v>
      </c>
      <c r="C2154" s="5" t="str">
        <f t="shared" si="2243"/>
        <v>CH</v>
      </c>
      <c r="D2154" t="s">
        <v>2283</v>
      </c>
      <c r="E2154" t="str">
        <f t="shared" si="2244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7.9764351297312804E-5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1.09607232211455E-4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8.8781398252308006E-5</v>
      </c>
      <c r="J2154" s="1" cm="1">
        <f t="array" ref="J2154">SUMPRODUCT(("var_ncap"=[1]OUT_TransportEnergyCons!$B$4:$B$10000)*1,("-"=[1]OUT_TransportEnergyCons!$C$4:$C$10000)*1,ISNUMBER(SEARCH("T_C*ICE*dsl*s3",[1]OUT_TransportEnergyCons!$A$4:$A$10000))*1,[1]OUT_TransportEnergyCons!H$4:H$10000)</f>
        <v>1.17573379321959E-4</v>
      </c>
      <c r="K2154" s="1" cm="1">
        <f t="array" ref="K2154">SUMPRODUCT(("var_ncap"=[1]OUT_TransportEnergyCons!$B$4:$B$10000)*1,("-"=[1]OUT_TransportEnergyCons!$C$4:$C$10000)*1,ISNUMBER(SEARCH("T_C*ICE*dsl*s3",[1]OUT_TransportEnergyCons!$A$4:$A$10000))*1,[1]OUT_TransportEnergyCons!I$4:I$10000)</f>
        <v>1.5157634029760899E-4</v>
      </c>
      <c r="L2154" s="1" cm="1">
        <f t="array" ref="L2154">SUMPRODUCT(("var_ncap"=[1]OUT_TransportEnergyCons!$B$4:$B$10000)*1,("-"=[1]OUT_TransportEnergyCons!$C$4:$C$10000)*1,ISNUMBER(SEARCH("T_C*ICE*dsl*s3",[1]OUT_TransportEnergyCons!$A$4:$A$10000))*1,[1]OUT_TransportEnergyCons!J$4:J$10000)</f>
        <v>8.3649182929789993E-5</v>
      </c>
      <c r="M2154" s="1" cm="1">
        <f t="array" ref="M2154">SUMPRODUCT(("var_ncap"=[1]OUT_TransportEnergyCons!$B$4:$B$10000)*1,("-"=[1]OUT_TransportEnergyCons!$C$4:$C$10000)*1,ISNUMBER(SEARCH("T_C*ICE*dsl*s3",[1]OUT_TransportEnergyCons!$A$4:$A$10000))*1,[1]OUT_TransportEnergyCons!K$4:K$10000)</f>
        <v>1.6827087147448601E-4</v>
      </c>
      <c r="N2154" s="1" cm="1">
        <f t="array" ref="N2154">SUMPRODUCT(("var_ncap"=[1]OUT_TransportEnergyCons!$B$4:$B$10000)*1,("-"=[1]OUT_TransportEnergyCons!$C$4:$C$10000)*1,ISNUMBER(SEARCH("T_C*ICE*dsl*s3",[1]OUT_TransportEnergyCons!$A$4:$A$10000))*1,[1]OUT_TransportEnergyCons!L$4:L$10000)</f>
        <v>4.53744399059907E-5</v>
      </c>
      <c r="O2154" s="1" cm="1">
        <f t="array" ref="O2154">SUMPRODUCT(("var_ncap"=[1]OUT_TransportEnergyCons!$B$4:$B$10000)*1,("-"=[1]OUT_TransportEnergyCons!$C$4:$C$10000)*1,ISNUMBER(SEARCH("T_C*ICE*dsl*s3",[1]OUT_TransportEnergyCons!$A$4:$A$10000))*1,[1]OUT_TransportEnergyCons!M$4:M$10000)</f>
        <v>2.7719694900625801E-5</v>
      </c>
      <c r="P2154" s="1" cm="1">
        <f t="array" ref="P2154">SUMPRODUCT(("var_ncap"=[1]OUT_TransportEnergyCons!$B$4:$B$10000)*1,("-"=[1]OUT_TransportEnergyCons!$C$4:$C$10000)*1,ISNUMBER(SEARCH("T_C*ICE*dsl*s3",[1]OUT_TransportEnergyCons!$A$4:$A$10000))*1,[1]OUT_TransportEnergyCons!N$4:N$10000)</f>
        <v>2.58042548662928E-5</v>
      </c>
      <c r="Q2154" s="1" cm="1">
        <f t="array" ref="Q2154">SUMPRODUCT(("var_ncap"=[1]OUT_TransportEnergyCons!$B$4:$B$10000)*1,("-"=[1]OUT_TransportEnergyCons!$C$4:$C$10000)*1,ISNUMBER(SEARCH("T_C*ICE*dsl*s3",[1]OUT_TransportEnergyCons!$A$4:$A$10000))*1,[1]OUT_TransportEnergyCons!O$4:O$10000)</f>
        <v>3.0661937692339801E-5</v>
      </c>
      <c r="S2154" s="3"/>
    </row>
    <row r="2155" spans="2:19" x14ac:dyDescent="0.5">
      <c r="B2155" s="5" t="str">
        <f t="shared" si="2242"/>
        <v>SPS1</v>
      </c>
      <c r="C2155" s="5" t="str">
        <f t="shared" si="2243"/>
        <v>CH</v>
      </c>
      <c r="D2155" t="s">
        <v>2284</v>
      </c>
      <c r="E2155" t="str">
        <f t="shared" si="2244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3.2033040704423498E-5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5.5115255766832697E-5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5.5177693750168102E-5</v>
      </c>
      <c r="J2155" s="1" cm="1">
        <f t="array" ref="J2155">SUMPRODUCT(("var_ncap"=[1]OUT_TransportEnergyCons!$B$4:$B$10000)*1,("-"=[1]OUT_TransportEnergyCons!$C$4:$C$10000)*1,ISNUMBER(SEARCH("T_C*ICE*dsl*s4",[1]OUT_TransportEnergyCons!$A$4:$A$10000))*1,[1]OUT_TransportEnergyCons!H$4:H$10000)</f>
        <v>9.3683547424253501E-5</v>
      </c>
      <c r="K2155" s="1" cm="1">
        <f t="array" ref="K2155">SUMPRODUCT(("var_ncap"=[1]OUT_TransportEnergyCons!$B$4:$B$10000)*1,("-"=[1]OUT_TransportEnergyCons!$C$4:$C$10000)*1,ISNUMBER(SEARCH("T_C*ICE*dsl*s4",[1]OUT_TransportEnergyCons!$A$4:$A$10000))*1,[1]OUT_TransportEnergyCons!I$4:I$10000)</f>
        <v>1.5456856652085199E-4</v>
      </c>
      <c r="L2155" s="1" cm="1">
        <f t="array" ref="L2155">SUMPRODUCT(("var_ncap"=[1]OUT_TransportEnergyCons!$B$4:$B$10000)*1,("-"=[1]OUT_TransportEnergyCons!$C$4:$C$10000)*1,ISNUMBER(SEARCH("T_C*ICE*dsl*s4",[1]OUT_TransportEnergyCons!$A$4:$A$10000))*1,[1]OUT_TransportEnergyCons!J$4:J$10000)</f>
        <v>8.5090809080774505E-5</v>
      </c>
      <c r="M2155" s="1" cm="1">
        <f t="array" ref="M2155">SUMPRODUCT(("var_ncap"=[1]OUT_TransportEnergyCons!$B$4:$B$10000)*1,("-"=[1]OUT_TransportEnergyCons!$C$4:$C$10000)*1,ISNUMBER(SEARCH("T_C*ICE*dsl*s4",[1]OUT_TransportEnergyCons!$A$4:$A$10000))*1,[1]OUT_TransportEnergyCons!K$4:K$10000)</f>
        <v>1.8046393028162499E-4</v>
      </c>
      <c r="N2155" s="1" cm="1">
        <f t="array" ref="N2155">SUMPRODUCT(("var_ncap"=[1]OUT_TransportEnergyCons!$B$4:$B$10000)*1,("-"=[1]OUT_TransportEnergyCons!$C$4:$C$10000)*1,ISNUMBER(SEARCH("T_C*ICE*dsl*s4",[1]OUT_TransportEnergyCons!$A$4:$A$10000))*1,[1]OUT_TransportEnergyCons!L$4:L$10000)</f>
        <v>4.4018522036536501E-5</v>
      </c>
      <c r="O2155" s="1" cm="1">
        <f t="array" ref="O2155">SUMPRODUCT(("var_ncap"=[1]OUT_TransportEnergyCons!$B$4:$B$10000)*1,("-"=[1]OUT_TransportEnergyCons!$C$4:$C$10000)*1,ISNUMBER(SEARCH("T_C*ICE*dsl*s4",[1]OUT_TransportEnergyCons!$A$4:$A$10000))*1,[1]OUT_TransportEnergyCons!M$4:M$10000)</f>
        <v>2.5174127530619701E-5</v>
      </c>
      <c r="P2155" s="1" cm="1">
        <f t="array" ref="P2155">SUMPRODUCT(("var_ncap"=[1]OUT_TransportEnergyCons!$B$4:$B$10000)*1,("-"=[1]OUT_TransportEnergyCons!$C$4:$C$10000)*1,ISNUMBER(SEARCH("T_C*ICE*dsl*s4",[1]OUT_TransportEnergyCons!$A$4:$A$10000))*1,[1]OUT_TransportEnergyCons!N$4:N$10000)</f>
        <v>2.2526083544465699E-5</v>
      </c>
      <c r="Q2155" s="1" cm="1">
        <f t="array" ref="Q2155">SUMPRODUCT(("var_ncap"=[1]OUT_TransportEnergyCons!$B$4:$B$10000)*1,("-"=[1]OUT_TransportEnergyCons!$C$4:$C$10000)*1,ISNUMBER(SEARCH("T_C*ICE*dsl*s4",[1]OUT_TransportEnergyCons!$A$4:$A$10000))*1,[1]OUT_TransportEnergyCons!O$4:O$10000)</f>
        <v>3.0906101216032299E-5</v>
      </c>
      <c r="S2155" s="3"/>
    </row>
    <row r="2156" spans="2:19" x14ac:dyDescent="0.5">
      <c r="B2156" s="5" t="str">
        <f t="shared" si="2242"/>
        <v>SPS1</v>
      </c>
      <c r="C2156" s="5" t="str">
        <f t="shared" si="2243"/>
        <v>CH</v>
      </c>
      <c r="D2156" t="s">
        <v>2285</v>
      </c>
      <c r="E2156" t="str">
        <f t="shared" si="2244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9.6387478277790606E-5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7.5813888536348198E-2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0.14311937223731699</v>
      </c>
      <c r="J2156" s="1" cm="1">
        <f t="array" ref="J2156">SUMPRODUCT(("var_ncap"=[1]OUT_TransportEnergyCons!$B$4:$B$10000)*1,("-"=[1]OUT_TransportEnergyCons!$C$4:$C$10000)*1,ISNUMBER(SEARCH("T_C*mhy*dsl*s1",[1]OUT_TransportEnergyCons!$A$4:$A$10000))*1,[1]OUT_TransportEnergyCons!H$4:H$10000)</f>
        <v>2.5984637278098199E-2</v>
      </c>
      <c r="K2156" s="1" cm="1">
        <f t="array" ref="K2156">SUMPRODUCT(("var_ncap"=[1]OUT_TransportEnergyCons!$B$4:$B$10000)*1,("-"=[1]OUT_TransportEnergyCons!$C$4:$C$10000)*1,ISNUMBER(SEARCH("T_C*mhy*dsl*s1",[1]OUT_TransportEnergyCons!$A$4:$A$10000))*1,[1]OUT_TransportEnergyCons!I$4:I$10000)</f>
        <v>2.1749381120830701E-2</v>
      </c>
      <c r="L2156" s="1" cm="1">
        <f t="array" ref="L2156">SUMPRODUCT(("var_ncap"=[1]OUT_TransportEnergyCons!$B$4:$B$10000)*1,("-"=[1]OUT_TransportEnergyCons!$C$4:$C$10000)*1,ISNUMBER(SEARCH("T_C*mhy*dsl*s1",[1]OUT_TransportEnergyCons!$A$4:$A$10000))*1,[1]OUT_TransportEnergyCons!J$4:J$10000)</f>
        <v>3.0608806172722602E-4</v>
      </c>
      <c r="M2156" s="1" cm="1">
        <f t="array" ref="M2156">SUMPRODUCT(("var_ncap"=[1]OUT_TransportEnergyCons!$B$4:$B$10000)*1,("-"=[1]OUT_TransportEnergyCons!$C$4:$C$10000)*1,ISNUMBER(SEARCH("T_C*mhy*dsl*s1",[1]OUT_TransportEnergyCons!$A$4:$A$10000))*1,[1]OUT_TransportEnergyCons!K$4:K$10000)</f>
        <v>1.53364674912533E-4</v>
      </c>
      <c r="N2156" s="1" cm="1">
        <f t="array" ref="N2156">SUMPRODUCT(("var_ncap"=[1]OUT_TransportEnergyCons!$B$4:$B$10000)*1,("-"=[1]OUT_TransportEnergyCons!$C$4:$C$10000)*1,ISNUMBER(SEARCH("T_C*mhy*dsl*s1",[1]OUT_TransportEnergyCons!$A$4:$A$10000))*1,[1]OUT_TransportEnergyCons!L$4:L$10000)</f>
        <v>1.2499391856301401E-4</v>
      </c>
      <c r="O2156" s="1" cm="1">
        <f t="array" ref="O2156">SUMPRODUCT(("var_ncap"=[1]OUT_TransportEnergyCons!$B$4:$B$10000)*1,("-"=[1]OUT_TransportEnergyCons!$C$4:$C$10000)*1,ISNUMBER(SEARCH("T_C*mhy*dsl*s1",[1]OUT_TransportEnergyCons!$A$4:$A$10000))*1,[1]OUT_TransportEnergyCons!M$4:M$10000)</f>
        <v>1.72502716292538E-4</v>
      </c>
      <c r="P2156" s="1" cm="1">
        <f t="array" ref="P2156">SUMPRODUCT(("var_ncap"=[1]OUT_TransportEnergyCons!$B$4:$B$10000)*1,("-"=[1]OUT_TransportEnergyCons!$C$4:$C$10000)*1,ISNUMBER(SEARCH("T_C*mhy*dsl*s1",[1]OUT_TransportEnergyCons!$A$4:$A$10000))*1,[1]OUT_TransportEnergyCons!N$4:N$10000)</f>
        <v>1.7019289299242699E-4</v>
      </c>
      <c r="Q2156" s="1" cm="1">
        <f t="array" ref="Q2156">SUMPRODUCT(("var_ncap"=[1]OUT_TransportEnergyCons!$B$4:$B$10000)*1,("-"=[1]OUT_TransportEnergyCons!$C$4:$C$10000)*1,ISNUMBER(SEARCH("T_C*mhy*dsl*s1",[1]OUT_TransportEnergyCons!$A$4:$A$10000))*1,[1]OUT_TransportEnergyCons!O$4:O$10000)</f>
        <v>1.14608954146225E-4</v>
      </c>
      <c r="S2156" s="3"/>
    </row>
    <row r="2157" spans="2:19" x14ac:dyDescent="0.5">
      <c r="B2157" s="5" t="str">
        <f t="shared" si="2242"/>
        <v>SPS1</v>
      </c>
      <c r="C2157" s="5" t="str">
        <f t="shared" si="2243"/>
        <v>CH</v>
      </c>
      <c r="D2157" t="s">
        <v>2286</v>
      </c>
      <c r="E2157" t="str">
        <f t="shared" si="2244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4.5552404839423602E-5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3.0658221112638901E-4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4.56592734015533E-4</v>
      </c>
      <c r="J2157" s="1" cm="1">
        <f t="array" ref="J2157">SUMPRODUCT(("var_ncap"=[1]OUT_TransportEnergyCons!$B$4:$B$10000)*1,("-"=[1]OUT_TransportEnergyCons!$C$4:$C$10000)*1,ISNUMBER(SEARCH("T_C*mhy*dsl*s2",[1]OUT_TransportEnergyCons!$A$4:$A$10000))*1,[1]OUT_TransportEnergyCons!H$4:H$10000)</f>
        <v>1.2712913384177E-3</v>
      </c>
      <c r="K2157" s="1" cm="1">
        <f t="array" ref="K2157">SUMPRODUCT(("var_ncap"=[1]OUT_TransportEnergyCons!$B$4:$B$10000)*1,("-"=[1]OUT_TransportEnergyCons!$C$4:$C$10000)*1,ISNUMBER(SEARCH("T_C*mhy*dsl*s2",[1]OUT_TransportEnergyCons!$A$4:$A$10000))*1,[1]OUT_TransportEnergyCons!I$4:I$10000)</f>
        <v>6.0198950697761499E-4</v>
      </c>
      <c r="L2157" s="1" cm="1">
        <f t="array" ref="L2157">SUMPRODUCT(("var_ncap"=[1]OUT_TransportEnergyCons!$B$4:$B$10000)*1,("-"=[1]OUT_TransportEnergyCons!$C$4:$C$10000)*1,ISNUMBER(SEARCH("T_C*mhy*dsl*s2",[1]OUT_TransportEnergyCons!$A$4:$A$10000))*1,[1]OUT_TransportEnergyCons!J$4:J$10000)</f>
        <v>2.6352004343171699E-4</v>
      </c>
      <c r="M2157" s="1" cm="1">
        <f t="array" ref="M2157">SUMPRODUCT(("var_ncap"=[1]OUT_TransportEnergyCons!$B$4:$B$10000)*1,("-"=[1]OUT_TransportEnergyCons!$C$4:$C$10000)*1,ISNUMBER(SEARCH("T_C*mhy*dsl*s2",[1]OUT_TransportEnergyCons!$A$4:$A$10000))*1,[1]OUT_TransportEnergyCons!K$4:K$10000)</f>
        <v>2.0375411775687299E-4</v>
      </c>
      <c r="N2157" s="1" cm="1">
        <f t="array" ref="N2157">SUMPRODUCT(("var_ncap"=[1]OUT_TransportEnergyCons!$B$4:$B$10000)*1,("-"=[1]OUT_TransportEnergyCons!$C$4:$C$10000)*1,ISNUMBER(SEARCH("T_C*mhy*dsl*s2",[1]OUT_TransportEnergyCons!$A$4:$A$10000))*1,[1]OUT_TransportEnergyCons!L$4:L$10000)</f>
        <v>1.76183077269447E-4</v>
      </c>
      <c r="O2157" s="1" cm="1">
        <f t="array" ref="O2157">SUMPRODUCT(("var_ncap"=[1]OUT_TransportEnergyCons!$B$4:$B$10000)*1,("-"=[1]OUT_TransportEnergyCons!$C$4:$C$10000)*1,ISNUMBER(SEARCH("T_C*mhy*dsl*s2",[1]OUT_TransportEnergyCons!$A$4:$A$10000))*1,[1]OUT_TransportEnergyCons!M$4:M$10000)</f>
        <v>3.5870153225652098E-4</v>
      </c>
      <c r="P2157" s="1" cm="1">
        <f t="array" ref="P2157">SUMPRODUCT(("var_ncap"=[1]OUT_TransportEnergyCons!$B$4:$B$10000)*1,("-"=[1]OUT_TransportEnergyCons!$C$4:$C$10000)*1,ISNUMBER(SEARCH("T_C*mhy*dsl*s2",[1]OUT_TransportEnergyCons!$A$4:$A$10000))*1,[1]OUT_TransportEnergyCons!N$4:N$10000)</f>
        <v>4.3548725313032798E-4</v>
      </c>
      <c r="Q2157" s="1" cm="1">
        <f t="array" ref="Q2157">SUMPRODUCT(("var_ncap"=[1]OUT_TransportEnergyCons!$B$4:$B$10000)*1,("-"=[1]OUT_TransportEnergyCons!$C$4:$C$10000)*1,ISNUMBER(SEARCH("T_C*mhy*dsl*s2",[1]OUT_TransportEnergyCons!$A$4:$A$10000))*1,[1]OUT_TransportEnergyCons!O$4:O$10000)</f>
        <v>4.4653133216042201E-4</v>
      </c>
      <c r="S2157" s="3"/>
    </row>
    <row r="2158" spans="2:19" x14ac:dyDescent="0.5">
      <c r="B2158" s="5" t="str">
        <f t="shared" si="2242"/>
        <v>SPS1</v>
      </c>
      <c r="C2158" s="5" t="str">
        <f t="shared" si="2243"/>
        <v>CH</v>
      </c>
      <c r="D2158" t="s">
        <v>2287</v>
      </c>
      <c r="E2158" t="str">
        <f t="shared" si="2244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5.64585040177231E-5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1.87002288428634E-4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2.77873960837034E-4</v>
      </c>
      <c r="J2158" s="1" cm="1">
        <f t="array" ref="J2158">SUMPRODUCT(("var_ncap"=[1]OUT_TransportEnergyCons!$B$4:$B$10000)*1,("-"=[1]OUT_TransportEnergyCons!$C$4:$C$10000)*1,ISNUMBER(SEARCH("T_C*mhy*dsl*s3",[1]OUT_TransportEnergyCons!$A$4:$A$10000))*1,[1]OUT_TransportEnergyCons!H$4:H$10000)</f>
        <v>4.4747624475688702E-3</v>
      </c>
      <c r="K2158" s="1" cm="1">
        <f t="array" ref="K2158">SUMPRODUCT(("var_ncap"=[1]OUT_TransportEnergyCons!$B$4:$B$10000)*1,("-"=[1]OUT_TransportEnergyCons!$C$4:$C$10000)*1,ISNUMBER(SEARCH("T_C*mhy*dsl*s3",[1]OUT_TransportEnergyCons!$A$4:$A$10000))*1,[1]OUT_TransportEnergyCons!I$4:I$10000)</f>
        <v>3.9323526748403698E-2</v>
      </c>
      <c r="L2158" s="1" cm="1">
        <f t="array" ref="L2158">SUMPRODUCT(("var_ncap"=[1]OUT_TransportEnergyCons!$B$4:$B$10000)*1,("-"=[1]OUT_TransportEnergyCons!$C$4:$C$10000)*1,ISNUMBER(SEARCH("T_C*mhy*dsl*s3",[1]OUT_TransportEnergyCons!$A$4:$A$10000))*1,[1]OUT_TransportEnergyCons!J$4:J$10000)</f>
        <v>5.38367243992834E-2</v>
      </c>
      <c r="M2158" s="1" cm="1">
        <f t="array" ref="M2158">SUMPRODUCT(("var_ncap"=[1]OUT_TransportEnergyCons!$B$4:$B$10000)*1,("-"=[1]OUT_TransportEnergyCons!$C$4:$C$10000)*1,ISNUMBER(SEARCH("T_C*mhy*dsl*s3",[1]OUT_TransportEnergyCons!$A$4:$A$10000))*1,[1]OUT_TransportEnergyCons!K$4:K$10000)</f>
        <v>3.09087277177062E-2</v>
      </c>
      <c r="N2158" s="1" cm="1">
        <f t="array" ref="N2158">SUMPRODUCT(("var_ncap"=[1]OUT_TransportEnergyCons!$B$4:$B$10000)*1,("-"=[1]OUT_TransportEnergyCons!$C$4:$C$10000)*1,ISNUMBER(SEARCH("T_C*mhy*dsl*s3",[1]OUT_TransportEnergyCons!$A$4:$A$10000))*1,[1]OUT_TransportEnergyCons!L$4:L$10000)</f>
        <v>4.7145610978547497E-2</v>
      </c>
      <c r="O2158" s="1" cm="1">
        <f t="array" ref="O2158">SUMPRODUCT(("var_ncap"=[1]OUT_TransportEnergyCons!$B$4:$B$10000)*1,("-"=[1]OUT_TransportEnergyCons!$C$4:$C$10000)*1,ISNUMBER(SEARCH("T_C*mhy*dsl*s3",[1]OUT_TransportEnergyCons!$A$4:$A$10000))*1,[1]OUT_TransportEnergyCons!M$4:M$10000)</f>
        <v>4.06479082490298E-2</v>
      </c>
      <c r="P2158" s="1" cm="1">
        <f t="array" ref="P2158">SUMPRODUCT(("var_ncap"=[1]OUT_TransportEnergyCons!$B$4:$B$10000)*1,("-"=[1]OUT_TransportEnergyCons!$C$4:$C$10000)*1,ISNUMBER(SEARCH("T_C*mhy*dsl*s3",[1]OUT_TransportEnergyCons!$A$4:$A$10000))*1,[1]OUT_TransportEnergyCons!N$4:N$10000)</f>
        <v>2.8998847399434698E-2</v>
      </c>
      <c r="Q2158" s="1" cm="1">
        <f t="array" ref="Q2158">SUMPRODUCT(("var_ncap"=[1]OUT_TransportEnergyCons!$B$4:$B$10000)*1,("-"=[1]OUT_TransportEnergyCons!$C$4:$C$10000)*1,ISNUMBER(SEARCH("T_C*mhy*dsl*s3",[1]OUT_TransportEnergyCons!$A$4:$A$10000))*1,[1]OUT_TransportEnergyCons!O$4:O$10000)</f>
        <v>3.7656354342109899E-2</v>
      </c>
      <c r="S2158" s="3"/>
    </row>
    <row r="2159" spans="2:19" x14ac:dyDescent="0.5">
      <c r="B2159" s="5" t="str">
        <f t="shared" si="2242"/>
        <v>SPS1</v>
      </c>
      <c r="C2159" s="5" t="str">
        <f t="shared" si="2243"/>
        <v>CH</v>
      </c>
      <c r="D2159" t="s">
        <v>2288</v>
      </c>
      <c r="E2159" t="str">
        <f t="shared" si="2244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4.0140306230570699E-5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7.7293450328190503E-5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8.1954613622658905E-5</v>
      </c>
      <c r="J2159" s="1" cm="1">
        <f t="array" ref="J2159">SUMPRODUCT(("var_ncap"=[1]OUT_TransportEnergyCons!$B$4:$B$10000)*1,("-"=[1]OUT_TransportEnergyCons!$C$4:$C$10000)*1,ISNUMBER(SEARCH("T_C*mhy*dsl*s4",[1]OUT_TransportEnergyCons!$A$4:$A$10000))*1,[1]OUT_TransportEnergyCons!H$4:H$10000)</f>
        <v>1.6253273935400701E-4</v>
      </c>
      <c r="K2159" s="1" cm="1">
        <f t="array" ref="K2159">SUMPRODUCT(("var_ncap"=[1]OUT_TransportEnergyCons!$B$4:$B$10000)*1,("-"=[1]OUT_TransportEnergyCons!$C$4:$C$10000)*1,ISNUMBER(SEARCH("T_C*mhy*dsl*s4",[1]OUT_TransportEnergyCons!$A$4:$A$10000))*1,[1]OUT_TransportEnergyCons!I$4:I$10000)</f>
        <v>4.0604609019441099E-4</v>
      </c>
      <c r="L2159" s="1" cm="1">
        <f t="array" ref="L2159">SUMPRODUCT(("var_ncap"=[1]OUT_TransportEnergyCons!$B$4:$B$10000)*1,("-"=[1]OUT_TransportEnergyCons!$C$4:$C$10000)*1,ISNUMBER(SEARCH("T_C*mhy*dsl*s4",[1]OUT_TransportEnergyCons!$A$4:$A$10000))*1,[1]OUT_TransportEnergyCons!J$4:J$10000)</f>
        <v>4.41536148544239E-4</v>
      </c>
      <c r="M2159" s="1" cm="1">
        <f t="array" ref="M2159">SUMPRODUCT(("var_ncap"=[1]OUT_TransportEnergyCons!$B$4:$B$10000)*1,("-"=[1]OUT_TransportEnergyCons!$C$4:$C$10000)*1,ISNUMBER(SEARCH("T_C*mhy*dsl*s4",[1]OUT_TransportEnergyCons!$A$4:$A$10000))*1,[1]OUT_TransportEnergyCons!K$4:K$10000)</f>
        <v>7.7674145123692105E-4</v>
      </c>
      <c r="N2159" s="1" cm="1">
        <f t="array" ref="N2159">SUMPRODUCT(("var_ncap"=[1]OUT_TransportEnergyCons!$B$4:$B$10000)*1,("-"=[1]OUT_TransportEnergyCons!$C$4:$C$10000)*1,ISNUMBER(SEARCH("T_C*mhy*dsl*s4",[1]OUT_TransportEnergyCons!$A$4:$A$10000))*1,[1]OUT_TransportEnergyCons!L$4:L$10000)</f>
        <v>5.5309515699302999E-4</v>
      </c>
      <c r="O2159" s="1" cm="1">
        <f t="array" ref="O2159">SUMPRODUCT(("var_ncap"=[1]OUT_TransportEnergyCons!$B$4:$B$10000)*1,("-"=[1]OUT_TransportEnergyCons!$C$4:$C$10000)*1,ISNUMBER(SEARCH("T_C*mhy*dsl*s4",[1]OUT_TransportEnergyCons!$A$4:$A$10000))*1,[1]OUT_TransportEnergyCons!M$4:M$10000)</f>
        <v>2.1037815837575299E-4</v>
      </c>
      <c r="P2159" s="1" cm="1">
        <f t="array" ref="P2159">SUMPRODUCT(("var_ncap"=[1]OUT_TransportEnergyCons!$B$4:$B$10000)*1,("-"=[1]OUT_TransportEnergyCons!$C$4:$C$10000)*1,ISNUMBER(SEARCH("T_C*mhy*dsl*s4",[1]OUT_TransportEnergyCons!$A$4:$A$10000))*1,[1]OUT_TransportEnergyCons!N$4:N$10000)</f>
        <v>1.4715002481806701E-4</v>
      </c>
      <c r="Q2159" s="1" cm="1">
        <f t="array" ref="Q2159">SUMPRODUCT(("var_ncap"=[1]OUT_TransportEnergyCons!$B$4:$B$10000)*1,("-"=[1]OUT_TransportEnergyCons!$C$4:$C$10000)*1,ISNUMBER(SEARCH("T_C*mhy*dsl*s4",[1]OUT_TransportEnergyCons!$A$4:$A$10000))*1,[1]OUT_TransportEnergyCons!O$4:O$10000)</f>
        <v>4.4782049079449801E-4</v>
      </c>
      <c r="S2159" s="3"/>
    </row>
    <row r="2160" spans="2:19" x14ac:dyDescent="0.5">
      <c r="B2160" s="5" t="str">
        <f t="shared" si="2242"/>
        <v>SPS1</v>
      </c>
      <c r="C2160" s="5" t="str">
        <f t="shared" si="2243"/>
        <v>CH</v>
      </c>
      <c r="D2160" t="s">
        <v>2289</v>
      </c>
      <c r="E2160" t="str">
        <f t="shared" si="2244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SUMPRODUCT(("var_ncap"=[1]OUT_TransportEnergyCons!$B$4:$B$10000)*1,("-"=[1]OUT_TransportEnergyCons!$C$4:$C$10000)*1,ISNUMBER(SEARCH("T_C*ICE*nga*ext",[1]OUT_TransportEnergyCons!$A$4:$A$10000))*1,[1]OUT_TransportEnergyCons!H$4:H$10000)</f>
        <v>0</v>
      </c>
      <c r="K2160" s="1" cm="1">
        <f t="array" ref="K2160">SUMPRODUCT(("var_ncap"=[1]OUT_TransportEnergyCons!$B$4:$B$10000)*1,("-"=[1]OUT_TransportEnergyCons!$C$4:$C$10000)*1,ISNUMBER(SEARCH("T_C*ICE*nga*ext",[1]OUT_TransportEnergyCons!$A$4:$A$10000))*1,[1]OUT_TransportEnergyCons!I$4:I$10000)</f>
        <v>0</v>
      </c>
      <c r="L2160" s="1" cm="1">
        <f t="array" ref="L2160">SUMPRODUCT(("var_ncap"=[1]OUT_TransportEnergyCons!$B$4:$B$10000)*1,("-"=[1]OUT_TransportEnergyCons!$C$4:$C$10000)*1,ISNUMBER(SEARCH("T_C*ICE*nga*ext",[1]OUT_TransportEnergyCons!$A$4:$A$10000))*1,[1]OUT_TransportEnergyCons!J$4:J$10000)</f>
        <v>0</v>
      </c>
      <c r="M2160" s="1" cm="1">
        <f t="array" ref="M2160">SUMPRODUCT(("var_ncap"=[1]OUT_TransportEnergyCons!$B$4:$B$10000)*1,("-"=[1]OUT_TransportEnergyCons!$C$4:$C$10000)*1,ISNUMBER(SEARCH("T_C*ICE*nga*ext",[1]OUT_TransportEnergyCons!$A$4:$A$10000))*1,[1]OUT_TransportEnergyCons!K$4:K$10000)</f>
        <v>0</v>
      </c>
      <c r="N2160" s="1" cm="1">
        <f t="array" ref="N2160">SUMPRODUCT(("var_ncap"=[1]OUT_TransportEnergyCons!$B$4:$B$10000)*1,("-"=[1]OUT_TransportEnergyCons!$C$4:$C$10000)*1,ISNUMBER(SEARCH("T_C*ICE*nga*ext",[1]OUT_TransportEnergyCons!$A$4:$A$10000))*1,[1]OUT_TransportEnergyCons!L$4:L$10000)</f>
        <v>0</v>
      </c>
      <c r="O2160" s="1" cm="1">
        <f t="array" ref="O2160">SUMPRODUCT(("var_ncap"=[1]OUT_TransportEnergyCons!$B$4:$B$10000)*1,("-"=[1]OUT_TransportEnergyCons!$C$4:$C$10000)*1,ISNUMBER(SEARCH("T_C*ICE*nga*ext",[1]OUT_TransportEnergyCons!$A$4:$A$10000))*1,[1]OUT_TransportEnergyCons!M$4:M$10000)</f>
        <v>0</v>
      </c>
      <c r="P2160" s="1" cm="1">
        <f t="array" ref="P2160">SUMPRODUCT(("var_ncap"=[1]OUT_TransportEnergyCons!$B$4:$B$10000)*1,("-"=[1]OUT_TransportEnergyCons!$C$4:$C$10000)*1,ISNUMBER(SEARCH("T_C*ICE*nga*ext",[1]OUT_TransportEnergyCons!$A$4:$A$10000))*1,[1]OUT_TransportEnergyCons!N$4:N$10000)</f>
        <v>0</v>
      </c>
      <c r="Q2160" s="1" cm="1">
        <f t="array" ref="Q2160">SUMPRODUCT(("var_ncap"=[1]OUT_TransportEnergyCons!$B$4:$B$10000)*1,("-"=[1]OUT_TransportEnergyCons!$C$4:$C$10000)*1,ISNUMBER(SEARCH("T_C*ICE*nga*ext",[1]OUT_TransportEnergyCons!$A$4:$A$10000))*1,[1]OUT_TransportEnergyCons!O$4:O$10000)</f>
        <v>0</v>
      </c>
      <c r="S2160" s="3"/>
    </row>
    <row r="2161" spans="2:19" x14ac:dyDescent="0.5">
      <c r="B2161" s="5" t="str">
        <f t="shared" si="2242"/>
        <v>SPS1</v>
      </c>
      <c r="C2161" s="5" t="str">
        <f t="shared" si="2243"/>
        <v>CH</v>
      </c>
      <c r="D2161" t="s">
        <v>2290</v>
      </c>
      <c r="E2161" t="str">
        <f t="shared" si="2244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7.8025633199243299E-6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6.9846564891175998E-6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8.5069185230492704E-7</v>
      </c>
      <c r="J2161" s="1" cm="1">
        <f t="array" ref="J2161">SUMPRODUCT(("var_ncap"=[1]OUT_TransportEnergyCons!$B$4:$B$10000)*1,("-"=[1]OUT_TransportEnergyCons!$C$4:$C$10000)*1,ISNUMBER(SEARCH("T_C*ICE*nga*s1",[1]OUT_TransportEnergyCons!$A$4:$A$10000))*1,[1]OUT_TransportEnergyCons!H$4:H$10000)</f>
        <v>2.91539594437681E-6</v>
      </c>
      <c r="K2161" s="1" cm="1">
        <f t="array" ref="K2161">SUMPRODUCT(("var_ncap"=[1]OUT_TransportEnergyCons!$B$4:$B$10000)*1,("-"=[1]OUT_TransportEnergyCons!$C$4:$C$10000)*1,ISNUMBER(SEARCH("T_C*ICE*nga*s1",[1]OUT_TransportEnergyCons!$A$4:$A$10000))*1,[1]OUT_TransportEnergyCons!I$4:I$10000)</f>
        <v>2.9185036295205399E-6</v>
      </c>
      <c r="L2161" s="1" cm="1">
        <f t="array" ref="L2161">SUMPRODUCT(("var_ncap"=[1]OUT_TransportEnergyCons!$B$4:$B$10000)*1,("-"=[1]OUT_TransportEnergyCons!$C$4:$C$10000)*1,ISNUMBER(SEARCH("T_C*ICE*nga*s1",[1]OUT_TransportEnergyCons!$A$4:$A$10000))*1,[1]OUT_TransportEnergyCons!J$4:J$10000)</f>
        <v>2.19829493501076E-6</v>
      </c>
      <c r="M2161" s="1" cm="1">
        <f t="array" ref="M2161">SUMPRODUCT(("var_ncap"=[1]OUT_TransportEnergyCons!$B$4:$B$10000)*1,("-"=[1]OUT_TransportEnergyCons!$C$4:$C$10000)*1,ISNUMBER(SEARCH("T_C*ICE*nga*s1",[1]OUT_TransportEnergyCons!$A$4:$A$10000))*1,[1]OUT_TransportEnergyCons!K$4:K$10000)</f>
        <v>2.7108257753098599E-6</v>
      </c>
      <c r="N2161" s="1" cm="1">
        <f t="array" ref="N2161">SUMPRODUCT(("var_ncap"=[1]OUT_TransportEnergyCons!$B$4:$B$10000)*1,("-"=[1]OUT_TransportEnergyCons!$C$4:$C$10000)*1,ISNUMBER(SEARCH("T_C*ICE*nga*s1",[1]OUT_TransportEnergyCons!$A$4:$A$10000))*1,[1]OUT_TransportEnergyCons!L$4:L$10000)</f>
        <v>2.43910322579325E-6</v>
      </c>
      <c r="O2161" s="1" cm="1">
        <f t="array" ref="O2161">SUMPRODUCT(("var_ncap"=[1]OUT_TransportEnergyCons!$B$4:$B$10000)*1,("-"=[1]OUT_TransportEnergyCons!$C$4:$C$10000)*1,ISNUMBER(SEARCH("T_C*ICE*nga*s1",[1]OUT_TransportEnergyCons!$A$4:$A$10000))*1,[1]OUT_TransportEnergyCons!M$4:M$10000)</f>
        <v>2.2084680627267599E-6</v>
      </c>
      <c r="P2161" s="1" cm="1">
        <f t="array" ref="P2161">SUMPRODUCT(("var_ncap"=[1]OUT_TransportEnergyCons!$B$4:$B$10000)*1,("-"=[1]OUT_TransportEnergyCons!$C$4:$C$10000)*1,ISNUMBER(SEARCH("T_C*ICE*nga*s1",[1]OUT_TransportEnergyCons!$A$4:$A$10000))*1,[1]OUT_TransportEnergyCons!N$4:N$10000)</f>
        <v>2.25489811556008E-6</v>
      </c>
      <c r="Q2161" s="1" cm="1">
        <f t="array" ref="Q2161">SUMPRODUCT(("var_ncap"=[1]OUT_TransportEnergyCons!$B$4:$B$10000)*1,("-"=[1]OUT_TransportEnergyCons!$C$4:$C$10000)*1,ISNUMBER(SEARCH("T_C*ICE*nga*s1",[1]OUT_TransportEnergyCons!$A$4:$A$10000))*1,[1]OUT_TransportEnergyCons!O$4:O$10000)</f>
        <v>2.1879973878945299E-6</v>
      </c>
      <c r="S2161" s="3"/>
    </row>
    <row r="2162" spans="2:19" x14ac:dyDescent="0.5">
      <c r="B2162" s="5" t="str">
        <f t="shared" si="2242"/>
        <v>SPS1</v>
      </c>
      <c r="C2162" s="5" t="str">
        <f t="shared" si="2243"/>
        <v>CH</v>
      </c>
      <c r="D2162" t="s">
        <v>2291</v>
      </c>
      <c r="E2162" t="str">
        <f t="shared" si="2244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4.5978600372839299E-6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4.5342437047861803E-6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9.4586180632012897E-7</v>
      </c>
      <c r="J2162" s="1" cm="1">
        <f t="array" ref="J2162">SUMPRODUCT(("var_ncap"=[1]OUT_TransportEnergyCons!$B$4:$B$10000)*1,("-"=[1]OUT_TransportEnergyCons!$C$4:$C$10000)*1,ISNUMBER(SEARCH("T_C*ICE*nga*s2",[1]OUT_TransportEnergyCons!$A$4:$A$10000))*1,[1]OUT_TransportEnergyCons!H$4:H$10000)</f>
        <v>3.4129174213382499E-6</v>
      </c>
      <c r="K2162" s="1" cm="1">
        <f t="array" ref="K2162">SUMPRODUCT(("var_ncap"=[1]OUT_TransportEnergyCons!$B$4:$B$10000)*1,("-"=[1]OUT_TransportEnergyCons!$C$4:$C$10000)*1,ISNUMBER(SEARCH("T_C*ICE*nga*s2",[1]OUT_TransportEnergyCons!$A$4:$A$10000))*1,[1]OUT_TransportEnergyCons!I$4:I$10000)</f>
        <v>3.05245460799824E-6</v>
      </c>
      <c r="L2162" s="1" cm="1">
        <f t="array" ref="L2162">SUMPRODUCT(("var_ncap"=[1]OUT_TransportEnergyCons!$B$4:$B$10000)*1,("-"=[1]OUT_TransportEnergyCons!$C$4:$C$10000)*1,ISNUMBER(SEARCH("T_C*ICE*nga*s2",[1]OUT_TransportEnergyCons!$A$4:$A$10000))*1,[1]OUT_TransportEnergyCons!J$4:J$10000)</f>
        <v>2.4501877121072502E-6</v>
      </c>
      <c r="M2162" s="1" cm="1">
        <f t="array" ref="M2162">SUMPRODUCT(("var_ncap"=[1]OUT_TransportEnergyCons!$B$4:$B$10000)*1,("-"=[1]OUT_TransportEnergyCons!$C$4:$C$10000)*1,ISNUMBER(SEARCH("T_C*ICE*nga*s2",[1]OUT_TransportEnergyCons!$A$4:$A$10000))*1,[1]OUT_TransportEnergyCons!K$4:K$10000)</f>
        <v>2.86439967105576E-6</v>
      </c>
      <c r="N2162" s="1" cm="1">
        <f t="array" ref="N2162">SUMPRODUCT(("var_ncap"=[1]OUT_TransportEnergyCons!$B$4:$B$10000)*1,("-"=[1]OUT_TransportEnergyCons!$C$4:$C$10000)*1,ISNUMBER(SEARCH("T_C*ICE*nga*s2",[1]OUT_TransportEnergyCons!$A$4:$A$10000))*1,[1]OUT_TransportEnergyCons!L$4:L$10000)</f>
        <v>2.66243972761582E-6</v>
      </c>
      <c r="O2162" s="1" cm="1">
        <f t="array" ref="O2162">SUMPRODUCT(("var_ncap"=[1]OUT_TransportEnergyCons!$B$4:$B$10000)*1,("-"=[1]OUT_TransportEnergyCons!$C$4:$C$10000)*1,ISNUMBER(SEARCH("T_C*ICE*nga*s2",[1]OUT_TransportEnergyCons!$A$4:$A$10000))*1,[1]OUT_TransportEnergyCons!M$4:M$10000)</f>
        <v>2.4032191129178898E-6</v>
      </c>
      <c r="P2162" s="1" cm="1">
        <f t="array" ref="P2162">SUMPRODUCT(("var_ncap"=[1]OUT_TransportEnergyCons!$B$4:$B$10000)*1,("-"=[1]OUT_TransportEnergyCons!$C$4:$C$10000)*1,ISNUMBER(SEARCH("T_C*ICE*nga*s2",[1]OUT_TransportEnergyCons!$A$4:$A$10000))*1,[1]OUT_TransportEnergyCons!N$4:N$10000)</f>
        <v>2.4339753635208499E-6</v>
      </c>
      <c r="Q2162" s="1" cm="1">
        <f t="array" ref="Q2162">SUMPRODUCT(("var_ncap"=[1]OUT_TransportEnergyCons!$B$4:$B$10000)*1,("-"=[1]OUT_TransportEnergyCons!$C$4:$C$10000)*1,ISNUMBER(SEARCH("T_C*ICE*nga*s2",[1]OUT_TransportEnergyCons!$A$4:$A$10000))*1,[1]OUT_TransportEnergyCons!O$4:O$10000)</f>
        <v>2.1550726460802098E-6</v>
      </c>
      <c r="S2162" s="3"/>
    </row>
    <row r="2163" spans="2:19" x14ac:dyDescent="0.5">
      <c r="B2163" s="5" t="str">
        <f t="shared" si="2242"/>
        <v>SPS1</v>
      </c>
      <c r="C2163" s="5" t="str">
        <f t="shared" si="2243"/>
        <v>CH</v>
      </c>
      <c r="D2163" t="s">
        <v>2292</v>
      </c>
      <c r="E2163" t="str">
        <f t="shared" si="2244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5.3059001537447498E-6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4.2605658171288696E-6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9.21541710837345E-7</v>
      </c>
      <c r="J2163" s="1" cm="1">
        <f t="array" ref="J2163">SUMPRODUCT(("var_ncap"=[1]OUT_TransportEnergyCons!$B$4:$B$10000)*1,("-"=[1]OUT_TransportEnergyCons!$C$4:$C$10000)*1,ISNUMBER(SEARCH("T_C*ICE*nga*s3",[1]OUT_TransportEnergyCons!$A$4:$A$10000))*1,[1]OUT_TransportEnergyCons!H$4:H$10000)</f>
        <v>3.57000798251575E-6</v>
      </c>
      <c r="K2163" s="1" cm="1">
        <f t="array" ref="K2163">SUMPRODUCT(("var_ncap"=[1]OUT_TransportEnergyCons!$B$4:$B$10000)*1,("-"=[1]OUT_TransportEnergyCons!$C$4:$C$10000)*1,ISNUMBER(SEARCH("T_C*ICE*nga*s3",[1]OUT_TransportEnergyCons!$A$4:$A$10000))*1,[1]OUT_TransportEnergyCons!I$4:I$10000)</f>
        <v>3.1322599070108801E-6</v>
      </c>
      <c r="L2163" s="1" cm="1">
        <f t="array" ref="L2163">SUMPRODUCT(("var_ncap"=[1]OUT_TransportEnergyCons!$B$4:$B$10000)*1,("-"=[1]OUT_TransportEnergyCons!$C$4:$C$10000)*1,ISNUMBER(SEARCH("T_C*ICE*nga*s3",[1]OUT_TransportEnergyCons!$A$4:$A$10000))*1,[1]OUT_TransportEnergyCons!J$4:J$10000)</f>
        <v>2.5872063603106101E-6</v>
      </c>
      <c r="M2163" s="1" cm="1">
        <f t="array" ref="M2163">SUMPRODUCT(("var_ncap"=[1]OUT_TransportEnergyCons!$B$4:$B$10000)*1,("-"=[1]OUT_TransportEnergyCons!$C$4:$C$10000)*1,ISNUMBER(SEARCH("T_C*ICE*nga*s3",[1]OUT_TransportEnergyCons!$A$4:$A$10000))*1,[1]OUT_TransportEnergyCons!K$4:K$10000)</f>
        <v>3.0031641775591602E-6</v>
      </c>
      <c r="N2163" s="1" cm="1">
        <f t="array" ref="N2163">SUMPRODUCT(("var_ncap"=[1]OUT_TransportEnergyCons!$B$4:$B$10000)*1,("-"=[1]OUT_TransportEnergyCons!$C$4:$C$10000)*1,ISNUMBER(SEARCH("T_C*ICE*nga*s3",[1]OUT_TransportEnergyCons!$A$4:$A$10000))*1,[1]OUT_TransportEnergyCons!L$4:L$10000)</f>
        <v>2.8277136637265401E-6</v>
      </c>
      <c r="O2163" s="1" cm="1">
        <f t="array" ref="O2163">SUMPRODUCT(("var_ncap"=[1]OUT_TransportEnergyCons!$B$4:$B$10000)*1,("-"=[1]OUT_TransportEnergyCons!$C$4:$C$10000)*1,ISNUMBER(SEARCH("T_C*ICE*nga*s3",[1]OUT_TransportEnergyCons!$A$4:$A$10000))*1,[1]OUT_TransportEnergyCons!M$4:M$10000)</f>
        <v>2.4533169433558102E-6</v>
      </c>
      <c r="P2163" s="1" cm="1">
        <f t="array" ref="P2163">SUMPRODUCT(("var_ncap"=[1]OUT_TransportEnergyCons!$B$4:$B$10000)*1,("-"=[1]OUT_TransportEnergyCons!$C$4:$C$10000)*1,ISNUMBER(SEARCH("T_C*ICE*nga*s3",[1]OUT_TransportEnergyCons!$A$4:$A$10000))*1,[1]OUT_TransportEnergyCons!N$4:N$10000)</f>
        <v>2.4864669495671899E-6</v>
      </c>
      <c r="Q2163" s="1" cm="1">
        <f t="array" ref="Q2163">SUMPRODUCT(("var_ncap"=[1]OUT_TransportEnergyCons!$B$4:$B$10000)*1,("-"=[1]OUT_TransportEnergyCons!$C$4:$C$10000)*1,ISNUMBER(SEARCH("T_C*ICE*nga*s3",[1]OUT_TransportEnergyCons!$A$4:$A$10000))*1,[1]OUT_TransportEnergyCons!O$4:O$10000)</f>
        <v>2.1478677607599001E-6</v>
      </c>
      <c r="S2163" s="3"/>
    </row>
    <row r="2164" spans="2:19" x14ac:dyDescent="0.5">
      <c r="B2164" s="5" t="str">
        <f t="shared" si="2242"/>
        <v>SPS1</v>
      </c>
      <c r="C2164" s="5" t="str">
        <f t="shared" si="2243"/>
        <v>CH</v>
      </c>
      <c r="D2164" t="s">
        <v>2293</v>
      </c>
      <c r="E2164" t="str">
        <f t="shared" si="2244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5.4724288063358401E-6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4.7583159676713099E-6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9.7698905745634295E-7</v>
      </c>
      <c r="J2164" s="1" cm="1">
        <f t="array" ref="J2164">SUMPRODUCT(("var_ncap"=[1]OUT_TransportEnergyCons!$B$4:$B$10000)*1,("-"=[1]OUT_TransportEnergyCons!$C$4:$C$10000)*1,ISNUMBER(SEARCH("T_C*ICE*nga*s4",[1]OUT_TransportEnergyCons!$A$4:$A$10000))*1,[1]OUT_TransportEnergyCons!H$4:H$10000)</f>
        <v>3.7446416382525799E-6</v>
      </c>
      <c r="K2164" s="1" cm="1">
        <f t="array" ref="K2164">SUMPRODUCT(("var_ncap"=[1]OUT_TransportEnergyCons!$B$4:$B$10000)*1,("-"=[1]OUT_TransportEnergyCons!$C$4:$C$10000)*1,ISNUMBER(SEARCH("T_C*ICE*nga*s4",[1]OUT_TransportEnergyCons!$A$4:$A$10000))*1,[1]OUT_TransportEnergyCons!I$4:I$10000)</f>
        <v>3.3088776802262498E-6</v>
      </c>
      <c r="L2164" s="1" cm="1">
        <f t="array" ref="L2164">SUMPRODUCT(("var_ncap"=[1]OUT_TransportEnergyCons!$B$4:$B$10000)*1,("-"=[1]OUT_TransportEnergyCons!$C$4:$C$10000)*1,ISNUMBER(SEARCH("T_C*ICE*nga*s4",[1]OUT_TransportEnergyCons!$A$4:$A$10000))*1,[1]OUT_TransportEnergyCons!J$4:J$10000)</f>
        <v>2.7135575493376199E-6</v>
      </c>
      <c r="M2164" s="1" cm="1">
        <f t="array" ref="M2164">SUMPRODUCT(("var_ncap"=[1]OUT_TransportEnergyCons!$B$4:$B$10000)*1,("-"=[1]OUT_TransportEnergyCons!$C$4:$C$10000)*1,ISNUMBER(SEARCH("T_C*ICE*nga*s4",[1]OUT_TransportEnergyCons!$A$4:$A$10000))*1,[1]OUT_TransportEnergyCons!K$4:K$10000)</f>
        <v>3.1362774263200899E-6</v>
      </c>
      <c r="N2164" s="1" cm="1">
        <f t="array" ref="N2164">SUMPRODUCT(("var_ncap"=[1]OUT_TransportEnergyCons!$B$4:$B$10000)*1,("-"=[1]OUT_TransportEnergyCons!$C$4:$C$10000)*1,ISNUMBER(SEARCH("T_C*ICE*nga*s4",[1]OUT_TransportEnergyCons!$A$4:$A$10000))*1,[1]OUT_TransportEnergyCons!L$4:L$10000)</f>
        <v>2.9330662501681802E-6</v>
      </c>
      <c r="O2164" s="1" cm="1">
        <f t="array" ref="O2164">SUMPRODUCT(("var_ncap"=[1]OUT_TransportEnergyCons!$B$4:$B$10000)*1,("-"=[1]OUT_TransportEnergyCons!$C$4:$C$10000)*1,ISNUMBER(SEARCH("T_C*ICE*nga*s4",[1]OUT_TransportEnergyCons!$A$4:$A$10000))*1,[1]OUT_TransportEnergyCons!M$4:M$10000)</f>
        <v>2.4444201418314602E-6</v>
      </c>
      <c r="P2164" s="1" cm="1">
        <f t="array" ref="P2164">SUMPRODUCT(("var_ncap"=[1]OUT_TransportEnergyCons!$B$4:$B$10000)*1,("-"=[1]OUT_TransportEnergyCons!$C$4:$C$10000)*1,ISNUMBER(SEARCH("T_C*ICE*nga*s4",[1]OUT_TransportEnergyCons!$A$4:$A$10000))*1,[1]OUT_TransportEnergyCons!N$4:N$10000)</f>
        <v>2.4627054635452302E-6</v>
      </c>
      <c r="Q2164" s="1" cm="1">
        <f t="array" ref="Q2164">SUMPRODUCT(("var_ncap"=[1]OUT_TransportEnergyCons!$B$4:$B$10000)*1,("-"=[1]OUT_TransportEnergyCons!$C$4:$C$10000)*1,ISNUMBER(SEARCH("T_C*ICE*nga*s4",[1]OUT_TransportEnergyCons!$A$4:$A$10000))*1,[1]OUT_TransportEnergyCons!O$4:O$10000)</f>
        <v>2.1988864639390101E-6</v>
      </c>
      <c r="S2164" s="3"/>
    </row>
    <row r="2165" spans="2:19" x14ac:dyDescent="0.5">
      <c r="B2165" s="5" t="str">
        <f>'SPS1'!B1953</f>
        <v>SPS1</v>
      </c>
      <c r="C2165" s="5" t="str">
        <f>'SPS1'!C1953</f>
        <v>CH</v>
      </c>
      <c r="D2165" s="2" t="s">
        <v>2294</v>
      </c>
      <c r="E2165" s="2" t="s">
        <v>1999</v>
      </c>
      <c r="F2165" s="3">
        <f t="shared" ref="F2165:K2165" si="2245">SUM(F2166:F2188)</f>
        <v>0</v>
      </c>
      <c r="G2165" s="3">
        <f t="shared" si="2245"/>
        <v>0.73520060144375721</v>
      </c>
      <c r="H2165" s="3">
        <f t="shared" si="2245"/>
        <v>1.5682178350815252</v>
      </c>
      <c r="I2165" s="3">
        <f t="shared" si="2245"/>
        <v>5.6802195516709038</v>
      </c>
      <c r="J2165" s="3">
        <f t="shared" si="2245"/>
        <v>4.9067588912684883</v>
      </c>
      <c r="K2165" s="3">
        <f t="shared" si="2245"/>
        <v>2.269111648516402</v>
      </c>
      <c r="L2165" s="3">
        <f t="shared" ref="L2165:O2165" si="2246">SUM(L2166:L2188)</f>
        <v>3.4557313283816034</v>
      </c>
      <c r="M2165" s="3">
        <f t="shared" si="2246"/>
        <v>4.0792026325240283</v>
      </c>
      <c r="N2165" s="3">
        <f t="shared" si="2246"/>
        <v>2.774414335839869</v>
      </c>
      <c r="O2165" s="3">
        <f t="shared" si="2246"/>
        <v>4.7586128538098471</v>
      </c>
      <c r="P2165" s="3">
        <f>SUM(P2166:P2188)</f>
        <v>3.5426387268553348</v>
      </c>
      <c r="Q2165" s="3">
        <f>SUM(Q2166:Q2188)</f>
        <v>4.0537266113026664</v>
      </c>
      <c r="S2165" s="3"/>
    </row>
    <row r="2166" spans="2:19" x14ac:dyDescent="0.5">
      <c r="B2166" s="5" t="str">
        <f t="shared" ref="B2166:B2197" si="2247">B2165</f>
        <v>SPS1</v>
      </c>
      <c r="C2166" s="5" t="str">
        <f t="shared" ref="C2166:C2197" si="2248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(SUMPRODUCT(("var_ncap"=[1]OUT_TransportEnergyCons!$B$4:$B$10000)*1,ISNUMBER(SEARCH("T_B_u*bev*ext",[1]OUT_TransportEnergyCons!$A$4:$A$10000))*1,[1]OUT_TransportEnergyCons!H$4:H$10000))*1000</f>
        <v>0</v>
      </c>
      <c r="K2166" s="1" cm="1">
        <f t="array" ref="K2166">(SUMPRODUCT(("var_ncap"=[1]OUT_TransportEnergyCons!$B$4:$B$10000)*1,ISNUMBER(SEARCH("T_B_u*bev*ext",[1]OUT_TransportEnergyCons!$A$4:$A$10000))*1,[1]OUT_TransportEnergyCons!I$4:I$10000))*1000</f>
        <v>0</v>
      </c>
      <c r="L2166" s="1" cm="1">
        <f t="array" ref="L2166">(SUMPRODUCT(("var_ncap"=[1]OUT_TransportEnergyCons!$B$4:$B$10000)*1,ISNUMBER(SEARCH("T_B_u*bev*ext",[1]OUT_TransportEnergyCons!$A$4:$A$10000))*1,[1]OUT_TransportEnergyCons!J$4:J$10000))*1000</f>
        <v>0</v>
      </c>
      <c r="M2166" s="1" cm="1">
        <f t="array" ref="M2166">(SUMPRODUCT(("var_ncap"=[1]OUT_TransportEnergyCons!$B$4:$B$10000)*1,ISNUMBER(SEARCH("T_B_u*bev*ext",[1]OUT_TransportEnergyCons!$A$4:$A$10000))*1,[1]OUT_TransportEnergyCons!K$4:K$10000))*1000</f>
        <v>0</v>
      </c>
      <c r="N2166" s="1" cm="1">
        <f t="array" ref="N2166">(SUMPRODUCT(("var_ncap"=[1]OUT_TransportEnergyCons!$B$4:$B$10000)*1,ISNUMBER(SEARCH("T_B_u*bev*ext",[1]OUT_TransportEnergyCons!$A$4:$A$10000))*1,[1]OUT_TransportEnergyCons!L$4:L$10000))*1000</f>
        <v>0</v>
      </c>
      <c r="O2166" s="1" cm="1">
        <f t="array" ref="O2166">(SUMPRODUCT(("var_ncap"=[1]OUT_TransportEnergyCons!$B$4:$B$10000)*1,ISNUMBER(SEARCH("T_B_u*bev*ext",[1]OUT_TransportEnergyCons!$A$4:$A$10000))*1,[1]OUT_TransportEnergyCons!M$4:M$10000))*1000</f>
        <v>0</v>
      </c>
      <c r="P2166" s="1" cm="1">
        <f t="array" ref="P2166">(SUMPRODUCT(("var_ncap"=[1]OUT_TransportEnergyCons!$B$4:$B$10000)*1,ISNUMBER(SEARCH("T_B_u*bev*ext",[1]OUT_TransportEnergyCons!$A$4:$A$10000))*1,[1]OUT_TransportEnergyCons!N$4:N$10000))*1000</f>
        <v>0</v>
      </c>
      <c r="Q2166" s="1" cm="1">
        <f t="array" ref="Q2166">(SUMPRODUCT(("var_ncap"=[1]OUT_TransportEnergyCons!$B$4:$B$10000)*1,ISNUMBER(SEARCH("T_B_u*bev*ext",[1]OUT_TransportEnergyCons!$A$4:$A$10000))*1,[1]OUT_TransportEnergyCons!O$4:O$10000))*1000</f>
        <v>0</v>
      </c>
      <c r="S2166" s="3"/>
    </row>
    <row r="2167" spans="2:19" x14ac:dyDescent="0.5">
      <c r="B2167" s="5" t="str">
        <f t="shared" si="2247"/>
        <v>SPS1</v>
      </c>
      <c r="C2167" s="5" t="str">
        <f t="shared" si="2248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1.22850371044687E-2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1.97642372419785E-2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2.5485324904014899</v>
      </c>
      <c r="J2167" s="1" cm="1">
        <f t="array" ref="J2167">(SUMPRODUCT(("var_ncap"=[1]OUT_TransportEnergyCons!$B$4:$B$10000)*1,ISNUMBER(SEARCH("T_B_u*bev*s1",[1]OUT_TransportEnergyCons!$A$4:$A$10000))*1,[1]OUT_TransportEnergyCons!H$4:H$10000))*1000</f>
        <v>2.59902034454828</v>
      </c>
      <c r="K2167" s="1" cm="1">
        <f t="array" ref="K2167">(SUMPRODUCT(("var_ncap"=[1]OUT_TransportEnergyCons!$B$4:$B$10000)*1,ISNUMBER(SEARCH("T_B_u*bev*s1",[1]OUT_TransportEnergyCons!$A$4:$A$10000))*1,[1]OUT_TransportEnergyCons!I$4:I$10000))*1000</f>
        <v>0.17323914630170001</v>
      </c>
      <c r="L2167" s="1" cm="1">
        <f t="array" ref="L2167">(SUMPRODUCT(("var_ncap"=[1]OUT_TransportEnergyCons!$B$4:$B$10000)*1,ISNUMBER(SEARCH("T_B_u*bev*s1",[1]OUT_TransportEnergyCons!$A$4:$A$10000))*1,[1]OUT_TransportEnergyCons!J$4:J$10000))*1000</f>
        <v>1.3151449304210101</v>
      </c>
      <c r="M2167" s="1" cm="1">
        <f t="array" ref="M2167">(SUMPRODUCT(("var_ncap"=[1]OUT_TransportEnergyCons!$B$4:$B$10000)*1,ISNUMBER(SEARCH("T_B_u*bev*s1",[1]OUT_TransportEnergyCons!$A$4:$A$10000))*1,[1]OUT_TransportEnergyCons!K$4:K$10000))*1000</f>
        <v>1.4965374863572101</v>
      </c>
      <c r="N2167" s="1" cm="1">
        <f t="array" ref="N2167">(SUMPRODUCT(("var_ncap"=[1]OUT_TransportEnergyCons!$B$4:$B$10000)*1,ISNUMBER(SEARCH("T_B_u*bev*s1",[1]OUT_TransportEnergyCons!$A$4:$A$10000))*1,[1]OUT_TransportEnergyCons!L$4:L$10000))*1000</f>
        <v>0.85859284076031794</v>
      </c>
      <c r="O2167" s="1" cm="1">
        <f t="array" ref="O2167">(SUMPRODUCT(("var_ncap"=[1]OUT_TransportEnergyCons!$B$4:$B$10000)*1,ISNUMBER(SEARCH("T_B_u*bev*s1",[1]OUT_TransportEnergyCons!$A$4:$A$10000))*1,[1]OUT_TransportEnergyCons!M$4:M$10000))*1000</f>
        <v>1.3083445893924801</v>
      </c>
      <c r="P2167" s="1" cm="1">
        <f t="array" ref="P2167">(SUMPRODUCT(("var_ncap"=[1]OUT_TransportEnergyCons!$B$4:$B$10000)*1,ISNUMBER(SEARCH("T_B_u*bev*s1",[1]OUT_TransportEnergyCons!$A$4:$A$10000))*1,[1]OUT_TransportEnergyCons!N$4:N$10000))*1000</f>
        <v>0.88324897660817303</v>
      </c>
      <c r="Q2167" s="1" cm="1">
        <f t="array" ref="Q2167">(SUMPRODUCT(("var_ncap"=[1]OUT_TransportEnergyCons!$B$4:$B$10000)*1,ISNUMBER(SEARCH("T_B_u*bev*s1",[1]OUT_TransportEnergyCons!$A$4:$A$10000))*1,[1]OUT_TransportEnergyCons!O$4:O$10000))*1000</f>
        <v>0.25574457454726496</v>
      </c>
      <c r="S2167" s="3"/>
    </row>
    <row r="2168" spans="2:19" x14ac:dyDescent="0.5">
      <c r="B2168" s="5" t="str">
        <f t="shared" si="2247"/>
        <v>SPS1</v>
      </c>
      <c r="C2168" s="5" t="str">
        <f t="shared" si="2248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3.41486120156169E-3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1.2807284640167799E-2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0.72759686742292995</v>
      </c>
      <c r="J2168" s="1" cm="1">
        <f t="array" ref="J2168">(SUMPRODUCT(("var_ncap"=[1]OUT_TransportEnergyCons!$B$4:$B$10000)*1,ISNUMBER(SEARCH("T_B_u*bev*s2",[1]OUT_TransportEnergyCons!$A$4:$A$10000))*1,[1]OUT_TransportEnergyCons!H$4:H$10000))*1000</f>
        <v>0.68939085360483598</v>
      </c>
      <c r="K2168" s="1" cm="1">
        <f t="array" ref="K2168">(SUMPRODUCT(("var_ncap"=[1]OUT_TransportEnergyCons!$B$4:$B$10000)*1,ISNUMBER(SEARCH("T_B_u*bev*s2",[1]OUT_TransportEnergyCons!$A$4:$A$10000))*1,[1]OUT_TransportEnergyCons!I$4:I$10000))*1000</f>
        <v>0.117084310118691</v>
      </c>
      <c r="L2168" s="1" cm="1">
        <f t="array" ref="L2168">(SUMPRODUCT(("var_ncap"=[1]OUT_TransportEnergyCons!$B$4:$B$10000)*1,ISNUMBER(SEARCH("T_B_u*bev*s2",[1]OUT_TransportEnergyCons!$A$4:$A$10000))*1,[1]OUT_TransportEnergyCons!J$4:J$10000))*1000</f>
        <v>0.36076796568351499</v>
      </c>
      <c r="M2168" s="1" cm="1">
        <f t="array" ref="M2168">(SUMPRODUCT(("var_ncap"=[1]OUT_TransportEnergyCons!$B$4:$B$10000)*1,ISNUMBER(SEARCH("T_B_u*bev*s2",[1]OUT_TransportEnergyCons!$A$4:$A$10000))*1,[1]OUT_TransportEnergyCons!K$4:K$10000))*1000</f>
        <v>0.45651707241577</v>
      </c>
      <c r="N2168" s="1" cm="1">
        <f t="array" ref="N2168">(SUMPRODUCT(("var_ncap"=[1]OUT_TransportEnergyCons!$B$4:$B$10000)*1,ISNUMBER(SEARCH("T_B_u*bev*s2",[1]OUT_TransportEnergyCons!$A$4:$A$10000))*1,[1]OUT_TransportEnergyCons!L$4:L$10000))*1000</f>
        <v>0.25333450240130301</v>
      </c>
      <c r="O2168" s="1" cm="1">
        <f t="array" ref="O2168">(SUMPRODUCT(("var_ncap"=[1]OUT_TransportEnergyCons!$B$4:$B$10000)*1,ISNUMBER(SEARCH("T_B_u*bev*s2",[1]OUT_TransportEnergyCons!$A$4:$A$10000))*1,[1]OUT_TransportEnergyCons!M$4:M$10000))*1000</f>
        <v>0.398780363417017</v>
      </c>
      <c r="P2168" s="1" cm="1">
        <f t="array" ref="P2168">(SUMPRODUCT(("var_ncap"=[1]OUT_TransportEnergyCons!$B$4:$B$10000)*1,ISNUMBER(SEARCH("T_B_u*bev*s2",[1]OUT_TransportEnergyCons!$A$4:$A$10000))*1,[1]OUT_TransportEnergyCons!N$4:N$10000))*1000</f>
        <v>0.455592768177003</v>
      </c>
      <c r="Q2168" s="1" cm="1">
        <f t="array" ref="Q2168">(SUMPRODUCT(("var_ncap"=[1]OUT_TransportEnergyCons!$B$4:$B$10000)*1,ISNUMBER(SEARCH("T_B_u*bev*s2",[1]OUT_TransportEnergyCons!$A$4:$A$10000))*1,[1]OUT_TransportEnergyCons!O$4:O$10000))*1000</f>
        <v>0.182917796434726</v>
      </c>
      <c r="S2168" s="3"/>
    </row>
    <row r="2169" spans="2:19" x14ac:dyDescent="0.5">
      <c r="B2169" s="5" t="str">
        <f t="shared" si="2247"/>
        <v>SPS1</v>
      </c>
      <c r="C2169" s="5" t="str">
        <f t="shared" si="2248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2.2866946774913396E-3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4.86846228874269E-3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1.9630941351502398</v>
      </c>
      <c r="J2169" s="1" cm="1">
        <f t="array" ref="J2169">(SUMPRODUCT(("var_ncap"=[1]OUT_TransportEnergyCons!$B$4:$B$10000)*1,ISNUMBER(SEARCH("T_B_u*bev*s3",[1]OUT_TransportEnergyCons!$A$4:$A$10000))*1,[1]OUT_TransportEnergyCons!H$4:H$10000))*1000</f>
        <v>0.40838753842208098</v>
      </c>
      <c r="K2169" s="1" cm="1">
        <f t="array" ref="K2169">(SUMPRODUCT(("var_ncap"=[1]OUT_TransportEnergyCons!$B$4:$B$10000)*1,ISNUMBER(SEARCH("T_B_u*bev*s3",[1]OUT_TransportEnergyCons!$A$4:$A$10000))*1,[1]OUT_TransportEnergyCons!I$4:I$10000))*1000</f>
        <v>1.39015708239254</v>
      </c>
      <c r="L2169" s="1" cm="1">
        <f t="array" ref="L2169">(SUMPRODUCT(("var_ncap"=[1]OUT_TransportEnergyCons!$B$4:$B$10000)*1,ISNUMBER(SEARCH("T_B_u*bev*s3",[1]OUT_TransportEnergyCons!$A$4:$A$10000))*1,[1]OUT_TransportEnergyCons!J$4:J$10000))*1000</f>
        <v>0.42906684311697696</v>
      </c>
      <c r="M2169" s="1" cm="1">
        <f t="array" ref="M2169">(SUMPRODUCT(("var_ncap"=[1]OUT_TransportEnergyCons!$B$4:$B$10000)*1,ISNUMBER(SEARCH("T_B_u*bev*s3",[1]OUT_TransportEnergyCons!$A$4:$A$10000))*1,[1]OUT_TransportEnergyCons!K$4:K$10000))*1000</f>
        <v>1.1433865393776099</v>
      </c>
      <c r="N2169" s="1" cm="1">
        <f t="array" ref="N2169">(SUMPRODUCT(("var_ncap"=[1]OUT_TransportEnergyCons!$B$4:$B$10000)*1,ISNUMBER(SEARCH("T_B_u*bev*s3",[1]OUT_TransportEnergyCons!$A$4:$A$10000))*1,[1]OUT_TransportEnergyCons!L$4:L$10000))*1000</f>
        <v>0.27351138295942196</v>
      </c>
      <c r="O2169" s="1" cm="1">
        <f t="array" ref="O2169">(SUMPRODUCT(("var_ncap"=[1]OUT_TransportEnergyCons!$B$4:$B$10000)*1,ISNUMBER(SEARCH("T_B_u*bev*s3",[1]OUT_TransportEnergyCons!$A$4:$A$10000))*1,[1]OUT_TransportEnergyCons!M$4:M$10000))*1000</f>
        <v>1.27500203506414</v>
      </c>
      <c r="P2169" s="1" cm="1">
        <f t="array" ref="P2169">(SUMPRODUCT(("var_ncap"=[1]OUT_TransportEnergyCons!$B$4:$B$10000)*1,ISNUMBER(SEARCH("T_B_u*bev*s3",[1]OUT_TransportEnergyCons!$A$4:$A$10000))*1,[1]OUT_TransportEnergyCons!N$4:N$10000))*1000</f>
        <v>0.78306177328036197</v>
      </c>
      <c r="Q2169" s="1" cm="1">
        <f t="array" ref="Q2169">(SUMPRODUCT(("var_ncap"=[1]OUT_TransportEnergyCons!$B$4:$B$10000)*1,ISNUMBER(SEARCH("T_B_u*bev*s3",[1]OUT_TransportEnergyCons!$A$4:$A$10000))*1,[1]OUT_TransportEnergyCons!O$4:O$10000))*1000</f>
        <v>1.59023494986962</v>
      </c>
      <c r="S2169" s="3"/>
    </row>
    <row r="2170" spans="2:19" x14ac:dyDescent="0.5">
      <c r="B2170" s="5" t="str">
        <f t="shared" si="2247"/>
        <v>SPS1</v>
      </c>
      <c r="C2170" s="5" t="str">
        <f t="shared" si="2248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7.1008780651583901E-4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6.8684292045367694E-4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6.9664279533041993E-4</v>
      </c>
      <c r="J2170" s="1" cm="1">
        <f t="array" ref="J2170">(SUMPRODUCT(("var_ncap"=[1]OUT_TransportEnergyCons!$B$4:$B$10000)*1,ISNUMBER(SEARCH("T_B_u*bev*s4",[1]OUT_TransportEnergyCons!$A$4:$A$10000))*1,[1]OUT_TransportEnergyCons!H$4:H$10000))*1000</f>
        <v>1.1578446509258999E-3</v>
      </c>
      <c r="K2170" s="1" cm="1">
        <f t="array" ref="K2170">(SUMPRODUCT(("var_ncap"=[1]OUT_TransportEnergyCons!$B$4:$B$10000)*1,ISNUMBER(SEARCH("T_B_u*bev*s4",[1]OUT_TransportEnergyCons!$A$4:$A$10000))*1,[1]OUT_TransportEnergyCons!I$4:I$10000))*1000</f>
        <v>1.1440080111429101E-3</v>
      </c>
      <c r="L2170" s="1" cm="1">
        <f t="array" ref="L2170">(SUMPRODUCT(("var_ncap"=[1]OUT_TransportEnergyCons!$B$4:$B$10000)*1,ISNUMBER(SEARCH("T_B_u*bev*s4",[1]OUT_TransportEnergyCons!$A$4:$A$10000))*1,[1]OUT_TransportEnergyCons!J$4:J$10000))*1000</f>
        <v>1.3317365353117802E-3</v>
      </c>
      <c r="M2170" s="1" cm="1">
        <f t="array" ref="M2170">(SUMPRODUCT(("var_ncap"=[1]OUT_TransportEnergyCons!$B$4:$B$10000)*1,ISNUMBER(SEARCH("T_B_u*bev*s4",[1]OUT_TransportEnergyCons!$A$4:$A$10000))*1,[1]OUT_TransportEnergyCons!K$4:K$10000))*1000</f>
        <v>1.8965555043705901E-3</v>
      </c>
      <c r="N2170" s="1" cm="1">
        <f t="array" ref="N2170">(SUMPRODUCT(("var_ncap"=[1]OUT_TransportEnergyCons!$B$4:$B$10000)*1,ISNUMBER(SEARCH("T_B_u*bev*s4",[1]OUT_TransportEnergyCons!$A$4:$A$10000))*1,[1]OUT_TransportEnergyCons!L$4:L$10000))*1000</f>
        <v>1.7264873272186899E-3</v>
      </c>
      <c r="O2170" s="1" cm="1">
        <f t="array" ref="O2170">(SUMPRODUCT(("var_ncap"=[1]OUT_TransportEnergyCons!$B$4:$B$10000)*1,ISNUMBER(SEARCH("T_B_u*bev*s4",[1]OUT_TransportEnergyCons!$A$4:$A$10000))*1,[1]OUT_TransportEnergyCons!M$4:M$10000))*1000</f>
        <v>2.2576018522486897E-3</v>
      </c>
      <c r="P2170" s="1" cm="1">
        <f t="array" ref="P2170">(SUMPRODUCT(("var_ncap"=[1]OUT_TransportEnergyCons!$B$4:$B$10000)*1,ISNUMBER(SEARCH("T_B_u*bev*s4",[1]OUT_TransportEnergyCons!$A$4:$A$10000))*1,[1]OUT_TransportEnergyCons!N$4:N$10000))*1000</f>
        <v>2.3213486276048296E-3</v>
      </c>
      <c r="Q2170" s="1" cm="1">
        <f t="array" ref="Q2170">(SUMPRODUCT(("var_ncap"=[1]OUT_TransportEnergyCons!$B$4:$B$10000)*1,ISNUMBER(SEARCH("T_B_u*bev*s4",[1]OUT_TransportEnergyCons!$A$4:$A$10000))*1,[1]OUT_TransportEnergyCons!O$4:O$10000))*1000</f>
        <v>3.35342594715313E-3</v>
      </c>
      <c r="S2170" s="3"/>
    </row>
    <row r="2171" spans="2:19" x14ac:dyDescent="0.5">
      <c r="B2171" s="5" t="str">
        <f t="shared" si="2247"/>
        <v>SPS1</v>
      </c>
      <c r="C2171" s="5" t="str">
        <f t="shared" si="2248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2.5784310955023099E-5</v>
      </c>
      <c r="J2171" s="1" cm="1">
        <f t="array" ref="J2171">(SUMPRODUCT(("var_ncap"=[1]OUT_TransportEnergyCons!$B$4:$B$10000)*1,ISNUMBER(SEARCH("T_B_u*h2o*s1",[1]OUT_TransportEnergyCons!$A$4:$A$10000))*1,[1]OUT_TransportEnergyCons!H$4:H$10000))*1000</f>
        <v>1.187495430106E-5</v>
      </c>
      <c r="K2171" s="1" cm="1">
        <f t="array" ref="K2171">(SUMPRODUCT(("var_ncap"=[1]OUT_TransportEnergyCons!$B$4:$B$10000)*1,ISNUMBER(SEARCH("T_B_u*h2o*s1",[1]OUT_TransportEnergyCons!$A$4:$A$10000))*1,[1]OUT_TransportEnergyCons!I$4:I$10000))*1000</f>
        <v>0</v>
      </c>
      <c r="L2171" s="1" cm="1">
        <f t="array" ref="L2171">(SUMPRODUCT(("var_ncap"=[1]OUT_TransportEnergyCons!$B$4:$B$10000)*1,ISNUMBER(SEARCH("T_B_u*h2o*s1",[1]OUT_TransportEnergyCons!$A$4:$A$10000))*1,[1]OUT_TransportEnergyCons!J$4:J$10000))*1000</f>
        <v>1.08686865890254E-5</v>
      </c>
      <c r="M2171" s="1" cm="1">
        <f t="array" ref="M2171">(SUMPRODUCT(("var_ncap"=[1]OUT_TransportEnergyCons!$B$4:$B$10000)*1,ISNUMBER(SEARCH("T_B_u*h2o*s1",[1]OUT_TransportEnergyCons!$A$4:$A$10000))*1,[1]OUT_TransportEnergyCons!K$4:K$10000))*1000</f>
        <v>0</v>
      </c>
      <c r="N2171" s="1" cm="1">
        <f t="array" ref="N2171">(SUMPRODUCT(("var_ncap"=[1]OUT_TransportEnergyCons!$B$4:$B$10000)*1,ISNUMBER(SEARCH("T_B_u*h2o*s1",[1]OUT_TransportEnergyCons!$A$4:$A$10000))*1,[1]OUT_TransportEnergyCons!L$4:L$10000))*1000</f>
        <v>1.1288714812405999E-5</v>
      </c>
      <c r="O2171" s="1" cm="1">
        <f t="array" ref="O2171">(SUMPRODUCT(("var_ncap"=[1]OUT_TransportEnergyCons!$B$4:$B$10000)*1,ISNUMBER(SEARCH("T_B_u*h2o*s1",[1]OUT_TransportEnergyCons!$A$4:$A$10000))*1,[1]OUT_TransportEnergyCons!M$4:M$10000))*1000</f>
        <v>1.1938700300670501E-5</v>
      </c>
      <c r="P2171" s="1" cm="1">
        <f t="array" ref="P2171">(SUMPRODUCT(("var_ncap"=[1]OUT_TransportEnergyCons!$B$4:$B$10000)*1,ISNUMBER(SEARCH("T_B_u*h2o*s1",[1]OUT_TransportEnergyCons!$A$4:$A$10000))*1,[1]OUT_TransportEnergyCons!N$4:N$10000))*1000</f>
        <v>0</v>
      </c>
      <c r="Q2171" s="1" cm="1">
        <f t="array" ref="Q2171">(SUMPRODUCT(("var_ncap"=[1]OUT_TransportEnergyCons!$B$4:$B$10000)*1,ISNUMBER(SEARCH("T_B_u*h2o*s1",[1]OUT_TransportEnergyCons!$A$4:$A$10000))*1,[1]OUT_TransportEnergyCons!O$4:O$10000))*1000</f>
        <v>1.7463032501358499E-5</v>
      </c>
      <c r="S2171" s="3"/>
    </row>
    <row r="2172" spans="2:19" x14ac:dyDescent="0.5">
      <c r="B2172" s="5" t="str">
        <f t="shared" si="2247"/>
        <v>SPS1</v>
      </c>
      <c r="C2172" s="5" t="str">
        <f t="shared" si="2248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1.09270758764547E-5</v>
      </c>
      <c r="J2172" s="1" cm="1">
        <f t="array" ref="J2172">(SUMPRODUCT(("var_ncap"=[1]OUT_TransportEnergyCons!$B$4:$B$10000)*1,ISNUMBER(SEARCH("T_B_u*h2o*s2",[1]OUT_TransportEnergyCons!$A$4:$A$10000))*1,[1]OUT_TransportEnergyCons!H$4:H$10000))*1000</f>
        <v>0</v>
      </c>
      <c r="K2172" s="1" cm="1">
        <f t="array" ref="K2172">(SUMPRODUCT(("var_ncap"=[1]OUT_TransportEnergyCons!$B$4:$B$10000)*1,ISNUMBER(SEARCH("T_B_u*h2o*s2",[1]OUT_TransportEnergyCons!$A$4:$A$10000))*1,[1]OUT_TransportEnergyCons!I$4:I$10000))*1000</f>
        <v>0</v>
      </c>
      <c r="L2172" s="1" cm="1">
        <f t="array" ref="L2172">(SUMPRODUCT(("var_ncap"=[1]OUT_TransportEnergyCons!$B$4:$B$10000)*1,ISNUMBER(SEARCH("T_B_u*h2o*s2",[1]OUT_TransportEnergyCons!$A$4:$A$10000))*1,[1]OUT_TransportEnergyCons!J$4:J$10000))*1000</f>
        <v>0</v>
      </c>
      <c r="M2172" s="1" cm="1">
        <f t="array" ref="M2172">(SUMPRODUCT(("var_ncap"=[1]OUT_TransportEnergyCons!$B$4:$B$10000)*1,ISNUMBER(SEARCH("T_B_u*h2o*s2",[1]OUT_TransportEnergyCons!$A$4:$A$10000))*1,[1]OUT_TransportEnergyCons!K$4:K$10000))*1000</f>
        <v>0</v>
      </c>
      <c r="N2172" s="1" cm="1">
        <f t="array" ref="N2172">(SUMPRODUCT(("var_ncap"=[1]OUT_TransportEnergyCons!$B$4:$B$10000)*1,ISNUMBER(SEARCH("T_B_u*h2o*s2",[1]OUT_TransportEnergyCons!$A$4:$A$10000))*1,[1]OUT_TransportEnergyCons!L$4:L$10000))*1000</f>
        <v>0</v>
      </c>
      <c r="O2172" s="1" cm="1">
        <f t="array" ref="O2172">(SUMPRODUCT(("var_ncap"=[1]OUT_TransportEnergyCons!$B$4:$B$10000)*1,ISNUMBER(SEARCH("T_B_u*h2o*s2",[1]OUT_TransportEnergyCons!$A$4:$A$10000))*1,[1]OUT_TransportEnergyCons!M$4:M$10000))*1000</f>
        <v>0</v>
      </c>
      <c r="P2172" s="1" cm="1">
        <f t="array" ref="P2172">(SUMPRODUCT(("var_ncap"=[1]OUT_TransportEnergyCons!$B$4:$B$10000)*1,ISNUMBER(SEARCH("T_B_u*h2o*s2",[1]OUT_TransportEnergyCons!$A$4:$A$10000))*1,[1]OUT_TransportEnergyCons!N$4:N$10000))*1000</f>
        <v>0</v>
      </c>
      <c r="Q2172" s="1" cm="1">
        <f t="array" ref="Q2172">(SUMPRODUCT(("var_ncap"=[1]OUT_TransportEnergyCons!$B$4:$B$10000)*1,ISNUMBER(SEARCH("T_B_u*h2o*s2",[1]OUT_TransportEnergyCons!$A$4:$A$10000))*1,[1]OUT_TransportEnergyCons!O$4:O$10000))*1000</f>
        <v>0</v>
      </c>
      <c r="S2172" s="3"/>
    </row>
    <row r="2173" spans="2:19" x14ac:dyDescent="0.5">
      <c r="B2173" s="5" t="str">
        <f t="shared" si="2247"/>
        <v>SPS1</v>
      </c>
      <c r="C2173" s="5" t="str">
        <f t="shared" si="2248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0</v>
      </c>
      <c r="J2173" s="1" cm="1">
        <f t="array" ref="J2173">(SUMPRODUCT(("var_ncap"=[1]OUT_TransportEnergyCons!$B$4:$B$10000)*1,ISNUMBER(SEARCH("T_B_u*h2o*s3",[1]OUT_TransportEnergyCons!$A$4:$A$10000))*1,[1]OUT_TransportEnergyCons!H$4:H$10000))*1000</f>
        <v>0</v>
      </c>
      <c r="K2173" s="1" cm="1">
        <f t="array" ref="K2173">(SUMPRODUCT(("var_ncap"=[1]OUT_TransportEnergyCons!$B$4:$B$10000)*1,ISNUMBER(SEARCH("T_B_u*h2o*s3",[1]OUT_TransportEnergyCons!$A$4:$A$10000))*1,[1]OUT_TransportEnergyCons!I$4:I$10000))*1000</f>
        <v>0</v>
      </c>
      <c r="L2173" s="1" cm="1">
        <f t="array" ref="L2173">(SUMPRODUCT(("var_ncap"=[1]OUT_TransportEnergyCons!$B$4:$B$10000)*1,ISNUMBER(SEARCH("T_B_u*h2o*s3",[1]OUT_TransportEnergyCons!$A$4:$A$10000))*1,[1]OUT_TransportEnergyCons!J$4:J$10000))*1000</f>
        <v>0</v>
      </c>
      <c r="M2173" s="1" cm="1">
        <f t="array" ref="M2173">(SUMPRODUCT(("var_ncap"=[1]OUT_TransportEnergyCons!$B$4:$B$10000)*1,ISNUMBER(SEARCH("T_B_u*h2o*s3",[1]OUT_TransportEnergyCons!$A$4:$A$10000))*1,[1]OUT_TransportEnergyCons!K$4:K$10000))*1000</f>
        <v>0</v>
      </c>
      <c r="N2173" s="1" cm="1">
        <f t="array" ref="N2173">(SUMPRODUCT(("var_ncap"=[1]OUT_TransportEnergyCons!$B$4:$B$10000)*1,ISNUMBER(SEARCH("T_B_u*h2o*s3",[1]OUT_TransportEnergyCons!$A$4:$A$10000))*1,[1]OUT_TransportEnergyCons!L$4:L$10000))*1000</f>
        <v>0</v>
      </c>
      <c r="O2173" s="1" cm="1">
        <f t="array" ref="O2173">(SUMPRODUCT(("var_ncap"=[1]OUT_TransportEnergyCons!$B$4:$B$10000)*1,ISNUMBER(SEARCH("T_B_u*h2o*s3",[1]OUT_TransportEnergyCons!$A$4:$A$10000))*1,[1]OUT_TransportEnergyCons!M$4:M$10000))*1000</f>
        <v>0</v>
      </c>
      <c r="P2173" s="1" cm="1">
        <f t="array" ref="P2173">(SUMPRODUCT(("var_ncap"=[1]OUT_TransportEnergyCons!$B$4:$B$10000)*1,ISNUMBER(SEARCH("T_B_u*h2o*s3",[1]OUT_TransportEnergyCons!$A$4:$A$10000))*1,[1]OUT_TransportEnergyCons!N$4:N$10000))*1000</f>
        <v>0</v>
      </c>
      <c r="Q2173" s="1" cm="1">
        <f t="array" ref="Q2173">(SUMPRODUCT(("var_ncap"=[1]OUT_TransportEnergyCons!$B$4:$B$10000)*1,ISNUMBER(SEARCH("T_B_u*h2o*s3",[1]OUT_TransportEnergyCons!$A$4:$A$10000))*1,[1]OUT_TransportEnergyCons!O$4:O$10000))*1000</f>
        <v>0</v>
      </c>
      <c r="S2173" s="3"/>
    </row>
    <row r="2174" spans="2:19" x14ac:dyDescent="0.5">
      <c r="B2174" s="5" t="str">
        <f t="shared" si="2247"/>
        <v>SPS1</v>
      </c>
      <c r="C2174" s="5" t="str">
        <f t="shared" si="2248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(SUMPRODUCT(("var_ncap"=[1]OUT_TransportEnergyCons!$B$4:$B$10000)*1,ISNUMBER(SEARCH("T_B_u*h2o*s4",[1]OUT_TransportEnergyCons!$A$4:$A$10000))*1,[1]OUT_TransportEnergyCons!H$4:H$10000))*1000</f>
        <v>0</v>
      </c>
      <c r="K2174" s="1" cm="1">
        <f t="array" ref="K2174">(SUMPRODUCT(("var_ncap"=[1]OUT_TransportEnergyCons!$B$4:$B$10000)*1,ISNUMBER(SEARCH("T_B_u*h2o*s4",[1]OUT_TransportEnergyCons!$A$4:$A$10000))*1,[1]OUT_TransportEnergyCons!I$4:I$10000))*1000</f>
        <v>0</v>
      </c>
      <c r="L2174" s="1" cm="1">
        <f t="array" ref="L2174">(SUMPRODUCT(("var_ncap"=[1]OUT_TransportEnergyCons!$B$4:$B$10000)*1,ISNUMBER(SEARCH("T_B_u*h2o*s4",[1]OUT_TransportEnergyCons!$A$4:$A$10000))*1,[1]OUT_TransportEnergyCons!J$4:J$10000))*1000</f>
        <v>0</v>
      </c>
      <c r="M2174" s="1" cm="1">
        <f t="array" ref="M2174">(SUMPRODUCT(("var_ncap"=[1]OUT_TransportEnergyCons!$B$4:$B$10000)*1,ISNUMBER(SEARCH("T_B_u*h2o*s4",[1]OUT_TransportEnergyCons!$A$4:$A$10000))*1,[1]OUT_TransportEnergyCons!K$4:K$10000))*1000</f>
        <v>0</v>
      </c>
      <c r="N2174" s="1" cm="1">
        <f t="array" ref="N2174">(SUMPRODUCT(("var_ncap"=[1]OUT_TransportEnergyCons!$B$4:$B$10000)*1,ISNUMBER(SEARCH("T_B_u*h2o*s4",[1]OUT_TransportEnergyCons!$A$4:$A$10000))*1,[1]OUT_TransportEnergyCons!L$4:L$10000))*1000</f>
        <v>0</v>
      </c>
      <c r="O2174" s="1" cm="1">
        <f t="array" ref="O2174">(SUMPRODUCT(("var_ncap"=[1]OUT_TransportEnergyCons!$B$4:$B$10000)*1,ISNUMBER(SEARCH("T_B_u*h2o*s4",[1]OUT_TransportEnergyCons!$A$4:$A$10000))*1,[1]OUT_TransportEnergyCons!M$4:M$10000))*1000</f>
        <v>0</v>
      </c>
      <c r="P2174" s="1" cm="1">
        <f t="array" ref="P2174">(SUMPRODUCT(("var_ncap"=[1]OUT_TransportEnergyCons!$B$4:$B$10000)*1,ISNUMBER(SEARCH("T_B_u*h2o*s4",[1]OUT_TransportEnergyCons!$A$4:$A$10000))*1,[1]OUT_TransportEnergyCons!N$4:N$10000))*1000</f>
        <v>0</v>
      </c>
      <c r="Q2174" s="1" cm="1">
        <f t="array" ref="Q2174">(SUMPRODUCT(("var_ncap"=[1]OUT_TransportEnergyCons!$B$4:$B$10000)*1,ISNUMBER(SEARCH("T_B_u*h2o*s4",[1]OUT_TransportEnergyCons!$A$4:$A$10000))*1,[1]OUT_TransportEnergyCons!O$4:O$10000))*1000</f>
        <v>0</v>
      </c>
      <c r="S2174" s="3"/>
    </row>
    <row r="2175" spans="2:19" x14ac:dyDescent="0.5">
      <c r="B2175" s="5" t="str">
        <f t="shared" si="2247"/>
        <v>SPS1</v>
      </c>
      <c r="C2175" s="5" t="str">
        <f t="shared" si="2248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2.3379188817831402E-2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3.9529198130701E-3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1.8341218256457301E-3</v>
      </c>
      <c r="J2175" s="1" cm="1">
        <f t="array" ref="J2175">(SUMPRODUCT(("var_ncap"=[1]OUT_TransportEnergyCons!$B$4:$B$10000)*1,ISNUMBER(SEARCH("T_B_u*hyb*DSL*s1",[1]OUT_TransportEnergyCons!$A$4:$A$10000))*1,[1]OUT_TransportEnergyCons!H$4:H$10000))*1000</f>
        <v>7.2429269387760597E-3</v>
      </c>
      <c r="K2175" s="1" cm="1">
        <f t="array" ref="K2175">(SUMPRODUCT(("var_ncap"=[1]OUT_TransportEnergyCons!$B$4:$B$10000)*1,ISNUMBER(SEARCH("T_B_u*hyb*DSL*s1",[1]OUT_TransportEnergyCons!$A$4:$A$10000))*1,[1]OUT_TransportEnergyCons!I$4:I$10000))*1000</f>
        <v>6.2712668468760703E-3</v>
      </c>
      <c r="L2175" s="1" cm="1">
        <f t="array" ref="L2175">(SUMPRODUCT(("var_ncap"=[1]OUT_TransportEnergyCons!$B$4:$B$10000)*1,ISNUMBER(SEARCH("T_B_u*hyb*DSL*s1",[1]OUT_TransportEnergyCons!$A$4:$A$10000))*1,[1]OUT_TransportEnergyCons!J$4:J$10000))*1000</f>
        <v>1.65793383819604E-2</v>
      </c>
      <c r="M2175" s="1" cm="1">
        <f t="array" ref="M2175">(SUMPRODUCT(("var_ncap"=[1]OUT_TransportEnergyCons!$B$4:$B$10000)*1,ISNUMBER(SEARCH("T_B_u*hyb*DSL*s1",[1]OUT_TransportEnergyCons!$A$4:$A$10000))*1,[1]OUT_TransportEnergyCons!K$4:K$10000))*1000</f>
        <v>4.2405888904016704E-2</v>
      </c>
      <c r="N2175" s="1" cm="1">
        <f t="array" ref="N2175">(SUMPRODUCT(("var_ncap"=[1]OUT_TransportEnergyCons!$B$4:$B$10000)*1,ISNUMBER(SEARCH("T_B_u*hyb*DSL*s1",[1]OUT_TransportEnergyCons!$A$4:$A$10000))*1,[1]OUT_TransportEnergyCons!L$4:L$10000))*1000</f>
        <v>5.4871710051353703E-2</v>
      </c>
      <c r="O2175" s="1" cm="1">
        <f t="array" ref="O2175">(SUMPRODUCT(("var_ncap"=[1]OUT_TransportEnergyCons!$B$4:$B$10000)*1,ISNUMBER(SEARCH("T_B_u*hyb*DSL*s1",[1]OUT_TransportEnergyCons!$A$4:$A$10000))*1,[1]OUT_TransportEnergyCons!M$4:M$10000))*1000</f>
        <v>0.19090677887214499</v>
      </c>
      <c r="P2175" s="1" cm="1">
        <f t="array" ref="P2175">(SUMPRODUCT(("var_ncap"=[1]OUT_TransportEnergyCons!$B$4:$B$10000)*1,ISNUMBER(SEARCH("T_B_u*hyb*DSL*s1",[1]OUT_TransportEnergyCons!$A$4:$A$10000))*1,[1]OUT_TransportEnergyCons!N$4:N$10000))*1000</f>
        <v>0.83832621620814607</v>
      </c>
      <c r="Q2175" s="1" cm="1">
        <f t="array" ref="Q2175">(SUMPRODUCT(("var_ncap"=[1]OUT_TransportEnergyCons!$B$4:$B$10000)*1,ISNUMBER(SEARCH("T_B_u*hyb*DSL*s1",[1]OUT_TransportEnergyCons!$A$4:$A$10000))*1,[1]OUT_TransportEnergyCons!O$4:O$10000))*1000</f>
        <v>0.59273077255597595</v>
      </c>
      <c r="S2175" s="3"/>
    </row>
    <row r="2176" spans="2:19" x14ac:dyDescent="0.5">
      <c r="B2176" s="5" t="str">
        <f t="shared" si="2247"/>
        <v>SPS1</v>
      </c>
      <c r="C2176" s="5" t="str">
        <f t="shared" si="2248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2.3354207929584597E-3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1.8381120418828202E-3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1.62830801421674E-3</v>
      </c>
      <c r="J2176" s="1" cm="1">
        <f t="array" ref="J2176">(SUMPRODUCT(("var_ncap"=[1]OUT_TransportEnergyCons!$B$4:$B$10000)*1,ISNUMBER(SEARCH("T_B_u*hyb*DSL*s2",[1]OUT_TransportEnergyCons!$A$4:$A$10000))*1,[1]OUT_TransportEnergyCons!H$4:H$10000))*1000</f>
        <v>3.9994843971274899E-3</v>
      </c>
      <c r="K2176" s="1" cm="1">
        <f t="array" ref="K2176">(SUMPRODUCT(("var_ncap"=[1]OUT_TransportEnergyCons!$B$4:$B$10000)*1,ISNUMBER(SEARCH("T_B_u*hyb*DSL*s2",[1]OUT_TransportEnergyCons!$A$4:$A$10000))*1,[1]OUT_TransportEnergyCons!I$4:I$10000))*1000</f>
        <v>4.0362126797926405E-3</v>
      </c>
      <c r="L2176" s="1" cm="1">
        <f t="array" ref="L2176">(SUMPRODUCT(("var_ncap"=[1]OUT_TransportEnergyCons!$B$4:$B$10000)*1,ISNUMBER(SEARCH("T_B_u*hyb*DSL*s2",[1]OUT_TransportEnergyCons!$A$4:$A$10000))*1,[1]OUT_TransportEnergyCons!J$4:J$10000))*1000</f>
        <v>7.3877844990355096E-3</v>
      </c>
      <c r="M2176" s="1" cm="1">
        <f t="array" ref="M2176">(SUMPRODUCT(("var_ncap"=[1]OUT_TransportEnergyCons!$B$4:$B$10000)*1,ISNUMBER(SEARCH("T_B_u*hyb*DSL*s2",[1]OUT_TransportEnergyCons!$A$4:$A$10000))*1,[1]OUT_TransportEnergyCons!K$4:K$10000))*1000</f>
        <v>1.2781969142695599E-2</v>
      </c>
      <c r="N2176" s="1" cm="1">
        <f t="array" ref="N2176">(SUMPRODUCT(("var_ncap"=[1]OUT_TransportEnergyCons!$B$4:$B$10000)*1,ISNUMBER(SEARCH("T_B_u*hyb*DSL*s2",[1]OUT_TransportEnergyCons!$A$4:$A$10000))*1,[1]OUT_TransportEnergyCons!L$4:L$10000))*1000</f>
        <v>1.40262045757729E-2</v>
      </c>
      <c r="O2176" s="1" cm="1">
        <f t="array" ref="O2176">(SUMPRODUCT(("var_ncap"=[1]OUT_TransportEnergyCons!$B$4:$B$10000)*1,ISNUMBER(SEARCH("T_B_u*hyb*DSL*s2",[1]OUT_TransportEnergyCons!$A$4:$A$10000))*1,[1]OUT_TransportEnergyCons!M$4:M$10000))*1000</f>
        <v>2.4153581809302799E-2</v>
      </c>
      <c r="P2176" s="1" cm="1">
        <f t="array" ref="P2176">(SUMPRODUCT(("var_ncap"=[1]OUT_TransportEnergyCons!$B$4:$B$10000)*1,ISNUMBER(SEARCH("T_B_u*hyb*DSL*s2",[1]OUT_TransportEnergyCons!$A$4:$A$10000))*1,[1]OUT_TransportEnergyCons!N$4:N$10000))*1000</f>
        <v>3.1035047537230402E-2</v>
      </c>
      <c r="Q2176" s="1" cm="1">
        <f t="array" ref="Q2176">(SUMPRODUCT(("var_ncap"=[1]OUT_TransportEnergyCons!$B$4:$B$10000)*1,ISNUMBER(SEARCH("T_B_u*hyb*DSL*s2",[1]OUT_TransportEnergyCons!$A$4:$A$10000))*1,[1]OUT_TransportEnergyCons!O$4:O$10000))*1000</f>
        <v>4.0682830029704499E-2</v>
      </c>
      <c r="S2176" s="3"/>
    </row>
    <row r="2177" spans="2:19" x14ac:dyDescent="0.5">
      <c r="B2177" s="5" t="str">
        <f t="shared" si="2247"/>
        <v>SPS1</v>
      </c>
      <c r="C2177" s="5" t="str">
        <f t="shared" si="2248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5.5725237925786E-2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0.83514203837393997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0.43662249442134898</v>
      </c>
      <c r="J2177" s="1" cm="1">
        <f t="array" ref="J2177">(SUMPRODUCT(("var_ncap"=[1]OUT_TransportEnergyCons!$B$4:$B$10000)*1,ISNUMBER(SEARCH("T_B_u*hyb*DSL*s3",[1]OUT_TransportEnergyCons!$A$4:$A$10000))*1,[1]OUT_TransportEnergyCons!H$4:H$10000))*1000</f>
        <v>1.1972319409035801</v>
      </c>
      <c r="K2177" s="1" cm="1">
        <f t="array" ref="K2177">(SUMPRODUCT(("var_ncap"=[1]OUT_TransportEnergyCons!$B$4:$B$10000)*1,ISNUMBER(SEARCH("T_B_u*hyb*DSL*s3",[1]OUT_TransportEnergyCons!$A$4:$A$10000))*1,[1]OUT_TransportEnergyCons!I$4:I$10000))*1000</f>
        <v>0.57685017774614999</v>
      </c>
      <c r="L2177" s="1" cm="1">
        <f t="array" ref="L2177">(SUMPRODUCT(("var_ncap"=[1]OUT_TransportEnergyCons!$B$4:$B$10000)*1,ISNUMBER(SEARCH("T_B_u*hyb*DSL*s3",[1]OUT_TransportEnergyCons!$A$4:$A$10000))*1,[1]OUT_TransportEnergyCons!J$4:J$10000))*1000</f>
        <v>1.3250568728682199</v>
      </c>
      <c r="M2177" s="1" cm="1">
        <f t="array" ref="M2177">(SUMPRODUCT(("var_ncap"=[1]OUT_TransportEnergyCons!$B$4:$B$10000)*1,ISNUMBER(SEARCH("T_B_u*hyb*DSL*s3",[1]OUT_TransportEnergyCons!$A$4:$A$10000))*1,[1]OUT_TransportEnergyCons!K$4:K$10000))*1000</f>
        <v>0.92518736480166897</v>
      </c>
      <c r="N2177" s="1" cm="1">
        <f t="array" ref="N2177">(SUMPRODUCT(("var_ncap"=[1]OUT_TransportEnergyCons!$B$4:$B$10000)*1,ISNUMBER(SEARCH("T_B_u*hyb*DSL*s3",[1]OUT_TransportEnergyCons!$A$4:$A$10000))*1,[1]OUT_TransportEnergyCons!L$4:L$10000))*1000</f>
        <v>1.31786872251927</v>
      </c>
      <c r="O2177" s="1" cm="1">
        <f t="array" ref="O2177">(SUMPRODUCT(("var_ncap"=[1]OUT_TransportEnergyCons!$B$4:$B$10000)*1,ISNUMBER(SEARCH("T_B_u*hyb*DSL*s3",[1]OUT_TransportEnergyCons!$A$4:$A$10000))*1,[1]OUT_TransportEnergyCons!M$4:M$10000))*1000</f>
        <v>1.5585296812068301</v>
      </c>
      <c r="P2177" s="1" cm="1">
        <f t="array" ref="P2177">(SUMPRODUCT(("var_ncap"=[1]OUT_TransportEnergyCons!$B$4:$B$10000)*1,ISNUMBER(SEARCH("T_B_u*hyb*DSL*s3",[1]OUT_TransportEnergyCons!$A$4:$A$10000))*1,[1]OUT_TransportEnergyCons!N$4:N$10000))*1000</f>
        <v>0.54837100540768902</v>
      </c>
      <c r="Q2177" s="1" cm="1">
        <f t="array" ref="Q2177">(SUMPRODUCT(("var_ncap"=[1]OUT_TransportEnergyCons!$B$4:$B$10000)*1,ISNUMBER(SEARCH("T_B_u*hyb*DSL*s3",[1]OUT_TransportEnergyCons!$A$4:$A$10000))*1,[1]OUT_TransportEnergyCons!O$4:O$10000))*1000</f>
        <v>1.3871043437081501</v>
      </c>
      <c r="S2177" s="3"/>
    </row>
    <row r="2178" spans="2:19" x14ac:dyDescent="0.5">
      <c r="B2178" s="5" t="str">
        <f t="shared" si="2247"/>
        <v>SPS1</v>
      </c>
      <c r="C2178" s="5" t="str">
        <f t="shared" si="2248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2.0590952887361599E-4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1.75797686002914E-4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1.6696151005805501E-4</v>
      </c>
      <c r="J2178" s="1" cm="1">
        <f t="array" ref="J2178">(SUMPRODUCT(("var_ncap"=[1]OUT_TransportEnergyCons!$B$4:$B$10000)*1,ISNUMBER(SEARCH("T_B_u*hyb*DSL*s4",[1]OUT_TransportEnergyCons!$A$4:$A$10000))*1,[1]OUT_TransportEnergyCons!H$4:H$10000))*1000</f>
        <v>3.05754457885881E-4</v>
      </c>
      <c r="K2178" s="1" cm="1">
        <f t="array" ref="K2178">(SUMPRODUCT(("var_ncap"=[1]OUT_TransportEnergyCons!$B$4:$B$10000)*1,ISNUMBER(SEARCH("T_B_u*hyb*DSL*s4",[1]OUT_TransportEnergyCons!$A$4:$A$10000))*1,[1]OUT_TransportEnergyCons!I$4:I$10000))*1000</f>
        <v>3.1734695131695E-4</v>
      </c>
      <c r="L2178" s="1" cm="1">
        <f t="array" ref="L2178">(SUMPRODUCT(("var_ncap"=[1]OUT_TransportEnergyCons!$B$4:$B$10000)*1,ISNUMBER(SEARCH("T_B_u*hyb*DSL*s4",[1]OUT_TransportEnergyCons!$A$4:$A$10000))*1,[1]OUT_TransportEnergyCons!J$4:J$10000))*1000</f>
        <v>3.72667104606732E-4</v>
      </c>
      <c r="M2178" s="1" cm="1">
        <f t="array" ref="M2178">(SUMPRODUCT(("var_ncap"=[1]OUT_TransportEnergyCons!$B$4:$B$10000)*1,ISNUMBER(SEARCH("T_B_u*hyb*DSL*s4",[1]OUT_TransportEnergyCons!$A$4:$A$10000))*1,[1]OUT_TransportEnergyCons!K$4:K$10000))*1000</f>
        <v>4.6515207107806399E-4</v>
      </c>
      <c r="N2178" s="1" cm="1">
        <f t="array" ref="N2178">(SUMPRODUCT(("var_ncap"=[1]OUT_TransportEnergyCons!$B$4:$B$10000)*1,ISNUMBER(SEARCH("T_B_u*hyb*DSL*s4",[1]OUT_TransportEnergyCons!$A$4:$A$10000))*1,[1]OUT_TransportEnergyCons!L$4:L$10000))*1000</f>
        <v>4.4430797020727001E-4</v>
      </c>
      <c r="O2178" s="1" cm="1">
        <f t="array" ref="O2178">(SUMPRODUCT(("var_ncap"=[1]OUT_TransportEnergyCons!$B$4:$B$10000)*1,ISNUMBER(SEARCH("T_B_u*hyb*DSL*s4",[1]OUT_TransportEnergyCons!$A$4:$A$10000))*1,[1]OUT_TransportEnergyCons!M$4:M$10000))*1000</f>
        <v>6.0091161944296804E-4</v>
      </c>
      <c r="P2178" s="1" cm="1">
        <f t="array" ref="P2178">(SUMPRODUCT(("var_ncap"=[1]OUT_TransportEnergyCons!$B$4:$B$10000)*1,ISNUMBER(SEARCH("T_B_u*hyb*DSL*s4",[1]OUT_TransportEnergyCons!$A$4:$A$10000))*1,[1]OUT_TransportEnergyCons!N$4:N$10000))*1000</f>
        <v>6.5732468810775408E-4</v>
      </c>
      <c r="Q2178" s="1" cm="1">
        <f t="array" ref="Q2178">(SUMPRODUCT(("var_ncap"=[1]OUT_TransportEnergyCons!$B$4:$B$10000)*1,ISNUMBER(SEARCH("T_B_u*hyb*DSL*s4",[1]OUT_TransportEnergyCons!$A$4:$A$10000))*1,[1]OUT_TransportEnergyCons!O$4:O$10000))*1000</f>
        <v>9.1094678343053902E-4</v>
      </c>
      <c r="S2178" s="3"/>
    </row>
    <row r="2179" spans="2:19" x14ac:dyDescent="0.5">
      <c r="B2179" s="5" t="str">
        <f t="shared" si="2247"/>
        <v>SPS1</v>
      </c>
      <c r="C2179" s="5" t="str">
        <f t="shared" si="2248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(SUMPRODUCT(("var_ncap"=[1]OUT_TransportEnergyCons!$B$4:$B$10000)*1,ISNUMBER(SEARCH("T_B_u*ICE*DSL*ext",[1]OUT_TransportEnergyCons!$A$4:$A$10000))*1,[1]OUT_TransportEnergyCons!H$4:H$10000))*1000</f>
        <v>0</v>
      </c>
      <c r="K2179" s="1" cm="1">
        <f t="array" ref="K2179">(SUMPRODUCT(("var_ncap"=[1]OUT_TransportEnergyCons!$B$4:$B$10000)*1,ISNUMBER(SEARCH("T_B_u*ICE*DSL*ext",[1]OUT_TransportEnergyCons!$A$4:$A$10000))*1,[1]OUT_TransportEnergyCons!I$4:I$10000))*1000</f>
        <v>0</v>
      </c>
      <c r="L2179" s="1" cm="1">
        <f t="array" ref="L2179">(SUMPRODUCT(("var_ncap"=[1]OUT_TransportEnergyCons!$B$4:$B$10000)*1,ISNUMBER(SEARCH("T_B_u*ICE*DSL*ext",[1]OUT_TransportEnergyCons!$A$4:$A$10000))*1,[1]OUT_TransportEnergyCons!J$4:J$10000))*1000</f>
        <v>0</v>
      </c>
      <c r="M2179" s="1" cm="1">
        <f t="array" ref="M2179">(SUMPRODUCT(("var_ncap"=[1]OUT_TransportEnergyCons!$B$4:$B$10000)*1,ISNUMBER(SEARCH("T_B_u*ICE*DSL*ext",[1]OUT_TransportEnergyCons!$A$4:$A$10000))*1,[1]OUT_TransportEnergyCons!K$4:K$10000))*1000</f>
        <v>0</v>
      </c>
      <c r="N2179" s="1" cm="1">
        <f t="array" ref="N2179">(SUMPRODUCT(("var_ncap"=[1]OUT_TransportEnergyCons!$B$4:$B$10000)*1,ISNUMBER(SEARCH("T_B_u*ICE*DSL*ext",[1]OUT_TransportEnergyCons!$A$4:$A$10000))*1,[1]OUT_TransportEnergyCons!L$4:L$10000))*1000</f>
        <v>0</v>
      </c>
      <c r="O2179" s="1" cm="1">
        <f t="array" ref="O2179">(SUMPRODUCT(("var_ncap"=[1]OUT_TransportEnergyCons!$B$4:$B$10000)*1,ISNUMBER(SEARCH("T_B_u*ICE*DSL*ext",[1]OUT_TransportEnergyCons!$A$4:$A$10000))*1,[1]OUT_TransportEnergyCons!M$4:M$10000))*1000</f>
        <v>0</v>
      </c>
      <c r="P2179" s="1" cm="1">
        <f t="array" ref="P2179">(SUMPRODUCT(("var_ncap"=[1]OUT_TransportEnergyCons!$B$4:$B$10000)*1,ISNUMBER(SEARCH("T_B_u*ICE*DSL*ext",[1]OUT_TransportEnergyCons!$A$4:$A$10000))*1,[1]OUT_TransportEnergyCons!N$4:N$10000))*1000</f>
        <v>0</v>
      </c>
      <c r="Q2179" s="1" cm="1">
        <f t="array" ref="Q2179">(SUMPRODUCT(("var_ncap"=[1]OUT_TransportEnergyCons!$B$4:$B$10000)*1,ISNUMBER(SEARCH("T_B_u*ICE*DSL*ext",[1]OUT_TransportEnergyCons!$A$4:$A$10000))*1,[1]OUT_TransportEnergyCons!O$4:O$10000))*1000</f>
        <v>0</v>
      </c>
      <c r="S2179" s="3"/>
    </row>
    <row r="2180" spans="2:19" x14ac:dyDescent="0.5">
      <c r="B2180" s="5" t="str">
        <f t="shared" si="2247"/>
        <v>SPS1</v>
      </c>
      <c r="C2180" s="5" t="str">
        <f t="shared" si="2248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0.61877798215541702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0.50547205333766099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(SUMPRODUCT(("var_ncap"=[1]OUT_TransportEnergyCons!$B$4:$B$10000)*1,ISNUMBER(SEARCH("T_B_u*ICE*DSL*s1",[1]OUT_TransportEnergyCons!$A$4:$A$10000))*1,[1]OUT_TransportEnergyCons!H$4:H$10000))*1000</f>
        <v>0</v>
      </c>
      <c r="K2180" s="1" cm="1">
        <f t="array" ref="K2180">(SUMPRODUCT(("var_ncap"=[1]OUT_TransportEnergyCons!$B$4:$B$10000)*1,ISNUMBER(SEARCH("T_B_u*ICE*DSL*s1",[1]OUT_TransportEnergyCons!$A$4:$A$10000))*1,[1]OUT_TransportEnergyCons!I$4:I$10000))*1000</f>
        <v>0</v>
      </c>
      <c r="L2180" s="1" cm="1">
        <f t="array" ref="L2180">(SUMPRODUCT(("var_ncap"=[1]OUT_TransportEnergyCons!$B$4:$B$10000)*1,ISNUMBER(SEARCH("T_B_u*ICE*DSL*s1",[1]OUT_TransportEnergyCons!$A$4:$A$10000))*1,[1]OUT_TransportEnergyCons!J$4:J$10000))*1000</f>
        <v>0</v>
      </c>
      <c r="M2180" s="1" cm="1">
        <f t="array" ref="M2180">(SUMPRODUCT(("var_ncap"=[1]OUT_TransportEnergyCons!$B$4:$B$10000)*1,ISNUMBER(SEARCH("T_B_u*ICE*DSL*s1",[1]OUT_TransportEnergyCons!$A$4:$A$10000))*1,[1]OUT_TransportEnergyCons!K$4:K$10000))*1000</f>
        <v>1.09943808852156E-5</v>
      </c>
      <c r="N2180" s="1" cm="1">
        <f t="array" ref="N2180">(SUMPRODUCT(("var_ncap"=[1]OUT_TransportEnergyCons!$B$4:$B$10000)*1,ISNUMBER(SEARCH("T_B_u*ICE*DSL*s1",[1]OUT_TransportEnergyCons!$A$4:$A$10000))*1,[1]OUT_TransportEnergyCons!L$4:L$10000))*1000</f>
        <v>1.2738580167698301E-5</v>
      </c>
      <c r="O2180" s="1" cm="1">
        <f t="array" ref="O2180">(SUMPRODUCT(("var_ncap"=[1]OUT_TransportEnergyCons!$B$4:$B$10000)*1,ISNUMBER(SEARCH("T_B_u*ICE*DSL*s1",[1]OUT_TransportEnergyCons!$A$4:$A$10000))*1,[1]OUT_TransportEnergyCons!M$4:M$10000))*1000</f>
        <v>1.1727690641931199E-5</v>
      </c>
      <c r="P2180" s="1" cm="1">
        <f t="array" ref="P2180">(SUMPRODUCT(("var_ncap"=[1]OUT_TransportEnergyCons!$B$4:$B$10000)*1,ISNUMBER(SEARCH("T_B_u*ICE*DSL*s1",[1]OUT_TransportEnergyCons!$A$4:$A$10000))*1,[1]OUT_TransportEnergyCons!N$4:N$10000))*1000</f>
        <v>1.13898307863099E-5</v>
      </c>
      <c r="Q2180" s="1" cm="1">
        <f t="array" ref="Q2180">(SUMPRODUCT(("var_ncap"=[1]OUT_TransportEnergyCons!$B$4:$B$10000)*1,ISNUMBER(SEARCH("T_B_u*ICE*DSL*s1",[1]OUT_TransportEnergyCons!$A$4:$A$10000))*1,[1]OUT_TransportEnergyCons!O$4:O$10000))*1000</f>
        <v>1.31812175471372E-5</v>
      </c>
      <c r="S2180" s="3"/>
    </row>
    <row r="2181" spans="2:19" x14ac:dyDescent="0.5">
      <c r="B2181" s="5" t="str">
        <f t="shared" si="2247"/>
        <v>SPS1</v>
      </c>
      <c r="C2181" s="5" t="str">
        <f t="shared" si="2248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7.5640844124096702E-3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0.155070914695316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(SUMPRODUCT(("var_ncap"=[1]OUT_TransportEnergyCons!$B$4:$B$10000)*1,ISNUMBER(SEARCH("T_B_u*ICE*DSL*s2",[1]OUT_TransportEnergyCons!$A$4:$A$10000))*1,[1]OUT_TransportEnergyCons!H$4:H$10000))*1000</f>
        <v>0</v>
      </c>
      <c r="K2181" s="1" cm="1">
        <f t="array" ref="K2181">(SUMPRODUCT(("var_ncap"=[1]OUT_TransportEnergyCons!$B$4:$B$10000)*1,ISNUMBER(SEARCH("T_B_u*ICE*DSL*s2",[1]OUT_TransportEnergyCons!$A$4:$A$10000))*1,[1]OUT_TransportEnergyCons!I$4:I$10000))*1000</f>
        <v>0</v>
      </c>
      <c r="L2181" s="1" cm="1">
        <f t="array" ref="L2181">(SUMPRODUCT(("var_ncap"=[1]OUT_TransportEnergyCons!$B$4:$B$10000)*1,ISNUMBER(SEARCH("T_B_u*ICE*DSL*s2",[1]OUT_TransportEnergyCons!$A$4:$A$10000))*1,[1]OUT_TransportEnergyCons!J$4:J$10000))*1000</f>
        <v>0</v>
      </c>
      <c r="M2181" s="1" cm="1">
        <f t="array" ref="M2181">(SUMPRODUCT(("var_ncap"=[1]OUT_TransportEnergyCons!$B$4:$B$10000)*1,ISNUMBER(SEARCH("T_B_u*ICE*DSL*s2",[1]OUT_TransportEnergyCons!$A$4:$A$10000))*1,[1]OUT_TransportEnergyCons!K$4:K$10000))*1000</f>
        <v>0</v>
      </c>
      <c r="N2181" s="1" cm="1">
        <f t="array" ref="N2181">(SUMPRODUCT(("var_ncap"=[1]OUT_TransportEnergyCons!$B$4:$B$10000)*1,ISNUMBER(SEARCH("T_B_u*ICE*DSL*s2",[1]OUT_TransportEnergyCons!$A$4:$A$10000))*1,[1]OUT_TransportEnergyCons!L$4:L$10000))*1000</f>
        <v>0</v>
      </c>
      <c r="O2181" s="1" cm="1">
        <f t="array" ref="O2181">(SUMPRODUCT(("var_ncap"=[1]OUT_TransportEnergyCons!$B$4:$B$10000)*1,ISNUMBER(SEARCH("T_B_u*ICE*DSL*s2",[1]OUT_TransportEnergyCons!$A$4:$A$10000))*1,[1]OUT_TransportEnergyCons!M$4:M$10000))*1000</f>
        <v>0</v>
      </c>
      <c r="P2181" s="1" cm="1">
        <f t="array" ref="P2181">(SUMPRODUCT(("var_ncap"=[1]OUT_TransportEnergyCons!$B$4:$B$10000)*1,ISNUMBER(SEARCH("T_B_u*ICE*DSL*s2",[1]OUT_TransportEnergyCons!$A$4:$A$10000))*1,[1]OUT_TransportEnergyCons!N$4:N$10000))*1000</f>
        <v>0</v>
      </c>
      <c r="Q2181" s="1" cm="1">
        <f t="array" ref="Q2181">(SUMPRODUCT(("var_ncap"=[1]OUT_TransportEnergyCons!$B$4:$B$10000)*1,ISNUMBER(SEARCH("T_B_u*ICE*DSL*s2",[1]OUT_TransportEnergyCons!$A$4:$A$10000))*1,[1]OUT_TransportEnergyCons!O$4:O$10000))*1000</f>
        <v>0</v>
      </c>
      <c r="S2181" s="3"/>
    </row>
    <row r="2182" spans="2:19" x14ac:dyDescent="0.5">
      <c r="B2182" s="5" t="str">
        <f t="shared" si="2247"/>
        <v>SPS1</v>
      </c>
      <c r="C2182" s="5" t="str">
        <f t="shared" si="2248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6.84551267666821E-3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1.2937503773934201E-3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(SUMPRODUCT(("var_ncap"=[1]OUT_TransportEnergyCons!$B$4:$B$10000)*1,ISNUMBER(SEARCH("T_B_u*ICE*DSL*s3",[1]OUT_TransportEnergyCons!$A$4:$A$10000))*1,[1]OUT_TransportEnergyCons!H$4:H$10000))*1000</f>
        <v>0</v>
      </c>
      <c r="K2182" s="1" cm="1">
        <f t="array" ref="K2182">(SUMPRODUCT(("var_ncap"=[1]OUT_TransportEnergyCons!$B$4:$B$10000)*1,ISNUMBER(SEARCH("T_B_u*ICE*DSL*s3",[1]OUT_TransportEnergyCons!$A$4:$A$10000))*1,[1]OUT_TransportEnergyCons!I$4:I$10000))*1000</f>
        <v>0</v>
      </c>
      <c r="L2182" s="1" cm="1">
        <f t="array" ref="L2182">(SUMPRODUCT(("var_ncap"=[1]OUT_TransportEnergyCons!$B$4:$B$10000)*1,ISNUMBER(SEARCH("T_B_u*ICE*DSL*s3",[1]OUT_TransportEnergyCons!$A$4:$A$10000))*1,[1]OUT_TransportEnergyCons!J$4:J$10000))*1000</f>
        <v>0</v>
      </c>
      <c r="M2182" s="1" cm="1">
        <f t="array" ref="M2182">(SUMPRODUCT(("var_ncap"=[1]OUT_TransportEnergyCons!$B$4:$B$10000)*1,ISNUMBER(SEARCH("T_B_u*ICE*DSL*s3",[1]OUT_TransportEnergyCons!$A$4:$A$10000))*1,[1]OUT_TransportEnergyCons!K$4:K$10000))*1000</f>
        <v>0</v>
      </c>
      <c r="N2182" s="1" cm="1">
        <f t="array" ref="N2182">(SUMPRODUCT(("var_ncap"=[1]OUT_TransportEnergyCons!$B$4:$B$10000)*1,ISNUMBER(SEARCH("T_B_u*ICE*DSL*s3",[1]OUT_TransportEnergyCons!$A$4:$A$10000))*1,[1]OUT_TransportEnergyCons!L$4:L$10000))*1000</f>
        <v>0</v>
      </c>
      <c r="O2182" s="1" cm="1">
        <f t="array" ref="O2182">(SUMPRODUCT(("var_ncap"=[1]OUT_TransportEnergyCons!$B$4:$B$10000)*1,ISNUMBER(SEARCH("T_B_u*ICE*DSL*s3",[1]OUT_TransportEnergyCons!$A$4:$A$10000))*1,[1]OUT_TransportEnergyCons!M$4:M$10000))*1000</f>
        <v>0</v>
      </c>
      <c r="P2182" s="1" cm="1">
        <f t="array" ref="P2182">(SUMPRODUCT(("var_ncap"=[1]OUT_TransportEnergyCons!$B$4:$B$10000)*1,ISNUMBER(SEARCH("T_B_u*ICE*DSL*s3",[1]OUT_TransportEnergyCons!$A$4:$A$10000))*1,[1]OUT_TransportEnergyCons!N$4:N$10000))*1000</f>
        <v>0</v>
      </c>
      <c r="Q2182" s="1" cm="1">
        <f t="array" ref="Q2182">(SUMPRODUCT(("var_ncap"=[1]OUT_TransportEnergyCons!$B$4:$B$10000)*1,ISNUMBER(SEARCH("T_B_u*ICE*DSL*s3",[1]OUT_TransportEnergyCons!$A$4:$A$10000))*1,[1]OUT_TransportEnergyCons!O$4:O$10000))*1000</f>
        <v>0</v>
      </c>
      <c r="S2182" s="3"/>
    </row>
    <row r="2183" spans="2:19" x14ac:dyDescent="0.5">
      <c r="B2183" s="5" t="str">
        <f t="shared" si="2247"/>
        <v>SPS1</v>
      </c>
      <c r="C2183" s="5" t="str">
        <f t="shared" si="2248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1.68774536091704E-4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1.6349358642629502E-4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(SUMPRODUCT(("var_ncap"=[1]OUT_TransportEnergyCons!$B$4:$B$10000)*1,ISNUMBER(SEARCH("T_B_u*ICE*DSL*s4",[1]OUT_TransportEnergyCons!$A$4:$A$10000))*1,[1]OUT_TransportEnergyCons!H$4:H$10000))*1000</f>
        <v>0</v>
      </c>
      <c r="K2183" s="1" cm="1">
        <f t="array" ref="K2183">(SUMPRODUCT(("var_ncap"=[1]OUT_TransportEnergyCons!$B$4:$B$10000)*1,ISNUMBER(SEARCH("T_B_u*ICE*DSL*s4",[1]OUT_TransportEnergyCons!$A$4:$A$10000))*1,[1]OUT_TransportEnergyCons!I$4:I$10000))*1000</f>
        <v>0</v>
      </c>
      <c r="L2183" s="1" cm="1">
        <f t="array" ref="L2183">(SUMPRODUCT(("var_ncap"=[1]OUT_TransportEnergyCons!$B$4:$B$10000)*1,ISNUMBER(SEARCH("T_B_u*ICE*DSL*s4",[1]OUT_TransportEnergyCons!$A$4:$A$10000))*1,[1]OUT_TransportEnergyCons!J$4:J$10000))*1000</f>
        <v>0</v>
      </c>
      <c r="M2183" s="1" cm="1">
        <f t="array" ref="M2183">(SUMPRODUCT(("var_ncap"=[1]OUT_TransportEnergyCons!$B$4:$B$10000)*1,ISNUMBER(SEARCH("T_B_u*ICE*DSL*s4",[1]OUT_TransportEnergyCons!$A$4:$A$10000))*1,[1]OUT_TransportEnergyCons!K$4:K$10000))*1000</f>
        <v>0</v>
      </c>
      <c r="N2183" s="1" cm="1">
        <f t="array" ref="N2183">(SUMPRODUCT(("var_ncap"=[1]OUT_TransportEnergyCons!$B$4:$B$10000)*1,ISNUMBER(SEARCH("T_B_u*ICE*DSL*s4",[1]OUT_TransportEnergyCons!$A$4:$A$10000))*1,[1]OUT_TransportEnergyCons!L$4:L$10000))*1000</f>
        <v>0</v>
      </c>
      <c r="O2183" s="1" cm="1">
        <f t="array" ref="O2183">(SUMPRODUCT(("var_ncap"=[1]OUT_TransportEnergyCons!$B$4:$B$10000)*1,ISNUMBER(SEARCH("T_B_u*ICE*DSL*s4",[1]OUT_TransportEnergyCons!$A$4:$A$10000))*1,[1]OUT_TransportEnergyCons!M$4:M$10000))*1000</f>
        <v>0</v>
      </c>
      <c r="P2183" s="1" cm="1">
        <f t="array" ref="P2183">(SUMPRODUCT(("var_ncap"=[1]OUT_TransportEnergyCons!$B$4:$B$10000)*1,ISNUMBER(SEARCH("T_B_u*ICE*DSL*s4",[1]OUT_TransportEnergyCons!$A$4:$A$10000))*1,[1]OUT_TransportEnergyCons!N$4:N$10000))*1000</f>
        <v>0</v>
      </c>
      <c r="Q2183" s="1" cm="1">
        <f t="array" ref="Q2183">(SUMPRODUCT(("var_ncap"=[1]OUT_TransportEnergyCons!$B$4:$B$10000)*1,ISNUMBER(SEARCH("T_B_u*ICE*DSL*s4",[1]OUT_TransportEnergyCons!$A$4:$A$10000))*1,[1]OUT_TransportEnergyCons!O$4:O$10000))*1000</f>
        <v>0</v>
      </c>
      <c r="S2183" s="3"/>
    </row>
    <row r="2184" spans="2:19" x14ac:dyDescent="0.5">
      <c r="B2184" s="5" t="str">
        <f t="shared" si="2247"/>
        <v>SPS1</v>
      </c>
      <c r="C2184" s="5" t="str">
        <f t="shared" si="2248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(SUMPRODUCT(("var_ncap"=[1]OUT_TransportEnergyCons!$B$4:$B$10000)*1,ISNUMBER(SEARCH("T_B_u*ICE*nga*ext",[1]OUT_TransportEnergyCons!$A$4:$A$10000))*1,[1]OUT_TransportEnergyCons!H$4:H$10000))*1000</f>
        <v>0</v>
      </c>
      <c r="K2184" s="1" cm="1">
        <f t="array" ref="K2184">(SUMPRODUCT(("var_ncap"=[1]OUT_TransportEnergyCons!$B$4:$B$10000)*1,ISNUMBER(SEARCH("T_B_u*ICE*nga*ext",[1]OUT_TransportEnergyCons!$A$4:$A$10000))*1,[1]OUT_TransportEnergyCons!I$4:I$10000))*1000</f>
        <v>0</v>
      </c>
      <c r="L2184" s="1" cm="1">
        <f t="array" ref="L2184">(SUMPRODUCT(("var_ncap"=[1]OUT_TransportEnergyCons!$B$4:$B$10000)*1,ISNUMBER(SEARCH("T_B_u*ICE*nga*ext",[1]OUT_TransportEnergyCons!$A$4:$A$10000))*1,[1]OUT_TransportEnergyCons!J$4:J$10000))*1000</f>
        <v>0</v>
      </c>
      <c r="M2184" s="1" cm="1">
        <f t="array" ref="M2184">(SUMPRODUCT(("var_ncap"=[1]OUT_TransportEnergyCons!$B$4:$B$10000)*1,ISNUMBER(SEARCH("T_B_u*ICE*nga*ext",[1]OUT_TransportEnergyCons!$A$4:$A$10000))*1,[1]OUT_TransportEnergyCons!K$4:K$10000))*1000</f>
        <v>0</v>
      </c>
      <c r="N2184" s="1" cm="1">
        <f t="array" ref="N2184">(SUMPRODUCT(("var_ncap"=[1]OUT_TransportEnergyCons!$B$4:$B$10000)*1,ISNUMBER(SEARCH("T_B_u*ICE*nga*ext",[1]OUT_TransportEnergyCons!$A$4:$A$10000))*1,[1]OUT_TransportEnergyCons!L$4:L$10000))*1000</f>
        <v>0</v>
      </c>
      <c r="O2184" s="1" cm="1">
        <f t="array" ref="O2184">(SUMPRODUCT(("var_ncap"=[1]OUT_TransportEnergyCons!$B$4:$B$10000)*1,ISNUMBER(SEARCH("T_B_u*ICE*nga*ext",[1]OUT_TransportEnergyCons!$A$4:$A$10000))*1,[1]OUT_TransportEnergyCons!M$4:M$10000))*1000</f>
        <v>0</v>
      </c>
      <c r="P2184" s="1" cm="1">
        <f t="array" ref="P2184">(SUMPRODUCT(("var_ncap"=[1]OUT_TransportEnergyCons!$B$4:$B$10000)*1,ISNUMBER(SEARCH("T_B_u*ICE*nga*ext",[1]OUT_TransportEnergyCons!$A$4:$A$10000))*1,[1]OUT_TransportEnergyCons!N$4:N$10000))*1000</f>
        <v>0</v>
      </c>
      <c r="Q2184" s="1" cm="1">
        <f t="array" ref="Q2184">(SUMPRODUCT(("var_ncap"=[1]OUT_TransportEnergyCons!$B$4:$B$10000)*1,ISNUMBER(SEARCH("T_B_u*ICE*nga*ext",[1]OUT_TransportEnergyCons!$A$4:$A$10000))*1,[1]OUT_TransportEnergyCons!O$4:O$10000))*1000</f>
        <v>0</v>
      </c>
      <c r="S2184" s="3"/>
    </row>
    <row r="2185" spans="2:19" x14ac:dyDescent="0.5">
      <c r="B2185" s="5" t="str">
        <f t="shared" si="2247"/>
        <v>SPS1</v>
      </c>
      <c r="C2185" s="5" t="str">
        <f t="shared" si="2248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7.7736290431317803E-4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5.9771265831611003E-3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1.0818742812981101E-5</v>
      </c>
      <c r="J2185" s="1" cm="1">
        <f t="array" ref="J2185">(SUMPRODUCT(("var_ncap"=[1]OUT_TransportEnergyCons!$B$4:$B$10000)*1,ISNUMBER(SEARCH("T_B_u*ICE*nga*s1",[1]OUT_TransportEnergyCons!$A$4:$A$10000))*1,[1]OUT_TransportEnergyCons!H$4:H$10000))*1000</f>
        <v>1.03283906948891E-5</v>
      </c>
      <c r="K2185" s="1" cm="1">
        <f t="array" ref="K2185">(SUMPRODUCT(("var_ncap"=[1]OUT_TransportEnergyCons!$B$4:$B$10000)*1,ISNUMBER(SEARCH("T_B_u*ICE*nga*s1",[1]OUT_TransportEnergyCons!$A$4:$A$10000))*1,[1]OUT_TransportEnergyCons!I$4:I$10000))*1000</f>
        <v>1.20974681924103E-5</v>
      </c>
      <c r="L2185" s="1" cm="1">
        <f t="array" ref="L2185">(SUMPRODUCT(("var_ncap"=[1]OUT_TransportEnergyCons!$B$4:$B$10000)*1,ISNUMBER(SEARCH("T_B_u*ICE*nga*s1",[1]OUT_TransportEnergyCons!$A$4:$A$10000))*1,[1]OUT_TransportEnergyCons!J$4:J$10000))*1000</f>
        <v>1.23210843779969E-5</v>
      </c>
      <c r="M2185" s="1" cm="1">
        <f t="array" ref="M2185">(SUMPRODUCT(("var_ncap"=[1]OUT_TransportEnergyCons!$B$4:$B$10000)*1,ISNUMBER(SEARCH("T_B_u*ICE*nga*s1",[1]OUT_TransportEnergyCons!$A$4:$A$10000))*1,[1]OUT_TransportEnergyCons!K$4:K$10000))*1000</f>
        <v>1.3609568723467E-5</v>
      </c>
      <c r="N2185" s="1" cm="1">
        <f t="array" ref="N2185">(SUMPRODUCT(("var_ncap"=[1]OUT_TransportEnergyCons!$B$4:$B$10000)*1,ISNUMBER(SEARCH("T_B_u*ICE*nga*s1",[1]OUT_TransportEnergyCons!$A$4:$A$10000))*1,[1]OUT_TransportEnergyCons!L$4:L$10000))*1000</f>
        <v>1.4149980023277399E-5</v>
      </c>
      <c r="O2185" s="1" cm="1">
        <f t="array" ref="O2185">(SUMPRODUCT(("var_ncap"=[1]OUT_TransportEnergyCons!$B$4:$B$10000)*1,ISNUMBER(SEARCH("T_B_u*ICE*nga*s1",[1]OUT_TransportEnergyCons!$A$4:$A$10000))*1,[1]OUT_TransportEnergyCons!M$4:M$10000))*1000</f>
        <v>1.3644185298063201E-5</v>
      </c>
      <c r="P2185" s="1" cm="1">
        <f t="array" ref="P2185">(SUMPRODUCT(("var_ncap"=[1]OUT_TransportEnergyCons!$B$4:$B$10000)*1,ISNUMBER(SEARCH("T_B_u*ICE*nga*s1",[1]OUT_TransportEnergyCons!$A$4:$A$10000))*1,[1]OUT_TransportEnergyCons!N$4:N$10000))*1000</f>
        <v>1.2876490232361199E-5</v>
      </c>
      <c r="Q2185" s="1" cm="1">
        <f t="array" ref="Q2185">(SUMPRODUCT(("var_ncap"=[1]OUT_TransportEnergyCons!$B$4:$B$10000)*1,ISNUMBER(SEARCH("T_B_u*ICE*nga*s1",[1]OUT_TransportEnergyCons!$A$4:$A$10000))*1,[1]OUT_TransportEnergyCons!O$4:O$10000))*1000</f>
        <v>1.63271765925484E-5</v>
      </c>
      <c r="S2185" s="3"/>
    </row>
    <row r="2186" spans="2:19" x14ac:dyDescent="0.5">
      <c r="B2186" s="5" t="str">
        <f t="shared" si="2247"/>
        <v>SPS1</v>
      </c>
      <c r="C2186" s="5" t="str">
        <f t="shared" si="2248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4.24776574575444E-4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2.00542059982118E-2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(SUMPRODUCT(("var_ncap"=[1]OUT_TransportEnergyCons!$B$4:$B$10000)*1,ISNUMBER(SEARCH("T_B_u*ICE*nga*s2",[1]OUT_TransportEnergyCons!$A$4:$A$10000))*1,[1]OUT_TransportEnergyCons!H$4:H$10000))*1000</f>
        <v>0</v>
      </c>
      <c r="K2186" s="1" cm="1">
        <f t="array" ref="K2186">(SUMPRODUCT(("var_ncap"=[1]OUT_TransportEnergyCons!$B$4:$B$10000)*1,ISNUMBER(SEARCH("T_B_u*ICE*nga*s2",[1]OUT_TransportEnergyCons!$A$4:$A$10000))*1,[1]OUT_TransportEnergyCons!I$4:I$10000))*1000</f>
        <v>0</v>
      </c>
      <c r="L2186" s="1" cm="1">
        <f t="array" ref="L2186">(SUMPRODUCT(("var_ncap"=[1]OUT_TransportEnergyCons!$B$4:$B$10000)*1,ISNUMBER(SEARCH("T_B_u*ICE*nga*s2",[1]OUT_TransportEnergyCons!$A$4:$A$10000))*1,[1]OUT_TransportEnergyCons!J$4:J$10000))*1000</f>
        <v>0</v>
      </c>
      <c r="M2186" s="1" cm="1">
        <f t="array" ref="M2186">(SUMPRODUCT(("var_ncap"=[1]OUT_TransportEnergyCons!$B$4:$B$10000)*1,ISNUMBER(SEARCH("T_B_u*ICE*nga*s2",[1]OUT_TransportEnergyCons!$A$4:$A$10000))*1,[1]OUT_TransportEnergyCons!K$4:K$10000))*1000</f>
        <v>0</v>
      </c>
      <c r="N2186" s="1" cm="1">
        <f t="array" ref="N2186">(SUMPRODUCT(("var_ncap"=[1]OUT_TransportEnergyCons!$B$4:$B$10000)*1,ISNUMBER(SEARCH("T_B_u*ICE*nga*s2",[1]OUT_TransportEnergyCons!$A$4:$A$10000))*1,[1]OUT_TransportEnergyCons!L$4:L$10000))*1000</f>
        <v>0</v>
      </c>
      <c r="O2186" s="1" cm="1">
        <f t="array" ref="O2186">(SUMPRODUCT(("var_ncap"=[1]OUT_TransportEnergyCons!$B$4:$B$10000)*1,ISNUMBER(SEARCH("T_B_u*ICE*nga*s2",[1]OUT_TransportEnergyCons!$A$4:$A$10000))*1,[1]OUT_TransportEnergyCons!M$4:M$10000))*1000</f>
        <v>0</v>
      </c>
      <c r="P2186" s="1" cm="1">
        <f t="array" ref="P2186">(SUMPRODUCT(("var_ncap"=[1]OUT_TransportEnergyCons!$B$4:$B$10000)*1,ISNUMBER(SEARCH("T_B_u*ICE*nga*s2",[1]OUT_TransportEnergyCons!$A$4:$A$10000))*1,[1]OUT_TransportEnergyCons!N$4:N$10000))*1000</f>
        <v>0</v>
      </c>
      <c r="Q2186" s="1" cm="1">
        <f t="array" ref="Q2186">(SUMPRODUCT(("var_ncap"=[1]OUT_TransportEnergyCons!$B$4:$B$10000)*1,ISNUMBER(SEARCH("T_B_u*ICE*nga*s2",[1]OUT_TransportEnergyCons!$A$4:$A$10000))*1,[1]OUT_TransportEnergyCons!O$4:O$10000))*1000</f>
        <v>0</v>
      </c>
      <c r="S2186" s="3"/>
    </row>
    <row r="2187" spans="2:19" x14ac:dyDescent="0.5">
      <c r="B2187" s="5" t="str">
        <f t="shared" si="2247"/>
        <v>SPS1</v>
      </c>
      <c r="C2187" s="5" t="str">
        <f t="shared" si="2248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2.44985523084357E-4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8.3982926545593105E-4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(SUMPRODUCT(("var_ncap"=[1]OUT_TransportEnergyCons!$B$4:$B$10000)*1,ISNUMBER(SEARCH("T_B_u*ICE*nga*s3",[1]OUT_TransportEnergyCons!$A$4:$A$10000))*1,[1]OUT_TransportEnergyCons!H$4:H$10000))*1000</f>
        <v>0</v>
      </c>
      <c r="K2187" s="1" cm="1">
        <f t="array" ref="K2187">(SUMPRODUCT(("var_ncap"=[1]OUT_TransportEnergyCons!$B$4:$B$10000)*1,ISNUMBER(SEARCH("T_B_u*ICE*nga*s3",[1]OUT_TransportEnergyCons!$A$4:$A$10000))*1,[1]OUT_TransportEnergyCons!I$4:I$10000))*1000</f>
        <v>0</v>
      </c>
      <c r="L2187" s="1" cm="1">
        <f t="array" ref="L2187">(SUMPRODUCT(("var_ncap"=[1]OUT_TransportEnergyCons!$B$4:$B$10000)*1,ISNUMBER(SEARCH("T_B_u*ICE*nga*s3",[1]OUT_TransportEnergyCons!$A$4:$A$10000))*1,[1]OUT_TransportEnergyCons!J$4:J$10000))*1000</f>
        <v>0</v>
      </c>
      <c r="M2187" s="1" cm="1">
        <f t="array" ref="M2187">(SUMPRODUCT(("var_ncap"=[1]OUT_TransportEnergyCons!$B$4:$B$10000)*1,ISNUMBER(SEARCH("T_B_u*ICE*nga*s3",[1]OUT_TransportEnergyCons!$A$4:$A$10000))*1,[1]OUT_TransportEnergyCons!K$4:K$10000))*1000</f>
        <v>0</v>
      </c>
      <c r="N2187" s="1" cm="1">
        <f t="array" ref="N2187">(SUMPRODUCT(("var_ncap"=[1]OUT_TransportEnergyCons!$B$4:$B$10000)*1,ISNUMBER(SEARCH("T_B_u*ICE*nga*s3",[1]OUT_TransportEnergyCons!$A$4:$A$10000))*1,[1]OUT_TransportEnergyCons!L$4:L$10000))*1000</f>
        <v>0</v>
      </c>
      <c r="O2187" s="1" cm="1">
        <f t="array" ref="O2187">(SUMPRODUCT(("var_ncap"=[1]OUT_TransportEnergyCons!$B$4:$B$10000)*1,ISNUMBER(SEARCH("T_B_u*ICE*nga*s3",[1]OUT_TransportEnergyCons!$A$4:$A$10000))*1,[1]OUT_TransportEnergyCons!M$4:M$10000))*1000</f>
        <v>0</v>
      </c>
      <c r="P2187" s="1" cm="1">
        <f t="array" ref="P2187">(SUMPRODUCT(("var_ncap"=[1]OUT_TransportEnergyCons!$B$4:$B$10000)*1,ISNUMBER(SEARCH("T_B_u*ICE*nga*s3",[1]OUT_TransportEnergyCons!$A$4:$A$10000))*1,[1]OUT_TransportEnergyCons!N$4:N$10000))*1000</f>
        <v>0</v>
      </c>
      <c r="Q2187" s="1" cm="1">
        <f t="array" ref="Q2187">(SUMPRODUCT(("var_ncap"=[1]OUT_TransportEnergyCons!$B$4:$B$10000)*1,ISNUMBER(SEARCH("T_B_u*ICE*nga*s3",[1]OUT_TransportEnergyCons!$A$4:$A$10000))*1,[1]OUT_TransportEnergyCons!O$4:O$10000))*1000</f>
        <v>0</v>
      </c>
      <c r="S2187" s="3"/>
    </row>
    <row r="2188" spans="2:19" x14ac:dyDescent="0.5">
      <c r="B2188" s="5" t="str">
        <f t="shared" si="2247"/>
        <v>SPS1</v>
      </c>
      <c r="C2188" s="5" t="str">
        <f t="shared" si="2248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5.4684805710674103E-5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1.1076623166119999E-4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(SUMPRODUCT(("var_ncap"=[1]OUT_TransportEnergyCons!$B$4:$B$10000)*1,ISNUMBER(SEARCH("T_B_u*ICE*nga*s4",[1]OUT_TransportEnergyCons!$A$4:$A$10000))*1,[1]OUT_TransportEnergyCons!H$4:H$10000))*1000</f>
        <v>0</v>
      </c>
      <c r="K2188" s="1" cm="1">
        <f t="array" ref="K2188">(SUMPRODUCT(("var_ncap"=[1]OUT_TransportEnergyCons!$B$4:$B$10000)*1,ISNUMBER(SEARCH("T_B_u*ICE*nga*s4",[1]OUT_TransportEnergyCons!$A$4:$A$10000))*1,[1]OUT_TransportEnergyCons!I$4:I$10000))*1000</f>
        <v>0</v>
      </c>
      <c r="L2188" s="1" cm="1">
        <f t="array" ref="L2188">(SUMPRODUCT(("var_ncap"=[1]OUT_TransportEnergyCons!$B$4:$B$10000)*1,ISNUMBER(SEARCH("T_B_u*ICE*nga*s4",[1]OUT_TransportEnergyCons!$A$4:$A$10000))*1,[1]OUT_TransportEnergyCons!J$4:J$10000))*1000</f>
        <v>0</v>
      </c>
      <c r="M2188" s="1" cm="1">
        <f t="array" ref="M2188">(SUMPRODUCT(("var_ncap"=[1]OUT_TransportEnergyCons!$B$4:$B$10000)*1,ISNUMBER(SEARCH("T_B_u*ICE*nga*s4",[1]OUT_TransportEnergyCons!$A$4:$A$10000))*1,[1]OUT_TransportEnergyCons!K$4:K$10000))*1000</f>
        <v>0</v>
      </c>
      <c r="N2188" s="1" cm="1">
        <f t="array" ref="N2188">(SUMPRODUCT(("var_ncap"=[1]OUT_TransportEnergyCons!$B$4:$B$10000)*1,ISNUMBER(SEARCH("T_B_u*ICE*nga*s4",[1]OUT_TransportEnergyCons!$A$4:$A$10000))*1,[1]OUT_TransportEnergyCons!L$4:L$10000))*1000</f>
        <v>0</v>
      </c>
      <c r="O2188" s="1" cm="1">
        <f t="array" ref="O2188">(SUMPRODUCT(("var_ncap"=[1]OUT_TransportEnergyCons!$B$4:$B$10000)*1,ISNUMBER(SEARCH("T_B_u*ICE*nga*s4",[1]OUT_TransportEnergyCons!$A$4:$A$10000))*1,[1]OUT_TransportEnergyCons!M$4:M$10000))*1000</f>
        <v>0</v>
      </c>
      <c r="P2188" s="1" cm="1">
        <f t="array" ref="P2188">(SUMPRODUCT(("var_ncap"=[1]OUT_TransportEnergyCons!$B$4:$B$10000)*1,ISNUMBER(SEARCH("T_B_u*ICE*nga*s4",[1]OUT_TransportEnergyCons!$A$4:$A$10000))*1,[1]OUT_TransportEnergyCons!N$4:N$10000))*1000</f>
        <v>0</v>
      </c>
      <c r="Q2188" s="1" cm="1">
        <f t="array" ref="Q2188">(SUMPRODUCT(("var_ncap"=[1]OUT_TransportEnergyCons!$B$4:$B$10000)*1,ISNUMBER(SEARCH("T_B_u*ICE*nga*s4",[1]OUT_TransportEnergyCons!$A$4:$A$10000))*1,[1]OUT_TransportEnergyCons!O$4:O$10000))*1000</f>
        <v>0</v>
      </c>
      <c r="S2188" s="3"/>
    </row>
    <row r="2189" spans="2:19" x14ac:dyDescent="0.5">
      <c r="B2189" s="5" t="str">
        <f t="shared" si="2247"/>
        <v>SPS1</v>
      </c>
      <c r="C2189" s="5" t="str">
        <f t="shared" si="2248"/>
        <v>CH</v>
      </c>
      <c r="D2189" s="2" t="s">
        <v>2318</v>
      </c>
      <c r="E2189" s="2" t="s">
        <v>1999</v>
      </c>
      <c r="F2189" s="3">
        <f t="shared" ref="F2189:K2189" si="2249">SUM(F2190:F2212)</f>
        <v>0</v>
      </c>
      <c r="G2189" s="3">
        <f t="shared" si="2249"/>
        <v>0.5150312873687336</v>
      </c>
      <c r="H2189" s="3">
        <f t="shared" si="2249"/>
        <v>0.33966168608221631</v>
      </c>
      <c r="I2189" s="3">
        <f t="shared" si="2249"/>
        <v>2.7725552406994969</v>
      </c>
      <c r="J2189" s="3">
        <f t="shared" si="2249"/>
        <v>1.4689102184135912</v>
      </c>
      <c r="K2189" s="3">
        <f t="shared" si="2249"/>
        <v>1.224444520076764</v>
      </c>
      <c r="L2189" s="3">
        <f t="shared" ref="L2189:O2189" si="2250">SUM(L2190:L2212)</f>
        <v>1.0203186996934539</v>
      </c>
      <c r="M2189" s="3">
        <f t="shared" si="2250"/>
        <v>1.619585007429158</v>
      </c>
      <c r="N2189" s="3">
        <f t="shared" si="2250"/>
        <v>1.0397122733401316</v>
      </c>
      <c r="O2189" s="3">
        <f t="shared" si="2250"/>
        <v>1.4249161815813087</v>
      </c>
      <c r="P2189" s="3">
        <f>SUM(P2190:P2212)</f>
        <v>1.6759569763679274</v>
      </c>
      <c r="Q2189" s="3">
        <f>SUM(Q2190:Q2212)</f>
        <v>0.86761149383501623</v>
      </c>
      <c r="S2189" s="3"/>
    </row>
    <row r="2190" spans="2:19" x14ac:dyDescent="0.5">
      <c r="B2190" s="5" t="str">
        <f t="shared" si="2247"/>
        <v>SPS1</v>
      </c>
      <c r="C2190" s="5" t="str">
        <f t="shared" si="2248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(SUMPRODUCT(("var_ncap"=[1]OUT_TransportEnergyCons!$B$4:$B$10000)*1,ISNUMBER(SEARCH("T_b_c*bev*ext",[1]OUT_TransportEnergyCons!$A$4:$A$10000))*1,[1]OUT_TransportEnergyCons!H$4:H$10000))*1000</f>
        <v>0</v>
      </c>
      <c r="K2190" s="1" cm="1">
        <f t="array" ref="K2190">(SUMPRODUCT(("var_ncap"=[1]OUT_TransportEnergyCons!$B$4:$B$10000)*1,ISNUMBER(SEARCH("T_b_c*bev*ext",[1]OUT_TransportEnergyCons!$A$4:$A$10000))*1,[1]OUT_TransportEnergyCons!I$4:I$10000))*1000</f>
        <v>0</v>
      </c>
      <c r="L2190" s="1" cm="1">
        <f t="array" ref="L2190">(SUMPRODUCT(("var_ncap"=[1]OUT_TransportEnergyCons!$B$4:$B$10000)*1,ISNUMBER(SEARCH("T_b_c*bev*ext",[1]OUT_TransportEnergyCons!$A$4:$A$10000))*1,[1]OUT_TransportEnergyCons!J$4:J$10000))*1000</f>
        <v>0</v>
      </c>
      <c r="M2190" s="1" cm="1">
        <f t="array" ref="M2190">(SUMPRODUCT(("var_ncap"=[1]OUT_TransportEnergyCons!$B$4:$B$10000)*1,ISNUMBER(SEARCH("T_b_c*bev*ext",[1]OUT_TransportEnergyCons!$A$4:$A$10000))*1,[1]OUT_TransportEnergyCons!K$4:K$10000))*1000</f>
        <v>0</v>
      </c>
      <c r="N2190" s="1" cm="1">
        <f t="array" ref="N2190">(SUMPRODUCT(("var_ncap"=[1]OUT_TransportEnergyCons!$B$4:$B$10000)*1,ISNUMBER(SEARCH("T_b_c*bev*ext",[1]OUT_TransportEnergyCons!$A$4:$A$10000))*1,[1]OUT_TransportEnergyCons!L$4:L$10000))*1000</f>
        <v>0</v>
      </c>
      <c r="O2190" s="1" cm="1">
        <f t="array" ref="O2190">(SUMPRODUCT(("var_ncap"=[1]OUT_TransportEnergyCons!$B$4:$B$10000)*1,ISNUMBER(SEARCH("T_b_c*bev*ext",[1]OUT_TransportEnergyCons!$A$4:$A$10000))*1,[1]OUT_TransportEnergyCons!M$4:M$10000))*1000</f>
        <v>0</v>
      </c>
      <c r="P2190" s="1" cm="1">
        <f t="array" ref="P2190">(SUMPRODUCT(("var_ncap"=[1]OUT_TransportEnergyCons!$B$4:$B$10000)*1,ISNUMBER(SEARCH("T_b_c*bev*ext",[1]OUT_TransportEnergyCons!$A$4:$A$10000))*1,[1]OUT_TransportEnergyCons!N$4:N$10000))*1000</f>
        <v>0</v>
      </c>
      <c r="Q2190" s="1" cm="1">
        <f t="array" ref="Q2190">(SUMPRODUCT(("var_ncap"=[1]OUT_TransportEnergyCons!$B$4:$B$10000)*1,ISNUMBER(SEARCH("T_b_c*bev*ext",[1]OUT_TransportEnergyCons!$A$4:$A$10000))*1,[1]OUT_TransportEnergyCons!O$4:O$10000))*1000</f>
        <v>0</v>
      </c>
      <c r="S2190" s="3"/>
    </row>
    <row r="2191" spans="2:19" x14ac:dyDescent="0.5">
      <c r="B2191" s="5" t="str">
        <f t="shared" si="2247"/>
        <v>SPS1</v>
      </c>
      <c r="C2191" s="5" t="str">
        <f t="shared" si="2248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2.6356638012926203E-3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6.1225841506647805E-3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1.3892745561090398</v>
      </c>
      <c r="J2191" s="1" cm="1">
        <f t="array" ref="J2191">(SUMPRODUCT(("var_ncap"=[1]OUT_TransportEnergyCons!$B$4:$B$10000)*1,ISNUMBER(SEARCH("T_b_c*bev*s1",[1]OUT_TransportEnergyCons!$A$4:$A$10000))*1,[1]OUT_TransportEnergyCons!H$4:H$10000))*1000</f>
        <v>1.26800206477125</v>
      </c>
      <c r="K2191" s="1" cm="1">
        <f t="array" ref="K2191">(SUMPRODUCT(("var_ncap"=[1]OUT_TransportEnergyCons!$B$4:$B$10000)*1,ISNUMBER(SEARCH("T_b_c*bev*s1",[1]OUT_TransportEnergyCons!$A$4:$A$10000))*1,[1]OUT_TransportEnergyCons!I$4:I$10000))*1000</f>
        <v>7.2401147135702698E-2</v>
      </c>
      <c r="L2191" s="1" cm="1">
        <f t="array" ref="L2191">(SUMPRODUCT(("var_ncap"=[1]OUT_TransportEnergyCons!$B$4:$B$10000)*1,ISNUMBER(SEARCH("T_b_c*bev*s1",[1]OUT_TransportEnergyCons!$A$4:$A$10000))*1,[1]OUT_TransportEnergyCons!J$4:J$10000))*1000</f>
        <v>0.57408870027417203</v>
      </c>
      <c r="M2191" s="1" cm="1">
        <f t="array" ref="M2191">(SUMPRODUCT(("var_ncap"=[1]OUT_TransportEnergyCons!$B$4:$B$10000)*1,ISNUMBER(SEARCH("T_b_c*bev*s1",[1]OUT_TransportEnergyCons!$A$4:$A$10000))*1,[1]OUT_TransportEnergyCons!K$4:K$10000))*1000</f>
        <v>0.64936760291336704</v>
      </c>
      <c r="N2191" s="1" cm="1">
        <f t="array" ref="N2191">(SUMPRODUCT(("var_ncap"=[1]OUT_TransportEnergyCons!$B$4:$B$10000)*1,ISNUMBER(SEARCH("T_b_c*bev*s1",[1]OUT_TransportEnergyCons!$A$4:$A$10000))*1,[1]OUT_TransportEnergyCons!L$4:L$10000))*1000</f>
        <v>0.33044644158750897</v>
      </c>
      <c r="O2191" s="1" cm="1">
        <f t="array" ref="O2191">(SUMPRODUCT(("var_ncap"=[1]OUT_TransportEnergyCons!$B$4:$B$10000)*1,ISNUMBER(SEARCH("T_b_c*bev*s1",[1]OUT_TransportEnergyCons!$A$4:$A$10000))*1,[1]OUT_TransportEnergyCons!M$4:M$10000))*1000</f>
        <v>0.55203463500149508</v>
      </c>
      <c r="P2191" s="1" cm="1">
        <f t="array" ref="P2191">(SUMPRODUCT(("var_ncap"=[1]OUT_TransportEnergyCons!$B$4:$B$10000)*1,ISNUMBER(SEARCH("T_b_c*bev*s1",[1]OUT_TransportEnergyCons!$A$4:$A$10000))*1,[1]OUT_TransportEnergyCons!N$4:N$10000))*1000</f>
        <v>0.638274227267703</v>
      </c>
      <c r="Q2191" s="1" cm="1">
        <f t="array" ref="Q2191">(SUMPRODUCT(("var_ncap"=[1]OUT_TransportEnergyCons!$B$4:$B$10000)*1,ISNUMBER(SEARCH("T_b_c*bev*s1",[1]OUT_TransportEnergyCons!$A$4:$A$10000))*1,[1]OUT_TransportEnergyCons!O$4:O$10000))*1000</f>
        <v>0.17260245396083301</v>
      </c>
      <c r="S2191" s="3"/>
    </row>
    <row r="2192" spans="2:19" x14ac:dyDescent="0.5">
      <c r="B2192" s="5" t="str">
        <f t="shared" si="2247"/>
        <v>SPS1</v>
      </c>
      <c r="C2192" s="5" t="str">
        <f t="shared" si="2248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1.5014282967196501E-3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3.94267494516731E-3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0.59492885655105299</v>
      </c>
      <c r="J2192" s="1" cm="1">
        <f t="array" ref="J2192">(SUMPRODUCT(("var_ncap"=[1]OUT_TransportEnergyCons!$B$4:$B$10000)*1,ISNUMBER(SEARCH("T_b_c*bev*s2",[1]OUT_TransportEnergyCons!$A$4:$A$10000))*1,[1]OUT_TransportEnergyCons!H$4:H$10000))*1000</f>
        <v>5.4089355700703903E-2</v>
      </c>
      <c r="K2192" s="1" cm="1">
        <f t="array" ref="K2192">(SUMPRODUCT(("var_ncap"=[1]OUT_TransportEnergyCons!$B$4:$B$10000)*1,ISNUMBER(SEARCH("T_b_c*bev*s2",[1]OUT_TransportEnergyCons!$A$4:$A$10000))*1,[1]OUT_TransportEnergyCons!I$4:I$10000))*1000</f>
        <v>0.46398451478460001</v>
      </c>
      <c r="L2192" s="1" cm="1">
        <f t="array" ref="L2192">(SUMPRODUCT(("var_ncap"=[1]OUT_TransportEnergyCons!$B$4:$B$10000)*1,ISNUMBER(SEARCH("T_b_c*bev*s2",[1]OUT_TransportEnergyCons!$A$4:$A$10000))*1,[1]OUT_TransportEnergyCons!J$4:J$10000))*1000</f>
        <v>0.17993921190406001</v>
      </c>
      <c r="M2192" s="1" cm="1">
        <f t="array" ref="M2192">(SUMPRODUCT(("var_ncap"=[1]OUT_TransportEnergyCons!$B$4:$B$10000)*1,ISNUMBER(SEARCH("T_b_c*bev*s2",[1]OUT_TransportEnergyCons!$A$4:$A$10000))*1,[1]OUT_TransportEnergyCons!K$4:K$10000))*1000</f>
        <v>0.37367058691541899</v>
      </c>
      <c r="N2192" s="1" cm="1">
        <f t="array" ref="N2192">(SUMPRODUCT(("var_ncap"=[1]OUT_TransportEnergyCons!$B$4:$B$10000)*1,ISNUMBER(SEARCH("T_b_c*bev*s2",[1]OUT_TransportEnergyCons!$A$4:$A$10000))*1,[1]OUT_TransportEnergyCons!L$4:L$10000))*1000</f>
        <v>0.260262458793944</v>
      </c>
      <c r="O2192" s="1" cm="1">
        <f t="array" ref="O2192">(SUMPRODUCT(("var_ncap"=[1]OUT_TransportEnergyCons!$B$4:$B$10000)*1,ISNUMBER(SEARCH("T_b_c*bev*s2",[1]OUT_TransportEnergyCons!$A$4:$A$10000))*1,[1]OUT_TransportEnergyCons!M$4:M$10000))*1000</f>
        <v>0.26108459244586102</v>
      </c>
      <c r="P2192" s="1" cm="1">
        <f t="array" ref="P2192">(SUMPRODUCT(("var_ncap"=[1]OUT_TransportEnergyCons!$B$4:$B$10000)*1,ISNUMBER(SEARCH("T_b_c*bev*s2",[1]OUT_TransportEnergyCons!$A$4:$A$10000))*1,[1]OUT_TransportEnergyCons!N$4:N$10000))*1000</f>
        <v>0.34039608517611403</v>
      </c>
      <c r="Q2192" s="1" cm="1">
        <f t="array" ref="Q2192">(SUMPRODUCT(("var_ncap"=[1]OUT_TransportEnergyCons!$B$4:$B$10000)*1,ISNUMBER(SEARCH("T_b_c*bev*s2",[1]OUT_TransportEnergyCons!$A$4:$A$10000))*1,[1]OUT_TransportEnergyCons!O$4:O$10000))*1000</f>
        <v>0.12311881128842099</v>
      </c>
      <c r="S2192" s="3"/>
    </row>
    <row r="2193" spans="2:19" x14ac:dyDescent="0.5">
      <c r="B2193" s="5" t="str">
        <f t="shared" si="2247"/>
        <v>SPS1</v>
      </c>
      <c r="C2193" s="5" t="str">
        <f t="shared" si="2248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7.7059936924171605E-4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1.22877649441135E-3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4.1960562782830703E-3</v>
      </c>
      <c r="J2193" s="1" cm="1">
        <f t="array" ref="J2193">(SUMPRODUCT(("var_ncap"=[1]OUT_TransportEnergyCons!$B$4:$B$10000)*1,ISNUMBER(SEARCH("T_b_c*bev*s3",[1]OUT_TransportEnergyCons!$A$4:$A$10000))*1,[1]OUT_TransportEnergyCons!H$4:H$10000))*1000</f>
        <v>1.2120123136978999E-2</v>
      </c>
      <c r="K2193" s="1" cm="1">
        <f t="array" ref="K2193">(SUMPRODUCT(("var_ncap"=[1]OUT_TransportEnergyCons!$B$4:$B$10000)*1,ISNUMBER(SEARCH("T_b_c*bev*s3",[1]OUT_TransportEnergyCons!$A$4:$A$10000))*1,[1]OUT_TransportEnergyCons!I$4:I$10000))*1000</f>
        <v>1.2897237716941901E-2</v>
      </c>
      <c r="L2193" s="1" cm="1">
        <f t="array" ref="L2193">(SUMPRODUCT(("var_ncap"=[1]OUT_TransportEnergyCons!$B$4:$B$10000)*1,ISNUMBER(SEARCH("T_b_c*bev*s3",[1]OUT_TransportEnergyCons!$A$4:$A$10000))*1,[1]OUT_TransportEnergyCons!J$4:J$10000))*1000</f>
        <v>2.2081142348543602E-2</v>
      </c>
      <c r="M2193" s="1" cm="1">
        <f t="array" ref="M2193">(SUMPRODUCT(("var_ncap"=[1]OUT_TransportEnergyCons!$B$4:$B$10000)*1,ISNUMBER(SEARCH("T_b_c*bev*s3",[1]OUT_TransportEnergyCons!$A$4:$A$10000))*1,[1]OUT_TransportEnergyCons!K$4:K$10000))*1000</f>
        <v>2.8028302817115602E-2</v>
      </c>
      <c r="N2193" s="1" cm="1">
        <f t="array" ref="N2193">(SUMPRODUCT(("var_ncap"=[1]OUT_TransportEnergyCons!$B$4:$B$10000)*1,ISNUMBER(SEARCH("T_b_c*bev*s3",[1]OUT_TransportEnergyCons!$A$4:$A$10000))*1,[1]OUT_TransportEnergyCons!L$4:L$10000))*1000</f>
        <v>2.6375360245501998E-2</v>
      </c>
      <c r="O2193" s="1" cm="1">
        <f t="array" ref="O2193">(SUMPRODUCT(("var_ncap"=[1]OUT_TransportEnergyCons!$B$4:$B$10000)*1,ISNUMBER(SEARCH("T_b_c*bev*s3",[1]OUT_TransportEnergyCons!$A$4:$A$10000))*1,[1]OUT_TransportEnergyCons!M$4:M$10000))*1000</f>
        <v>6.3297810365845503E-2</v>
      </c>
      <c r="P2193" s="1" cm="1">
        <f t="array" ref="P2193">(SUMPRODUCT(("var_ncap"=[1]OUT_TransportEnergyCons!$B$4:$B$10000)*1,ISNUMBER(SEARCH("T_b_c*bev*s3",[1]OUT_TransportEnergyCons!$A$4:$A$10000))*1,[1]OUT_TransportEnergyCons!N$4:N$10000))*1000</f>
        <v>5.0156955394605997E-2</v>
      </c>
      <c r="Q2193" s="1" cm="1">
        <f t="array" ref="Q2193">(SUMPRODUCT(("var_ncap"=[1]OUT_TransportEnergyCons!$B$4:$B$10000)*1,ISNUMBER(SEARCH("T_b_c*bev*s3",[1]OUT_TransportEnergyCons!$A$4:$A$10000))*1,[1]OUT_TransportEnergyCons!O$4:O$10000))*1000</f>
        <v>0.13732127818312501</v>
      </c>
      <c r="S2193" s="3"/>
    </row>
    <row r="2194" spans="2:19" x14ac:dyDescent="0.5">
      <c r="B2194" s="5" t="str">
        <f t="shared" si="2247"/>
        <v>SPS1</v>
      </c>
      <c r="C2194" s="5" t="str">
        <f t="shared" si="2248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4.8655077067507197E-4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4.69559927319284E-4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6.0773422145076698E-4</v>
      </c>
      <c r="J2194" s="1" cm="1">
        <f t="array" ref="J2194">(SUMPRODUCT(("var_ncap"=[1]OUT_TransportEnergyCons!$B$4:$B$10000)*1,ISNUMBER(SEARCH("T_b_c*bev*s4",[1]OUT_TransportEnergyCons!$A$4:$A$10000))*1,[1]OUT_TransportEnergyCons!H$4:H$10000))*1000</f>
        <v>9.1683348345286697E-4</v>
      </c>
      <c r="K2194" s="1" cm="1">
        <f t="array" ref="K2194">(SUMPRODUCT(("var_ncap"=[1]OUT_TransportEnergyCons!$B$4:$B$10000)*1,ISNUMBER(SEARCH("T_b_c*bev*s4",[1]OUT_TransportEnergyCons!$A$4:$A$10000))*1,[1]OUT_TransportEnergyCons!I$4:I$10000))*1000</f>
        <v>1.0338713819410101E-3</v>
      </c>
      <c r="L2194" s="1" cm="1">
        <f t="array" ref="L2194">(SUMPRODUCT(("var_ncap"=[1]OUT_TransportEnergyCons!$B$4:$B$10000)*1,ISNUMBER(SEARCH("T_b_c*bev*s4",[1]OUT_TransportEnergyCons!$A$4:$A$10000))*1,[1]OUT_TransportEnergyCons!J$4:J$10000))*1000</f>
        <v>1.1707219090769001E-3</v>
      </c>
      <c r="M2194" s="1" cm="1">
        <f t="array" ref="M2194">(SUMPRODUCT(("var_ncap"=[1]OUT_TransportEnergyCons!$B$4:$B$10000)*1,ISNUMBER(SEARCH("T_b_c*bev*s4",[1]OUT_TransportEnergyCons!$A$4:$A$10000))*1,[1]OUT_TransportEnergyCons!K$4:K$10000))*1000</f>
        <v>1.5149009233825601E-3</v>
      </c>
      <c r="N2194" s="1" cm="1">
        <f t="array" ref="N2194">(SUMPRODUCT(("var_ncap"=[1]OUT_TransportEnergyCons!$B$4:$B$10000)*1,ISNUMBER(SEARCH("T_b_c*bev*s4",[1]OUT_TransportEnergyCons!$A$4:$A$10000))*1,[1]OUT_TransportEnergyCons!L$4:L$10000))*1000</f>
        <v>1.54343992206878E-3</v>
      </c>
      <c r="O2194" s="1" cm="1">
        <f t="array" ref="O2194">(SUMPRODUCT(("var_ncap"=[1]OUT_TransportEnergyCons!$B$4:$B$10000)*1,ISNUMBER(SEARCH("T_b_c*bev*s4",[1]OUT_TransportEnergyCons!$A$4:$A$10000))*1,[1]OUT_TransportEnergyCons!M$4:M$10000))*1000</f>
        <v>1.83900789334452E-3</v>
      </c>
      <c r="P2194" s="1" cm="1">
        <f t="array" ref="P2194">(SUMPRODUCT(("var_ncap"=[1]OUT_TransportEnergyCons!$B$4:$B$10000)*1,ISNUMBER(SEARCH("T_b_c*bev*s4",[1]OUT_TransportEnergyCons!$A$4:$A$10000))*1,[1]OUT_TransportEnergyCons!N$4:N$10000))*1000</f>
        <v>2.0084668131884502E-3</v>
      </c>
      <c r="Q2194" s="1" cm="1">
        <f t="array" ref="Q2194">(SUMPRODUCT(("var_ncap"=[1]OUT_TransportEnergyCons!$B$4:$B$10000)*1,ISNUMBER(SEARCH("T_b_c*bev*s4",[1]OUT_TransportEnergyCons!$A$4:$A$10000))*1,[1]OUT_TransportEnergyCons!O$4:O$10000))*1000</f>
        <v>2.69239972395291E-3</v>
      </c>
      <c r="S2194" s="3"/>
    </row>
    <row r="2195" spans="2:19" x14ac:dyDescent="0.5">
      <c r="B2195" s="5" t="str">
        <f t="shared" si="2247"/>
        <v>SPS1</v>
      </c>
      <c r="C2195" s="5" t="str">
        <f t="shared" si="2248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1.1012915087666501E-5</v>
      </c>
      <c r="J2195" s="1" cm="1">
        <f t="array" ref="J2195">(SUMPRODUCT(("var_ncap"=[1]OUT_TransportEnergyCons!$B$4:$B$10000)*1,ISNUMBER(SEARCH("T_b_c*h2o*s1",[1]OUT_TransportEnergyCons!$A$4:$A$10000))*1,[1]OUT_TransportEnergyCons!H$4:H$10000))*1000</f>
        <v>0</v>
      </c>
      <c r="K2195" s="1" cm="1">
        <f t="array" ref="K2195">(SUMPRODUCT(("var_ncap"=[1]OUT_TransportEnergyCons!$B$4:$B$10000)*1,ISNUMBER(SEARCH("T_b_c*h2o*s1",[1]OUT_TransportEnergyCons!$A$4:$A$10000))*1,[1]OUT_TransportEnergyCons!I$4:I$10000))*1000</f>
        <v>0</v>
      </c>
      <c r="L2195" s="1" cm="1">
        <f t="array" ref="L2195">(SUMPRODUCT(("var_ncap"=[1]OUT_TransportEnergyCons!$B$4:$B$10000)*1,ISNUMBER(SEARCH("T_b_c*h2o*s1",[1]OUT_TransportEnergyCons!$A$4:$A$10000))*1,[1]OUT_TransportEnergyCons!J$4:J$10000))*1000</f>
        <v>0</v>
      </c>
      <c r="M2195" s="1" cm="1">
        <f t="array" ref="M2195">(SUMPRODUCT(("var_ncap"=[1]OUT_TransportEnergyCons!$B$4:$B$10000)*1,ISNUMBER(SEARCH("T_b_c*h2o*s1",[1]OUT_TransportEnergyCons!$A$4:$A$10000))*1,[1]OUT_TransportEnergyCons!K$4:K$10000))*1000</f>
        <v>0</v>
      </c>
      <c r="N2195" s="1" cm="1">
        <f t="array" ref="N2195">(SUMPRODUCT(("var_ncap"=[1]OUT_TransportEnergyCons!$B$4:$B$10000)*1,ISNUMBER(SEARCH("T_b_c*h2o*s1",[1]OUT_TransportEnergyCons!$A$4:$A$10000))*1,[1]OUT_TransportEnergyCons!L$4:L$10000))*1000</f>
        <v>0</v>
      </c>
      <c r="O2195" s="1" cm="1">
        <f t="array" ref="O2195">(SUMPRODUCT(("var_ncap"=[1]OUT_TransportEnergyCons!$B$4:$B$10000)*1,ISNUMBER(SEARCH("T_b_c*h2o*s1",[1]OUT_TransportEnergyCons!$A$4:$A$10000))*1,[1]OUT_TransportEnergyCons!M$4:M$10000))*1000</f>
        <v>0</v>
      </c>
      <c r="P2195" s="1" cm="1">
        <f t="array" ref="P2195">(SUMPRODUCT(("var_ncap"=[1]OUT_TransportEnergyCons!$B$4:$B$10000)*1,ISNUMBER(SEARCH("T_b_c*h2o*s1",[1]OUT_TransportEnergyCons!$A$4:$A$10000))*1,[1]OUT_TransportEnergyCons!N$4:N$10000))*1000</f>
        <v>0</v>
      </c>
      <c r="Q2195" s="1" cm="1">
        <f t="array" ref="Q2195">(SUMPRODUCT(("var_ncap"=[1]OUT_TransportEnergyCons!$B$4:$B$10000)*1,ISNUMBER(SEARCH("T_b_c*h2o*s1",[1]OUT_TransportEnergyCons!$A$4:$A$10000))*1,[1]OUT_TransportEnergyCons!O$4:O$10000))*1000</f>
        <v>0</v>
      </c>
      <c r="S2195" s="3"/>
    </row>
    <row r="2196" spans="2:19" x14ac:dyDescent="0.5">
      <c r="B2196" s="5" t="str">
        <f t="shared" si="2247"/>
        <v>SPS1</v>
      </c>
      <c r="C2196" s="5" t="str">
        <f t="shared" si="2248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1.0924821832379201E-5</v>
      </c>
      <c r="J2196" s="1" cm="1">
        <f t="array" ref="J2196">(SUMPRODUCT(("var_ncap"=[1]OUT_TransportEnergyCons!$B$4:$B$10000)*1,ISNUMBER(SEARCH("T_b_c*h2o*s2",[1]OUT_TransportEnergyCons!$A$4:$A$10000))*1,[1]OUT_TransportEnergyCons!H$4:H$10000))*1000</f>
        <v>0</v>
      </c>
      <c r="K2196" s="1" cm="1">
        <f t="array" ref="K2196">(SUMPRODUCT(("var_ncap"=[1]OUT_TransportEnergyCons!$B$4:$B$10000)*1,ISNUMBER(SEARCH("T_b_c*h2o*s2",[1]OUT_TransportEnergyCons!$A$4:$A$10000))*1,[1]OUT_TransportEnergyCons!I$4:I$10000))*1000</f>
        <v>0</v>
      </c>
      <c r="L2196" s="1" cm="1">
        <f t="array" ref="L2196">(SUMPRODUCT(("var_ncap"=[1]OUT_TransportEnergyCons!$B$4:$B$10000)*1,ISNUMBER(SEARCH("T_b_c*h2o*s2",[1]OUT_TransportEnergyCons!$A$4:$A$10000))*1,[1]OUT_TransportEnergyCons!J$4:J$10000))*1000</f>
        <v>0</v>
      </c>
      <c r="M2196" s="1" cm="1">
        <f t="array" ref="M2196">(SUMPRODUCT(("var_ncap"=[1]OUT_TransportEnergyCons!$B$4:$B$10000)*1,ISNUMBER(SEARCH("T_b_c*h2o*s2",[1]OUT_TransportEnergyCons!$A$4:$A$10000))*1,[1]OUT_TransportEnergyCons!K$4:K$10000))*1000</f>
        <v>0</v>
      </c>
      <c r="N2196" s="1" cm="1">
        <f t="array" ref="N2196">(SUMPRODUCT(("var_ncap"=[1]OUT_TransportEnergyCons!$B$4:$B$10000)*1,ISNUMBER(SEARCH("T_b_c*h2o*s2",[1]OUT_TransportEnergyCons!$A$4:$A$10000))*1,[1]OUT_TransportEnergyCons!L$4:L$10000))*1000</f>
        <v>0</v>
      </c>
      <c r="O2196" s="1" cm="1">
        <f t="array" ref="O2196">(SUMPRODUCT(("var_ncap"=[1]OUT_TransportEnergyCons!$B$4:$B$10000)*1,ISNUMBER(SEARCH("T_b_c*h2o*s2",[1]OUT_TransportEnergyCons!$A$4:$A$10000))*1,[1]OUT_TransportEnergyCons!M$4:M$10000))*1000</f>
        <v>0</v>
      </c>
      <c r="P2196" s="1" cm="1">
        <f t="array" ref="P2196">(SUMPRODUCT(("var_ncap"=[1]OUT_TransportEnergyCons!$B$4:$B$10000)*1,ISNUMBER(SEARCH("T_b_c*h2o*s2",[1]OUT_TransportEnergyCons!$A$4:$A$10000))*1,[1]OUT_TransportEnergyCons!N$4:N$10000))*1000</f>
        <v>0</v>
      </c>
      <c r="Q2196" s="1" cm="1">
        <f t="array" ref="Q2196">(SUMPRODUCT(("var_ncap"=[1]OUT_TransportEnergyCons!$B$4:$B$10000)*1,ISNUMBER(SEARCH("T_b_c*h2o*s2",[1]OUT_TransportEnergyCons!$A$4:$A$10000))*1,[1]OUT_TransportEnergyCons!O$4:O$10000))*1000</f>
        <v>0</v>
      </c>
      <c r="S2196" s="3"/>
    </row>
    <row r="2197" spans="2:19" x14ac:dyDescent="0.5">
      <c r="B2197" s="5" t="str">
        <f t="shared" si="2247"/>
        <v>SPS1</v>
      </c>
      <c r="C2197" s="5" t="str">
        <f t="shared" si="2248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1.3324890839318001E-5</v>
      </c>
      <c r="J2197" s="1" cm="1">
        <f t="array" ref="J2197">(SUMPRODUCT(("var_ncap"=[1]OUT_TransportEnergyCons!$B$4:$B$10000)*1,ISNUMBER(SEARCH("T_b_c*h2o*s3",[1]OUT_TransportEnergyCons!$A$4:$A$10000))*1,[1]OUT_TransportEnergyCons!H$4:H$10000))*1000</f>
        <v>0</v>
      </c>
      <c r="K2197" s="1" cm="1">
        <f t="array" ref="K2197">(SUMPRODUCT(("var_ncap"=[1]OUT_TransportEnergyCons!$B$4:$B$10000)*1,ISNUMBER(SEARCH("T_b_c*h2o*s3",[1]OUT_TransportEnergyCons!$A$4:$A$10000))*1,[1]OUT_TransportEnergyCons!I$4:I$10000))*1000</f>
        <v>0</v>
      </c>
      <c r="L2197" s="1" cm="1">
        <f t="array" ref="L2197">(SUMPRODUCT(("var_ncap"=[1]OUT_TransportEnergyCons!$B$4:$B$10000)*1,ISNUMBER(SEARCH("T_b_c*h2o*s3",[1]OUT_TransportEnergyCons!$A$4:$A$10000))*1,[1]OUT_TransportEnergyCons!J$4:J$10000))*1000</f>
        <v>0</v>
      </c>
      <c r="M2197" s="1" cm="1">
        <f t="array" ref="M2197">(SUMPRODUCT(("var_ncap"=[1]OUT_TransportEnergyCons!$B$4:$B$10000)*1,ISNUMBER(SEARCH("T_b_c*h2o*s3",[1]OUT_TransportEnergyCons!$A$4:$A$10000))*1,[1]OUT_TransportEnergyCons!K$4:K$10000))*1000</f>
        <v>0</v>
      </c>
      <c r="N2197" s="1" cm="1">
        <f t="array" ref="N2197">(SUMPRODUCT(("var_ncap"=[1]OUT_TransportEnergyCons!$B$4:$B$10000)*1,ISNUMBER(SEARCH("T_b_c*h2o*s3",[1]OUT_TransportEnergyCons!$A$4:$A$10000))*1,[1]OUT_TransportEnergyCons!L$4:L$10000))*1000</f>
        <v>0</v>
      </c>
      <c r="O2197" s="1" cm="1">
        <f t="array" ref="O2197">(SUMPRODUCT(("var_ncap"=[1]OUT_TransportEnergyCons!$B$4:$B$10000)*1,ISNUMBER(SEARCH("T_b_c*h2o*s3",[1]OUT_TransportEnergyCons!$A$4:$A$10000))*1,[1]OUT_TransportEnergyCons!M$4:M$10000))*1000</f>
        <v>0</v>
      </c>
      <c r="P2197" s="1" cm="1">
        <f t="array" ref="P2197">(SUMPRODUCT(("var_ncap"=[1]OUT_TransportEnergyCons!$B$4:$B$10000)*1,ISNUMBER(SEARCH("T_b_c*h2o*s3",[1]OUT_TransportEnergyCons!$A$4:$A$10000))*1,[1]OUT_TransportEnergyCons!N$4:N$10000))*1000</f>
        <v>0</v>
      </c>
      <c r="Q2197" s="1" cm="1">
        <f t="array" ref="Q2197">(SUMPRODUCT(("var_ncap"=[1]OUT_TransportEnergyCons!$B$4:$B$10000)*1,ISNUMBER(SEARCH("T_b_c*h2o*s3",[1]OUT_TransportEnergyCons!$A$4:$A$10000))*1,[1]OUT_TransportEnergyCons!O$4:O$10000))*1000</f>
        <v>0</v>
      </c>
      <c r="S2197" s="3"/>
    </row>
    <row r="2198" spans="2:19" x14ac:dyDescent="0.5">
      <c r="B2198" s="5" t="str">
        <f t="shared" ref="B2198:B2232" si="2251">B2197</f>
        <v>SPS1</v>
      </c>
      <c r="C2198" s="5" t="str">
        <f t="shared" ref="C2198:C2232" si="2252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1.01063185927492E-5</v>
      </c>
      <c r="J2198" s="1" cm="1">
        <f t="array" ref="J2198">(SUMPRODUCT(("var_ncap"=[1]OUT_TransportEnergyCons!$B$4:$B$10000)*1,ISNUMBER(SEARCH("T_b_c*h2o*s4",[1]OUT_TransportEnergyCons!$A$4:$A$10000))*1,[1]OUT_TransportEnergyCons!H$4:H$10000))*1000</f>
        <v>0</v>
      </c>
      <c r="K2198" s="1" cm="1">
        <f t="array" ref="K2198">(SUMPRODUCT(("var_ncap"=[1]OUT_TransportEnergyCons!$B$4:$B$10000)*1,ISNUMBER(SEARCH("T_b_c*h2o*s4",[1]OUT_TransportEnergyCons!$A$4:$A$10000))*1,[1]OUT_TransportEnergyCons!I$4:I$10000))*1000</f>
        <v>0</v>
      </c>
      <c r="L2198" s="1" cm="1">
        <f t="array" ref="L2198">(SUMPRODUCT(("var_ncap"=[1]OUT_TransportEnergyCons!$B$4:$B$10000)*1,ISNUMBER(SEARCH("T_b_c*h2o*s4",[1]OUT_TransportEnergyCons!$A$4:$A$10000))*1,[1]OUT_TransportEnergyCons!J$4:J$10000))*1000</f>
        <v>0</v>
      </c>
      <c r="M2198" s="1" cm="1">
        <f t="array" ref="M2198">(SUMPRODUCT(("var_ncap"=[1]OUT_TransportEnergyCons!$B$4:$B$10000)*1,ISNUMBER(SEARCH("T_b_c*h2o*s4",[1]OUT_TransportEnergyCons!$A$4:$A$10000))*1,[1]OUT_TransportEnergyCons!K$4:K$10000))*1000</f>
        <v>0</v>
      </c>
      <c r="N2198" s="1" cm="1">
        <f t="array" ref="N2198">(SUMPRODUCT(("var_ncap"=[1]OUT_TransportEnergyCons!$B$4:$B$10000)*1,ISNUMBER(SEARCH("T_b_c*h2o*s4",[1]OUT_TransportEnergyCons!$A$4:$A$10000))*1,[1]OUT_TransportEnergyCons!L$4:L$10000))*1000</f>
        <v>0</v>
      </c>
      <c r="O2198" s="1" cm="1">
        <f t="array" ref="O2198">(SUMPRODUCT(("var_ncap"=[1]OUT_TransportEnergyCons!$B$4:$B$10000)*1,ISNUMBER(SEARCH("T_b_c*h2o*s4",[1]OUT_TransportEnergyCons!$A$4:$A$10000))*1,[1]OUT_TransportEnergyCons!M$4:M$10000))*1000</f>
        <v>0</v>
      </c>
      <c r="P2198" s="1" cm="1">
        <f t="array" ref="P2198">(SUMPRODUCT(("var_ncap"=[1]OUT_TransportEnergyCons!$B$4:$B$10000)*1,ISNUMBER(SEARCH("T_b_c*h2o*s4",[1]OUT_TransportEnergyCons!$A$4:$A$10000))*1,[1]OUT_TransportEnergyCons!N$4:N$10000))*1000</f>
        <v>0</v>
      </c>
      <c r="Q2198" s="1" cm="1">
        <f t="array" ref="Q2198">(SUMPRODUCT(("var_ncap"=[1]OUT_TransportEnergyCons!$B$4:$B$10000)*1,ISNUMBER(SEARCH("T_b_c*h2o*s4",[1]OUT_TransportEnergyCons!$A$4:$A$10000))*1,[1]OUT_TransportEnergyCons!O$4:O$10000))*1000</f>
        <v>0</v>
      </c>
      <c r="S2198" s="3"/>
    </row>
    <row r="2199" spans="2:19" x14ac:dyDescent="0.5">
      <c r="B2199" s="5" t="str">
        <f t="shared" si="2251"/>
        <v>SPS1</v>
      </c>
      <c r="C2199" s="5" t="str">
        <f t="shared" si="2252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1.25657500409128E-2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4.2713363698426701E-3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4.4174611193322699E-3</v>
      </c>
      <c r="J2199" s="1" cm="1">
        <f t="array" ref="J2199">(SUMPRODUCT(("var_ncap"=[1]OUT_TransportEnergyCons!$B$4:$B$10000)*1,ISNUMBER(SEARCH("T_b_c*hyb*DSL*s1",[1]OUT_TransportEnergyCons!$A$4:$A$10000))*1,[1]OUT_TransportEnergyCons!H$4:H$10000))*1000</f>
        <v>4.5499476309612499E-2</v>
      </c>
      <c r="K2199" s="1" cm="1">
        <f t="array" ref="K2199">(SUMPRODUCT(("var_ncap"=[1]OUT_TransportEnergyCons!$B$4:$B$10000)*1,ISNUMBER(SEARCH("T_b_c*hyb*DSL*s1",[1]OUT_TransportEnergyCons!$A$4:$A$10000))*1,[1]OUT_TransportEnergyCons!I$4:I$10000))*1000</f>
        <v>1.98807301600335E-2</v>
      </c>
      <c r="L2199" s="1" cm="1">
        <f t="array" ref="L2199">(SUMPRODUCT(("var_ncap"=[1]OUT_TransportEnergyCons!$B$4:$B$10000)*1,ISNUMBER(SEARCH("T_b_c*hyb*DSL*s1",[1]OUT_TransportEnergyCons!$A$4:$A$10000))*1,[1]OUT_TransportEnergyCons!J$4:J$10000))*1000</f>
        <v>7.5160799575612294E-2</v>
      </c>
      <c r="M2199" s="1" cm="1">
        <f t="array" ref="M2199">(SUMPRODUCT(("var_ncap"=[1]OUT_TransportEnergyCons!$B$4:$B$10000)*1,ISNUMBER(SEARCH("T_b_c*hyb*DSL*s1",[1]OUT_TransportEnergyCons!$A$4:$A$10000))*1,[1]OUT_TransportEnergyCons!K$4:K$10000))*1000</f>
        <v>0.128625012514201</v>
      </c>
      <c r="N2199" s="1" cm="1">
        <f t="array" ref="N2199">(SUMPRODUCT(("var_ncap"=[1]OUT_TransportEnergyCons!$B$4:$B$10000)*1,ISNUMBER(SEARCH("T_b_c*hyb*DSL*s1",[1]OUT_TransportEnergyCons!$A$4:$A$10000))*1,[1]OUT_TransportEnergyCons!L$4:L$10000))*1000</f>
        <v>0.108412703983839</v>
      </c>
      <c r="O2199" s="1" cm="1">
        <f t="array" ref="O2199">(SUMPRODUCT(("var_ncap"=[1]OUT_TransportEnergyCons!$B$4:$B$10000)*1,ISNUMBER(SEARCH("T_b_c*hyb*DSL*s1",[1]OUT_TransportEnergyCons!$A$4:$A$10000))*1,[1]OUT_TransportEnergyCons!M$4:M$10000))*1000</f>
        <v>0.16319750705674399</v>
      </c>
      <c r="P2199" s="1" cm="1">
        <f t="array" ref="P2199">(SUMPRODUCT(("var_ncap"=[1]OUT_TransportEnergyCons!$B$4:$B$10000)*1,ISNUMBER(SEARCH("T_b_c*hyb*DSL*s1",[1]OUT_TransportEnergyCons!$A$4:$A$10000))*1,[1]OUT_TransportEnergyCons!N$4:N$10000))*1000</f>
        <v>0.16365267643769801</v>
      </c>
      <c r="Q2199" s="1" cm="1">
        <f t="array" ref="Q2199">(SUMPRODUCT(("var_ncap"=[1]OUT_TransportEnergyCons!$B$4:$B$10000)*1,ISNUMBER(SEARCH("T_b_c*hyb*DSL*s1",[1]OUT_TransportEnergyCons!$A$4:$A$10000))*1,[1]OUT_TransportEnergyCons!O$4:O$10000))*1000</f>
        <v>0.17651901220443</v>
      </c>
      <c r="S2199" s="3"/>
    </row>
    <row r="2200" spans="2:19" x14ac:dyDescent="0.5">
      <c r="B2200" s="5" t="str">
        <f t="shared" si="2251"/>
        <v>SPS1</v>
      </c>
      <c r="C2200" s="5" t="str">
        <f t="shared" si="2252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2.9240693892214902E-3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0.110013974826087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0.53199033009183605</v>
      </c>
      <c r="J2200" s="1" cm="1">
        <f t="array" ref="J2200">(SUMPRODUCT(("var_ncap"=[1]OUT_TransportEnergyCons!$B$4:$B$10000)*1,ISNUMBER(SEARCH("T_b_c*hyb*DSL*s2",[1]OUT_TransportEnergyCons!$A$4:$A$10000))*1,[1]OUT_TransportEnergyCons!H$4:H$10000))*1000</f>
        <v>2.3142701324149001E-2</v>
      </c>
      <c r="K2200" s="1" cm="1">
        <f t="array" ref="K2200">(SUMPRODUCT(("var_ncap"=[1]OUT_TransportEnergyCons!$B$4:$B$10000)*1,ISNUMBER(SEARCH("T_b_c*hyb*DSL*s2",[1]OUT_TransportEnergyCons!$A$4:$A$10000))*1,[1]OUT_TransportEnergyCons!I$4:I$10000))*1000</f>
        <v>0.47597566319958601</v>
      </c>
      <c r="L2200" s="1" cm="1">
        <f t="array" ref="L2200">(SUMPRODUCT(("var_ncap"=[1]OUT_TransportEnergyCons!$B$4:$B$10000)*1,ISNUMBER(SEARCH("T_b_c*hyb*DSL*s2",[1]OUT_TransportEnergyCons!$A$4:$A$10000))*1,[1]OUT_TransportEnergyCons!J$4:J$10000))*1000</f>
        <v>9.52090225151557E-2</v>
      </c>
      <c r="M2200" s="1" cm="1">
        <f t="array" ref="M2200">(SUMPRODUCT(("var_ncap"=[1]OUT_TransportEnergyCons!$B$4:$B$10000)*1,ISNUMBER(SEARCH("T_b_c*hyb*DSL*s2",[1]OUT_TransportEnergyCons!$A$4:$A$10000))*1,[1]OUT_TransportEnergyCons!K$4:K$10000))*1000</f>
        <v>0.29050998203280598</v>
      </c>
      <c r="N2200" s="1" cm="1">
        <f t="array" ref="N2200">(SUMPRODUCT(("var_ncap"=[1]OUT_TransportEnergyCons!$B$4:$B$10000)*1,ISNUMBER(SEARCH("T_b_c*hyb*DSL*s2",[1]OUT_TransportEnergyCons!$A$4:$A$10000))*1,[1]OUT_TransportEnergyCons!L$4:L$10000))*1000</f>
        <v>0.250222614616253</v>
      </c>
      <c r="O2200" s="1" cm="1">
        <f t="array" ref="O2200">(SUMPRODUCT(("var_ncap"=[1]OUT_TransportEnergyCons!$B$4:$B$10000)*1,ISNUMBER(SEARCH("T_b_c*hyb*DSL*s2",[1]OUT_TransportEnergyCons!$A$4:$A$10000))*1,[1]OUT_TransportEnergyCons!M$4:M$10000))*1000</f>
        <v>0.226715127519758</v>
      </c>
      <c r="P2200" s="1" cm="1">
        <f t="array" ref="P2200">(SUMPRODUCT(("var_ncap"=[1]OUT_TransportEnergyCons!$B$4:$B$10000)*1,ISNUMBER(SEARCH("T_b_c*hyb*DSL*s2",[1]OUT_TransportEnergyCons!$A$4:$A$10000))*1,[1]OUT_TransportEnergyCons!N$4:N$10000))*1000</f>
        <v>0.45595642946999804</v>
      </c>
      <c r="Q2200" s="1" cm="1">
        <f t="array" ref="Q2200">(SUMPRODUCT(("var_ncap"=[1]OUT_TransportEnergyCons!$B$4:$B$10000)*1,ISNUMBER(SEARCH("T_b_c*hyb*DSL*s2",[1]OUT_TransportEnergyCons!$A$4:$A$10000))*1,[1]OUT_TransportEnergyCons!O$4:O$10000))*1000</f>
        <v>0.164125163692942</v>
      </c>
      <c r="S2200" s="3"/>
    </row>
    <row r="2201" spans="2:19" x14ac:dyDescent="0.5">
      <c r="B2201" s="5" t="str">
        <f t="shared" si="2251"/>
        <v>SPS1</v>
      </c>
      <c r="C2201" s="5" t="str">
        <f t="shared" si="2252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1.2711121974876799E-3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1.25210274829763E-2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0.246855742207441</v>
      </c>
      <c r="J2201" s="1" cm="1">
        <f t="array" ref="J2201">(SUMPRODUCT(("var_ncap"=[1]OUT_TransportEnergyCons!$B$4:$B$10000)*1,ISNUMBER(SEARCH("T_b_c*hyb*DSL*s3",[1]OUT_TransportEnergyCons!$A$4:$A$10000))*1,[1]OUT_TransportEnergyCons!H$4:H$10000))*1000</f>
        <v>6.4830614277121695E-2</v>
      </c>
      <c r="K2201" s="1" cm="1">
        <f t="array" ref="K2201">(SUMPRODUCT(("var_ncap"=[1]OUT_TransportEnergyCons!$B$4:$B$10000)*1,ISNUMBER(SEARCH("T_b_c*hyb*DSL*s3",[1]OUT_TransportEnergyCons!$A$4:$A$10000))*1,[1]OUT_TransportEnergyCons!I$4:I$10000))*1000</f>
        <v>0.17791015560538401</v>
      </c>
      <c r="L2201" s="1" cm="1">
        <f t="array" ref="L2201">(SUMPRODUCT(("var_ncap"=[1]OUT_TransportEnergyCons!$B$4:$B$10000)*1,ISNUMBER(SEARCH("T_b_c*hyb*DSL*s3",[1]OUT_TransportEnergyCons!$A$4:$A$10000))*1,[1]OUT_TransportEnergyCons!J$4:J$10000))*1000</f>
        <v>7.2252264750728004E-2</v>
      </c>
      <c r="M2201" s="1" cm="1">
        <f t="array" ref="M2201">(SUMPRODUCT(("var_ncap"=[1]OUT_TransportEnergyCons!$B$4:$B$10000)*1,ISNUMBER(SEARCH("T_b_c*hyb*DSL*s3",[1]OUT_TransportEnergyCons!$A$4:$A$10000))*1,[1]OUT_TransportEnergyCons!K$4:K$10000))*1000</f>
        <v>0.14737200073391901</v>
      </c>
      <c r="N2201" s="1" cm="1">
        <f t="array" ref="N2201">(SUMPRODUCT(("var_ncap"=[1]OUT_TransportEnergyCons!$B$4:$B$10000)*1,ISNUMBER(SEARCH("T_b_c*hyb*DSL*s3",[1]OUT_TransportEnergyCons!$A$4:$A$10000))*1,[1]OUT_TransportEnergyCons!L$4:L$10000))*1000</f>
        <v>6.1923600227648597E-2</v>
      </c>
      <c r="O2201" s="1" cm="1">
        <f t="array" ref="O2201">(SUMPRODUCT(("var_ncap"=[1]OUT_TransportEnergyCons!$B$4:$B$10000)*1,ISNUMBER(SEARCH("T_b_c*hyb*DSL*s3",[1]OUT_TransportEnergyCons!$A$4:$A$10000))*1,[1]OUT_TransportEnergyCons!M$4:M$10000))*1000</f>
        <v>0.15611305377196</v>
      </c>
      <c r="P2201" s="1" cm="1">
        <f t="array" ref="P2201">(SUMPRODUCT(("var_ncap"=[1]OUT_TransportEnergyCons!$B$4:$B$10000)*1,ISNUMBER(SEARCH("T_b_c*hyb*DSL*s3",[1]OUT_TransportEnergyCons!$A$4:$A$10000))*1,[1]OUT_TransportEnergyCons!N$4:N$10000))*1000</f>
        <v>2.4817855638735401E-2</v>
      </c>
      <c r="Q2201" s="1" cm="1">
        <f t="array" ref="Q2201">(SUMPRODUCT(("var_ncap"=[1]OUT_TransportEnergyCons!$B$4:$B$10000)*1,ISNUMBER(SEARCH("T_b_c*hyb*DSL*s3",[1]OUT_TransportEnergyCons!$A$4:$A$10000))*1,[1]OUT_TransportEnergyCons!O$4:O$10000))*1000</f>
        <v>9.0291028661867792E-2</v>
      </c>
      <c r="S2201" s="3"/>
    </row>
    <row r="2202" spans="2:19" x14ac:dyDescent="0.5">
      <c r="B2202" s="5" t="str">
        <f t="shared" si="2251"/>
        <v>SPS1</v>
      </c>
      <c r="C2202" s="5" t="str">
        <f t="shared" si="2252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2.6528919363566202E-4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2.2286954273808499E-4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2.3913517470951898E-4</v>
      </c>
      <c r="J2202" s="1" cm="1">
        <f t="array" ref="J2202">(SUMPRODUCT(("var_ncap"=[1]OUT_TransportEnergyCons!$B$4:$B$10000)*1,ISNUMBER(SEARCH("T_b_c*hyb*DSL*s4",[1]OUT_TransportEnergyCons!$A$4:$A$10000))*1,[1]OUT_TransportEnergyCons!H$4:H$10000))*1000</f>
        <v>3.0904941032222801E-4</v>
      </c>
      <c r="K2202" s="1" cm="1">
        <f t="array" ref="K2202">(SUMPRODUCT(("var_ncap"=[1]OUT_TransportEnergyCons!$B$4:$B$10000)*1,ISNUMBER(SEARCH("T_b_c*hyb*DSL*s4",[1]OUT_TransportEnergyCons!$A$4:$A$10000))*1,[1]OUT_TransportEnergyCons!I$4:I$10000))*1000</f>
        <v>3.6120009257492396E-4</v>
      </c>
      <c r="L2202" s="1" cm="1">
        <f t="array" ref="L2202">(SUMPRODUCT(("var_ncap"=[1]OUT_TransportEnergyCons!$B$4:$B$10000)*1,ISNUMBER(SEARCH("T_b_c*hyb*DSL*s4",[1]OUT_TransportEnergyCons!$A$4:$A$10000))*1,[1]OUT_TransportEnergyCons!J$4:J$10000))*1000</f>
        <v>4.16836416105158E-4</v>
      </c>
      <c r="M2202" s="1" cm="1">
        <f t="array" ref="M2202">(SUMPRODUCT(("var_ncap"=[1]OUT_TransportEnergyCons!$B$4:$B$10000)*1,ISNUMBER(SEARCH("T_b_c*hyb*DSL*s4",[1]OUT_TransportEnergyCons!$A$4:$A$10000))*1,[1]OUT_TransportEnergyCons!K$4:K$10000))*1000</f>
        <v>4.9661857894775497E-4</v>
      </c>
      <c r="N2202" s="1" cm="1">
        <f t="array" ref="N2202">(SUMPRODUCT(("var_ncap"=[1]OUT_TransportEnergyCons!$B$4:$B$10000)*1,ISNUMBER(SEARCH("T_b_c*hyb*DSL*s4",[1]OUT_TransportEnergyCons!$A$4:$A$10000))*1,[1]OUT_TransportEnergyCons!L$4:L$10000))*1000</f>
        <v>5.2565396336725397E-4</v>
      </c>
      <c r="O2202" s="1" cm="1">
        <f t="array" ref="O2202">(SUMPRODUCT(("var_ncap"=[1]OUT_TransportEnergyCons!$B$4:$B$10000)*1,ISNUMBER(SEARCH("T_b_c*hyb*DSL*s4",[1]OUT_TransportEnergyCons!$A$4:$A$10000))*1,[1]OUT_TransportEnergyCons!M$4:M$10000))*1000</f>
        <v>6.34447526300448E-4</v>
      </c>
      <c r="P2202" s="1" cm="1">
        <f t="array" ref="P2202">(SUMPRODUCT(("var_ncap"=[1]OUT_TransportEnergyCons!$B$4:$B$10000)*1,ISNUMBER(SEARCH("T_b_c*hyb*DSL*s4",[1]OUT_TransportEnergyCons!$A$4:$A$10000))*1,[1]OUT_TransportEnergyCons!N$4:N$10000))*1000</f>
        <v>6.94280169884453E-4</v>
      </c>
      <c r="Q2202" s="1" cm="1">
        <f t="array" ref="Q2202">(SUMPRODUCT(("var_ncap"=[1]OUT_TransportEnergyCons!$B$4:$B$10000)*1,ISNUMBER(SEARCH("T_b_c*hyb*DSL*s4",[1]OUT_TransportEnergyCons!$A$4:$A$10000))*1,[1]OUT_TransportEnergyCons!O$4:O$10000))*1000</f>
        <v>9.3095434042919395E-4</v>
      </c>
      <c r="S2202" s="3"/>
    </row>
    <row r="2203" spans="2:19" x14ac:dyDescent="0.5">
      <c r="B2203" s="5" t="str">
        <f t="shared" si="2251"/>
        <v>SPS1</v>
      </c>
      <c r="C2203" s="5" t="str">
        <f t="shared" si="2252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(SUMPRODUCT(("var_ncap"=[1]OUT_TransportEnergyCons!$B$4:$B$10000)*1,ISNUMBER(SEARCH("T_b_c*ICE*DSL*ext",[1]OUT_TransportEnergyCons!$A$4:$A$10000))*1,[1]OUT_TransportEnergyCons!H$4:H$10000))*1000</f>
        <v>0</v>
      </c>
      <c r="K2203" s="1" cm="1">
        <f t="array" ref="K2203">(SUMPRODUCT(("var_ncap"=[1]OUT_TransportEnergyCons!$B$4:$B$10000)*1,ISNUMBER(SEARCH("T_b_c*ICE*DSL*ext",[1]OUT_TransportEnergyCons!$A$4:$A$10000))*1,[1]OUT_TransportEnergyCons!I$4:I$10000))*1000</f>
        <v>0</v>
      </c>
      <c r="L2203" s="1" cm="1">
        <f t="array" ref="L2203">(SUMPRODUCT(("var_ncap"=[1]OUT_TransportEnergyCons!$B$4:$B$10000)*1,ISNUMBER(SEARCH("T_b_c*ICE*DSL*ext",[1]OUT_TransportEnergyCons!$A$4:$A$10000))*1,[1]OUT_TransportEnergyCons!J$4:J$10000))*1000</f>
        <v>0</v>
      </c>
      <c r="M2203" s="1" cm="1">
        <f t="array" ref="M2203">(SUMPRODUCT(("var_ncap"=[1]OUT_TransportEnergyCons!$B$4:$B$10000)*1,ISNUMBER(SEARCH("T_b_c*ICE*DSL*ext",[1]OUT_TransportEnergyCons!$A$4:$A$10000))*1,[1]OUT_TransportEnergyCons!K$4:K$10000))*1000</f>
        <v>0</v>
      </c>
      <c r="N2203" s="1" cm="1">
        <f t="array" ref="N2203">(SUMPRODUCT(("var_ncap"=[1]OUT_TransportEnergyCons!$B$4:$B$10000)*1,ISNUMBER(SEARCH("T_b_c*ICE*DSL*ext",[1]OUT_TransportEnergyCons!$A$4:$A$10000))*1,[1]OUT_TransportEnergyCons!L$4:L$10000))*1000</f>
        <v>0</v>
      </c>
      <c r="O2203" s="1" cm="1">
        <f t="array" ref="O2203">(SUMPRODUCT(("var_ncap"=[1]OUT_TransportEnergyCons!$B$4:$B$10000)*1,ISNUMBER(SEARCH("T_b_c*ICE*DSL*ext",[1]OUT_TransportEnergyCons!$A$4:$A$10000))*1,[1]OUT_TransportEnergyCons!M$4:M$10000))*1000</f>
        <v>0</v>
      </c>
      <c r="P2203" s="1" cm="1">
        <f t="array" ref="P2203">(SUMPRODUCT(("var_ncap"=[1]OUT_TransportEnergyCons!$B$4:$B$10000)*1,ISNUMBER(SEARCH("T_b_c*ICE*DSL*ext",[1]OUT_TransportEnergyCons!$A$4:$A$10000))*1,[1]OUT_TransportEnergyCons!N$4:N$10000))*1000</f>
        <v>0</v>
      </c>
      <c r="Q2203" s="1" cm="1">
        <f t="array" ref="Q2203">(SUMPRODUCT(("var_ncap"=[1]OUT_TransportEnergyCons!$B$4:$B$10000)*1,ISNUMBER(SEARCH("T_b_c*ICE*DSL*ext",[1]OUT_TransportEnergyCons!$A$4:$A$10000))*1,[1]OUT_TransportEnergyCons!O$4:O$10000))*1000</f>
        <v>0</v>
      </c>
      <c r="S2203" s="3"/>
    </row>
    <row r="2204" spans="2:19" x14ac:dyDescent="0.5">
      <c r="B2204" s="5" t="str">
        <f t="shared" si="2251"/>
        <v>SPS1</v>
      </c>
      <c r="C2204" s="5" t="str">
        <f t="shared" si="2252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0.48778766599898099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0.19034096248610702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0</v>
      </c>
      <c r="J2204" s="1" cm="1">
        <f t="array" ref="J2204">(SUMPRODUCT(("var_ncap"=[1]OUT_TransportEnergyCons!$B$4:$B$10000)*1,ISNUMBER(SEARCH("T_b_c*ICE*DSL*s1",[1]OUT_TransportEnergyCons!$A$4:$A$10000))*1,[1]OUT_TransportEnergyCons!H$4:H$10000))*1000</f>
        <v>0</v>
      </c>
      <c r="K2204" s="1" cm="1">
        <f t="array" ref="K2204">(SUMPRODUCT(("var_ncap"=[1]OUT_TransportEnergyCons!$B$4:$B$10000)*1,ISNUMBER(SEARCH("T_b_c*ICE*DSL*s1",[1]OUT_TransportEnergyCons!$A$4:$A$10000))*1,[1]OUT_TransportEnergyCons!I$4:I$10000))*1000</f>
        <v>0</v>
      </c>
      <c r="L2204" s="1" cm="1">
        <f t="array" ref="L2204">(SUMPRODUCT(("var_ncap"=[1]OUT_TransportEnergyCons!$B$4:$B$10000)*1,ISNUMBER(SEARCH("T_b_c*ICE*DSL*s1",[1]OUT_TransportEnergyCons!$A$4:$A$10000))*1,[1]OUT_TransportEnergyCons!J$4:J$10000))*1000</f>
        <v>0</v>
      </c>
      <c r="M2204" s="1" cm="1">
        <f t="array" ref="M2204">(SUMPRODUCT(("var_ncap"=[1]OUT_TransportEnergyCons!$B$4:$B$10000)*1,ISNUMBER(SEARCH("T_b_c*ICE*DSL*s1",[1]OUT_TransportEnergyCons!$A$4:$A$10000))*1,[1]OUT_TransportEnergyCons!K$4:K$10000))*1000</f>
        <v>0</v>
      </c>
      <c r="N2204" s="1" cm="1">
        <f t="array" ref="N2204">(SUMPRODUCT(("var_ncap"=[1]OUT_TransportEnergyCons!$B$4:$B$10000)*1,ISNUMBER(SEARCH("T_b_c*ICE*DSL*s1",[1]OUT_TransportEnergyCons!$A$4:$A$10000))*1,[1]OUT_TransportEnergyCons!L$4:L$10000))*1000</f>
        <v>0</v>
      </c>
      <c r="O2204" s="1" cm="1">
        <f t="array" ref="O2204">(SUMPRODUCT(("var_ncap"=[1]OUT_TransportEnergyCons!$B$4:$B$10000)*1,ISNUMBER(SEARCH("T_b_c*ICE*DSL*s1",[1]OUT_TransportEnergyCons!$A$4:$A$10000))*1,[1]OUT_TransportEnergyCons!M$4:M$10000))*1000</f>
        <v>0</v>
      </c>
      <c r="P2204" s="1" cm="1">
        <f t="array" ref="P2204">(SUMPRODUCT(("var_ncap"=[1]OUT_TransportEnergyCons!$B$4:$B$10000)*1,ISNUMBER(SEARCH("T_b_c*ICE*DSL*s1",[1]OUT_TransportEnergyCons!$A$4:$A$10000))*1,[1]OUT_TransportEnergyCons!N$4:N$10000))*1000</f>
        <v>0</v>
      </c>
      <c r="Q2204" s="1" cm="1">
        <f t="array" ref="Q2204">(SUMPRODUCT(("var_ncap"=[1]OUT_TransportEnergyCons!$B$4:$B$10000)*1,ISNUMBER(SEARCH("T_b_c*ICE*DSL*s1",[1]OUT_TransportEnergyCons!$A$4:$A$10000))*1,[1]OUT_TransportEnergyCons!O$4:O$10000))*1000</f>
        <v>0</v>
      </c>
      <c r="S2204" s="3"/>
    </row>
    <row r="2205" spans="2:19" x14ac:dyDescent="0.5">
      <c r="B2205" s="5" t="str">
        <f t="shared" si="2251"/>
        <v>SPS1</v>
      </c>
      <c r="C2205" s="5" t="str">
        <f t="shared" si="2252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2.0870392884411401E-3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2.45562338882999E-3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0</v>
      </c>
      <c r="J2205" s="1" cm="1">
        <f t="array" ref="J2205">(SUMPRODUCT(("var_ncap"=[1]OUT_TransportEnergyCons!$B$4:$B$10000)*1,ISNUMBER(SEARCH("T_b_c*ICE*DSL*s2",[1]OUT_TransportEnergyCons!$A$4:$A$10000))*1,[1]OUT_TransportEnergyCons!H$4:H$10000))*1000</f>
        <v>0</v>
      </c>
      <c r="K2205" s="1" cm="1">
        <f t="array" ref="K2205">(SUMPRODUCT(("var_ncap"=[1]OUT_TransportEnergyCons!$B$4:$B$10000)*1,ISNUMBER(SEARCH("T_b_c*ICE*DSL*s2",[1]OUT_TransportEnergyCons!$A$4:$A$10000))*1,[1]OUT_TransportEnergyCons!I$4:I$10000))*1000</f>
        <v>0</v>
      </c>
      <c r="L2205" s="1" cm="1">
        <f t="array" ref="L2205">(SUMPRODUCT(("var_ncap"=[1]OUT_TransportEnergyCons!$B$4:$B$10000)*1,ISNUMBER(SEARCH("T_b_c*ICE*DSL*s2",[1]OUT_TransportEnergyCons!$A$4:$A$10000))*1,[1]OUT_TransportEnergyCons!J$4:J$10000))*1000</f>
        <v>0</v>
      </c>
      <c r="M2205" s="1" cm="1">
        <f t="array" ref="M2205">(SUMPRODUCT(("var_ncap"=[1]OUT_TransportEnergyCons!$B$4:$B$10000)*1,ISNUMBER(SEARCH("T_b_c*ICE*DSL*s2",[1]OUT_TransportEnergyCons!$A$4:$A$10000))*1,[1]OUT_TransportEnergyCons!K$4:K$10000))*1000</f>
        <v>0</v>
      </c>
      <c r="N2205" s="1" cm="1">
        <f t="array" ref="N2205">(SUMPRODUCT(("var_ncap"=[1]OUT_TransportEnergyCons!$B$4:$B$10000)*1,ISNUMBER(SEARCH("T_b_c*ICE*DSL*s2",[1]OUT_TransportEnergyCons!$A$4:$A$10000))*1,[1]OUT_TransportEnergyCons!L$4:L$10000))*1000</f>
        <v>0</v>
      </c>
      <c r="O2205" s="1" cm="1">
        <f t="array" ref="O2205">(SUMPRODUCT(("var_ncap"=[1]OUT_TransportEnergyCons!$B$4:$B$10000)*1,ISNUMBER(SEARCH("T_b_c*ICE*DSL*s2",[1]OUT_TransportEnergyCons!$A$4:$A$10000))*1,[1]OUT_TransportEnergyCons!M$4:M$10000))*1000</f>
        <v>0</v>
      </c>
      <c r="P2205" s="1" cm="1">
        <f t="array" ref="P2205">(SUMPRODUCT(("var_ncap"=[1]OUT_TransportEnergyCons!$B$4:$B$10000)*1,ISNUMBER(SEARCH("T_b_c*ICE*DSL*s2",[1]OUT_TransportEnergyCons!$A$4:$A$10000))*1,[1]OUT_TransportEnergyCons!N$4:N$10000))*1000</f>
        <v>0</v>
      </c>
      <c r="Q2205" s="1" cm="1">
        <f t="array" ref="Q2205">(SUMPRODUCT(("var_ncap"=[1]OUT_TransportEnergyCons!$B$4:$B$10000)*1,ISNUMBER(SEARCH("T_b_c*ICE*DSL*s2",[1]OUT_TransportEnergyCons!$A$4:$A$10000))*1,[1]OUT_TransportEnergyCons!O$4:O$10000))*1000</f>
        <v>0</v>
      </c>
      <c r="S2205" s="3"/>
    </row>
    <row r="2206" spans="2:19" x14ac:dyDescent="0.5">
      <c r="B2206" s="5" t="str">
        <f t="shared" si="2251"/>
        <v>SPS1</v>
      </c>
      <c r="C2206" s="5" t="str">
        <f t="shared" si="2252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8.6105300835282296E-4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7.7847257933773403E-4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(SUMPRODUCT(("var_ncap"=[1]OUT_TransportEnergyCons!$B$4:$B$10000)*1,ISNUMBER(SEARCH("T_b_c*ICE*DSL*s3",[1]OUT_TransportEnergyCons!$A$4:$A$10000))*1,[1]OUT_TransportEnergyCons!H$4:H$10000))*1000</f>
        <v>0</v>
      </c>
      <c r="K2206" s="1" cm="1">
        <f t="array" ref="K2206">(SUMPRODUCT(("var_ncap"=[1]OUT_TransportEnergyCons!$B$4:$B$10000)*1,ISNUMBER(SEARCH("T_b_c*ICE*DSL*s3",[1]OUT_TransportEnergyCons!$A$4:$A$10000))*1,[1]OUT_TransportEnergyCons!I$4:I$10000))*1000</f>
        <v>0</v>
      </c>
      <c r="L2206" s="1" cm="1">
        <f t="array" ref="L2206">(SUMPRODUCT(("var_ncap"=[1]OUT_TransportEnergyCons!$B$4:$B$10000)*1,ISNUMBER(SEARCH("T_b_c*ICE*DSL*s3",[1]OUT_TransportEnergyCons!$A$4:$A$10000))*1,[1]OUT_TransportEnergyCons!J$4:J$10000))*1000</f>
        <v>0</v>
      </c>
      <c r="M2206" s="1" cm="1">
        <f t="array" ref="M2206">(SUMPRODUCT(("var_ncap"=[1]OUT_TransportEnergyCons!$B$4:$B$10000)*1,ISNUMBER(SEARCH("T_b_c*ICE*DSL*s3",[1]OUT_TransportEnergyCons!$A$4:$A$10000))*1,[1]OUT_TransportEnergyCons!K$4:K$10000))*1000</f>
        <v>0</v>
      </c>
      <c r="N2206" s="1" cm="1">
        <f t="array" ref="N2206">(SUMPRODUCT(("var_ncap"=[1]OUT_TransportEnergyCons!$B$4:$B$10000)*1,ISNUMBER(SEARCH("T_b_c*ICE*DSL*s3",[1]OUT_TransportEnergyCons!$A$4:$A$10000))*1,[1]OUT_TransportEnergyCons!L$4:L$10000))*1000</f>
        <v>0</v>
      </c>
      <c r="O2206" s="1" cm="1">
        <f t="array" ref="O2206">(SUMPRODUCT(("var_ncap"=[1]OUT_TransportEnergyCons!$B$4:$B$10000)*1,ISNUMBER(SEARCH("T_b_c*ICE*DSL*s3",[1]OUT_TransportEnergyCons!$A$4:$A$10000))*1,[1]OUT_TransportEnergyCons!M$4:M$10000))*1000</f>
        <v>0</v>
      </c>
      <c r="P2206" s="1" cm="1">
        <f t="array" ref="P2206">(SUMPRODUCT(("var_ncap"=[1]OUT_TransportEnergyCons!$B$4:$B$10000)*1,ISNUMBER(SEARCH("T_b_c*ICE*DSL*s3",[1]OUT_TransportEnergyCons!$A$4:$A$10000))*1,[1]OUT_TransportEnergyCons!N$4:N$10000))*1000</f>
        <v>0</v>
      </c>
      <c r="Q2206" s="1" cm="1">
        <f t="array" ref="Q2206">(SUMPRODUCT(("var_ncap"=[1]OUT_TransportEnergyCons!$B$4:$B$10000)*1,ISNUMBER(SEARCH("T_b_c*ICE*DSL*s3",[1]OUT_TransportEnergyCons!$A$4:$A$10000))*1,[1]OUT_TransportEnergyCons!O$4:O$10000))*1000</f>
        <v>1.03917790153105E-5</v>
      </c>
      <c r="S2206" s="3"/>
    </row>
    <row r="2207" spans="2:19" x14ac:dyDescent="0.5">
      <c r="B2207" s="5" t="str">
        <f t="shared" si="2251"/>
        <v>SPS1</v>
      </c>
      <c r="C2207" s="5" t="str">
        <f t="shared" si="2252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2.1134784556983799E-4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1.9025476987241801E-4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(SUMPRODUCT(("var_ncap"=[1]OUT_TransportEnergyCons!$B$4:$B$10000)*1,ISNUMBER(SEARCH("T_b_c*ICE*DSL*s4",[1]OUT_TransportEnergyCons!$A$4:$A$10000))*1,[1]OUT_TransportEnergyCons!H$4:H$10000))*1000</f>
        <v>0</v>
      </c>
      <c r="K2207" s="1" cm="1">
        <f t="array" ref="K2207">(SUMPRODUCT(("var_ncap"=[1]OUT_TransportEnergyCons!$B$4:$B$10000)*1,ISNUMBER(SEARCH("T_b_c*ICE*DSL*s4",[1]OUT_TransportEnergyCons!$A$4:$A$10000))*1,[1]OUT_TransportEnergyCons!I$4:I$10000))*1000</f>
        <v>0</v>
      </c>
      <c r="L2207" s="1" cm="1">
        <f t="array" ref="L2207">(SUMPRODUCT(("var_ncap"=[1]OUT_TransportEnergyCons!$B$4:$B$10000)*1,ISNUMBER(SEARCH("T_b_c*ICE*DSL*s4",[1]OUT_TransportEnergyCons!$A$4:$A$10000))*1,[1]OUT_TransportEnergyCons!J$4:J$10000))*1000</f>
        <v>0</v>
      </c>
      <c r="M2207" s="1" cm="1">
        <f t="array" ref="M2207">(SUMPRODUCT(("var_ncap"=[1]OUT_TransportEnergyCons!$B$4:$B$10000)*1,ISNUMBER(SEARCH("T_b_c*ICE*DSL*s4",[1]OUT_TransportEnergyCons!$A$4:$A$10000))*1,[1]OUT_TransportEnergyCons!K$4:K$10000))*1000</f>
        <v>0</v>
      </c>
      <c r="N2207" s="1" cm="1">
        <f t="array" ref="N2207">(SUMPRODUCT(("var_ncap"=[1]OUT_TransportEnergyCons!$B$4:$B$10000)*1,ISNUMBER(SEARCH("T_b_c*ICE*DSL*s4",[1]OUT_TransportEnergyCons!$A$4:$A$10000))*1,[1]OUT_TransportEnergyCons!L$4:L$10000))*1000</f>
        <v>0</v>
      </c>
      <c r="O2207" s="1" cm="1">
        <f t="array" ref="O2207">(SUMPRODUCT(("var_ncap"=[1]OUT_TransportEnergyCons!$B$4:$B$10000)*1,ISNUMBER(SEARCH("T_b_c*ICE*DSL*s4",[1]OUT_TransportEnergyCons!$A$4:$A$10000))*1,[1]OUT_TransportEnergyCons!M$4:M$10000))*1000</f>
        <v>0</v>
      </c>
      <c r="P2207" s="1" cm="1">
        <f t="array" ref="P2207">(SUMPRODUCT(("var_ncap"=[1]OUT_TransportEnergyCons!$B$4:$B$10000)*1,ISNUMBER(SEARCH("T_b_c*ICE*DSL*s4",[1]OUT_TransportEnergyCons!$A$4:$A$10000))*1,[1]OUT_TransportEnergyCons!N$4:N$10000))*1000</f>
        <v>0</v>
      </c>
      <c r="Q2207" s="1" cm="1">
        <f t="array" ref="Q2207">(SUMPRODUCT(("var_ncap"=[1]OUT_TransportEnergyCons!$B$4:$B$10000)*1,ISNUMBER(SEARCH("T_b_c*ICE*DSL*s4",[1]OUT_TransportEnergyCons!$A$4:$A$10000))*1,[1]OUT_TransportEnergyCons!O$4:O$10000))*1000</f>
        <v>0</v>
      </c>
      <c r="S2207" s="3"/>
    </row>
    <row r="2208" spans="2:19" x14ac:dyDescent="0.5">
      <c r="B2208" s="5" t="str">
        <f t="shared" si="2251"/>
        <v>SPS1</v>
      </c>
      <c r="C2208" s="5" t="str">
        <f t="shared" si="2252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(SUMPRODUCT(("var_ncap"=[1]OUT_TransportEnergyCons!$B$4:$B$10000)*1,ISNUMBER(SEARCH("T_b_c*ICE*nga*ext",[1]OUT_TransportEnergyCons!$A$4:$A$10000))*1,[1]OUT_TransportEnergyCons!H$4:H$10000))*1000</f>
        <v>0</v>
      </c>
      <c r="K2208" s="1" cm="1">
        <f t="array" ref="K2208">(SUMPRODUCT(("var_ncap"=[1]OUT_TransportEnergyCons!$B$4:$B$10000)*1,ISNUMBER(SEARCH("T_b_c*ICE*nga*ext",[1]OUT_TransportEnergyCons!$A$4:$A$10000))*1,[1]OUT_TransportEnergyCons!I$4:I$10000))*1000</f>
        <v>0</v>
      </c>
      <c r="L2208" s="1" cm="1">
        <f t="array" ref="L2208">(SUMPRODUCT(("var_ncap"=[1]OUT_TransportEnergyCons!$B$4:$B$10000)*1,ISNUMBER(SEARCH("T_b_c*ICE*nga*ext",[1]OUT_TransportEnergyCons!$A$4:$A$10000))*1,[1]OUT_TransportEnergyCons!J$4:J$10000))*1000</f>
        <v>0</v>
      </c>
      <c r="M2208" s="1" cm="1">
        <f t="array" ref="M2208">(SUMPRODUCT(("var_ncap"=[1]OUT_TransportEnergyCons!$B$4:$B$10000)*1,ISNUMBER(SEARCH("T_b_c*ICE*nga*ext",[1]OUT_TransportEnergyCons!$A$4:$A$10000))*1,[1]OUT_TransportEnergyCons!K$4:K$10000))*1000</f>
        <v>0</v>
      </c>
      <c r="N2208" s="1" cm="1">
        <f t="array" ref="N2208">(SUMPRODUCT(("var_ncap"=[1]OUT_TransportEnergyCons!$B$4:$B$10000)*1,ISNUMBER(SEARCH("T_b_c*ICE*nga*ext",[1]OUT_TransportEnergyCons!$A$4:$A$10000))*1,[1]OUT_TransportEnergyCons!L$4:L$10000))*1000</f>
        <v>0</v>
      </c>
      <c r="O2208" s="1" cm="1">
        <f t="array" ref="O2208">(SUMPRODUCT(("var_ncap"=[1]OUT_TransportEnergyCons!$B$4:$B$10000)*1,ISNUMBER(SEARCH("T_b_c*ICE*nga*ext",[1]OUT_TransportEnergyCons!$A$4:$A$10000))*1,[1]OUT_TransportEnergyCons!M$4:M$10000))*1000</f>
        <v>0</v>
      </c>
      <c r="P2208" s="1" cm="1">
        <f t="array" ref="P2208">(SUMPRODUCT(("var_ncap"=[1]OUT_TransportEnergyCons!$B$4:$B$10000)*1,ISNUMBER(SEARCH("T_b_c*ICE*nga*ext",[1]OUT_TransportEnergyCons!$A$4:$A$10000))*1,[1]OUT_TransportEnergyCons!N$4:N$10000))*1000</f>
        <v>0</v>
      </c>
      <c r="Q2208" s="1" cm="1">
        <f t="array" ref="Q2208">(SUMPRODUCT(("var_ncap"=[1]OUT_TransportEnergyCons!$B$4:$B$10000)*1,ISNUMBER(SEARCH("T_b_c*ICE*nga*ext",[1]OUT_TransportEnergyCons!$A$4:$A$10000))*1,[1]OUT_TransportEnergyCons!O$4:O$10000))*1000</f>
        <v>0</v>
      </c>
      <c r="S2208" s="3"/>
    </row>
    <row r="2209" spans="2:19" x14ac:dyDescent="0.5">
      <c r="B2209" s="5" t="str">
        <f t="shared" si="2251"/>
        <v>SPS1</v>
      </c>
      <c r="C2209" s="5" t="str">
        <f t="shared" si="2252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8.4951632163215605E-4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4.5857755849133194E-3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0</v>
      </c>
      <c r="J2209" s="1" cm="1">
        <f t="array" ref="J2209">(SUMPRODUCT(("var_ncap"=[1]OUT_TransportEnergyCons!$B$4:$B$10000)*1,ISNUMBER(SEARCH("T_b_c*ICE*nga*s1",[1]OUT_TransportEnergyCons!$A$4:$A$10000))*1,[1]OUT_TransportEnergyCons!H$4:H$10000))*1000</f>
        <v>0</v>
      </c>
      <c r="K2209" s="1" cm="1">
        <f t="array" ref="K2209">(SUMPRODUCT(("var_ncap"=[1]OUT_TransportEnergyCons!$B$4:$B$10000)*1,ISNUMBER(SEARCH("T_b_c*ICE*nga*s1",[1]OUT_TransportEnergyCons!$A$4:$A$10000))*1,[1]OUT_TransportEnergyCons!I$4:I$10000))*1000</f>
        <v>0</v>
      </c>
      <c r="L2209" s="1" cm="1">
        <f t="array" ref="L2209">(SUMPRODUCT(("var_ncap"=[1]OUT_TransportEnergyCons!$B$4:$B$10000)*1,ISNUMBER(SEARCH("T_b_c*ICE*nga*s1",[1]OUT_TransportEnergyCons!$A$4:$A$10000))*1,[1]OUT_TransportEnergyCons!J$4:J$10000))*1000</f>
        <v>0</v>
      </c>
      <c r="M2209" s="1" cm="1">
        <f t="array" ref="M2209">(SUMPRODUCT(("var_ncap"=[1]OUT_TransportEnergyCons!$B$4:$B$10000)*1,ISNUMBER(SEARCH("T_b_c*ICE*nga*s1",[1]OUT_TransportEnergyCons!$A$4:$A$10000))*1,[1]OUT_TransportEnergyCons!K$4:K$10000))*1000</f>
        <v>0</v>
      </c>
      <c r="N2209" s="1" cm="1">
        <f t="array" ref="N2209">(SUMPRODUCT(("var_ncap"=[1]OUT_TransportEnergyCons!$B$4:$B$10000)*1,ISNUMBER(SEARCH("T_b_c*ICE*nga*s1",[1]OUT_TransportEnergyCons!$A$4:$A$10000))*1,[1]OUT_TransportEnergyCons!L$4:L$10000))*1000</f>
        <v>0</v>
      </c>
      <c r="O2209" s="1" cm="1">
        <f t="array" ref="O2209">(SUMPRODUCT(("var_ncap"=[1]OUT_TransportEnergyCons!$B$4:$B$10000)*1,ISNUMBER(SEARCH("T_b_c*ICE*nga*s1",[1]OUT_TransportEnergyCons!$A$4:$A$10000))*1,[1]OUT_TransportEnergyCons!M$4:M$10000))*1000</f>
        <v>0</v>
      </c>
      <c r="P2209" s="1" cm="1">
        <f t="array" ref="P2209">(SUMPRODUCT(("var_ncap"=[1]OUT_TransportEnergyCons!$B$4:$B$10000)*1,ISNUMBER(SEARCH("T_b_c*ICE*nga*s1",[1]OUT_TransportEnergyCons!$A$4:$A$10000))*1,[1]OUT_TransportEnergyCons!N$4:N$10000))*1000</f>
        <v>0</v>
      </c>
      <c r="Q2209" s="1" cm="1">
        <f t="array" ref="Q2209">(SUMPRODUCT(("var_ncap"=[1]OUT_TransportEnergyCons!$B$4:$B$10000)*1,ISNUMBER(SEARCH("T_b_c*ICE*nga*s1",[1]OUT_TransportEnergyCons!$A$4:$A$10000))*1,[1]OUT_TransportEnergyCons!O$4:O$10000))*1000</f>
        <v>0</v>
      </c>
      <c r="S2209" s="3"/>
    </row>
    <row r="2210" spans="2:19" x14ac:dyDescent="0.5">
      <c r="B2210" s="5" t="str">
        <f t="shared" si="2251"/>
        <v>SPS1</v>
      </c>
      <c r="C2210" s="5" t="str">
        <f t="shared" si="2252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4.4600159048877703E-4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1.67523954297999E-3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(SUMPRODUCT(("var_ncap"=[1]OUT_TransportEnergyCons!$B$4:$B$10000)*1,ISNUMBER(SEARCH("T_b_c*ICE*nga*s2",[1]OUT_TransportEnergyCons!$A$4:$A$10000))*1,[1]OUT_TransportEnergyCons!H$4:H$10000))*1000</f>
        <v>0</v>
      </c>
      <c r="K2210" s="1" cm="1">
        <f t="array" ref="K2210">(SUMPRODUCT(("var_ncap"=[1]OUT_TransportEnergyCons!$B$4:$B$10000)*1,ISNUMBER(SEARCH("T_b_c*ICE*nga*s2",[1]OUT_TransportEnergyCons!$A$4:$A$10000))*1,[1]OUT_TransportEnergyCons!I$4:I$10000))*1000</f>
        <v>0</v>
      </c>
      <c r="L2210" s="1" cm="1">
        <f t="array" ref="L2210">(SUMPRODUCT(("var_ncap"=[1]OUT_TransportEnergyCons!$B$4:$B$10000)*1,ISNUMBER(SEARCH("T_b_c*ICE*nga*s2",[1]OUT_TransportEnergyCons!$A$4:$A$10000))*1,[1]OUT_TransportEnergyCons!J$4:J$10000))*1000</f>
        <v>0</v>
      </c>
      <c r="M2210" s="1" cm="1">
        <f t="array" ref="M2210">(SUMPRODUCT(("var_ncap"=[1]OUT_TransportEnergyCons!$B$4:$B$10000)*1,ISNUMBER(SEARCH("T_b_c*ICE*nga*s2",[1]OUT_TransportEnergyCons!$A$4:$A$10000))*1,[1]OUT_TransportEnergyCons!K$4:K$10000))*1000</f>
        <v>0</v>
      </c>
      <c r="N2210" s="1" cm="1">
        <f t="array" ref="N2210">(SUMPRODUCT(("var_ncap"=[1]OUT_TransportEnergyCons!$B$4:$B$10000)*1,ISNUMBER(SEARCH("T_b_c*ICE*nga*s2",[1]OUT_TransportEnergyCons!$A$4:$A$10000))*1,[1]OUT_TransportEnergyCons!L$4:L$10000))*1000</f>
        <v>0</v>
      </c>
      <c r="O2210" s="1" cm="1">
        <f t="array" ref="O2210">(SUMPRODUCT(("var_ncap"=[1]OUT_TransportEnergyCons!$B$4:$B$10000)*1,ISNUMBER(SEARCH("T_b_c*ICE*nga*s2",[1]OUT_TransportEnergyCons!$A$4:$A$10000))*1,[1]OUT_TransportEnergyCons!M$4:M$10000))*1000</f>
        <v>0</v>
      </c>
      <c r="P2210" s="1" cm="1">
        <f t="array" ref="P2210">(SUMPRODUCT(("var_ncap"=[1]OUT_TransportEnergyCons!$B$4:$B$10000)*1,ISNUMBER(SEARCH("T_b_c*ICE*nga*s2",[1]OUT_TransportEnergyCons!$A$4:$A$10000))*1,[1]OUT_TransportEnergyCons!N$4:N$10000))*1000</f>
        <v>0</v>
      </c>
      <c r="Q2210" s="1" cm="1">
        <f t="array" ref="Q2210">(SUMPRODUCT(("var_ncap"=[1]OUT_TransportEnergyCons!$B$4:$B$10000)*1,ISNUMBER(SEARCH("T_b_c*ICE*nga*s2",[1]OUT_TransportEnergyCons!$A$4:$A$10000))*1,[1]OUT_TransportEnergyCons!O$4:O$10000))*1000</f>
        <v>0</v>
      </c>
      <c r="S2210" s="3"/>
    </row>
    <row r="2211" spans="2:19" x14ac:dyDescent="0.5">
      <c r="B2211" s="5" t="str">
        <f t="shared" si="2251"/>
        <v>SPS1</v>
      </c>
      <c r="C2211" s="5" t="str">
        <f t="shared" si="2252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2.7065294086173598E-4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6.9015940057511299E-4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(SUMPRODUCT(("var_ncap"=[1]OUT_TransportEnergyCons!$B$4:$B$10000)*1,ISNUMBER(SEARCH("T_b_c*ICE*nga*s3",[1]OUT_TransportEnergyCons!$A$4:$A$10000))*1,[1]OUT_TransportEnergyCons!H$4:H$10000))*1000</f>
        <v>0</v>
      </c>
      <c r="K2211" s="1" cm="1">
        <f t="array" ref="K2211">(SUMPRODUCT(("var_ncap"=[1]OUT_TransportEnergyCons!$B$4:$B$10000)*1,ISNUMBER(SEARCH("T_b_c*ICE*nga*s3",[1]OUT_TransportEnergyCons!$A$4:$A$10000))*1,[1]OUT_TransportEnergyCons!I$4:I$10000))*1000</f>
        <v>0</v>
      </c>
      <c r="L2211" s="1" cm="1">
        <f t="array" ref="L2211">(SUMPRODUCT(("var_ncap"=[1]OUT_TransportEnergyCons!$B$4:$B$10000)*1,ISNUMBER(SEARCH("T_b_c*ICE*nga*s3",[1]OUT_TransportEnergyCons!$A$4:$A$10000))*1,[1]OUT_TransportEnergyCons!J$4:J$10000))*1000</f>
        <v>0</v>
      </c>
      <c r="M2211" s="1" cm="1">
        <f t="array" ref="M2211">(SUMPRODUCT(("var_ncap"=[1]OUT_TransportEnergyCons!$B$4:$B$10000)*1,ISNUMBER(SEARCH("T_b_c*ICE*nga*s3",[1]OUT_TransportEnergyCons!$A$4:$A$10000))*1,[1]OUT_TransportEnergyCons!K$4:K$10000))*1000</f>
        <v>0</v>
      </c>
      <c r="N2211" s="1" cm="1">
        <f t="array" ref="N2211">(SUMPRODUCT(("var_ncap"=[1]OUT_TransportEnergyCons!$B$4:$B$10000)*1,ISNUMBER(SEARCH("T_b_c*ICE*nga*s3",[1]OUT_TransportEnergyCons!$A$4:$A$10000))*1,[1]OUT_TransportEnergyCons!L$4:L$10000))*1000</f>
        <v>0</v>
      </c>
      <c r="O2211" s="1" cm="1">
        <f t="array" ref="O2211">(SUMPRODUCT(("var_ncap"=[1]OUT_TransportEnergyCons!$B$4:$B$10000)*1,ISNUMBER(SEARCH("T_b_c*ICE*nga*s3",[1]OUT_TransportEnergyCons!$A$4:$A$10000))*1,[1]OUT_TransportEnergyCons!M$4:M$10000))*1000</f>
        <v>0</v>
      </c>
      <c r="P2211" s="1" cm="1">
        <f t="array" ref="P2211">(SUMPRODUCT(("var_ncap"=[1]OUT_TransportEnergyCons!$B$4:$B$10000)*1,ISNUMBER(SEARCH("T_b_c*ICE*nga*s3",[1]OUT_TransportEnergyCons!$A$4:$A$10000))*1,[1]OUT_TransportEnergyCons!N$4:N$10000))*1000</f>
        <v>0</v>
      </c>
      <c r="Q2211" s="1" cm="1">
        <f t="array" ref="Q2211">(SUMPRODUCT(("var_ncap"=[1]OUT_TransportEnergyCons!$B$4:$B$10000)*1,ISNUMBER(SEARCH("T_b_c*ICE*nga*s3",[1]OUT_TransportEnergyCons!$A$4:$A$10000))*1,[1]OUT_TransportEnergyCons!O$4:O$10000))*1000</f>
        <v>0</v>
      </c>
      <c r="S2211" s="3"/>
    </row>
    <row r="2212" spans="2:19" x14ac:dyDescent="0.5">
      <c r="B2212" s="5" t="str">
        <f t="shared" si="2251"/>
        <v>SPS1</v>
      </c>
      <c r="C2212" s="5" t="str">
        <f t="shared" si="2252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9.7547315219476504E-5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1.5239459039399398E-4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(SUMPRODUCT(("var_ncap"=[1]OUT_TransportEnergyCons!$B$4:$B$10000)*1,ISNUMBER(SEARCH("T_b_c*ICE*nga*s4",[1]OUT_TransportEnergyCons!$A$4:$A$10000))*1,[1]OUT_TransportEnergyCons!H$4:H$10000))*1000</f>
        <v>0</v>
      </c>
      <c r="K2212" s="1" cm="1">
        <f t="array" ref="K2212">(SUMPRODUCT(("var_ncap"=[1]OUT_TransportEnergyCons!$B$4:$B$10000)*1,ISNUMBER(SEARCH("T_b_c*ICE*nga*s4",[1]OUT_TransportEnergyCons!$A$4:$A$10000))*1,[1]OUT_TransportEnergyCons!I$4:I$10000))*1000</f>
        <v>0</v>
      </c>
      <c r="L2212" s="1" cm="1">
        <f t="array" ref="L2212">(SUMPRODUCT(("var_ncap"=[1]OUT_TransportEnergyCons!$B$4:$B$10000)*1,ISNUMBER(SEARCH("T_b_c*ICE*nga*s4",[1]OUT_TransportEnergyCons!$A$4:$A$10000))*1,[1]OUT_TransportEnergyCons!J$4:J$10000))*1000</f>
        <v>0</v>
      </c>
      <c r="M2212" s="1" cm="1">
        <f t="array" ref="M2212">(SUMPRODUCT(("var_ncap"=[1]OUT_TransportEnergyCons!$B$4:$B$10000)*1,ISNUMBER(SEARCH("T_b_c*ICE*nga*s4",[1]OUT_TransportEnergyCons!$A$4:$A$10000))*1,[1]OUT_TransportEnergyCons!K$4:K$10000))*1000</f>
        <v>0</v>
      </c>
      <c r="N2212" s="1" cm="1">
        <f t="array" ref="N2212">(SUMPRODUCT(("var_ncap"=[1]OUT_TransportEnergyCons!$B$4:$B$10000)*1,ISNUMBER(SEARCH("T_b_c*ICE*nga*s4",[1]OUT_TransportEnergyCons!$A$4:$A$10000))*1,[1]OUT_TransportEnergyCons!L$4:L$10000))*1000</f>
        <v>0</v>
      </c>
      <c r="O2212" s="1" cm="1">
        <f t="array" ref="O2212">(SUMPRODUCT(("var_ncap"=[1]OUT_TransportEnergyCons!$B$4:$B$10000)*1,ISNUMBER(SEARCH("T_b_c*ICE*nga*s4",[1]OUT_TransportEnergyCons!$A$4:$A$10000))*1,[1]OUT_TransportEnergyCons!M$4:M$10000))*1000</f>
        <v>0</v>
      </c>
      <c r="P2212" s="1" cm="1">
        <f t="array" ref="P2212">(SUMPRODUCT(("var_ncap"=[1]OUT_TransportEnergyCons!$B$4:$B$10000)*1,ISNUMBER(SEARCH("T_b_c*ICE*nga*s4",[1]OUT_TransportEnergyCons!$A$4:$A$10000))*1,[1]OUT_TransportEnergyCons!N$4:N$10000))*1000</f>
        <v>0</v>
      </c>
      <c r="Q2212" s="1" cm="1">
        <f t="array" ref="Q2212">(SUMPRODUCT(("var_ncap"=[1]OUT_TransportEnergyCons!$B$4:$B$10000)*1,ISNUMBER(SEARCH("T_b_c*ICE*nga*s4",[1]OUT_TransportEnergyCons!$A$4:$A$10000))*1,[1]OUT_TransportEnergyCons!O$4:O$10000))*1000</f>
        <v>0</v>
      </c>
      <c r="S2212" s="3"/>
    </row>
    <row r="2213" spans="2:19" x14ac:dyDescent="0.5">
      <c r="B2213" s="5" t="str">
        <f t="shared" si="2251"/>
        <v>SPS1</v>
      </c>
      <c r="C2213" s="5" t="str">
        <f t="shared" si="2252"/>
        <v>CH</v>
      </c>
      <c r="D2213" s="2" t="s">
        <v>2342</v>
      </c>
      <c r="E2213" s="2" t="s">
        <v>1999</v>
      </c>
      <c r="F2213" s="3">
        <f t="shared" ref="F2213:K2213" si="2253">SUM(F2214:F2222)</f>
        <v>4.3263590238260403E-5</v>
      </c>
      <c r="G2213" s="3">
        <f t="shared" si="2253"/>
        <v>15.502702784591818</v>
      </c>
      <c r="H2213" s="3">
        <f t="shared" si="2253"/>
        <v>63.473111865451131</v>
      </c>
      <c r="I2213" s="3">
        <f t="shared" si="2253"/>
        <v>170.35103998516456</v>
      </c>
      <c r="J2213" s="3">
        <f t="shared" si="2253"/>
        <v>241.04648840946308</v>
      </c>
      <c r="K2213" s="3">
        <f t="shared" si="2253"/>
        <v>191.14307938358357</v>
      </c>
      <c r="L2213" s="3">
        <f t="shared" ref="L2213:O2213" si="2254">SUM(L2214:L2222)</f>
        <v>171.37951067037881</v>
      </c>
      <c r="M2213" s="3">
        <f t="shared" si="2254"/>
        <v>270.35140901553962</v>
      </c>
      <c r="N2213" s="3">
        <f t="shared" si="2254"/>
        <v>159.58527688254225</v>
      </c>
      <c r="O2213" s="3">
        <f t="shared" si="2254"/>
        <v>208.92719452746982</v>
      </c>
      <c r="P2213" s="3">
        <f>SUM(P2214:P2222)</f>
        <v>269.83167298568969</v>
      </c>
      <c r="Q2213" s="3">
        <f>SUM(Q2214:Q2222)</f>
        <v>96.197320291045145</v>
      </c>
      <c r="S2213" s="3"/>
    </row>
    <row r="2214" spans="2:19" x14ac:dyDescent="0.5">
      <c r="B2214" s="5" t="str">
        <f t="shared" si="2251"/>
        <v>SPS1</v>
      </c>
      <c r="C2214" s="5" t="str">
        <f t="shared" si="2252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(SUMPRODUCT(("var_ncap"=[1]OUT_TransportEnergyCons!$B$4:$B$10000)*1,("-"=[1]OUT_TransportEnergyCons!$C$4:$C$10000)*1,ISNUMBER(SEARCH("tfl*bev*ext",[1]OUT_TransportEnergyCons!$A$4:$A$10000))*1,[1]OUT_TransportEnergyCons!H$4:H$10000))*1000</f>
        <v>0</v>
      </c>
      <c r="K2214" s="1" cm="1">
        <f t="array" ref="K2214">(SUMPRODUCT(("var_ncap"=[1]OUT_TransportEnergyCons!$B$4:$B$10000)*1,("-"=[1]OUT_TransportEnergyCons!$C$4:$C$10000)*1,ISNUMBER(SEARCH("tfl*bev*ext",[1]OUT_TransportEnergyCons!$A$4:$A$10000))*1,[1]OUT_TransportEnergyCons!I$4:I$10000))*1000</f>
        <v>0</v>
      </c>
      <c r="L2214" s="1" cm="1">
        <f t="array" ref="L2214">(SUMPRODUCT(("var_ncap"=[1]OUT_TransportEnergyCons!$B$4:$B$10000)*1,("-"=[1]OUT_TransportEnergyCons!$C$4:$C$10000)*1,ISNUMBER(SEARCH("tfl*bev*ext",[1]OUT_TransportEnergyCons!$A$4:$A$10000))*1,[1]OUT_TransportEnergyCons!J$4:J$10000))*1000</f>
        <v>0</v>
      </c>
      <c r="M2214" s="1" cm="1">
        <f t="array" ref="M2214">(SUMPRODUCT(("var_ncap"=[1]OUT_TransportEnergyCons!$B$4:$B$10000)*1,("-"=[1]OUT_TransportEnergyCons!$C$4:$C$10000)*1,ISNUMBER(SEARCH("tfl*bev*ext",[1]OUT_TransportEnergyCons!$A$4:$A$10000))*1,[1]OUT_TransportEnergyCons!K$4:K$10000))*1000</f>
        <v>0</v>
      </c>
      <c r="N2214" s="1" cm="1">
        <f t="array" ref="N2214">(SUMPRODUCT(("var_ncap"=[1]OUT_TransportEnergyCons!$B$4:$B$10000)*1,("-"=[1]OUT_TransportEnergyCons!$C$4:$C$10000)*1,ISNUMBER(SEARCH("tfl*bev*ext",[1]OUT_TransportEnergyCons!$A$4:$A$10000))*1,[1]OUT_TransportEnergyCons!L$4:L$10000))*1000</f>
        <v>0</v>
      </c>
      <c r="O2214" s="1" cm="1">
        <f t="array" ref="O2214">(SUMPRODUCT(("var_ncap"=[1]OUT_TransportEnergyCons!$B$4:$B$10000)*1,("-"=[1]OUT_TransportEnergyCons!$C$4:$C$10000)*1,ISNUMBER(SEARCH("tfl*bev*ext",[1]OUT_TransportEnergyCons!$A$4:$A$10000))*1,[1]OUT_TransportEnergyCons!M$4:M$10000))*1000</f>
        <v>0</v>
      </c>
      <c r="P2214" s="1" cm="1">
        <f t="array" ref="P2214">(SUMPRODUCT(("var_ncap"=[1]OUT_TransportEnergyCons!$B$4:$B$10000)*1,("-"=[1]OUT_TransportEnergyCons!$C$4:$C$10000)*1,ISNUMBER(SEARCH("tfl*bev*ext",[1]OUT_TransportEnergyCons!$A$4:$A$10000))*1,[1]OUT_TransportEnergyCons!N$4:N$10000))*1000</f>
        <v>0</v>
      </c>
      <c r="Q2214" s="1" cm="1">
        <f t="array" ref="Q2214">(SUMPRODUCT(("var_ncap"=[1]OUT_TransportEnergyCons!$B$4:$B$10000)*1,("-"=[1]OUT_TransportEnergyCons!$C$4:$C$10000)*1,ISNUMBER(SEARCH("tfl*bev*ext",[1]OUT_TransportEnergyCons!$A$4:$A$10000))*1,[1]OUT_TransportEnergyCons!O$4:O$10000))*1000</f>
        <v>0</v>
      </c>
      <c r="S2214" s="3"/>
    </row>
    <row r="2215" spans="2:19" x14ac:dyDescent="0.5">
      <c r="B2215" s="5" t="str">
        <f t="shared" si="2251"/>
        <v>SPS1</v>
      </c>
      <c r="C2215" s="5" t="str">
        <f t="shared" si="2252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1.2120540248234601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10.3606571671365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45.324137456054899</v>
      </c>
      <c r="J2215" s="1" cm="1">
        <f t="array" ref="J2215">(SUMPRODUCT(("var_ncap"=[1]OUT_TransportEnergyCons!$B$4:$B$10000)*1,("-"=[1]OUT_TransportEnergyCons!$C$4:$C$10000)*1,ISNUMBER(SEARCH("tfl*bev*",[1]OUT_TransportEnergyCons!$A$4:$A$10000))*1,[1]OUT_TransportEnergyCons!H$4:H$10000))*1000-J2214</f>
        <v>144.297884362839</v>
      </c>
      <c r="K2215" s="1" cm="1">
        <f t="array" ref="K2215">(SUMPRODUCT(("var_ncap"=[1]OUT_TransportEnergyCons!$B$4:$B$10000)*1,("-"=[1]OUT_TransportEnergyCons!$C$4:$C$10000)*1,ISNUMBER(SEARCH("tfl*bev*",[1]OUT_TransportEnergyCons!$A$4:$A$10000))*1,[1]OUT_TransportEnergyCons!I$4:I$10000))*1000-K2214</f>
        <v>190.575924133104</v>
      </c>
      <c r="L2215" s="1" cm="1">
        <f t="array" ref="L2215">(SUMPRODUCT(("var_ncap"=[1]OUT_TransportEnergyCons!$B$4:$B$10000)*1,("-"=[1]OUT_TransportEnergyCons!$C$4:$C$10000)*1,ISNUMBER(SEARCH("tfl*bev*",[1]OUT_TransportEnergyCons!$A$4:$A$10000))*1,[1]OUT_TransportEnergyCons!J$4:J$10000))*1000-L2214</f>
        <v>90.873913783784801</v>
      </c>
      <c r="M2215" s="1" cm="1">
        <f t="array" ref="M2215">(SUMPRODUCT(("var_ncap"=[1]OUT_TransportEnergyCons!$B$4:$B$10000)*1,("-"=[1]OUT_TransportEnergyCons!$C$4:$C$10000)*1,ISNUMBER(SEARCH("tfl*bev*",[1]OUT_TransportEnergyCons!$A$4:$A$10000))*1,[1]OUT_TransportEnergyCons!K$4:K$10000))*1000-M2214</f>
        <v>213.06737485321699</v>
      </c>
      <c r="N2215" s="1" cm="1">
        <f t="array" ref="N2215">(SUMPRODUCT(("var_ncap"=[1]OUT_TransportEnergyCons!$B$4:$B$10000)*1,("-"=[1]OUT_TransportEnergyCons!$C$4:$C$10000)*1,ISNUMBER(SEARCH("tfl*bev*",[1]OUT_TransportEnergyCons!$A$4:$A$10000))*1,[1]OUT_TransportEnergyCons!L$4:L$10000))*1000-N2214</f>
        <v>115.11309264932</v>
      </c>
      <c r="O2215" s="1" cm="1">
        <f t="array" ref="O2215">(SUMPRODUCT(("var_ncap"=[1]OUT_TransportEnergyCons!$B$4:$B$10000)*1,("-"=[1]OUT_TransportEnergyCons!$C$4:$C$10000)*1,ISNUMBER(SEARCH("tfl*bev*",[1]OUT_TransportEnergyCons!$A$4:$A$10000))*1,[1]OUT_TransportEnergyCons!M$4:M$10000))*1000-O2214</f>
        <v>144.793850205198</v>
      </c>
      <c r="P2215" s="1" cm="1">
        <f t="array" ref="P2215">(SUMPRODUCT(("var_ncap"=[1]OUT_TransportEnergyCons!$B$4:$B$10000)*1,("-"=[1]OUT_TransportEnergyCons!$C$4:$C$10000)*1,ISNUMBER(SEARCH("tfl*bev*",[1]OUT_TransportEnergyCons!$A$4:$A$10000))*1,[1]OUT_TransportEnergyCons!N$4:N$10000))*1000-P2214</f>
        <v>203.90080259030299</v>
      </c>
      <c r="Q2215" s="1" cm="1">
        <f t="array" ref="Q2215">(SUMPRODUCT(("var_ncap"=[1]OUT_TransportEnergyCons!$B$4:$B$10000)*1,("-"=[1]OUT_TransportEnergyCons!$C$4:$C$10000)*1,ISNUMBER(SEARCH("tfl*bev*",[1]OUT_TransportEnergyCons!$A$4:$A$10000))*1,[1]OUT_TransportEnergyCons!O$4:O$10000))*1000-Q2214</f>
        <v>67.470576682088506</v>
      </c>
      <c r="S2215" s="3"/>
    </row>
    <row r="2216" spans="2:19" x14ac:dyDescent="0.5">
      <c r="B2216" s="5" t="str">
        <f t="shared" si="2251"/>
        <v>SPS1</v>
      </c>
      <c r="C2216" s="5" t="str">
        <f t="shared" si="2252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7.4798175319980799E-3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3.2257822226402001E-3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3.1179346041604902E-4</v>
      </c>
      <c r="J2216" s="1" cm="1">
        <f t="array" ref="J2216">(SUMPRODUCT(("var_ncap"=[1]OUT_TransportEnergyCons!$B$4:$B$10000)*1,("-"=[1]OUT_TransportEnergyCons!$C$4:$C$10000)*1,ISNUMBER(SEARCH("tfl*h2o*",[1]OUT_TransportEnergyCons!$A$4:$A$10000))*1,[1]OUT_TransportEnergyCons!H$4:H$10000))*1000</f>
        <v>3.32681603317679E-4</v>
      </c>
      <c r="K2216" s="1" cm="1">
        <f t="array" ref="K2216">(SUMPRODUCT(("var_ncap"=[1]OUT_TransportEnergyCons!$B$4:$B$10000)*1,("-"=[1]OUT_TransportEnergyCons!$C$4:$C$10000)*1,ISNUMBER(SEARCH("tfl*h2o*",[1]OUT_TransportEnergyCons!$A$4:$A$10000))*1,[1]OUT_TransportEnergyCons!I$4:I$10000))*1000</f>
        <v>3.5683226088509002E-4</v>
      </c>
      <c r="L2216" s="1" cm="1">
        <f t="array" ref="L2216">(SUMPRODUCT(("var_ncap"=[1]OUT_TransportEnergyCons!$B$4:$B$10000)*1,("-"=[1]OUT_TransportEnergyCons!$C$4:$C$10000)*1,ISNUMBER(SEARCH("tfl*h2o*",[1]OUT_TransportEnergyCons!$A$4:$A$10000))*1,[1]OUT_TransportEnergyCons!J$4:J$10000))*1000</f>
        <v>2.88732913323027E-4</v>
      </c>
      <c r="M2216" s="1" cm="1">
        <f t="array" ref="M2216">(SUMPRODUCT(("var_ncap"=[1]OUT_TransportEnergyCons!$B$4:$B$10000)*1,("-"=[1]OUT_TransportEnergyCons!$C$4:$C$10000)*1,ISNUMBER(SEARCH("tfl*h2o*",[1]OUT_TransportEnergyCons!$A$4:$A$10000))*1,[1]OUT_TransportEnergyCons!K$4:K$10000))*1000</f>
        <v>3.3102532408289104E-4</v>
      </c>
      <c r="N2216" s="1" cm="1">
        <f t="array" ref="N2216">(SUMPRODUCT(("var_ncap"=[1]OUT_TransportEnergyCons!$B$4:$B$10000)*1,("-"=[1]OUT_TransportEnergyCons!$C$4:$C$10000)*1,ISNUMBER(SEARCH("tfl*h2o*",[1]OUT_TransportEnergyCons!$A$4:$A$10000))*1,[1]OUT_TransportEnergyCons!L$4:L$10000))*1000</f>
        <v>2.75908143732031E-4</v>
      </c>
      <c r="O2216" s="1" cm="1">
        <f t="array" ref="O2216">(SUMPRODUCT(("var_ncap"=[1]OUT_TransportEnergyCons!$B$4:$B$10000)*1,("-"=[1]OUT_TransportEnergyCons!$C$4:$C$10000)*1,ISNUMBER(SEARCH("tfl*h2o*",[1]OUT_TransportEnergyCons!$A$4:$A$10000))*1,[1]OUT_TransportEnergyCons!M$4:M$10000))*1000</f>
        <v>2.6191060598287203E-4</v>
      </c>
      <c r="P2216" s="1" cm="1">
        <f t="array" ref="P2216">(SUMPRODUCT(("var_ncap"=[1]OUT_TransportEnergyCons!$B$4:$B$10000)*1,("-"=[1]OUT_TransportEnergyCons!$C$4:$C$10000)*1,ISNUMBER(SEARCH("tfl*h2o*",[1]OUT_TransportEnergyCons!$A$4:$A$10000))*1,[1]OUT_TransportEnergyCons!N$4:N$10000))*1000</f>
        <v>3.2682214965131098E-4</v>
      </c>
      <c r="Q2216" s="1" cm="1">
        <f t="array" ref="Q2216">(SUMPRODUCT(("var_ncap"=[1]OUT_TransportEnergyCons!$B$4:$B$10000)*1,("-"=[1]OUT_TransportEnergyCons!$C$4:$C$10000)*1,ISNUMBER(SEARCH("tfl*h2o*",[1]OUT_TransportEnergyCons!$A$4:$A$10000))*1,[1]OUT_TransportEnergyCons!O$4:O$10000))*1000</f>
        <v>1.87242501619046E-3</v>
      </c>
      <c r="S2216" s="3"/>
    </row>
    <row r="2217" spans="2:19" x14ac:dyDescent="0.5">
      <c r="B2217" s="5" t="str">
        <f t="shared" si="2251"/>
        <v>SPS1</v>
      </c>
      <c r="C2217" s="5" t="str">
        <f t="shared" si="2252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(SUMPRODUCT(("var_ncap"=[1]OUT_TransportEnergyCons!$B$4:$B$10000)*1,("-"=[1]OUT_TransportEnergyCons!$C$4:$C$10000)*1,ISNUMBER(SEARCH("TfL*ICE*GSL*ext",[1]OUT_TransportEnergyCons!$A$4:$A$10000))*1,[1]OUT_TransportEnergyCons!H$4:H$10000))*1000</f>
        <v>0</v>
      </c>
      <c r="K2217" s="1" cm="1">
        <f t="array" ref="K2217">(SUMPRODUCT(("var_ncap"=[1]OUT_TransportEnergyCons!$B$4:$B$10000)*1,("-"=[1]OUT_TransportEnergyCons!$C$4:$C$10000)*1,ISNUMBER(SEARCH("TfL*ICE*GSL*ext",[1]OUT_TransportEnergyCons!$A$4:$A$10000))*1,[1]OUT_TransportEnergyCons!I$4:I$10000))*1000</f>
        <v>0</v>
      </c>
      <c r="L2217" s="1" cm="1">
        <f t="array" ref="L2217">(SUMPRODUCT(("var_ncap"=[1]OUT_TransportEnergyCons!$B$4:$B$10000)*1,("-"=[1]OUT_TransportEnergyCons!$C$4:$C$10000)*1,ISNUMBER(SEARCH("TfL*ICE*GSL*ext",[1]OUT_TransportEnergyCons!$A$4:$A$10000))*1,[1]OUT_TransportEnergyCons!J$4:J$10000))*1000</f>
        <v>0</v>
      </c>
      <c r="M2217" s="1" cm="1">
        <f t="array" ref="M2217">(SUMPRODUCT(("var_ncap"=[1]OUT_TransportEnergyCons!$B$4:$B$10000)*1,("-"=[1]OUT_TransportEnergyCons!$C$4:$C$10000)*1,ISNUMBER(SEARCH("TfL*ICE*GSL*ext",[1]OUT_TransportEnergyCons!$A$4:$A$10000))*1,[1]OUT_TransportEnergyCons!K$4:K$10000))*1000</f>
        <v>0</v>
      </c>
      <c r="N2217" s="1" cm="1">
        <f t="array" ref="N2217">(SUMPRODUCT(("var_ncap"=[1]OUT_TransportEnergyCons!$B$4:$B$10000)*1,("-"=[1]OUT_TransportEnergyCons!$C$4:$C$10000)*1,ISNUMBER(SEARCH("TfL*ICE*GSL*ext",[1]OUT_TransportEnergyCons!$A$4:$A$10000))*1,[1]OUT_TransportEnergyCons!L$4:L$10000))*1000</f>
        <v>0</v>
      </c>
      <c r="O2217" s="1" cm="1">
        <f t="array" ref="O2217">(SUMPRODUCT(("var_ncap"=[1]OUT_TransportEnergyCons!$B$4:$B$10000)*1,("-"=[1]OUT_TransportEnergyCons!$C$4:$C$10000)*1,ISNUMBER(SEARCH("TfL*ICE*GSL*ext",[1]OUT_TransportEnergyCons!$A$4:$A$10000))*1,[1]OUT_TransportEnergyCons!M$4:M$10000))*1000</f>
        <v>0</v>
      </c>
      <c r="P2217" s="1" cm="1">
        <f t="array" ref="P2217">(SUMPRODUCT(("var_ncap"=[1]OUT_TransportEnergyCons!$B$4:$B$10000)*1,("-"=[1]OUT_TransportEnergyCons!$C$4:$C$10000)*1,ISNUMBER(SEARCH("TfL*ICE*GSL*ext",[1]OUT_TransportEnergyCons!$A$4:$A$10000))*1,[1]OUT_TransportEnergyCons!N$4:N$10000))*1000</f>
        <v>0</v>
      </c>
      <c r="Q2217" s="1" cm="1">
        <f t="array" ref="Q2217">(SUMPRODUCT(("var_ncap"=[1]OUT_TransportEnergyCons!$B$4:$B$10000)*1,("-"=[1]OUT_TransportEnergyCons!$C$4:$C$10000)*1,ISNUMBER(SEARCH("TfL*ICE*GSL*ext",[1]OUT_TransportEnergyCons!$A$4:$A$10000))*1,[1]OUT_TransportEnergyCons!O$4:O$10000))*1000</f>
        <v>0</v>
      </c>
      <c r="S2217" s="3"/>
    </row>
    <row r="2218" spans="2:19" x14ac:dyDescent="0.5">
      <c r="B2218" s="5" t="str">
        <f t="shared" si="2251"/>
        <v>SPS1</v>
      </c>
      <c r="C2218" s="5" t="str">
        <f t="shared" si="2252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0.13447843939055298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12.386848542909799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27.510145679773</v>
      </c>
      <c r="J2218" s="1" cm="1">
        <f t="array" ref="J2218">(SUMPRODUCT(("var_ncap"=[1]OUT_TransportEnergyCons!$B$4:$B$10000)*1,("-"=[1]OUT_TransportEnergyCons!$C$4:$C$10000)*1,ISNUMBER(SEARCH("TfL*ICE*GSL*",[1]OUT_TransportEnergyCons!$A$4:$A$10000))*1,[1]OUT_TransportEnergyCons!H$4:H$10000))*1000-J2217</f>
        <v>35.5044568546611</v>
      </c>
      <c r="K2218" s="1" cm="1">
        <f t="array" ref="K2218">(SUMPRODUCT(("var_ncap"=[1]OUT_TransportEnergyCons!$B$4:$B$10000)*1,("-"=[1]OUT_TransportEnergyCons!$C$4:$C$10000)*1,ISNUMBER(SEARCH("TfL*ICE*GSL*",[1]OUT_TransportEnergyCons!$A$4:$A$10000))*1,[1]OUT_TransportEnergyCons!I$4:I$10000))*1000-K2217</f>
        <v>0.359308229510372</v>
      </c>
      <c r="L2218" s="1" cm="1">
        <f t="array" ref="L2218">(SUMPRODUCT(("var_ncap"=[1]OUT_TransportEnergyCons!$B$4:$B$10000)*1,("-"=[1]OUT_TransportEnergyCons!$C$4:$C$10000)*1,ISNUMBER(SEARCH("TfL*ICE*GSL*",[1]OUT_TransportEnergyCons!$A$4:$A$10000))*1,[1]OUT_TransportEnergyCons!J$4:J$10000))*1000-L2217</f>
        <v>27.0532080920981</v>
      </c>
      <c r="M2218" s="1" cm="1">
        <f t="array" ref="M2218">(SUMPRODUCT(("var_ncap"=[1]OUT_TransportEnergyCons!$B$4:$B$10000)*1,("-"=[1]OUT_TransportEnergyCons!$C$4:$C$10000)*1,ISNUMBER(SEARCH("TfL*ICE*GSL*",[1]OUT_TransportEnergyCons!$A$4:$A$10000))*1,[1]OUT_TransportEnergyCons!K$4:K$10000))*1000-M2217</f>
        <v>23.246604079096098</v>
      </c>
      <c r="N2218" s="1" cm="1">
        <f t="array" ref="N2218">(SUMPRODUCT(("var_ncap"=[1]OUT_TransportEnergyCons!$B$4:$B$10000)*1,("-"=[1]OUT_TransportEnergyCons!$C$4:$C$10000)*1,ISNUMBER(SEARCH("TfL*ICE*GSL*",[1]OUT_TransportEnergyCons!$A$4:$A$10000))*1,[1]OUT_TransportEnergyCons!L$4:L$10000))*1000-N2217</f>
        <v>15.0717933183818</v>
      </c>
      <c r="O2218" s="1" cm="1">
        <f t="array" ref="O2218">(SUMPRODUCT(("var_ncap"=[1]OUT_TransportEnergyCons!$B$4:$B$10000)*1,("-"=[1]OUT_TransportEnergyCons!$C$4:$C$10000)*1,ISNUMBER(SEARCH("TfL*ICE*GSL*",[1]OUT_TransportEnergyCons!$A$4:$A$10000))*1,[1]OUT_TransportEnergyCons!M$4:M$10000))*1000-O2217</f>
        <v>23.638171104325799</v>
      </c>
      <c r="P2218" s="1" cm="1">
        <f t="array" ref="P2218">(SUMPRODUCT(("var_ncap"=[1]OUT_TransportEnergyCons!$B$4:$B$10000)*1,("-"=[1]OUT_TransportEnergyCons!$C$4:$C$10000)*1,ISNUMBER(SEARCH("TfL*ICE*GSL*",[1]OUT_TransportEnergyCons!$A$4:$A$10000))*1,[1]OUT_TransportEnergyCons!N$4:N$10000))*1000-P2217</f>
        <v>24.439291173127703</v>
      </c>
      <c r="Q2218" s="1" cm="1">
        <f t="array" ref="Q2218">(SUMPRODUCT(("var_ncap"=[1]OUT_TransportEnergyCons!$B$4:$B$10000)*1,("-"=[1]OUT_TransportEnergyCons!$C$4:$C$10000)*1,ISNUMBER(SEARCH("TfL*ICE*GSL*",[1]OUT_TransportEnergyCons!$A$4:$A$10000))*1,[1]OUT_TransportEnergyCons!O$4:O$10000))*1000-Q2217</f>
        <v>10.136377067680099</v>
      </c>
      <c r="S2218" s="3"/>
    </row>
    <row r="2219" spans="2:19" x14ac:dyDescent="0.5">
      <c r="B2219" s="5" t="str">
        <f t="shared" si="2251"/>
        <v>SPS1</v>
      </c>
      <c r="C2219" s="5" t="str">
        <f t="shared" si="2252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(SUMPRODUCT(("var_ncap"=[1]OUT_TransportEnergyCons!$B$4:$B$10000)*1,("-"=[1]OUT_TransportEnergyCons!$C$4:$C$10000)*1,ISNUMBER(SEARCH("tfl*ICE*DSL*ext",[1]OUT_TransportEnergyCons!$A$4:$A$10000))*1,[1]OUT_TransportEnergyCons!H$4:H$10000))*1000</f>
        <v>0</v>
      </c>
      <c r="K2219" s="1" cm="1">
        <f t="array" ref="K2219">(SUMPRODUCT(("var_ncap"=[1]OUT_TransportEnergyCons!$B$4:$B$10000)*1,("-"=[1]OUT_TransportEnergyCons!$C$4:$C$10000)*1,ISNUMBER(SEARCH("tfl*ICE*DSL*ext",[1]OUT_TransportEnergyCons!$A$4:$A$10000))*1,[1]OUT_TransportEnergyCons!I$4:I$10000))*1000</f>
        <v>0</v>
      </c>
      <c r="L2219" s="1" cm="1">
        <f t="array" ref="L2219">(SUMPRODUCT(("var_ncap"=[1]OUT_TransportEnergyCons!$B$4:$B$10000)*1,("-"=[1]OUT_TransportEnergyCons!$C$4:$C$10000)*1,ISNUMBER(SEARCH("tfl*ICE*DSL*ext",[1]OUT_TransportEnergyCons!$A$4:$A$10000))*1,[1]OUT_TransportEnergyCons!J$4:J$10000))*1000</f>
        <v>0</v>
      </c>
      <c r="M2219" s="1" cm="1">
        <f t="array" ref="M2219">(SUMPRODUCT(("var_ncap"=[1]OUT_TransportEnergyCons!$B$4:$B$10000)*1,("-"=[1]OUT_TransportEnergyCons!$C$4:$C$10000)*1,ISNUMBER(SEARCH("tfl*ICE*DSL*ext",[1]OUT_TransportEnergyCons!$A$4:$A$10000))*1,[1]OUT_TransportEnergyCons!K$4:K$10000))*1000</f>
        <v>0</v>
      </c>
      <c r="N2219" s="1" cm="1">
        <f t="array" ref="N2219">(SUMPRODUCT(("var_ncap"=[1]OUT_TransportEnergyCons!$B$4:$B$10000)*1,("-"=[1]OUT_TransportEnergyCons!$C$4:$C$10000)*1,ISNUMBER(SEARCH("tfl*ICE*DSL*ext",[1]OUT_TransportEnergyCons!$A$4:$A$10000))*1,[1]OUT_TransportEnergyCons!L$4:L$10000))*1000</f>
        <v>0</v>
      </c>
      <c r="O2219" s="1" cm="1">
        <f t="array" ref="O2219">(SUMPRODUCT(("var_ncap"=[1]OUT_TransportEnergyCons!$B$4:$B$10000)*1,("-"=[1]OUT_TransportEnergyCons!$C$4:$C$10000)*1,ISNUMBER(SEARCH("tfl*ICE*DSL*ext",[1]OUT_TransportEnergyCons!$A$4:$A$10000))*1,[1]OUT_TransportEnergyCons!M$4:M$10000))*1000</f>
        <v>0</v>
      </c>
      <c r="P2219" s="1" cm="1">
        <f t="array" ref="P2219">(SUMPRODUCT(("var_ncap"=[1]OUT_TransportEnergyCons!$B$4:$B$10000)*1,("-"=[1]OUT_TransportEnergyCons!$C$4:$C$10000)*1,ISNUMBER(SEARCH("tfl*ICE*DSL*ext",[1]OUT_TransportEnergyCons!$A$4:$A$10000))*1,[1]OUT_TransportEnergyCons!N$4:N$10000))*1000</f>
        <v>0</v>
      </c>
      <c r="Q2219" s="1" cm="1">
        <f t="array" ref="Q2219">(SUMPRODUCT(("var_ncap"=[1]OUT_TransportEnergyCons!$B$4:$B$10000)*1,("-"=[1]OUT_TransportEnergyCons!$C$4:$C$10000)*1,ISNUMBER(SEARCH("tfl*ICE*DSL*ext",[1]OUT_TransportEnergyCons!$A$4:$A$10000))*1,[1]OUT_TransportEnergyCons!O$4:O$10000))*1000</f>
        <v>0</v>
      </c>
      <c r="S2219" s="3"/>
    </row>
    <row r="2220" spans="2:19" x14ac:dyDescent="0.5">
      <c r="B2220" s="5" t="str">
        <f t="shared" si="2251"/>
        <v>SPS1</v>
      </c>
      <c r="C2220" s="5" t="str">
        <f t="shared" si="2252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3.7231738538633499E-2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0.25483044885962602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0.240010551195455</v>
      </c>
      <c r="J2220" s="1" cm="1">
        <f t="array" ref="J2220">(SUMPRODUCT(("var_ncap"=[1]OUT_TransportEnergyCons!$B$4:$B$10000)*1,("-"=[1]OUT_TransportEnergyCons!$C$4:$C$10000)*1,ISNUMBER(SEARCH("tfl*ICE*DSL*",[1]OUT_TransportEnergyCons!$A$4:$A$10000))*1,[1]OUT_TransportEnergyCons!H$4:H$10000))*1000-J2219</f>
        <v>9.5487128786292299</v>
      </c>
      <c r="K2220" s="1" cm="1">
        <f t="array" ref="K2220">(SUMPRODUCT(("var_ncap"=[1]OUT_TransportEnergyCons!$B$4:$B$10000)*1,("-"=[1]OUT_TransportEnergyCons!$C$4:$C$10000)*1,ISNUMBER(SEARCH("tfl*ICE*DSL*",[1]OUT_TransportEnergyCons!$A$4:$A$10000))*1,[1]OUT_TransportEnergyCons!I$4:I$10000))*1000-K2219</f>
        <v>9.7618991014372811E-2</v>
      </c>
      <c r="L2220" s="1" cm="1">
        <f t="array" ref="L2220">(SUMPRODUCT(("var_ncap"=[1]OUT_TransportEnergyCons!$B$4:$B$10000)*1,("-"=[1]OUT_TransportEnergyCons!$C$4:$C$10000)*1,ISNUMBER(SEARCH("tfl*ICE*DSL*",[1]OUT_TransportEnergyCons!$A$4:$A$10000))*1,[1]OUT_TransportEnergyCons!J$4:J$10000))*1000-L2219</f>
        <v>0.46643782285234797</v>
      </c>
      <c r="M2220" s="1" cm="1">
        <f t="array" ref="M2220">(SUMPRODUCT(("var_ncap"=[1]OUT_TransportEnergyCons!$B$4:$B$10000)*1,("-"=[1]OUT_TransportEnergyCons!$C$4:$C$10000)*1,ISNUMBER(SEARCH("tfl*ICE*DSL*",[1]OUT_TransportEnergyCons!$A$4:$A$10000))*1,[1]OUT_TransportEnergyCons!K$4:K$10000))*1000-M2219</f>
        <v>0.41180675539621503</v>
      </c>
      <c r="N2220" s="1" cm="1">
        <f t="array" ref="N2220">(SUMPRODUCT(("var_ncap"=[1]OUT_TransportEnergyCons!$B$4:$B$10000)*1,("-"=[1]OUT_TransportEnergyCons!$C$4:$C$10000)*1,ISNUMBER(SEARCH("tfl*ICE*DSL*",[1]OUT_TransportEnergyCons!$A$4:$A$10000))*1,[1]OUT_TransportEnergyCons!L$4:L$10000))*1000-N2219</f>
        <v>0.22503896329558601</v>
      </c>
      <c r="O2220" s="1" cm="1">
        <f t="array" ref="O2220">(SUMPRODUCT(("var_ncap"=[1]OUT_TransportEnergyCons!$B$4:$B$10000)*1,("-"=[1]OUT_TransportEnergyCons!$C$4:$C$10000)*1,ISNUMBER(SEARCH("tfl*ICE*DSL*",[1]OUT_TransportEnergyCons!$A$4:$A$10000))*1,[1]OUT_TransportEnergyCons!M$4:M$10000))*1000-O2219</f>
        <v>0.276982166879497</v>
      </c>
      <c r="P2220" s="1" cm="1">
        <f t="array" ref="P2220">(SUMPRODUCT(("var_ncap"=[1]OUT_TransportEnergyCons!$B$4:$B$10000)*1,("-"=[1]OUT_TransportEnergyCons!$C$4:$C$10000)*1,ISNUMBER(SEARCH("tfl*ICE*DSL*",[1]OUT_TransportEnergyCons!$A$4:$A$10000))*1,[1]OUT_TransportEnergyCons!N$4:N$10000))*1000-P2219</f>
        <v>0.26759785853259399</v>
      </c>
      <c r="Q2220" s="1" cm="1">
        <f t="array" ref="Q2220">(SUMPRODUCT(("var_ncap"=[1]OUT_TransportEnergyCons!$B$4:$B$10000)*1,("-"=[1]OUT_TransportEnergyCons!$C$4:$C$10000)*1,ISNUMBER(SEARCH("tfl*ICE*DSL*",[1]OUT_TransportEnergyCons!$A$4:$A$10000))*1,[1]OUT_TransportEnergyCons!O$4:O$10000))*1000-Q2219</f>
        <v>0.345617549709553</v>
      </c>
      <c r="S2220" s="3"/>
    </row>
    <row r="2221" spans="2:19" x14ac:dyDescent="0.5">
      <c r="B2221" s="5" t="str">
        <f t="shared" si="2251"/>
        <v>SPS1</v>
      </c>
      <c r="C2221" s="5" t="str">
        <f t="shared" si="2252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14.1065975934875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40.463076224362503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97.275679065264399</v>
      </c>
      <c r="J2221" s="1" cm="1">
        <f t="array" ref="J2221">(SUMPRODUCT(("var_ncap"=[1]OUT_TransportEnergyCons!$B$4:$B$10000)*1,("-"=[1]OUT_TransportEnergyCons!$C$4:$C$10000)*1,ISNUMBER(SEARCH("tfl*hyb*DSL*",[1]OUT_TransportEnergyCons!$A$4:$A$10000))*1,[1]OUT_TransportEnergyCons!H$4:H$10000))*1000</f>
        <v>51.693549125154895</v>
      </c>
      <c r="K2221" s="1" cm="1">
        <f t="array" ref="K2221">(SUMPRODUCT(("var_ncap"=[1]OUT_TransportEnergyCons!$B$4:$B$10000)*1,("-"=[1]OUT_TransportEnergyCons!$C$4:$C$10000)*1,ISNUMBER(SEARCH("tfl*hyb*DSL*",[1]OUT_TransportEnergyCons!$A$4:$A$10000))*1,[1]OUT_TransportEnergyCons!I$4:I$10000))*1000</f>
        <v>0.108882508268022</v>
      </c>
      <c r="L2221" s="1" cm="1">
        <f t="array" ref="L2221">(SUMPRODUCT(("var_ncap"=[1]OUT_TransportEnergyCons!$B$4:$B$10000)*1,("-"=[1]OUT_TransportEnergyCons!$C$4:$C$10000)*1,ISNUMBER(SEARCH("tfl*hyb*DSL*",[1]OUT_TransportEnergyCons!$A$4:$A$10000))*1,[1]OUT_TransportEnergyCons!J$4:J$10000))*1000</f>
        <v>52.984654864156596</v>
      </c>
      <c r="M2221" s="1" cm="1">
        <f t="array" ref="M2221">(SUMPRODUCT(("var_ncap"=[1]OUT_TransportEnergyCons!$B$4:$B$10000)*1,("-"=[1]OUT_TransportEnergyCons!$C$4:$C$10000)*1,ISNUMBER(SEARCH("tfl*hyb*DSL*",[1]OUT_TransportEnergyCons!$A$4:$A$10000))*1,[1]OUT_TransportEnergyCons!K$4:K$10000))*1000</f>
        <v>33.623981242700097</v>
      </c>
      <c r="N2221" s="1" cm="1">
        <f t="array" ref="N2221">(SUMPRODUCT(("var_ncap"=[1]OUT_TransportEnergyCons!$B$4:$B$10000)*1,("-"=[1]OUT_TransportEnergyCons!$C$4:$C$10000)*1,ISNUMBER(SEARCH("tfl*hyb*DSL*",[1]OUT_TransportEnergyCons!$A$4:$A$10000))*1,[1]OUT_TransportEnergyCons!L$4:L$10000))*1000</f>
        <v>29.174031944026499</v>
      </c>
      <c r="O2221" s="1" cm="1">
        <f t="array" ref="O2221">(SUMPRODUCT(("var_ncap"=[1]OUT_TransportEnergyCons!$B$4:$B$10000)*1,("-"=[1]OUT_TransportEnergyCons!$C$4:$C$10000)*1,ISNUMBER(SEARCH("tfl*hyb*DSL*",[1]OUT_TransportEnergyCons!$A$4:$A$10000))*1,[1]OUT_TransportEnergyCons!M$4:M$10000))*1000</f>
        <v>40.216825231104501</v>
      </c>
      <c r="P2221" s="1" cm="1">
        <f t="array" ref="P2221">(SUMPRODUCT(("var_ncap"=[1]OUT_TransportEnergyCons!$B$4:$B$10000)*1,("-"=[1]OUT_TransportEnergyCons!$C$4:$C$10000)*1,ISNUMBER(SEARCH("tfl*hyb*DSL*",[1]OUT_TransportEnergyCons!$A$4:$A$10000))*1,[1]OUT_TransportEnergyCons!N$4:N$10000))*1000</f>
        <v>41.222137624475103</v>
      </c>
      <c r="Q2221" s="1" cm="1">
        <f t="array" ref="Q2221">(SUMPRODUCT(("var_ncap"=[1]OUT_TransportEnergyCons!$B$4:$B$10000)*1,("-"=[1]OUT_TransportEnergyCons!$C$4:$C$10000)*1,ISNUMBER(SEARCH("tfl*hyb*DSL*",[1]OUT_TransportEnergyCons!$A$4:$A$10000))*1,[1]OUT_TransportEnergyCons!O$4:O$10000))*1000</f>
        <v>18.242037687778399</v>
      </c>
      <c r="S2221" s="3"/>
    </row>
    <row r="2222" spans="2:19" x14ac:dyDescent="0.5">
      <c r="B2222" s="5" t="str">
        <f t="shared" si="2251"/>
        <v>SPS1</v>
      </c>
      <c r="C2222" s="5" t="str">
        <f t="shared" si="2252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4.3263590238260403E-5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4.86117081967325E-3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4.4736999600588903E-3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7.5543941638275109E-4</v>
      </c>
      <c r="J2222" s="1" cm="1">
        <f t="array" ref="J2222">(SUMPRODUCT(("var_ncap"=[1]OUT_TransportEnergyCons!$B$4:$B$10000)*1,("-"=[1]OUT_TransportEnergyCons!$C$4:$C$10000)*1,ISNUMBER(SEARCH("tfl*ice*nga*",[1]OUT_TransportEnergyCons!$A$4:$A$10000))*1,[1]OUT_TransportEnergyCons!H$4:H$10000))*1000</f>
        <v>1.55250657553168E-3</v>
      </c>
      <c r="K2222" s="1" cm="1">
        <f t="array" ref="K2222">(SUMPRODUCT(("var_ncap"=[1]OUT_TransportEnergyCons!$B$4:$B$10000)*1,("-"=[1]OUT_TransportEnergyCons!$C$4:$C$10000)*1,ISNUMBER(SEARCH("tfl*ice*nga*",[1]OUT_TransportEnergyCons!$A$4:$A$10000))*1,[1]OUT_TransportEnergyCons!I$4:I$10000))*1000</f>
        <v>9.8868942595927399E-4</v>
      </c>
      <c r="L2222" s="1" cm="1">
        <f t="array" ref="L2222">(SUMPRODUCT(("var_ncap"=[1]OUT_TransportEnergyCons!$B$4:$B$10000)*1,("-"=[1]OUT_TransportEnergyCons!$C$4:$C$10000)*1,ISNUMBER(SEARCH("tfl*ice*nga*",[1]OUT_TransportEnergyCons!$A$4:$A$10000))*1,[1]OUT_TransportEnergyCons!J$4:J$10000))*1000</f>
        <v>1.00737457365498E-3</v>
      </c>
      <c r="M2222" s="1" cm="1">
        <f t="array" ref="M2222">(SUMPRODUCT(("var_ncap"=[1]OUT_TransportEnergyCons!$B$4:$B$10000)*1,("-"=[1]OUT_TransportEnergyCons!$C$4:$C$10000)*1,ISNUMBER(SEARCH("tfl*ice*nga*",[1]OUT_TransportEnergyCons!$A$4:$A$10000))*1,[1]OUT_TransportEnergyCons!K$4:K$10000))*1000</f>
        <v>1.3110598061672899E-3</v>
      </c>
      <c r="N2222" s="1" cm="1">
        <f t="array" ref="N2222">(SUMPRODUCT(("var_ncap"=[1]OUT_TransportEnergyCons!$B$4:$B$10000)*1,("-"=[1]OUT_TransportEnergyCons!$C$4:$C$10000)*1,ISNUMBER(SEARCH("tfl*ice*nga*",[1]OUT_TransportEnergyCons!$A$4:$A$10000))*1,[1]OUT_TransportEnergyCons!L$4:L$10000))*1000</f>
        <v>1.0440993746325998E-3</v>
      </c>
      <c r="O2222" s="1" cm="1">
        <f t="array" ref="O2222">(SUMPRODUCT(("var_ncap"=[1]OUT_TransportEnergyCons!$B$4:$B$10000)*1,("-"=[1]OUT_TransportEnergyCons!$C$4:$C$10000)*1,ISNUMBER(SEARCH("tfl*ice*nga*",[1]OUT_TransportEnergyCons!$A$4:$A$10000))*1,[1]OUT_TransportEnergyCons!M$4:M$10000))*1000</f>
        <v>1.10390935602389E-3</v>
      </c>
      <c r="P2222" s="1" cm="1">
        <f t="array" ref="P2222">(SUMPRODUCT(("var_ncap"=[1]OUT_TransportEnergyCons!$B$4:$B$10000)*1,("-"=[1]OUT_TransportEnergyCons!$C$4:$C$10000)*1,ISNUMBER(SEARCH("tfl*ice*nga*",[1]OUT_TransportEnergyCons!$A$4:$A$10000))*1,[1]OUT_TransportEnergyCons!N$4:N$10000))*1000</f>
        <v>1.5169171016280901E-3</v>
      </c>
      <c r="Q2222" s="1" cm="1">
        <f t="array" ref="Q2222">(SUMPRODUCT(("var_ncap"=[1]OUT_TransportEnergyCons!$B$4:$B$10000)*1,("-"=[1]OUT_TransportEnergyCons!$C$4:$C$10000)*1,ISNUMBER(SEARCH("tfl*ice*nga*",[1]OUT_TransportEnergyCons!$A$4:$A$10000))*1,[1]OUT_TransportEnergyCons!O$4:O$10000))*1000</f>
        <v>8.3887877238135E-4</v>
      </c>
      <c r="S2222" s="3"/>
    </row>
    <row r="2223" spans="2:19" x14ac:dyDescent="0.5">
      <c r="B2223" s="5" t="str">
        <f t="shared" si="2251"/>
        <v>SPS1</v>
      </c>
      <c r="C2223" s="5" t="str">
        <f t="shared" si="2252"/>
        <v>CH</v>
      </c>
      <c r="D2223" s="2" t="s">
        <v>2352</v>
      </c>
      <c r="E2223" s="2" t="s">
        <v>1999</v>
      </c>
      <c r="F2223" s="3">
        <f t="shared" ref="F2223:K2223" si="2255">SUM(F2224:F2232)</f>
        <v>0</v>
      </c>
      <c r="G2223" s="3">
        <f t="shared" si="2255"/>
        <v>9.5104950030842907</v>
      </c>
      <c r="H2223" s="3">
        <f t="shared" si="2255"/>
        <v>3.458582001115706</v>
      </c>
      <c r="I2223" s="3">
        <f t="shared" si="2255"/>
        <v>29.102116779623657</v>
      </c>
      <c r="J2223" s="3">
        <f t="shared" si="2255"/>
        <v>39.83059596511962</v>
      </c>
      <c r="K2223" s="3">
        <f t="shared" si="2255"/>
        <v>17.105032245680889</v>
      </c>
      <c r="L2223" s="3">
        <f t="shared" ref="L2223:O2223" si="2256">SUM(L2224:L2232)</f>
        <v>42.493955072469888</v>
      </c>
      <c r="M2223" s="3">
        <f t="shared" si="2256"/>
        <v>24.690882507707439</v>
      </c>
      <c r="N2223" s="3">
        <f t="shared" si="2256"/>
        <v>37.201876911385668</v>
      </c>
      <c r="O2223" s="3">
        <f t="shared" si="2256"/>
        <v>47.546403427001671</v>
      </c>
      <c r="P2223" s="3">
        <f>SUM(P2224:P2232)</f>
        <v>26.757583027482639</v>
      </c>
      <c r="Q2223" s="3">
        <f>SUM(Q2224:Q2232)</f>
        <v>43.492229766357745</v>
      </c>
      <c r="S2223" s="3"/>
    </row>
    <row r="2224" spans="2:19" x14ac:dyDescent="0.5">
      <c r="B2224" s="5" t="str">
        <f t="shared" si="2251"/>
        <v>SPS1</v>
      </c>
      <c r="C2224" s="5" t="str">
        <f t="shared" si="2252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(SUMPRODUCT(("var_ncap"=[1]OUT_TransportEnergyCons!$B$4:$B$10000)*1,("-"=[1]OUT_TransportEnergyCons!$C$4:$C$10000)*1,ISNUMBER(SEARCH("tfh*bev*ext",[1]OUT_TransportEnergyCons!$A$4:$A$10000))*1,[1]OUT_TransportEnergyCons!H$4:H$10000))*1000</f>
        <v>0</v>
      </c>
      <c r="K2224" s="1" cm="1">
        <f t="array" ref="K2224">(SUMPRODUCT(("var_ncap"=[1]OUT_TransportEnergyCons!$B$4:$B$10000)*1,("-"=[1]OUT_TransportEnergyCons!$C$4:$C$10000)*1,ISNUMBER(SEARCH("tfh*bev*ext",[1]OUT_TransportEnergyCons!$A$4:$A$10000))*1,[1]OUT_TransportEnergyCons!I$4:I$10000))*1000</f>
        <v>0</v>
      </c>
      <c r="L2224" s="1" cm="1">
        <f t="array" ref="L2224">(SUMPRODUCT(("var_ncap"=[1]OUT_TransportEnergyCons!$B$4:$B$10000)*1,("-"=[1]OUT_TransportEnergyCons!$C$4:$C$10000)*1,ISNUMBER(SEARCH("tfh*bev*ext",[1]OUT_TransportEnergyCons!$A$4:$A$10000))*1,[1]OUT_TransportEnergyCons!J$4:J$10000))*1000</f>
        <v>0</v>
      </c>
      <c r="M2224" s="1" cm="1">
        <f t="array" ref="M2224">(SUMPRODUCT(("var_ncap"=[1]OUT_TransportEnergyCons!$B$4:$B$10000)*1,("-"=[1]OUT_TransportEnergyCons!$C$4:$C$10000)*1,ISNUMBER(SEARCH("tfh*bev*ext",[1]OUT_TransportEnergyCons!$A$4:$A$10000))*1,[1]OUT_TransportEnergyCons!K$4:K$10000))*1000</f>
        <v>0</v>
      </c>
      <c r="N2224" s="1" cm="1">
        <f t="array" ref="N2224">(SUMPRODUCT(("var_ncap"=[1]OUT_TransportEnergyCons!$B$4:$B$10000)*1,("-"=[1]OUT_TransportEnergyCons!$C$4:$C$10000)*1,ISNUMBER(SEARCH("tfh*bev*ext",[1]OUT_TransportEnergyCons!$A$4:$A$10000))*1,[1]OUT_TransportEnergyCons!L$4:L$10000))*1000</f>
        <v>0</v>
      </c>
      <c r="O2224" s="1" cm="1">
        <f t="array" ref="O2224">(SUMPRODUCT(("var_ncap"=[1]OUT_TransportEnergyCons!$B$4:$B$10000)*1,("-"=[1]OUT_TransportEnergyCons!$C$4:$C$10000)*1,ISNUMBER(SEARCH("tfh*bev*ext",[1]OUT_TransportEnergyCons!$A$4:$A$10000))*1,[1]OUT_TransportEnergyCons!M$4:M$10000))*1000</f>
        <v>0</v>
      </c>
      <c r="P2224" s="1" cm="1">
        <f t="array" ref="P2224">(SUMPRODUCT(("var_ncap"=[1]OUT_TransportEnergyCons!$B$4:$B$10000)*1,("-"=[1]OUT_TransportEnergyCons!$C$4:$C$10000)*1,ISNUMBER(SEARCH("tfh*bev*ext",[1]OUT_TransportEnergyCons!$A$4:$A$10000))*1,[1]OUT_TransportEnergyCons!N$4:N$10000))*1000</f>
        <v>0</v>
      </c>
      <c r="Q2224" s="1" cm="1">
        <f t="array" ref="Q2224">(SUMPRODUCT(("var_ncap"=[1]OUT_TransportEnergyCons!$B$4:$B$10000)*1,("-"=[1]OUT_TransportEnergyCons!$C$4:$C$10000)*1,ISNUMBER(SEARCH("tfh*bev*ext",[1]OUT_TransportEnergyCons!$A$4:$A$10000))*1,[1]OUT_TransportEnergyCons!O$4:O$10000))*1000</f>
        <v>0</v>
      </c>
      <c r="S2224" s="3"/>
    </row>
    <row r="2225" spans="2:19" x14ac:dyDescent="0.5">
      <c r="B2225" s="5" t="str">
        <f t="shared" si="2251"/>
        <v>SPS1</v>
      </c>
      <c r="C2225" s="5" t="str">
        <f t="shared" si="2252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4.0458837174640605E-3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5.9796450299422496E-3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7.6534260305658108E-3</v>
      </c>
      <c r="J2225" s="1" cm="1">
        <f t="array" ref="J2225">(SUMPRODUCT(("var_ncap"=[1]OUT_TransportEnergyCons!$B$4:$B$10000)*1,("-"=[1]OUT_TransportEnergyCons!$C$4:$C$10000)*1,ISNUMBER(SEARCH("tfh*bev*",[1]OUT_TransportEnergyCons!$A$4:$A$10000))*1,[1]OUT_TransportEnergyCons!H$4:H$10000))*1000-J2224</f>
        <v>1.1057664927456301E-2</v>
      </c>
      <c r="K2225" s="1" cm="1">
        <f t="array" ref="K2225">(SUMPRODUCT(("var_ncap"=[1]OUT_TransportEnergyCons!$B$4:$B$10000)*1,("-"=[1]OUT_TransportEnergyCons!$C$4:$C$10000)*1,ISNUMBER(SEARCH("tfh*bev*",[1]OUT_TransportEnergyCons!$A$4:$A$10000))*1,[1]OUT_TransportEnergyCons!I$4:I$10000))*1000-K2224</f>
        <v>1.60342093195916E-2</v>
      </c>
      <c r="L2225" s="1" cm="1">
        <f t="array" ref="L2225">(SUMPRODUCT(("var_ncap"=[1]OUT_TransportEnergyCons!$B$4:$B$10000)*1,("-"=[1]OUT_TransportEnergyCons!$C$4:$C$10000)*1,ISNUMBER(SEARCH("tfh*bev*",[1]OUT_TransportEnergyCons!$A$4:$A$10000))*1,[1]OUT_TransportEnergyCons!J$4:J$10000))*1000-L2224</f>
        <v>2.7034341220692201E-2</v>
      </c>
      <c r="M2225" s="1" cm="1">
        <f t="array" ref="M2225">(SUMPRODUCT(("var_ncap"=[1]OUT_TransportEnergyCons!$B$4:$B$10000)*1,("-"=[1]OUT_TransportEnergyCons!$C$4:$C$10000)*1,ISNUMBER(SEARCH("tfh*bev*",[1]OUT_TransportEnergyCons!$A$4:$A$10000))*1,[1]OUT_TransportEnergyCons!K$4:K$10000))*1000-M2224</f>
        <v>4.7343373023586197E-2</v>
      </c>
      <c r="N2225" s="1" cm="1">
        <f t="array" ref="N2225">(SUMPRODUCT(("var_ncap"=[1]OUT_TransportEnergyCons!$B$4:$B$10000)*1,("-"=[1]OUT_TransportEnergyCons!$C$4:$C$10000)*1,ISNUMBER(SEARCH("tfh*bev*",[1]OUT_TransportEnergyCons!$A$4:$A$10000))*1,[1]OUT_TransportEnergyCons!L$4:L$10000))*1000-N2224</f>
        <v>6.0990379478671794E-2</v>
      </c>
      <c r="O2225" s="1" cm="1">
        <f t="array" ref="O2225">(SUMPRODUCT(("var_ncap"=[1]OUT_TransportEnergyCons!$B$4:$B$10000)*1,("-"=[1]OUT_TransportEnergyCons!$C$4:$C$10000)*1,ISNUMBER(SEARCH("tfh*bev*",[1]OUT_TransportEnergyCons!$A$4:$A$10000))*1,[1]OUT_TransportEnergyCons!M$4:M$10000))*1000-O2224</f>
        <v>0.10307249889256501</v>
      </c>
      <c r="P2225" s="1" cm="1">
        <f t="array" ref="P2225">(SUMPRODUCT(("var_ncap"=[1]OUT_TransportEnergyCons!$B$4:$B$10000)*1,("-"=[1]OUT_TransportEnergyCons!$C$4:$C$10000)*1,ISNUMBER(SEARCH("tfh*bev*",[1]OUT_TransportEnergyCons!$A$4:$A$10000))*1,[1]OUT_TransportEnergyCons!N$4:N$10000))*1000-P2224</f>
        <v>0.147277510272496</v>
      </c>
      <c r="Q2225" s="1" cm="1">
        <f t="array" ref="Q2225">(SUMPRODUCT(("var_ncap"=[1]OUT_TransportEnergyCons!$B$4:$B$10000)*1,("-"=[1]OUT_TransportEnergyCons!$C$4:$C$10000)*1,ISNUMBER(SEARCH("tfh*bev*",[1]OUT_TransportEnergyCons!$A$4:$A$10000))*1,[1]OUT_TransportEnergyCons!O$4:O$10000))*1000-Q2224</f>
        <v>0.519461782040748</v>
      </c>
      <c r="S2225" s="3"/>
    </row>
    <row r="2226" spans="2:19" x14ac:dyDescent="0.5">
      <c r="B2226" s="5" t="str">
        <f t="shared" si="2251"/>
        <v>SPS1</v>
      </c>
      <c r="C2226" s="5" t="str">
        <f t="shared" si="2252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4.2483824438065203E-4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2.9151851899418297E-4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1.7921732737929602E-4</v>
      </c>
      <c r="J2226" s="1" cm="1">
        <f t="array" ref="J2226">(SUMPRODUCT(("var_ncap"=[1]OUT_TransportEnergyCons!$B$4:$B$10000)*1,("-"=[1]OUT_TransportEnergyCons!$C$4:$C$10000)*1,ISNUMBER(SEARCH("tfh*h2o*",[1]OUT_TransportEnergyCons!$A$4:$A$10000))*1,[1]OUT_TransportEnergyCons!H$4:H$10000))*1000</f>
        <v>4.7934441011157495E-4</v>
      </c>
      <c r="K2226" s="1" cm="1">
        <f t="array" ref="K2226">(SUMPRODUCT(("var_ncap"=[1]OUT_TransportEnergyCons!$B$4:$B$10000)*1,("-"=[1]OUT_TransportEnergyCons!$C$4:$C$10000)*1,ISNUMBER(SEARCH("tfh*h2o*",[1]OUT_TransportEnergyCons!$A$4:$A$10000))*1,[1]OUT_TransportEnergyCons!I$4:I$10000))*1000</f>
        <v>2.8294038171318902E-4</v>
      </c>
      <c r="L2226" s="1" cm="1">
        <f t="array" ref="L2226">(SUMPRODUCT(("var_ncap"=[1]OUT_TransportEnergyCons!$B$4:$B$10000)*1,("-"=[1]OUT_TransportEnergyCons!$C$4:$C$10000)*1,ISNUMBER(SEARCH("tfh*h2o*",[1]OUT_TransportEnergyCons!$A$4:$A$10000))*1,[1]OUT_TransportEnergyCons!J$4:J$10000))*1000</f>
        <v>3.3676109139784202E-4</v>
      </c>
      <c r="M2226" s="1" cm="1">
        <f t="array" ref="M2226">(SUMPRODUCT(("var_ncap"=[1]OUT_TransportEnergyCons!$B$4:$B$10000)*1,("-"=[1]OUT_TransportEnergyCons!$C$4:$C$10000)*1,ISNUMBER(SEARCH("tfh*h2o*",[1]OUT_TransportEnergyCons!$A$4:$A$10000))*1,[1]OUT_TransportEnergyCons!K$4:K$10000))*1000</f>
        <v>2.37152343799278E-4</v>
      </c>
      <c r="N2226" s="1" cm="1">
        <f t="array" ref="N2226">(SUMPRODUCT(("var_ncap"=[1]OUT_TransportEnergyCons!$B$4:$B$10000)*1,("-"=[1]OUT_TransportEnergyCons!$C$4:$C$10000)*1,ISNUMBER(SEARCH("tfh*h2o*",[1]OUT_TransportEnergyCons!$A$4:$A$10000))*1,[1]OUT_TransportEnergyCons!L$4:L$10000))*1000</f>
        <v>2.7807659212265298E-4</v>
      </c>
      <c r="O2226" s="1" cm="1">
        <f t="array" ref="O2226">(SUMPRODUCT(("var_ncap"=[1]OUT_TransportEnergyCons!$B$4:$B$10000)*1,("-"=[1]OUT_TransportEnergyCons!$C$4:$C$10000)*1,ISNUMBER(SEARCH("tfh*h2o*",[1]OUT_TransportEnergyCons!$A$4:$A$10000))*1,[1]OUT_TransportEnergyCons!M$4:M$10000))*1000</f>
        <v>3.4671209904583896E-4</v>
      </c>
      <c r="P2226" s="1" cm="1">
        <f t="array" ref="P2226">(SUMPRODUCT(("var_ncap"=[1]OUT_TransportEnergyCons!$B$4:$B$10000)*1,("-"=[1]OUT_TransportEnergyCons!$C$4:$C$10000)*1,ISNUMBER(SEARCH("tfh*h2o*",[1]OUT_TransportEnergyCons!$A$4:$A$10000))*1,[1]OUT_TransportEnergyCons!N$4:N$10000))*1000</f>
        <v>2.6386386144201199E-4</v>
      </c>
      <c r="Q2226" s="1" cm="1">
        <f t="array" ref="Q2226">(SUMPRODUCT(("var_ncap"=[1]OUT_TransportEnergyCons!$B$4:$B$10000)*1,("-"=[1]OUT_TransportEnergyCons!$C$4:$C$10000)*1,ISNUMBER(SEARCH("tfh*h2o*",[1]OUT_TransportEnergyCons!$A$4:$A$10000))*1,[1]OUT_TransportEnergyCons!O$4:O$10000))*1000</f>
        <v>5.7014006342244602E-4</v>
      </c>
      <c r="S2226" s="3"/>
    </row>
    <row r="2227" spans="2:19" x14ac:dyDescent="0.5">
      <c r="B2227" s="5" t="str">
        <f t="shared" si="2251"/>
        <v>SPS1</v>
      </c>
      <c r="C2227" s="5" t="str">
        <f t="shared" si="2252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(SUMPRODUCT(("var_ncap"=[1]OUT_TransportEnergyCons!$B$4:$B$10000)*1,("-"=[1]OUT_TransportEnergyCons!$C$4:$C$10000)*1,ISNUMBER(SEARCH("tfh*ICE*GSL*ext",[1]OUT_TransportEnergyCons!$A$4:$A$10000))*1,[1]OUT_TransportEnergyCons!H$4:H$10000))*1000</f>
        <v>0</v>
      </c>
      <c r="K2227" s="1" cm="1">
        <f t="array" ref="K2227">(SUMPRODUCT(("var_ncap"=[1]OUT_TransportEnergyCons!$B$4:$B$10000)*1,("-"=[1]OUT_TransportEnergyCons!$C$4:$C$10000)*1,ISNUMBER(SEARCH("tfh*ICE*GSL*ext",[1]OUT_TransportEnergyCons!$A$4:$A$10000))*1,[1]OUT_TransportEnergyCons!I$4:I$10000))*1000</f>
        <v>0</v>
      </c>
      <c r="L2227" s="1" cm="1">
        <f t="array" ref="L2227">(SUMPRODUCT(("var_ncap"=[1]OUT_TransportEnergyCons!$B$4:$B$10000)*1,("-"=[1]OUT_TransportEnergyCons!$C$4:$C$10000)*1,ISNUMBER(SEARCH("tfh*ICE*GSL*ext",[1]OUT_TransportEnergyCons!$A$4:$A$10000))*1,[1]OUT_TransportEnergyCons!J$4:J$10000))*1000</f>
        <v>0</v>
      </c>
      <c r="M2227" s="1" cm="1">
        <f t="array" ref="M2227">(SUMPRODUCT(("var_ncap"=[1]OUT_TransportEnergyCons!$B$4:$B$10000)*1,("-"=[1]OUT_TransportEnergyCons!$C$4:$C$10000)*1,ISNUMBER(SEARCH("tfh*ICE*GSL*ext",[1]OUT_TransportEnergyCons!$A$4:$A$10000))*1,[1]OUT_TransportEnergyCons!K$4:K$10000))*1000</f>
        <v>0</v>
      </c>
      <c r="N2227" s="1" cm="1">
        <f t="array" ref="N2227">(SUMPRODUCT(("var_ncap"=[1]OUT_TransportEnergyCons!$B$4:$B$10000)*1,("-"=[1]OUT_TransportEnergyCons!$C$4:$C$10000)*1,ISNUMBER(SEARCH("tfh*ICE*GSL*ext",[1]OUT_TransportEnergyCons!$A$4:$A$10000))*1,[1]OUT_TransportEnergyCons!L$4:L$10000))*1000</f>
        <v>0</v>
      </c>
      <c r="O2227" s="1" cm="1">
        <f t="array" ref="O2227">(SUMPRODUCT(("var_ncap"=[1]OUT_TransportEnergyCons!$B$4:$B$10000)*1,("-"=[1]OUT_TransportEnergyCons!$C$4:$C$10000)*1,ISNUMBER(SEARCH("tfh*ICE*GSL*ext",[1]OUT_TransportEnergyCons!$A$4:$A$10000))*1,[1]OUT_TransportEnergyCons!M$4:M$10000))*1000</f>
        <v>0</v>
      </c>
      <c r="P2227" s="1" cm="1">
        <f t="array" ref="P2227">(SUMPRODUCT(("var_ncap"=[1]OUT_TransportEnergyCons!$B$4:$B$10000)*1,("-"=[1]OUT_TransportEnergyCons!$C$4:$C$10000)*1,ISNUMBER(SEARCH("tfh*ICE*GSL*ext",[1]OUT_TransportEnergyCons!$A$4:$A$10000))*1,[1]OUT_TransportEnergyCons!N$4:N$10000))*1000</f>
        <v>0</v>
      </c>
      <c r="Q2227" s="1" cm="1">
        <f t="array" ref="Q2227">(SUMPRODUCT(("var_ncap"=[1]OUT_TransportEnergyCons!$B$4:$B$10000)*1,("-"=[1]OUT_TransportEnergyCons!$C$4:$C$10000)*1,ISNUMBER(SEARCH("tfh*ICE*GSL*ext",[1]OUT_TransportEnergyCons!$A$4:$A$10000))*1,[1]OUT_TransportEnergyCons!O$4:O$10000))*1000</f>
        <v>0</v>
      </c>
      <c r="S2227" s="3"/>
    </row>
    <row r="2228" spans="2:19" x14ac:dyDescent="0.5">
      <c r="B2228" s="5" t="str">
        <f t="shared" si="2251"/>
        <v>SPS1</v>
      </c>
      <c r="C2228" s="5" t="str">
        <f t="shared" si="2252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(SUMPRODUCT(("var_ncap"=[1]OUT_TransportEnergyCons!$B$4:$B$10000)*1,("-"=[1]OUT_TransportEnergyCons!$C$4:$C$10000)*1,ISNUMBER(SEARCH("tfh*ICE*GSL*",[1]OUT_TransportEnergyCons!$A$4:$A$10000))*1,[1]OUT_TransportEnergyCons!H$4:H$10000))*1000-J2227</f>
        <v>0</v>
      </c>
      <c r="K2228" s="1" cm="1">
        <f t="array" ref="K2228">(SUMPRODUCT(("var_ncap"=[1]OUT_TransportEnergyCons!$B$4:$B$10000)*1,("-"=[1]OUT_TransportEnergyCons!$C$4:$C$10000)*1,ISNUMBER(SEARCH("tfh*ICE*GSL*",[1]OUT_TransportEnergyCons!$A$4:$A$10000))*1,[1]OUT_TransportEnergyCons!I$4:I$10000))*1000-K2227</f>
        <v>0</v>
      </c>
      <c r="L2228" s="1" cm="1">
        <f t="array" ref="L2228">(SUMPRODUCT(("var_ncap"=[1]OUT_TransportEnergyCons!$B$4:$B$10000)*1,("-"=[1]OUT_TransportEnergyCons!$C$4:$C$10000)*1,ISNUMBER(SEARCH("tfh*ICE*GSL*",[1]OUT_TransportEnergyCons!$A$4:$A$10000))*1,[1]OUT_TransportEnergyCons!J$4:J$10000))*1000-L2227</f>
        <v>0</v>
      </c>
      <c r="M2228" s="1" cm="1">
        <f t="array" ref="M2228">(SUMPRODUCT(("var_ncap"=[1]OUT_TransportEnergyCons!$B$4:$B$10000)*1,("-"=[1]OUT_TransportEnergyCons!$C$4:$C$10000)*1,ISNUMBER(SEARCH("tfh*ICE*GSL*",[1]OUT_TransportEnergyCons!$A$4:$A$10000))*1,[1]OUT_TransportEnergyCons!K$4:K$10000))*1000-M2227</f>
        <v>0</v>
      </c>
      <c r="N2228" s="1" cm="1">
        <f t="array" ref="N2228">(SUMPRODUCT(("var_ncap"=[1]OUT_TransportEnergyCons!$B$4:$B$10000)*1,("-"=[1]OUT_TransportEnergyCons!$C$4:$C$10000)*1,ISNUMBER(SEARCH("tfh*ICE*GSL*",[1]OUT_TransportEnergyCons!$A$4:$A$10000))*1,[1]OUT_TransportEnergyCons!L$4:L$10000))*1000-N2227</f>
        <v>0</v>
      </c>
      <c r="O2228" s="1" cm="1">
        <f t="array" ref="O2228">(SUMPRODUCT(("var_ncap"=[1]OUT_TransportEnergyCons!$B$4:$B$10000)*1,("-"=[1]OUT_TransportEnergyCons!$C$4:$C$10000)*1,ISNUMBER(SEARCH("tfh*ICE*GSL*",[1]OUT_TransportEnergyCons!$A$4:$A$10000))*1,[1]OUT_TransportEnergyCons!M$4:M$10000))*1000-O2227</f>
        <v>0</v>
      </c>
      <c r="P2228" s="1" cm="1">
        <f t="array" ref="P2228">(SUMPRODUCT(("var_ncap"=[1]OUT_TransportEnergyCons!$B$4:$B$10000)*1,("-"=[1]OUT_TransportEnergyCons!$C$4:$C$10000)*1,ISNUMBER(SEARCH("tfh*ICE*GSL*",[1]OUT_TransportEnergyCons!$A$4:$A$10000))*1,[1]OUT_TransportEnergyCons!N$4:N$10000))*1000-P2227</f>
        <v>0</v>
      </c>
      <c r="Q2228" s="1" cm="1">
        <f t="array" ref="Q2228">(SUMPRODUCT(("var_ncap"=[1]OUT_TransportEnergyCons!$B$4:$B$10000)*1,("-"=[1]OUT_TransportEnergyCons!$C$4:$C$10000)*1,ISNUMBER(SEARCH("tfh*ICE*GSL*",[1]OUT_TransportEnergyCons!$A$4:$A$10000))*1,[1]OUT_TransportEnergyCons!O$4:O$10000))*1000-Q2227</f>
        <v>0</v>
      </c>
      <c r="S2228" s="3"/>
    </row>
    <row r="2229" spans="2:19" x14ac:dyDescent="0.5">
      <c r="B2229" s="5" t="str">
        <f t="shared" si="2251"/>
        <v>SPS1</v>
      </c>
      <c r="C2229" s="5" t="str">
        <f t="shared" si="2252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(SUMPRODUCT(("var_ncap"=[1]OUT_TransportEnergyCons!$B$4:$B$10000)*1,("-"=[1]OUT_TransportEnergyCons!$C$4:$C$10000)*1,ISNUMBER(SEARCH("tfh*ICE*DSL*ext",[1]OUT_TransportEnergyCons!$A$4:$A$10000))*1,[1]OUT_TransportEnergyCons!H$4:H$10000))*1000</f>
        <v>0</v>
      </c>
      <c r="K2229" s="1" cm="1">
        <f t="array" ref="K2229">(SUMPRODUCT(("var_ncap"=[1]OUT_TransportEnergyCons!$B$4:$B$10000)*1,("-"=[1]OUT_TransportEnergyCons!$C$4:$C$10000)*1,ISNUMBER(SEARCH("tfh*ICE*DSL*ext",[1]OUT_TransportEnergyCons!$A$4:$A$10000))*1,[1]OUT_TransportEnergyCons!I$4:I$10000))*1000</f>
        <v>0</v>
      </c>
      <c r="L2229" s="1" cm="1">
        <f t="array" ref="L2229">(SUMPRODUCT(("var_ncap"=[1]OUT_TransportEnergyCons!$B$4:$B$10000)*1,("-"=[1]OUT_TransportEnergyCons!$C$4:$C$10000)*1,ISNUMBER(SEARCH("tfh*ICE*DSL*ext",[1]OUT_TransportEnergyCons!$A$4:$A$10000))*1,[1]OUT_TransportEnergyCons!J$4:J$10000))*1000</f>
        <v>0</v>
      </c>
      <c r="M2229" s="1" cm="1">
        <f t="array" ref="M2229">(SUMPRODUCT(("var_ncap"=[1]OUT_TransportEnergyCons!$B$4:$B$10000)*1,("-"=[1]OUT_TransportEnergyCons!$C$4:$C$10000)*1,ISNUMBER(SEARCH("tfh*ICE*DSL*ext",[1]OUT_TransportEnergyCons!$A$4:$A$10000))*1,[1]OUT_TransportEnergyCons!K$4:K$10000))*1000</f>
        <v>0</v>
      </c>
      <c r="N2229" s="1" cm="1">
        <f t="array" ref="N2229">(SUMPRODUCT(("var_ncap"=[1]OUT_TransportEnergyCons!$B$4:$B$10000)*1,("-"=[1]OUT_TransportEnergyCons!$C$4:$C$10000)*1,ISNUMBER(SEARCH("tfh*ICE*DSL*ext",[1]OUT_TransportEnergyCons!$A$4:$A$10000))*1,[1]OUT_TransportEnergyCons!L$4:L$10000))*1000</f>
        <v>0</v>
      </c>
      <c r="O2229" s="1" cm="1">
        <f t="array" ref="O2229">(SUMPRODUCT(("var_ncap"=[1]OUT_TransportEnergyCons!$B$4:$B$10000)*1,("-"=[1]OUT_TransportEnergyCons!$C$4:$C$10000)*1,ISNUMBER(SEARCH("tfh*ICE*DSL*ext",[1]OUT_TransportEnergyCons!$A$4:$A$10000))*1,[1]OUT_TransportEnergyCons!M$4:M$10000))*1000</f>
        <v>0</v>
      </c>
      <c r="P2229" s="1" cm="1">
        <f t="array" ref="P2229">(SUMPRODUCT(("var_ncap"=[1]OUT_TransportEnergyCons!$B$4:$B$10000)*1,("-"=[1]OUT_TransportEnergyCons!$C$4:$C$10000)*1,ISNUMBER(SEARCH("tfh*ICE*DSL*ext",[1]OUT_TransportEnergyCons!$A$4:$A$10000))*1,[1]OUT_TransportEnergyCons!N$4:N$10000))*1000</f>
        <v>0</v>
      </c>
      <c r="Q2229" s="1" cm="1">
        <f t="array" ref="Q2229">(SUMPRODUCT(("var_ncap"=[1]OUT_TransportEnergyCons!$B$4:$B$10000)*1,("-"=[1]OUT_TransportEnergyCons!$C$4:$C$10000)*1,ISNUMBER(SEARCH("tfh*ICE*DSL*ext",[1]OUT_TransportEnergyCons!$A$4:$A$10000))*1,[1]OUT_TransportEnergyCons!O$4:O$10000))*1000</f>
        <v>0</v>
      </c>
      <c r="S2229" s="3"/>
    </row>
    <row r="2230" spans="2:19" x14ac:dyDescent="0.5">
      <c r="B2230" s="5" t="str">
        <f t="shared" si="2251"/>
        <v>SPS1</v>
      </c>
      <c r="C2230" s="5" t="str">
        <f t="shared" si="2252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4.0173871966716103E-3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1.4724827718635199E-2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1.6802788476118699E-2</v>
      </c>
      <c r="J2230" s="1" cm="1">
        <f t="array" ref="J2230">(SUMPRODUCT(("var_ncap"=[1]OUT_TransportEnergyCons!$B$4:$B$10000)*1,("-"=[1]OUT_TransportEnergyCons!$C$4:$C$10000)*1,ISNUMBER(SEARCH("tfh*ICE*DSL*",[1]OUT_TransportEnergyCons!$A$4:$A$10000))*1,[1]OUT_TransportEnergyCons!H$4:H$10000))*1000-J2229</f>
        <v>2.08924354911234E-2</v>
      </c>
      <c r="K2230" s="1" cm="1">
        <f t="array" ref="K2230">(SUMPRODUCT(("var_ncap"=[1]OUT_TransportEnergyCons!$B$4:$B$10000)*1,("-"=[1]OUT_TransportEnergyCons!$C$4:$C$10000)*1,ISNUMBER(SEARCH("tfh*ICE*DSL*",[1]OUT_TransportEnergyCons!$A$4:$A$10000))*1,[1]OUT_TransportEnergyCons!I$4:I$10000))*1000-K2229</f>
        <v>1.9290632019396899E-2</v>
      </c>
      <c r="L2230" s="1" cm="1">
        <f t="array" ref="L2230">(SUMPRODUCT(("var_ncap"=[1]OUT_TransportEnergyCons!$B$4:$B$10000)*1,("-"=[1]OUT_TransportEnergyCons!$C$4:$C$10000)*1,ISNUMBER(SEARCH("tfh*ICE*DSL*",[1]OUT_TransportEnergyCons!$A$4:$A$10000))*1,[1]OUT_TransportEnergyCons!J$4:J$10000))*1000-L2229</f>
        <v>2.0884343368397201E-2</v>
      </c>
      <c r="M2230" s="1" cm="1">
        <f t="array" ref="M2230">(SUMPRODUCT(("var_ncap"=[1]OUT_TransportEnergyCons!$B$4:$B$10000)*1,("-"=[1]OUT_TransportEnergyCons!$C$4:$C$10000)*1,ISNUMBER(SEARCH("tfh*ICE*DSL*",[1]OUT_TransportEnergyCons!$A$4:$A$10000))*1,[1]OUT_TransportEnergyCons!K$4:K$10000))*1000-M2229</f>
        <v>2.1416218317492901E-2</v>
      </c>
      <c r="N2230" s="1" cm="1">
        <f t="array" ref="N2230">(SUMPRODUCT(("var_ncap"=[1]OUT_TransportEnergyCons!$B$4:$B$10000)*1,("-"=[1]OUT_TransportEnergyCons!$C$4:$C$10000)*1,ISNUMBER(SEARCH("tfh*ICE*DSL*",[1]OUT_TransportEnergyCons!$A$4:$A$10000))*1,[1]OUT_TransportEnergyCons!L$4:L$10000))*1000-N2229</f>
        <v>2.3621724640266201E-2</v>
      </c>
      <c r="O2230" s="1" cm="1">
        <f t="array" ref="O2230">(SUMPRODUCT(("var_ncap"=[1]OUT_TransportEnergyCons!$B$4:$B$10000)*1,("-"=[1]OUT_TransportEnergyCons!$C$4:$C$10000)*1,ISNUMBER(SEARCH("tfh*ICE*DSL*",[1]OUT_TransportEnergyCons!$A$4:$A$10000))*1,[1]OUT_TransportEnergyCons!M$4:M$10000))*1000-O2229</f>
        <v>2.7766815468811702E-2</v>
      </c>
      <c r="P2230" s="1" cm="1">
        <f t="array" ref="P2230">(SUMPRODUCT(("var_ncap"=[1]OUT_TransportEnergyCons!$B$4:$B$10000)*1,("-"=[1]OUT_TransportEnergyCons!$C$4:$C$10000)*1,ISNUMBER(SEARCH("tfh*ICE*DSL*",[1]OUT_TransportEnergyCons!$A$4:$A$10000))*1,[1]OUT_TransportEnergyCons!N$4:N$10000))*1000-P2229</f>
        <v>2.9280884455352301E-2</v>
      </c>
      <c r="Q2230" s="1" cm="1">
        <f t="array" ref="Q2230">(SUMPRODUCT(("var_ncap"=[1]OUT_TransportEnergyCons!$B$4:$B$10000)*1,("-"=[1]OUT_TransportEnergyCons!$C$4:$C$10000)*1,ISNUMBER(SEARCH("tfh*ICE*DSL*",[1]OUT_TransportEnergyCons!$A$4:$A$10000))*1,[1]OUT_TransportEnergyCons!O$4:O$10000))*1000-Q2229</f>
        <v>4.26550965747493E-2</v>
      </c>
      <c r="S2230" s="3"/>
    </row>
    <row r="2231" spans="2:19" x14ac:dyDescent="0.5">
      <c r="B2231" s="5" t="str">
        <f t="shared" si="2251"/>
        <v>SPS1</v>
      </c>
      <c r="C2231" s="5" t="str">
        <f t="shared" si="2252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9.5008446980418597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3.4353353588800299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29.065848575007799</v>
      </c>
      <c r="J2231" s="1" cm="1">
        <f t="array" ref="J2231">(SUMPRODUCT(("var_ncap"=[1]OUT_TransportEnergyCons!$B$4:$B$10000)*1,("-"=[1]OUT_TransportEnergyCons!$C$4:$C$10000)*1,ISNUMBER(SEARCH("tfh*hyb*DSL*",[1]OUT_TransportEnergyCons!$A$4:$A$10000))*1,[1]OUT_TransportEnergyCons!H$4:H$10000))*1000</f>
        <v>39.785467322058302</v>
      </c>
      <c r="K2231" s="1" cm="1">
        <f t="array" ref="K2231">(SUMPRODUCT(("var_ncap"=[1]OUT_TransportEnergyCons!$B$4:$B$10000)*1,("-"=[1]OUT_TransportEnergyCons!$C$4:$C$10000)*1,ISNUMBER(SEARCH("tfh*hyb*DSL*",[1]OUT_TransportEnergyCons!$A$4:$A$10000))*1,[1]OUT_TransportEnergyCons!I$4:I$10000))*1000</f>
        <v>17.0639398126843</v>
      </c>
      <c r="L2231" s="1" cm="1">
        <f t="array" ref="L2231">(SUMPRODUCT(("var_ncap"=[1]OUT_TransportEnergyCons!$B$4:$B$10000)*1,("-"=[1]OUT_TransportEnergyCons!$C$4:$C$10000)*1,ISNUMBER(SEARCH("tfh*hyb*DSL*",[1]OUT_TransportEnergyCons!$A$4:$A$10000))*1,[1]OUT_TransportEnergyCons!J$4:J$10000))*1000</f>
        <v>42.432799399494101</v>
      </c>
      <c r="M2231" s="1" cm="1">
        <f t="array" ref="M2231">(SUMPRODUCT(("var_ncap"=[1]OUT_TransportEnergyCons!$B$4:$B$10000)*1,("-"=[1]OUT_TransportEnergyCons!$C$4:$C$10000)*1,ISNUMBER(SEARCH("tfh*hyb*DSL*",[1]OUT_TransportEnergyCons!$A$4:$A$10000))*1,[1]OUT_TransportEnergyCons!K$4:K$10000))*1000</f>
        <v>24.614836698997401</v>
      </c>
      <c r="N2231" s="1" cm="1">
        <f t="array" ref="N2231">(SUMPRODUCT(("var_ncap"=[1]OUT_TransportEnergyCons!$B$4:$B$10000)*1,("-"=[1]OUT_TransportEnergyCons!$C$4:$C$10000)*1,ISNUMBER(SEARCH("tfh*hyb*DSL*",[1]OUT_TransportEnergyCons!$A$4:$A$10000))*1,[1]OUT_TransportEnergyCons!L$4:L$10000))*1000</f>
        <v>37.106376394227397</v>
      </c>
      <c r="O2231" s="1" cm="1">
        <f t="array" ref="O2231">(SUMPRODUCT(("var_ncap"=[1]OUT_TransportEnergyCons!$B$4:$B$10000)*1,("-"=[1]OUT_TransportEnergyCons!$C$4:$C$10000)*1,ISNUMBER(SEARCH("tfh*hyb*DSL*",[1]OUT_TransportEnergyCons!$A$4:$A$10000))*1,[1]OUT_TransportEnergyCons!M$4:M$10000))*1000</f>
        <v>47.402195464868697</v>
      </c>
      <c r="P2231" s="1" cm="1">
        <f t="array" ref="P2231">(SUMPRODUCT(("var_ncap"=[1]OUT_TransportEnergyCons!$B$4:$B$10000)*1,("-"=[1]OUT_TransportEnergyCons!$C$4:$C$10000)*1,ISNUMBER(SEARCH("tfh*hyb*DSL*",[1]OUT_TransportEnergyCons!$A$4:$A$10000))*1,[1]OUT_TransportEnergyCons!N$4:N$10000))*1000</f>
        <v>26.573841866208301</v>
      </c>
      <c r="Q2231" s="1" cm="1">
        <f t="array" ref="Q2231">(SUMPRODUCT(("var_ncap"=[1]OUT_TransportEnergyCons!$B$4:$B$10000)*1,("-"=[1]OUT_TransportEnergyCons!$C$4:$C$10000)*1,ISNUMBER(SEARCH("tfh*hyb*DSL*",[1]OUT_TransportEnergyCons!$A$4:$A$10000))*1,[1]OUT_TransportEnergyCons!O$4:O$10000))*1000</f>
        <v>42.918428105226397</v>
      </c>
      <c r="S2231" s="3"/>
    </row>
    <row r="2232" spans="2:19" x14ac:dyDescent="0.5">
      <c r="B2232" s="5" t="str">
        <f t="shared" si="2251"/>
        <v>SPS1</v>
      </c>
      <c r="C2232" s="5" t="str">
        <f t="shared" si="2252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1.1621958839150598E-3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2.25065096810418E-3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1.1632772781793001E-2</v>
      </c>
      <c r="J2232" s="1" cm="1">
        <f t="array" ref="J2232">(SUMPRODUCT(("var_ncap"=[1]OUT_TransportEnergyCons!$B$4:$B$10000)*1,("-"=[1]OUT_TransportEnergyCons!$C$4:$C$10000)*1,ISNUMBER(SEARCH("tfh*ice*nga*",[1]OUT_TransportEnergyCons!$A$4:$A$10000))*1,[1]OUT_TransportEnergyCons!H$4:H$10000))*1000</f>
        <v>1.2699198232627201E-2</v>
      </c>
      <c r="K2232" s="1" cm="1">
        <f t="array" ref="K2232">(SUMPRODUCT(("var_ncap"=[1]OUT_TransportEnergyCons!$B$4:$B$10000)*1,("-"=[1]OUT_TransportEnergyCons!$C$4:$C$10000)*1,ISNUMBER(SEARCH("tfh*ice*nga*",[1]OUT_TransportEnergyCons!$A$4:$A$10000))*1,[1]OUT_TransportEnergyCons!I$4:I$10000))*1000</f>
        <v>5.48465127588513E-3</v>
      </c>
      <c r="L2232" s="1" cm="1">
        <f t="array" ref="L2232">(SUMPRODUCT(("var_ncap"=[1]OUT_TransportEnergyCons!$B$4:$B$10000)*1,("-"=[1]OUT_TransportEnergyCons!$C$4:$C$10000)*1,ISNUMBER(SEARCH("tfh*ice*nga*",[1]OUT_TransportEnergyCons!$A$4:$A$10000))*1,[1]OUT_TransportEnergyCons!J$4:J$10000))*1000</f>
        <v>1.2900227295299599E-2</v>
      </c>
      <c r="M2232" s="1" cm="1">
        <f t="array" ref="M2232">(SUMPRODUCT(("var_ncap"=[1]OUT_TransportEnergyCons!$B$4:$B$10000)*1,("-"=[1]OUT_TransportEnergyCons!$C$4:$C$10000)*1,ISNUMBER(SEARCH("tfh*ice*nga*",[1]OUT_TransportEnergyCons!$A$4:$A$10000))*1,[1]OUT_TransportEnergyCons!K$4:K$10000))*1000</f>
        <v>7.0490650251593097E-3</v>
      </c>
      <c r="N2232" s="1" cm="1">
        <f t="array" ref="N2232">(SUMPRODUCT(("var_ncap"=[1]OUT_TransportEnergyCons!$B$4:$B$10000)*1,("-"=[1]OUT_TransportEnergyCons!$C$4:$C$10000)*1,ISNUMBER(SEARCH("tfh*ice*nga*",[1]OUT_TransportEnergyCons!$A$4:$A$10000))*1,[1]OUT_TransportEnergyCons!L$4:L$10000))*1000</f>
        <v>1.0610336447209701E-2</v>
      </c>
      <c r="O2232" s="1" cm="1">
        <f t="array" ref="O2232">(SUMPRODUCT(("var_ncap"=[1]OUT_TransportEnergyCons!$B$4:$B$10000)*1,("-"=[1]OUT_TransportEnergyCons!$C$4:$C$10000)*1,ISNUMBER(SEARCH("tfh*ice*nga*",[1]OUT_TransportEnergyCons!$A$4:$A$10000))*1,[1]OUT_TransportEnergyCons!M$4:M$10000))*1000</f>
        <v>1.3021935672554099E-2</v>
      </c>
      <c r="P2232" s="1" cm="1">
        <f t="array" ref="P2232">(SUMPRODUCT(("var_ncap"=[1]OUT_TransportEnergyCons!$B$4:$B$10000)*1,("-"=[1]OUT_TransportEnergyCons!$C$4:$C$10000)*1,ISNUMBER(SEARCH("tfh*ice*nga*",[1]OUT_TransportEnergyCons!$A$4:$A$10000))*1,[1]OUT_TransportEnergyCons!N$4:N$10000))*1000</f>
        <v>6.9189026850485901E-3</v>
      </c>
      <c r="Q2232" s="1" cm="1">
        <f t="array" ref="Q2232">(SUMPRODUCT(("var_ncap"=[1]OUT_TransportEnergyCons!$B$4:$B$10000)*1,("-"=[1]OUT_TransportEnergyCons!$C$4:$C$10000)*1,ISNUMBER(SEARCH("tfh*ice*nga*",[1]OUT_TransportEnergyCons!$A$4:$A$10000))*1,[1]OUT_TransportEnergyCons!O$4:O$10000))*1000</f>
        <v>1.11146424524288E-2</v>
      </c>
      <c r="S2232" s="3"/>
    </row>
    <row r="2233" spans="2:19" x14ac:dyDescent="0.5">
      <c r="B2233" s="5" t="str">
        <f>'SPS1'!B1822</f>
        <v>SPS1</v>
      </c>
      <c r="C2233" s="5" t="str">
        <f>'SPS1'!C1822</f>
        <v>CH</v>
      </c>
      <c r="D2233" s="2" t="s">
        <v>2367</v>
      </c>
      <c r="E2233" s="2" t="s">
        <v>1858</v>
      </c>
      <c r="F2233" s="3">
        <f t="shared" ref="F2233:K2233" si="2257">SUM(F2234,F2253)</f>
        <v>4.5147609542479434E-4</v>
      </c>
      <c r="G2233" s="3">
        <f t="shared" si="2257"/>
        <v>0.76335551857621242</v>
      </c>
      <c r="H2233" s="3">
        <f t="shared" si="2257"/>
        <v>0.42820545386684572</v>
      </c>
      <c r="I2233" s="3">
        <f t="shared" si="2257"/>
        <v>0.32830468450295913</v>
      </c>
      <c r="J2233" s="3">
        <f t="shared" si="2257"/>
        <v>7.1235167190055071</v>
      </c>
      <c r="K2233" s="3">
        <f t="shared" si="2257"/>
        <v>3.2605594345688309</v>
      </c>
      <c r="L2233" s="3">
        <f t="shared" ref="L2233:O2233" si="2258">SUM(L2234,L2253)</f>
        <v>0.44742251268699268</v>
      </c>
      <c r="M2233" s="3">
        <f t="shared" si="2258"/>
        <v>6.4364542671751162</v>
      </c>
      <c r="N2233" s="3">
        <f t="shared" si="2258"/>
        <v>2.4991489482011007</v>
      </c>
      <c r="O2233" s="3">
        <f t="shared" si="2258"/>
        <v>0.61391312620237981</v>
      </c>
      <c r="P2233" s="3">
        <f>SUM(P2234,P2253)</f>
        <v>5.6275855626019133</v>
      </c>
      <c r="Q2233" s="3">
        <f>SUM(Q2234,Q2253)</f>
        <v>1.7657185022317574</v>
      </c>
      <c r="S2233" s="3"/>
    </row>
    <row r="2234" spans="2:19" x14ac:dyDescent="0.5">
      <c r="B2234" s="5" t="str">
        <f>'SPS1'!B1822</f>
        <v>SPS1</v>
      </c>
      <c r="C2234" s="5" t="str">
        <f>'SPS1'!C1822</f>
        <v>CH</v>
      </c>
      <c r="D2234" t="s">
        <v>2368</v>
      </c>
      <c r="E2234" t="str">
        <f>E2233</f>
        <v>GWth/yr.</v>
      </c>
      <c r="F2234" s="1">
        <f t="shared" ref="F2234:K2234" si="2259">SUM(F2235,F2238,F2240,F2243,F2245,F2247,F2249,F2251)</f>
        <v>4.1676713649535166E-4</v>
      </c>
      <c r="G2234" s="1">
        <f t="shared" si="2259"/>
        <v>0.60539483941702554</v>
      </c>
      <c r="H2234" s="1">
        <f t="shared" si="2259"/>
        <v>0.15243512786529392</v>
      </c>
      <c r="I2234" s="1">
        <f t="shared" si="2259"/>
        <v>0.25006265237304187</v>
      </c>
      <c r="J2234" s="1">
        <f t="shared" si="2259"/>
        <v>6.1762802001541823</v>
      </c>
      <c r="K2234" s="1">
        <f t="shared" si="2259"/>
        <v>2.5793128592585592</v>
      </c>
      <c r="L2234" s="1">
        <f t="shared" ref="L2234:O2234" si="2260">SUM(L2235,L2238,L2240,L2243,L2245,L2247,L2249,L2251)</f>
        <v>0.3182435408314721</v>
      </c>
      <c r="M2234" s="1">
        <f t="shared" si="2260"/>
        <v>5.5577747131654727</v>
      </c>
      <c r="N2234" s="1">
        <f t="shared" si="2260"/>
        <v>1.8715619360965687</v>
      </c>
      <c r="O2234" s="1">
        <f t="shared" si="2260"/>
        <v>0.43909493811105793</v>
      </c>
      <c r="P2234" s="1">
        <f>SUM(P2235,P2238,P2240,P2243,P2245,P2247,P2249,P2251)</f>
        <v>4.7387439714930677</v>
      </c>
      <c r="Q2234" s="1">
        <f>SUM(Q2235,Q2238,Q2240,Q2243,Q2245,Q2247,Q2249,Q2251)</f>
        <v>1.2154293902503046</v>
      </c>
      <c r="S2234" s="3"/>
    </row>
    <row r="2235" spans="2:19" x14ac:dyDescent="0.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261">SUM(F2236:F2237)</f>
        <v>6.7234594486102317E-6</v>
      </c>
      <c r="G2235" s="1">
        <f t="shared" si="2261"/>
        <v>0.31120602251378093</v>
      </c>
      <c r="H2235" s="1">
        <f t="shared" si="2261"/>
        <v>0.14285747454151534</v>
      </c>
      <c r="I2235" s="1">
        <f t="shared" si="2261"/>
        <v>0.17301233821669734</v>
      </c>
      <c r="J2235" s="1">
        <f t="shared" si="2261"/>
        <v>1.7628118904861663</v>
      </c>
      <c r="K2235" s="1">
        <f t="shared" si="2261"/>
        <v>0.78032241663573421</v>
      </c>
      <c r="L2235" s="1">
        <f t="shared" ref="L2235:O2235" si="2262">SUM(L2236:L2237)</f>
        <v>0.20531599052412855</v>
      </c>
      <c r="M2235" s="1">
        <f t="shared" si="2262"/>
        <v>1.5709359193999495</v>
      </c>
      <c r="N2235" s="1">
        <f t="shared" si="2262"/>
        <v>0.57960747669059964</v>
      </c>
      <c r="O2235" s="1">
        <f t="shared" si="2262"/>
        <v>0.26716340397509702</v>
      </c>
      <c r="P2235" s="1">
        <f>SUM(P2236:P2237)</f>
        <v>1.4750380681580506</v>
      </c>
      <c r="Q2235" s="1">
        <f>SUM(Q2236:Q2237)</f>
        <v>0.67038335386019909</v>
      </c>
      <c r="S2235" s="3"/>
    </row>
    <row r="2236" spans="2:19" x14ac:dyDescent="0.5">
      <c r="B2236" s="5" t="str">
        <f t="shared" ref="B2236:B2267" si="2263">B2235</f>
        <v>SPS1</v>
      </c>
      <c r="C2236" s="5" t="str">
        <f t="shared" ref="C2236:C2267" si="2264">C2235</f>
        <v>CH</v>
      </c>
      <c r="D2236" t="s">
        <v>2370</v>
      </c>
      <c r="E2236" t="str">
        <f t="shared" ref="E2236:E2267" si="2265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5.1211903595194358E-6</v>
      </c>
      <c r="G2236" s="1" cm="1">
        <f t="array" ref="G2236">SUMPRODUCT(([1]OUT_FinalEnergyCons!$B$4:$B$10000="var_ncap")*1,(ISNUMBER(SEARCH("RH*-SHELCBR",[1]OUT_FinalEnergyCons!$A$4:$A$10000)))*1,[1]OUT_FinalEnergyCons!E$4:E$10000)</f>
        <v>3.8131883803454711E-2</v>
      </c>
      <c r="H2236" s="1" cm="1">
        <f t="array" ref="H2236">SUMPRODUCT(([1]OUT_FinalEnergyCons!$B$4:$B$10000="var_ncap")*1,(ISNUMBER(SEARCH("RH*-SHELCBR",[1]OUT_FinalEnergyCons!$A$4:$A$10000)))*1,[1]OUT_FinalEnergyCons!F$4:F$10000)</f>
        <v>1.487356230376266E-5</v>
      </c>
      <c r="I2236" s="1" cm="1">
        <f t="array" ref="I2236">SUMPRODUCT(([1]OUT_FinalEnergyCons!$B$4:$B$10000="var_ncap")*1,(ISNUMBER(SEARCH("RH*-SHELCBR",[1]OUT_FinalEnergyCons!$A$4:$A$10000)))*1,[1]OUT_FinalEnergyCons!G$4:G$10000)</f>
        <v>1.850255744388163E-5</v>
      </c>
      <c r="J2236" s="1" cm="1">
        <f t="array" ref="J2236">SUMPRODUCT(([1]OUT_FinalEnergyCons!$B$4:$B$10000="var_ncap")*1,(ISNUMBER(SEARCH("RH*-SHELCBR",[1]OUT_FinalEnergyCons!$A$4:$A$10000)))*1,[1]OUT_FinalEnergyCons!H$4:H$10000)</f>
        <v>0.24859126945083895</v>
      </c>
      <c r="K2236" s="1" cm="1">
        <f t="array" ref="K2236">SUMPRODUCT(([1]OUT_FinalEnergyCons!$B$4:$B$10000="var_ncap")*1,(ISNUMBER(SEARCH("RH*-SHELCBR",[1]OUT_FinalEnergyCons!$A$4:$A$10000)))*1,[1]OUT_FinalEnergyCons!I$4:I$10000)</f>
        <v>0.1226944638188926</v>
      </c>
      <c r="L2236" s="1" cm="1">
        <f t="array" ref="L2236">SUMPRODUCT(([1]OUT_FinalEnergyCons!$B$4:$B$10000="var_ncap")*1,(ISNUMBER(SEARCH("RH*-SHELCBR",[1]OUT_FinalEnergyCons!$A$4:$A$10000)))*1,[1]OUT_FinalEnergyCons!J$4:J$10000)</f>
        <v>3.5258786218174944E-2</v>
      </c>
      <c r="M2236" s="1" cm="1">
        <f t="array" ref="M2236">SUMPRODUCT(([1]OUT_FinalEnergyCons!$B$4:$B$10000="var_ncap")*1,(ISNUMBER(SEARCH("RH*-SHELCBR",[1]OUT_FinalEnergyCons!$A$4:$A$10000)))*1,[1]OUT_FinalEnergyCons!K$4:K$10000)</f>
        <v>3.5259005793841905E-2</v>
      </c>
      <c r="N2236" s="1" cm="1">
        <f t="array" ref="N2236">SUMPRODUCT(([1]OUT_FinalEnergyCons!$B$4:$B$10000="var_ncap")*1,(ISNUMBER(SEARCH("RH*-SHELCBR",[1]OUT_FinalEnergyCons!$A$4:$A$10000)))*1,[1]OUT_FinalEnergyCons!L$4:L$10000)</f>
        <v>7.5421223680350495E-4</v>
      </c>
      <c r="O2236" s="1" cm="1">
        <f t="array" ref="O2236">SUMPRODUCT(([1]OUT_FinalEnergyCons!$B$4:$B$10000="var_ncap")*1,(ISNUMBER(SEARCH("RH*-SHELCBR",[1]OUT_FinalEnergyCons!$A$4:$A$10000)))*1,[1]OUT_FinalEnergyCons!M$4:M$10000)</f>
        <v>1.8195808636066752E-2</v>
      </c>
      <c r="P2236" s="1" cm="1">
        <f t="array" ref="P2236">SUMPRODUCT(([1]OUT_FinalEnergyCons!$B$4:$B$10000="var_ncap")*1,(ISNUMBER(SEARCH("RH*-SHELCBR",[1]OUT_FinalEnergyCons!$A$4:$A$10000)))*1,[1]OUT_FinalEnergyCons!N$4:N$10000)</f>
        <v>2.7893688937043581E-2</v>
      </c>
      <c r="Q2236" s="1" cm="1">
        <f t="array" ref="Q2236">SUMPRODUCT(([1]OUT_FinalEnergyCons!$B$4:$B$10000="var_ncap")*1,(ISNUMBER(SEARCH("RH*-SHELCBR",[1]OUT_FinalEnergyCons!$A$4:$A$10000)))*1,[1]OUT_FinalEnergyCons!O$4:O$10000)</f>
        <v>2.2588634613141499E-3</v>
      </c>
      <c r="S2236" s="3"/>
    </row>
    <row r="2237" spans="2:19" x14ac:dyDescent="0.5">
      <c r="B2237" s="5" t="str">
        <f t="shared" si="2263"/>
        <v>SPS1</v>
      </c>
      <c r="C2237" s="5" t="str">
        <f t="shared" si="2264"/>
        <v>CH</v>
      </c>
      <c r="D2237" t="s">
        <v>2371</v>
      </c>
      <c r="E2237" t="str">
        <f t="shared" si="2265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1.6022690890907961E-6</v>
      </c>
      <c r="G2237" s="1" cm="1">
        <f t="array" ref="G2237">SUMPRODUCT(([1]OUT_FinalEnergyCons!$B$4:$B$10000="var_ncap")*1,ISNUMBER(SEARCH("RH*-SHELCHP",[1]OUT_FinalEnergyCons!$A$4:$A$10000))*1,[1]OUT_FinalEnergyCons!E$4:E$10000)</f>
        <v>0.27307413871032621</v>
      </c>
      <c r="H2237" s="1" cm="1">
        <f t="array" ref="H2237">SUMPRODUCT(([1]OUT_FinalEnergyCons!$B$4:$B$10000="var_ncap")*1,ISNUMBER(SEARCH("RH*-SHELCHP",[1]OUT_FinalEnergyCons!$A$4:$A$10000))*1,[1]OUT_FinalEnergyCons!F$4:F$10000)</f>
        <v>0.14284260097921159</v>
      </c>
      <c r="I2237" s="1" cm="1">
        <f t="array" ref="I2237">SUMPRODUCT(([1]OUT_FinalEnergyCons!$B$4:$B$10000="var_ncap")*1,ISNUMBER(SEARCH("RH*-SHELCHP",[1]OUT_FinalEnergyCons!$A$4:$A$10000))*1,[1]OUT_FinalEnergyCons!G$4:G$10000)</f>
        <v>0.17299383565925347</v>
      </c>
      <c r="J2237" s="1" cm="1">
        <f t="array" ref="J2237">SUMPRODUCT(([1]OUT_FinalEnergyCons!$B$4:$B$10000="var_ncap")*1,ISNUMBER(SEARCH("RH*-SHELCHP",[1]OUT_FinalEnergyCons!$A$4:$A$10000))*1,[1]OUT_FinalEnergyCons!H$4:H$10000)</f>
        <v>1.5142206210353273</v>
      </c>
      <c r="K2237" s="1" cm="1">
        <f t="array" ref="K2237">SUMPRODUCT(([1]OUT_FinalEnergyCons!$B$4:$B$10000="var_ncap")*1,ISNUMBER(SEARCH("RH*-SHELCHP",[1]OUT_FinalEnergyCons!$A$4:$A$10000))*1,[1]OUT_FinalEnergyCons!I$4:I$10000)</f>
        <v>0.65762795281684161</v>
      </c>
      <c r="L2237" s="1" cm="1">
        <f t="array" ref="L2237">SUMPRODUCT(([1]OUT_FinalEnergyCons!$B$4:$B$10000="var_ncap")*1,ISNUMBER(SEARCH("RH*-SHELCHP",[1]OUT_FinalEnergyCons!$A$4:$A$10000))*1,[1]OUT_FinalEnergyCons!J$4:J$10000)</f>
        <v>0.17005720430595361</v>
      </c>
      <c r="M2237" s="1" cm="1">
        <f t="array" ref="M2237">SUMPRODUCT(([1]OUT_FinalEnergyCons!$B$4:$B$10000="var_ncap")*1,ISNUMBER(SEARCH("RH*-SHELCHP",[1]OUT_FinalEnergyCons!$A$4:$A$10000))*1,[1]OUT_FinalEnergyCons!K$4:K$10000)</f>
        <v>1.5356769136061075</v>
      </c>
      <c r="N2237" s="1" cm="1">
        <f t="array" ref="N2237">SUMPRODUCT(([1]OUT_FinalEnergyCons!$B$4:$B$10000="var_ncap")*1,ISNUMBER(SEARCH("RH*-SHELCHP",[1]OUT_FinalEnergyCons!$A$4:$A$10000))*1,[1]OUT_FinalEnergyCons!L$4:L$10000)</f>
        <v>0.57885326445379615</v>
      </c>
      <c r="O2237" s="1" cm="1">
        <f t="array" ref="O2237">SUMPRODUCT(([1]OUT_FinalEnergyCons!$B$4:$B$10000="var_ncap")*1,ISNUMBER(SEARCH("RH*-SHELCHP",[1]OUT_FinalEnergyCons!$A$4:$A$10000))*1,[1]OUT_FinalEnergyCons!M$4:M$10000)</f>
        <v>0.24896759533903029</v>
      </c>
      <c r="P2237" s="1" cm="1">
        <f t="array" ref="P2237">SUMPRODUCT(([1]OUT_FinalEnergyCons!$B$4:$B$10000="var_ncap")*1,ISNUMBER(SEARCH("RH*-SHELCHP",[1]OUT_FinalEnergyCons!$A$4:$A$10000))*1,[1]OUT_FinalEnergyCons!N$4:N$10000)</f>
        <v>1.447144379221007</v>
      </c>
      <c r="Q2237" s="1" cm="1">
        <f t="array" ref="Q2237">SUMPRODUCT(([1]OUT_FinalEnergyCons!$B$4:$B$10000="var_ncap")*1,ISNUMBER(SEARCH("RH*-SHELCHP",[1]OUT_FinalEnergyCons!$A$4:$A$10000))*1,[1]OUT_FinalEnergyCons!O$4:O$10000)</f>
        <v>0.668124490398885</v>
      </c>
      <c r="S2237" s="3"/>
    </row>
    <row r="2238" spans="2:19" x14ac:dyDescent="0.5">
      <c r="B2238" s="5" t="str">
        <f t="shared" si="2263"/>
        <v>SPS1</v>
      </c>
      <c r="C2238" s="5" t="str">
        <f t="shared" si="2264"/>
        <v>CH</v>
      </c>
      <c r="D2238" t="s">
        <v>2372</v>
      </c>
      <c r="E2238" t="str">
        <f t="shared" si="2265"/>
        <v>GWth/yr.</v>
      </c>
      <c r="F2238" s="1">
        <f t="shared" ref="F2238:O2238" si="2266">F2239</f>
        <v>0</v>
      </c>
      <c r="G2238" s="1">
        <f t="shared" si="2266"/>
        <v>1.0620810367021469E-6</v>
      </c>
      <c r="H2238" s="1">
        <f t="shared" si="2266"/>
        <v>8.3276735669039999E-7</v>
      </c>
      <c r="I2238" s="1">
        <f t="shared" si="2266"/>
        <v>2.0862307235100889E-6</v>
      </c>
      <c r="J2238" s="1">
        <f t="shared" si="2266"/>
        <v>1.5481892354153581</v>
      </c>
      <c r="K2238" s="1">
        <f t="shared" si="2266"/>
        <v>0.73660291520912891</v>
      </c>
      <c r="L2238" s="1">
        <f t="shared" si="2266"/>
        <v>7.6069962263945901E-6</v>
      </c>
      <c r="M2238" s="1">
        <f t="shared" si="2266"/>
        <v>1.1181111231262379</v>
      </c>
      <c r="N2238" s="1">
        <f t="shared" si="2266"/>
        <v>0.494488182563741</v>
      </c>
      <c r="O2238" s="1">
        <f t="shared" si="2266"/>
        <v>2.0764251824745511E-5</v>
      </c>
      <c r="P2238" s="1">
        <f>P2239</f>
        <v>0.56381453546294302</v>
      </c>
      <c r="Q2238" s="1">
        <f>Q2239</f>
        <v>1.9873228360766682E-5</v>
      </c>
      <c r="S2238" s="3"/>
    </row>
    <row r="2239" spans="2:19" x14ac:dyDescent="0.5">
      <c r="B2239" s="5" t="str">
        <f t="shared" si="2263"/>
        <v>SPS1</v>
      </c>
      <c r="C2239" s="5" t="str">
        <f t="shared" si="2264"/>
        <v>CH</v>
      </c>
      <c r="D2239" t="s">
        <v>2373</v>
      </c>
      <c r="E2239" t="str">
        <f t="shared" si="2265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1.0620810367021469E-6</v>
      </c>
      <c r="H2239" s="1" cm="1">
        <f t="array" ref="H2239">SUMPRODUCT(([1]OUT_FinalEnergyCons!$B$4:$B$10000="var_ncap")*1, (ISNUMBER(SEARCH("RH*-SHLFOBR",[1]OUT_FinalEnergyCons!$A$4:$A$10000)))*1,[1]OUT_FinalEnergyCons!F$4:F$10000)</f>
        <v>8.3276735669039999E-7</v>
      </c>
      <c r="I2239" s="1" cm="1">
        <f t="array" ref="I2239">SUMPRODUCT(([1]OUT_FinalEnergyCons!$B$4:$B$10000="var_ncap")*1, (ISNUMBER(SEARCH("RH*-SHLFOBR",[1]OUT_FinalEnergyCons!$A$4:$A$10000)))*1,[1]OUT_FinalEnergyCons!G$4:G$10000)</f>
        <v>2.0862307235100889E-6</v>
      </c>
      <c r="J2239" s="1" cm="1">
        <f t="array" ref="J2239">SUMPRODUCT(([1]OUT_FinalEnergyCons!$B$4:$B$10000="var_ncap")*1, (ISNUMBER(SEARCH("RH*-SHLFOBR",[1]OUT_FinalEnergyCons!$A$4:$A$10000)))*1,[1]OUT_FinalEnergyCons!H$4:H$10000)</f>
        <v>1.5481892354153581</v>
      </c>
      <c r="K2239" s="1" cm="1">
        <f t="array" ref="K2239">SUMPRODUCT(([1]OUT_FinalEnergyCons!$B$4:$B$10000="var_ncap")*1, (ISNUMBER(SEARCH("RH*-SHLFOBR",[1]OUT_FinalEnergyCons!$A$4:$A$10000)))*1,[1]OUT_FinalEnergyCons!I$4:I$10000)</f>
        <v>0.73660291520912891</v>
      </c>
      <c r="L2239" s="1" cm="1">
        <f t="array" ref="L2239">SUMPRODUCT(([1]OUT_FinalEnergyCons!$B$4:$B$10000="var_ncap")*1, (ISNUMBER(SEARCH("RH*-SHLFOBR",[1]OUT_FinalEnergyCons!$A$4:$A$10000)))*1,[1]OUT_FinalEnergyCons!J$4:J$10000)</f>
        <v>7.6069962263945901E-6</v>
      </c>
      <c r="M2239" s="1" cm="1">
        <f t="array" ref="M2239">SUMPRODUCT(([1]OUT_FinalEnergyCons!$B$4:$B$10000="var_ncap")*1, (ISNUMBER(SEARCH("RH*-SHLFOBR",[1]OUT_FinalEnergyCons!$A$4:$A$10000)))*1,[1]OUT_FinalEnergyCons!K$4:K$10000)</f>
        <v>1.1181111231262379</v>
      </c>
      <c r="N2239" s="1" cm="1">
        <f t="array" ref="N2239">SUMPRODUCT(([1]OUT_FinalEnergyCons!$B$4:$B$10000="var_ncap")*1, (ISNUMBER(SEARCH("RH*-SHLFOBR",[1]OUT_FinalEnergyCons!$A$4:$A$10000)))*1,[1]OUT_FinalEnergyCons!L$4:L$10000)</f>
        <v>0.494488182563741</v>
      </c>
      <c r="O2239" s="1" cm="1">
        <f t="array" ref="O2239">SUMPRODUCT(([1]OUT_FinalEnergyCons!$B$4:$B$10000="var_ncap")*1, (ISNUMBER(SEARCH("RH*-SHLFOBR",[1]OUT_FinalEnergyCons!$A$4:$A$10000)))*1,[1]OUT_FinalEnergyCons!M$4:M$10000)</f>
        <v>2.0764251824745511E-5</v>
      </c>
      <c r="P2239" s="1" cm="1">
        <f t="array" ref="P2239">SUMPRODUCT(([1]OUT_FinalEnergyCons!$B$4:$B$10000="var_ncap")*1, (ISNUMBER(SEARCH("RH*-SHLFOBR",[1]OUT_FinalEnergyCons!$A$4:$A$10000)))*1,[1]OUT_FinalEnergyCons!N$4:N$10000)</f>
        <v>0.56381453546294302</v>
      </c>
      <c r="Q2239" s="1" cm="1">
        <f t="array" ref="Q2239">SUMPRODUCT(([1]OUT_FinalEnergyCons!$B$4:$B$10000="var_ncap")*1, (ISNUMBER(SEARCH("RH*-SHLFOBR",[1]OUT_FinalEnergyCons!$A$4:$A$10000)))*1,[1]OUT_FinalEnergyCons!O$4:O$10000)</f>
        <v>1.9873228360766682E-5</v>
      </c>
      <c r="S2239" s="3"/>
    </row>
    <row r="2240" spans="2:19" x14ac:dyDescent="0.5">
      <c r="B2240" s="5" t="str">
        <f t="shared" si="2263"/>
        <v>SPS1</v>
      </c>
      <c r="C2240" s="5" t="str">
        <f t="shared" si="2264"/>
        <v>CH</v>
      </c>
      <c r="D2240" t="s">
        <v>2374</v>
      </c>
      <c r="E2240" t="str">
        <f t="shared" si="2265"/>
        <v>GWth/yr.</v>
      </c>
      <c r="F2240" s="1">
        <f t="shared" ref="F2240:K2240" si="2267">SUM(F2241:F2242)</f>
        <v>2.8985594379743798E-7</v>
      </c>
      <c r="G2240" s="1">
        <f t="shared" si="2267"/>
        <v>0.22647013121962739</v>
      </c>
      <c r="H2240" s="1">
        <f t="shared" si="2267"/>
        <v>3.1347871834168121E-3</v>
      </c>
      <c r="I2240" s="1">
        <f t="shared" si="2267"/>
        <v>6.522803470301558E-2</v>
      </c>
      <c r="J2240" s="1">
        <f t="shared" si="2267"/>
        <v>2.3154671064266061</v>
      </c>
      <c r="K2240" s="1">
        <f t="shared" si="2267"/>
        <v>0.81755195950763182</v>
      </c>
      <c r="L2240" s="1">
        <f t="shared" ref="L2240:O2240" si="2268">SUM(L2241:L2242)</f>
        <v>8.0543165016089616E-2</v>
      </c>
      <c r="M2240" s="1">
        <f t="shared" si="2268"/>
        <v>2.4394437502676967</v>
      </c>
      <c r="N2240" s="1">
        <f t="shared" si="2268"/>
        <v>0.60243624514238237</v>
      </c>
      <c r="O2240" s="1">
        <f t="shared" si="2268"/>
        <v>0.1298064183409951</v>
      </c>
      <c r="P2240" s="1">
        <f>SUM(P2241:P2242)</f>
        <v>2.3167134738381132</v>
      </c>
      <c r="Q2240" s="1">
        <f>SUM(Q2241:Q2242)</f>
        <v>0.41823996644866501</v>
      </c>
      <c r="S2240" s="3"/>
    </row>
    <row r="2241" spans="2:19" x14ac:dyDescent="0.5">
      <c r="B2241" s="5" t="str">
        <f t="shared" si="2263"/>
        <v>SPS1</v>
      </c>
      <c r="C2241" s="5" t="str">
        <f t="shared" si="2264"/>
        <v>CH</v>
      </c>
      <c r="D2241" t="s">
        <v>2375</v>
      </c>
      <c r="E2241" t="str">
        <f t="shared" si="2265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0.22646605463957131</v>
      </c>
      <c r="H2241" s="1" cm="1">
        <f t="array" ref="H2241">SUMPRODUCT(([1]OUT_FinalEnergyCons!$B$4:$B$10000="var_ncap")*1, (ISNUMBER(SEARCH("RH*-SHNGABR",[1]OUT_FinalEnergyCons!$A$4:$A$10000)))*1,[1]OUT_FinalEnergyCons!F$4:F$10000)</f>
        <v>1.0211861360672465E-5</v>
      </c>
      <c r="I2241" s="1" cm="1">
        <f t="array" ref="I2241">SUMPRODUCT(([1]OUT_FinalEnergyCons!$B$4:$B$10000="var_ncap")*1, (ISNUMBER(SEARCH("RH*-SHNGABR",[1]OUT_FinalEnergyCons!$A$4:$A$10000)))*1,[1]OUT_FinalEnergyCons!G$4:G$10000)</f>
        <v>6.5208398682680455E-2</v>
      </c>
      <c r="J2241" s="1" cm="1">
        <f t="array" ref="J2241">SUMPRODUCT(([1]OUT_FinalEnergyCons!$B$4:$B$10000="var_ncap")*1, (ISNUMBER(SEARCH("RH*-SHNGABR",[1]OUT_FinalEnergyCons!$A$4:$A$10000)))*1,[1]OUT_FinalEnergyCons!H$4:H$10000)</f>
        <v>2.123679687653055</v>
      </c>
      <c r="K2241" s="1" cm="1">
        <f t="array" ref="K2241">SUMPRODUCT(([1]OUT_FinalEnergyCons!$B$4:$B$10000="var_ncap")*1, (ISNUMBER(SEARCH("RH*-SHNGABR",[1]OUT_FinalEnergyCons!$A$4:$A$10000)))*1,[1]OUT_FinalEnergyCons!I$4:I$10000)</f>
        <v>0.64613310003798508</v>
      </c>
      <c r="L2241" s="1" cm="1">
        <f t="array" ref="L2241">SUMPRODUCT(([1]OUT_FinalEnergyCons!$B$4:$B$10000="var_ncap")*1, (ISNUMBER(SEARCH("RH*-SHNGABR",[1]OUT_FinalEnergyCons!$A$4:$A$10000)))*1,[1]OUT_FinalEnergyCons!J$4:J$10000)</f>
        <v>6.2104394513317902E-5</v>
      </c>
      <c r="M2241" s="1" cm="1">
        <f t="array" ref="M2241">SUMPRODUCT(([1]OUT_FinalEnergyCons!$B$4:$B$10000="var_ncap")*1, (ISNUMBER(SEARCH("RH*-SHNGABR",[1]OUT_FinalEnergyCons!$A$4:$A$10000)))*1,[1]OUT_FinalEnergyCons!K$4:K$10000)</f>
        <v>2.0111037908116902</v>
      </c>
      <c r="N2241" s="1" cm="1">
        <f t="array" ref="N2241">SUMPRODUCT(([1]OUT_FinalEnergyCons!$B$4:$B$10000="var_ncap")*1, (ISNUMBER(SEARCH("RH*-SHNGABR",[1]OUT_FinalEnergyCons!$A$4:$A$10000)))*1,[1]OUT_FinalEnergyCons!L$4:L$10000)</f>
        <v>0.40136181389133296</v>
      </c>
      <c r="O2241" s="1" cm="1">
        <f t="array" ref="O2241">SUMPRODUCT(([1]OUT_FinalEnergyCons!$B$4:$B$10000="var_ncap")*1, (ISNUMBER(SEARCH("RH*-SHNGABR",[1]OUT_FinalEnergyCons!$A$4:$A$10000)))*1,[1]OUT_FinalEnergyCons!M$4:M$10000)</f>
        <v>3.1652167242817971E-5</v>
      </c>
      <c r="P2241" s="1" cm="1">
        <f t="array" ref="P2241">SUMPRODUCT(([1]OUT_FinalEnergyCons!$B$4:$B$10000="var_ncap")*1, (ISNUMBER(SEARCH("RH*-SHNGABR",[1]OUT_FinalEnergyCons!$A$4:$A$10000)))*1,[1]OUT_FinalEnergyCons!N$4:N$10000)</f>
        <v>1.647650776356679</v>
      </c>
      <c r="Q2241" s="1" cm="1">
        <f t="array" ref="Q2241">SUMPRODUCT(([1]OUT_FinalEnergyCons!$B$4:$B$10000="var_ncap")*1, (ISNUMBER(SEARCH("RH*-SHNGABR",[1]OUT_FinalEnergyCons!$A$4:$A$10000)))*1,[1]OUT_FinalEnergyCons!O$4:O$10000)</f>
        <v>0.20307049518785189</v>
      </c>
      <c r="S2241" s="3"/>
    </row>
    <row r="2242" spans="2:19" x14ac:dyDescent="0.5">
      <c r="B2242" s="5" t="str">
        <f t="shared" si="2263"/>
        <v>SPS1</v>
      </c>
      <c r="C2242" s="5" t="str">
        <f t="shared" si="2264"/>
        <v>CH</v>
      </c>
      <c r="D2242" t="s">
        <v>2376</v>
      </c>
      <c r="E2242" t="str">
        <f t="shared" si="2265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2.8985594379743798E-7</v>
      </c>
      <c r="G2242" s="1" cm="1">
        <f t="array" ref="G2242">SUMPRODUCT(([1]OUT_FinalEnergyCons!$B$4:$B$10000="var_ncap")*1,ISNUMBER(SEARCH("RH*-SHngahp",[1]OUT_FinalEnergyCons!$A$4:$A$10000))*1,[1]OUT_FinalEnergyCons!E$4:E$10000)</f>
        <v>4.0765800560709015E-6</v>
      </c>
      <c r="H2242" s="1" cm="1">
        <f t="array" ref="H2242">SUMPRODUCT(([1]OUT_FinalEnergyCons!$B$4:$B$10000="var_ncap")*1,ISNUMBER(SEARCH("RH*-SHngahp",[1]OUT_FinalEnergyCons!$A$4:$A$10000))*1,[1]OUT_FinalEnergyCons!F$4:F$10000)</f>
        <v>3.1245753220561397E-3</v>
      </c>
      <c r="I2242" s="1" cm="1">
        <f t="array" ref="I2242">SUMPRODUCT(([1]OUT_FinalEnergyCons!$B$4:$B$10000="var_ncap")*1,ISNUMBER(SEARCH("RH*-SHngahp",[1]OUT_FinalEnergyCons!$A$4:$A$10000))*1,[1]OUT_FinalEnergyCons!G$4:G$10000)</f>
        <v>1.9636020335128702E-5</v>
      </c>
      <c r="J2242" s="1" cm="1">
        <f t="array" ref="J2242">SUMPRODUCT(([1]OUT_FinalEnergyCons!$B$4:$B$10000="var_ncap")*1,ISNUMBER(SEARCH("RH*-SHngahp",[1]OUT_FinalEnergyCons!$A$4:$A$10000))*1,[1]OUT_FinalEnergyCons!H$4:H$10000)</f>
        <v>0.19178741877355127</v>
      </c>
      <c r="K2242" s="1" cm="1">
        <f t="array" ref="K2242">SUMPRODUCT(([1]OUT_FinalEnergyCons!$B$4:$B$10000="var_ncap")*1,ISNUMBER(SEARCH("RH*-SHngahp",[1]OUT_FinalEnergyCons!$A$4:$A$10000))*1,[1]OUT_FinalEnergyCons!I$4:I$10000)</f>
        <v>0.17141885946964672</v>
      </c>
      <c r="L2242" s="1" cm="1">
        <f t="array" ref="L2242">SUMPRODUCT(([1]OUT_FinalEnergyCons!$B$4:$B$10000="var_ncap")*1,ISNUMBER(SEARCH("RH*-SHngahp",[1]OUT_FinalEnergyCons!$A$4:$A$10000))*1,[1]OUT_FinalEnergyCons!J$4:J$10000)</f>
        <v>8.0481060621576297E-2</v>
      </c>
      <c r="M2242" s="1" cm="1">
        <f t="array" ref="M2242">SUMPRODUCT(([1]OUT_FinalEnergyCons!$B$4:$B$10000="var_ncap")*1,ISNUMBER(SEARCH("RH*-SHngahp",[1]OUT_FinalEnergyCons!$A$4:$A$10000))*1,[1]OUT_FinalEnergyCons!K$4:K$10000)</f>
        <v>0.42833995945600667</v>
      </c>
      <c r="N2242" s="1" cm="1">
        <f t="array" ref="N2242">SUMPRODUCT(([1]OUT_FinalEnergyCons!$B$4:$B$10000="var_ncap")*1,ISNUMBER(SEARCH("RH*-SHngahp",[1]OUT_FinalEnergyCons!$A$4:$A$10000))*1,[1]OUT_FinalEnergyCons!L$4:L$10000)</f>
        <v>0.20107443125104946</v>
      </c>
      <c r="O2242" s="1" cm="1">
        <f t="array" ref="O2242">SUMPRODUCT(([1]OUT_FinalEnergyCons!$B$4:$B$10000="var_ncap")*1,ISNUMBER(SEARCH("RH*-SHngahp",[1]OUT_FinalEnergyCons!$A$4:$A$10000))*1,[1]OUT_FinalEnergyCons!M$4:M$10000)</f>
        <v>0.12977476617375228</v>
      </c>
      <c r="P2242" s="1" cm="1">
        <f t="array" ref="P2242">SUMPRODUCT(([1]OUT_FinalEnergyCons!$B$4:$B$10000="var_ncap")*1,ISNUMBER(SEARCH("RH*-SHngahp",[1]OUT_FinalEnergyCons!$A$4:$A$10000))*1,[1]OUT_FinalEnergyCons!N$4:N$10000)</f>
        <v>0.6690626974814341</v>
      </c>
      <c r="Q2242" s="1" cm="1">
        <f t="array" ref="Q2242">SUMPRODUCT(([1]OUT_FinalEnergyCons!$B$4:$B$10000="var_ncap")*1,ISNUMBER(SEARCH("RH*-SHngahp",[1]OUT_FinalEnergyCons!$A$4:$A$10000))*1,[1]OUT_FinalEnergyCons!O$4:O$10000)</f>
        <v>0.21516947126081312</v>
      </c>
      <c r="S2242" s="3"/>
    </row>
    <row r="2243" spans="2:19" x14ac:dyDescent="0.5">
      <c r="B2243" s="5" t="str">
        <f t="shared" si="2263"/>
        <v>SPS1</v>
      </c>
      <c r="C2243" s="5" t="str">
        <f t="shared" si="2264"/>
        <v>CH</v>
      </c>
      <c r="D2243" t="s">
        <v>2377</v>
      </c>
      <c r="E2243" t="str">
        <f t="shared" si="2265"/>
        <v>GWth/yr.</v>
      </c>
      <c r="F2243" s="1">
        <f t="shared" ref="F2243:O2243" si="2269">F2244</f>
        <v>0</v>
      </c>
      <c r="G2243" s="1">
        <f t="shared" si="2269"/>
        <v>0</v>
      </c>
      <c r="H2243" s="1">
        <f t="shared" si="2269"/>
        <v>0</v>
      </c>
      <c r="I2243" s="1">
        <f t="shared" si="2269"/>
        <v>0</v>
      </c>
      <c r="J2243" s="1">
        <f t="shared" si="2269"/>
        <v>0</v>
      </c>
      <c r="K2243" s="1">
        <f t="shared" si="2269"/>
        <v>0</v>
      </c>
      <c r="L2243" s="1">
        <f t="shared" si="2269"/>
        <v>0</v>
      </c>
      <c r="M2243" s="1">
        <f t="shared" si="2269"/>
        <v>0</v>
      </c>
      <c r="N2243" s="1">
        <f t="shared" si="2269"/>
        <v>0</v>
      </c>
      <c r="O2243" s="1">
        <f t="shared" si="2269"/>
        <v>0</v>
      </c>
      <c r="P2243" s="1">
        <f>P2244</f>
        <v>0</v>
      </c>
      <c r="Q2243" s="1">
        <f>Q2244</f>
        <v>0</v>
      </c>
      <c r="S2243" s="3"/>
    </row>
    <row r="2244" spans="2:19" x14ac:dyDescent="0.5">
      <c r="B2244" s="5" t="str">
        <f t="shared" si="2263"/>
        <v>SPS1</v>
      </c>
      <c r="C2244" s="5" t="str">
        <f t="shared" si="2264"/>
        <v>CH</v>
      </c>
      <c r="D2244" t="s">
        <v>2378</v>
      </c>
      <c r="E2244" t="str">
        <f t="shared" si="2265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SUMPRODUCT(([1]OUT_FinalEnergyCons!$B$4:$B$10000="var_ncap")*1, (ISNUMBER(SEARCH("RH*-SHCOABR",[1]OUT_FinalEnergyCons!$A$4:$A$10000)))*1,[1]OUT_FinalEnergyCons!H$4:H$10000)</f>
        <v>0</v>
      </c>
      <c r="K2244" s="1" cm="1">
        <f t="array" ref="K2244">SUMPRODUCT(([1]OUT_FinalEnergyCons!$B$4:$B$10000="var_ncap")*1, (ISNUMBER(SEARCH("RH*-SHCOABR",[1]OUT_FinalEnergyCons!$A$4:$A$10000)))*1,[1]OUT_FinalEnergyCons!I$4:I$10000)</f>
        <v>0</v>
      </c>
      <c r="L2244" s="1" cm="1">
        <f t="array" ref="L2244">SUMPRODUCT(([1]OUT_FinalEnergyCons!$B$4:$B$10000="var_ncap")*1, (ISNUMBER(SEARCH("RH*-SHCOABR",[1]OUT_FinalEnergyCons!$A$4:$A$10000)))*1,[1]OUT_FinalEnergyCons!J$4:J$10000)</f>
        <v>0</v>
      </c>
      <c r="M2244" s="1" cm="1">
        <f t="array" ref="M2244">SUMPRODUCT(([1]OUT_FinalEnergyCons!$B$4:$B$10000="var_ncap")*1, (ISNUMBER(SEARCH("RH*-SHCOABR",[1]OUT_FinalEnergyCons!$A$4:$A$10000)))*1,[1]OUT_FinalEnergyCons!K$4:K$10000)</f>
        <v>0</v>
      </c>
      <c r="N2244" s="1" cm="1">
        <f t="array" ref="N2244">SUMPRODUCT(([1]OUT_FinalEnergyCons!$B$4:$B$10000="var_ncap")*1, (ISNUMBER(SEARCH("RH*-SHCOABR",[1]OUT_FinalEnergyCons!$A$4:$A$10000)))*1,[1]OUT_FinalEnergyCons!L$4:L$10000)</f>
        <v>0</v>
      </c>
      <c r="O2244" s="1" cm="1">
        <f t="array" ref="O2244">SUMPRODUCT(([1]OUT_FinalEnergyCons!$B$4:$B$10000="var_ncap")*1, (ISNUMBER(SEARCH("RH*-SHCOABR",[1]OUT_FinalEnergyCons!$A$4:$A$10000)))*1,[1]OUT_FinalEnergyCons!M$4:M$10000)</f>
        <v>0</v>
      </c>
      <c r="P2244" s="1" cm="1">
        <f t="array" ref="P2244">SUMPRODUCT(([1]OUT_FinalEnergyCons!$B$4:$B$10000="var_ncap")*1, (ISNUMBER(SEARCH("RH*-SHCOABR",[1]OUT_FinalEnergyCons!$A$4:$A$10000)))*1,[1]OUT_FinalEnergyCons!N$4:N$10000)</f>
        <v>0</v>
      </c>
      <c r="Q2244" s="1" cm="1">
        <f t="array" ref="Q2244">SUMPRODUCT(([1]OUT_FinalEnergyCons!$B$4:$B$10000="var_ncap")*1, (ISNUMBER(SEARCH("RH*-SHCOABR",[1]OUT_FinalEnergyCons!$A$4:$A$10000)))*1,[1]OUT_FinalEnergyCons!O$4:O$10000)</f>
        <v>0</v>
      </c>
      <c r="S2244" s="3"/>
    </row>
    <row r="2245" spans="2:19" x14ac:dyDescent="0.5">
      <c r="B2245" s="5" t="str">
        <f t="shared" si="2263"/>
        <v>SPS1</v>
      </c>
      <c r="C2245" s="5" t="str">
        <f t="shared" si="2264"/>
        <v>CH</v>
      </c>
      <c r="D2245" t="s">
        <v>2379</v>
      </c>
      <c r="E2245" t="str">
        <f t="shared" si="2265"/>
        <v>GWth/yr.</v>
      </c>
      <c r="F2245" s="1">
        <f t="shared" ref="F2245:O2245" si="2270">F2246</f>
        <v>1.53037126391288E-4</v>
      </c>
      <c r="G2245" s="1">
        <f t="shared" si="2270"/>
        <v>8.4914377421310572E-3</v>
      </c>
      <c r="H2245" s="1">
        <f t="shared" si="2270"/>
        <v>5.6317269593695665E-3</v>
      </c>
      <c r="I2245" s="1">
        <f t="shared" si="2270"/>
        <v>1.9797205344408998E-5</v>
      </c>
      <c r="J2245" s="1">
        <f t="shared" si="2270"/>
        <v>0.28026423448023946</v>
      </c>
      <c r="K2245" s="1">
        <f t="shared" si="2270"/>
        <v>0.12683857134489401</v>
      </c>
      <c r="L2245" s="1">
        <f t="shared" si="2270"/>
        <v>1.6933648079953137E-2</v>
      </c>
      <c r="M2245" s="1">
        <f t="shared" si="2270"/>
        <v>0.15563166388935729</v>
      </c>
      <c r="N2245" s="1">
        <f t="shared" si="2270"/>
        <v>9.2433256232592118E-2</v>
      </c>
      <c r="O2245" s="1">
        <f t="shared" si="2270"/>
        <v>5.3678972890181436E-3</v>
      </c>
      <c r="P2245" s="1">
        <f>P2246</f>
        <v>0.12932926047881799</v>
      </c>
      <c r="Q2245" s="1">
        <f>Q2246</f>
        <v>9.3799014078077506E-3</v>
      </c>
      <c r="S2245" s="3"/>
    </row>
    <row r="2246" spans="2:19" x14ac:dyDescent="0.5">
      <c r="B2246" s="5" t="str">
        <f t="shared" si="2263"/>
        <v>SPS1</v>
      </c>
      <c r="C2246" s="5" t="str">
        <f t="shared" si="2264"/>
        <v>CH</v>
      </c>
      <c r="D2246" t="s">
        <v>2380</v>
      </c>
      <c r="E2246" t="str">
        <f t="shared" si="2265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1.53037126391288E-4</v>
      </c>
      <c r="G2246" s="1" cm="1">
        <f t="array" ref="G2246">SUMPRODUCT(([1]OUT_FinalEnergyCons!$B$4:$B$10000="var_ncap")*1, (ISNUMBER(SEARCH("RH*-SHWODBR",[1]OUT_FinalEnergyCons!$A$4:$A$10000)))*1,[1]OUT_FinalEnergyCons!E$4:E$10000)</f>
        <v>8.4914377421310572E-3</v>
      </c>
      <c r="H2246" s="1" cm="1">
        <f t="array" ref="H2246">SUMPRODUCT(([1]OUT_FinalEnergyCons!$B$4:$B$10000="var_ncap")*1, (ISNUMBER(SEARCH("RH*-SHWODBR",[1]OUT_FinalEnergyCons!$A$4:$A$10000)))*1,[1]OUT_FinalEnergyCons!F$4:F$10000)</f>
        <v>5.6317269593695665E-3</v>
      </c>
      <c r="I2246" s="1" cm="1">
        <f t="array" ref="I2246">SUMPRODUCT(([1]OUT_FinalEnergyCons!$B$4:$B$10000="var_ncap")*1, (ISNUMBER(SEARCH("RH*-SHWODBR",[1]OUT_FinalEnergyCons!$A$4:$A$10000)))*1,[1]OUT_FinalEnergyCons!G$4:G$10000)</f>
        <v>1.9797205344408998E-5</v>
      </c>
      <c r="J2246" s="1" cm="1">
        <f t="array" ref="J2246">SUMPRODUCT(([1]OUT_FinalEnergyCons!$B$4:$B$10000="var_ncap")*1, (ISNUMBER(SEARCH("RH*-SHWODBR",[1]OUT_FinalEnergyCons!$A$4:$A$10000)))*1,[1]OUT_FinalEnergyCons!H$4:H$10000)</f>
        <v>0.28026423448023946</v>
      </c>
      <c r="K2246" s="1" cm="1">
        <f t="array" ref="K2246">SUMPRODUCT(([1]OUT_FinalEnergyCons!$B$4:$B$10000="var_ncap")*1, (ISNUMBER(SEARCH("RH*-SHWODBR",[1]OUT_FinalEnergyCons!$A$4:$A$10000)))*1,[1]OUT_FinalEnergyCons!I$4:I$10000)</f>
        <v>0.12683857134489401</v>
      </c>
      <c r="L2246" s="1" cm="1">
        <f t="array" ref="L2246">SUMPRODUCT(([1]OUT_FinalEnergyCons!$B$4:$B$10000="var_ncap")*1, (ISNUMBER(SEARCH("RH*-SHWODBR",[1]OUT_FinalEnergyCons!$A$4:$A$10000)))*1,[1]OUT_FinalEnergyCons!J$4:J$10000)</f>
        <v>1.6933648079953137E-2</v>
      </c>
      <c r="M2246" s="1" cm="1">
        <f t="array" ref="M2246">SUMPRODUCT(([1]OUT_FinalEnergyCons!$B$4:$B$10000="var_ncap")*1, (ISNUMBER(SEARCH("RH*-SHWODBR",[1]OUT_FinalEnergyCons!$A$4:$A$10000)))*1,[1]OUT_FinalEnergyCons!K$4:K$10000)</f>
        <v>0.15563166388935729</v>
      </c>
      <c r="N2246" s="1" cm="1">
        <f t="array" ref="N2246">SUMPRODUCT(([1]OUT_FinalEnergyCons!$B$4:$B$10000="var_ncap")*1, (ISNUMBER(SEARCH("RH*-SHWODBR",[1]OUT_FinalEnergyCons!$A$4:$A$10000)))*1,[1]OUT_FinalEnergyCons!L$4:L$10000)</f>
        <v>9.2433256232592118E-2</v>
      </c>
      <c r="O2246" s="1" cm="1">
        <f t="array" ref="O2246">SUMPRODUCT(([1]OUT_FinalEnergyCons!$B$4:$B$10000="var_ncap")*1, (ISNUMBER(SEARCH("RH*-SHWODBR",[1]OUT_FinalEnergyCons!$A$4:$A$10000)))*1,[1]OUT_FinalEnergyCons!M$4:M$10000)</f>
        <v>5.3678972890181436E-3</v>
      </c>
      <c r="P2246" s="1" cm="1">
        <f t="array" ref="P2246">SUMPRODUCT(([1]OUT_FinalEnergyCons!$B$4:$B$10000="var_ncap")*1, (ISNUMBER(SEARCH("RH*-SHWODBR",[1]OUT_FinalEnergyCons!$A$4:$A$10000)))*1,[1]OUT_FinalEnergyCons!N$4:N$10000)</f>
        <v>0.12932926047881799</v>
      </c>
      <c r="Q2246" s="1" cm="1">
        <f t="array" ref="Q2246">SUMPRODUCT(([1]OUT_FinalEnergyCons!$B$4:$B$10000="var_ncap")*1, (ISNUMBER(SEARCH("RH*-SHWODBR",[1]OUT_FinalEnergyCons!$A$4:$A$10000)))*1,[1]OUT_FinalEnergyCons!O$4:O$10000)</f>
        <v>9.3799014078077506E-3</v>
      </c>
      <c r="S2246" s="3"/>
    </row>
    <row r="2247" spans="2:19" x14ac:dyDescent="0.5">
      <c r="B2247" s="5" t="str">
        <f t="shared" si="2263"/>
        <v>SPS1</v>
      </c>
      <c r="C2247" s="5" t="str">
        <f t="shared" si="2264"/>
        <v>CH</v>
      </c>
      <c r="D2247" t="s">
        <v>2381</v>
      </c>
      <c r="E2247" t="str">
        <f t="shared" si="2265"/>
        <v>GWth/yr.</v>
      </c>
      <c r="F2247" s="1">
        <f t="shared" ref="F2247:O2247" si="2271">F2248</f>
        <v>1.0493459113849E-4</v>
      </c>
      <c r="G2247" s="1">
        <f t="shared" si="2271"/>
        <v>3.601141415414106E-2</v>
      </c>
      <c r="H2247" s="1">
        <f t="shared" si="2271"/>
        <v>1.9706455724156777E-4</v>
      </c>
      <c r="I2247" s="1">
        <f t="shared" si="2271"/>
        <v>1.1325030980808474E-2</v>
      </c>
      <c r="J2247" s="1">
        <f t="shared" si="2271"/>
        <v>0.17703304562055772</v>
      </c>
      <c r="K2247" s="1">
        <f t="shared" si="2271"/>
        <v>7.9551252301561071E-2</v>
      </c>
      <c r="L2247" s="1">
        <f t="shared" si="2271"/>
        <v>1.5168662258084598E-2</v>
      </c>
      <c r="M2247" s="1">
        <f t="shared" si="2271"/>
        <v>0.18125184334594571</v>
      </c>
      <c r="N2247" s="1">
        <f t="shared" si="2271"/>
        <v>7.2142099348816421E-2</v>
      </c>
      <c r="O2247" s="1">
        <f t="shared" si="2271"/>
        <v>2.912624593733603E-2</v>
      </c>
      <c r="P2247" s="1">
        <f>P2248</f>
        <v>0.17132695944912699</v>
      </c>
      <c r="Q2247" s="1">
        <f>Q2248</f>
        <v>8.1924398402815402E-2</v>
      </c>
      <c r="S2247" s="3"/>
    </row>
    <row r="2248" spans="2:19" x14ac:dyDescent="0.5">
      <c r="B2248" s="5" t="str">
        <f t="shared" si="2263"/>
        <v>SPS1</v>
      </c>
      <c r="C2248" s="5" t="str">
        <f t="shared" si="2264"/>
        <v>CH</v>
      </c>
      <c r="D2248" t="s">
        <v>2382</v>
      </c>
      <c r="E2248" t="str">
        <f t="shared" si="2265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1.0493459113849E-4</v>
      </c>
      <c r="G2248" s="1" cm="1">
        <f t="array" ref="G2248">SUMPRODUCT(([1]OUT_FinalEnergyCons!$B$4:$B$10000="var_ncap")*1, (ISNUMBER(SEARCH("RH*-SHPLTBR",[1]OUT_FinalEnergyCons!$A$4:$A$10000)))*1,[1]OUT_FinalEnergyCons!E$4:E$10000)</f>
        <v>3.601141415414106E-2</v>
      </c>
      <c r="H2248" s="1" cm="1">
        <f t="array" ref="H2248">SUMPRODUCT(([1]OUT_FinalEnergyCons!$B$4:$B$10000="var_ncap")*1, (ISNUMBER(SEARCH("RH*-SHPLTBR",[1]OUT_FinalEnergyCons!$A$4:$A$10000)))*1,[1]OUT_FinalEnergyCons!F$4:F$10000)</f>
        <v>1.9706455724156777E-4</v>
      </c>
      <c r="I2248" s="1" cm="1">
        <f t="array" ref="I2248">SUMPRODUCT(([1]OUT_FinalEnergyCons!$B$4:$B$10000="var_ncap")*1, (ISNUMBER(SEARCH("RH*-SHPLTBR",[1]OUT_FinalEnergyCons!$A$4:$A$10000)))*1,[1]OUT_FinalEnergyCons!G$4:G$10000)</f>
        <v>1.1325030980808474E-2</v>
      </c>
      <c r="J2248" s="1" cm="1">
        <f t="array" ref="J2248">SUMPRODUCT(([1]OUT_FinalEnergyCons!$B$4:$B$10000="var_ncap")*1, (ISNUMBER(SEARCH("RH*-SHPLTBR",[1]OUT_FinalEnergyCons!$A$4:$A$10000)))*1,[1]OUT_FinalEnergyCons!H$4:H$10000)</f>
        <v>0.17703304562055772</v>
      </c>
      <c r="K2248" s="1" cm="1">
        <f t="array" ref="K2248">SUMPRODUCT(([1]OUT_FinalEnergyCons!$B$4:$B$10000="var_ncap")*1, (ISNUMBER(SEARCH("RH*-SHPLTBR",[1]OUT_FinalEnergyCons!$A$4:$A$10000)))*1,[1]OUT_FinalEnergyCons!I$4:I$10000)</f>
        <v>7.9551252301561071E-2</v>
      </c>
      <c r="L2248" s="1" cm="1">
        <f t="array" ref="L2248">SUMPRODUCT(([1]OUT_FinalEnergyCons!$B$4:$B$10000="var_ncap")*1, (ISNUMBER(SEARCH("RH*-SHPLTBR",[1]OUT_FinalEnergyCons!$A$4:$A$10000)))*1,[1]OUT_FinalEnergyCons!J$4:J$10000)</f>
        <v>1.5168662258084598E-2</v>
      </c>
      <c r="M2248" s="1" cm="1">
        <f t="array" ref="M2248">SUMPRODUCT(([1]OUT_FinalEnergyCons!$B$4:$B$10000="var_ncap")*1, (ISNUMBER(SEARCH("RH*-SHPLTBR",[1]OUT_FinalEnergyCons!$A$4:$A$10000)))*1,[1]OUT_FinalEnergyCons!K$4:K$10000)</f>
        <v>0.18125184334594571</v>
      </c>
      <c r="N2248" s="1" cm="1">
        <f t="array" ref="N2248">SUMPRODUCT(([1]OUT_FinalEnergyCons!$B$4:$B$10000="var_ncap")*1, (ISNUMBER(SEARCH("RH*-SHPLTBR",[1]OUT_FinalEnergyCons!$A$4:$A$10000)))*1,[1]OUT_FinalEnergyCons!L$4:L$10000)</f>
        <v>7.2142099348816421E-2</v>
      </c>
      <c r="O2248" s="1" cm="1">
        <f t="array" ref="O2248">SUMPRODUCT(([1]OUT_FinalEnergyCons!$B$4:$B$10000="var_ncap")*1, (ISNUMBER(SEARCH("RH*-SHPLTBR",[1]OUT_FinalEnergyCons!$A$4:$A$10000)))*1,[1]OUT_FinalEnergyCons!M$4:M$10000)</f>
        <v>2.912624593733603E-2</v>
      </c>
      <c r="P2248" s="1" cm="1">
        <f t="array" ref="P2248">SUMPRODUCT(([1]OUT_FinalEnergyCons!$B$4:$B$10000="var_ncap")*1, (ISNUMBER(SEARCH("RH*-SHPLTBR",[1]OUT_FinalEnergyCons!$A$4:$A$10000)))*1,[1]OUT_FinalEnergyCons!N$4:N$10000)</f>
        <v>0.17132695944912699</v>
      </c>
      <c r="Q2248" s="1" cm="1">
        <f t="array" ref="Q2248">SUMPRODUCT(([1]OUT_FinalEnergyCons!$B$4:$B$10000="var_ncap")*1, (ISNUMBER(SEARCH("RH*-SHPLTBR",[1]OUT_FinalEnergyCons!$A$4:$A$10000)))*1,[1]OUT_FinalEnergyCons!O$4:O$10000)</f>
        <v>8.1924398402815402E-2</v>
      </c>
      <c r="S2248" s="3"/>
    </row>
    <row r="2249" spans="2:19" x14ac:dyDescent="0.5">
      <c r="B2249" s="5" t="str">
        <f t="shared" si="2263"/>
        <v>SPS1</v>
      </c>
      <c r="C2249" s="5" t="str">
        <f t="shared" si="2264"/>
        <v>CH</v>
      </c>
      <c r="D2249" t="s">
        <v>2383</v>
      </c>
      <c r="E2249" t="str">
        <f t="shared" si="2265"/>
        <v>GWth/yr.</v>
      </c>
      <c r="F2249" s="1">
        <f t="shared" ref="F2249:O2249" si="2272">F2250</f>
        <v>1.5178210357316601E-4</v>
      </c>
      <c r="G2249" s="1">
        <f t="shared" si="2272"/>
        <v>2.3214771706308382E-2</v>
      </c>
      <c r="H2249" s="1">
        <f t="shared" si="2272"/>
        <v>6.1324185639396772E-4</v>
      </c>
      <c r="I2249" s="1">
        <f t="shared" si="2272"/>
        <v>4.753650364525807E-4</v>
      </c>
      <c r="J2249" s="1">
        <f t="shared" si="2272"/>
        <v>9.2514687725253647E-2</v>
      </c>
      <c r="K2249" s="1">
        <f t="shared" si="2272"/>
        <v>3.8445744259609393E-2</v>
      </c>
      <c r="L2249" s="1">
        <f t="shared" si="2272"/>
        <v>2.7446795698984108E-4</v>
      </c>
      <c r="M2249" s="1">
        <f t="shared" si="2272"/>
        <v>9.2400413136285511E-2</v>
      </c>
      <c r="N2249" s="1">
        <f t="shared" si="2272"/>
        <v>3.0454676118437142E-2</v>
      </c>
      <c r="O2249" s="1">
        <f t="shared" si="2272"/>
        <v>7.6102083167868696E-3</v>
      </c>
      <c r="P2249" s="1">
        <f>P2250</f>
        <v>8.2521674106015491E-2</v>
      </c>
      <c r="Q2249" s="1">
        <f>Q2250</f>
        <v>3.5481896902456747E-2</v>
      </c>
      <c r="S2249" s="3"/>
    </row>
    <row r="2250" spans="2:19" x14ac:dyDescent="0.5">
      <c r="B2250" s="5" t="str">
        <f t="shared" si="2263"/>
        <v>SPS1</v>
      </c>
      <c r="C2250" s="5" t="str">
        <f t="shared" si="2264"/>
        <v>CH</v>
      </c>
      <c r="D2250" t="s">
        <v>2384</v>
      </c>
      <c r="E2250" t="str">
        <f t="shared" si="2265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1.5178210357316601E-4</v>
      </c>
      <c r="G2250" s="1" cm="1">
        <f t="array" ref="G2250">SUMPRODUCT(([1]OUT_FinalEnergyCons!$B$4:$B$10000="var_ncap")*1, (ISNUMBER(SEARCH("RH*-SHSOLBR",[1]OUT_FinalEnergyCons!$A$4:$A$10000)))*1,[1]OUT_FinalEnergyCons!E$4:E$10000)</f>
        <v>2.3214771706308382E-2</v>
      </c>
      <c r="H2250" s="1" cm="1">
        <f t="array" ref="H2250">SUMPRODUCT(([1]OUT_FinalEnergyCons!$B$4:$B$10000="var_ncap")*1, (ISNUMBER(SEARCH("RH*-SHSOLBR",[1]OUT_FinalEnergyCons!$A$4:$A$10000)))*1,[1]OUT_FinalEnergyCons!F$4:F$10000)</f>
        <v>6.1324185639396772E-4</v>
      </c>
      <c r="I2250" s="1" cm="1">
        <f t="array" ref="I2250">SUMPRODUCT(([1]OUT_FinalEnergyCons!$B$4:$B$10000="var_ncap")*1, (ISNUMBER(SEARCH("RH*-SHSOLBR",[1]OUT_FinalEnergyCons!$A$4:$A$10000)))*1,[1]OUT_FinalEnergyCons!G$4:G$10000)</f>
        <v>4.753650364525807E-4</v>
      </c>
      <c r="J2250" s="1" cm="1">
        <f t="array" ref="J2250">SUMPRODUCT(([1]OUT_FinalEnergyCons!$B$4:$B$10000="var_ncap")*1, (ISNUMBER(SEARCH("RH*-SHSOLBR",[1]OUT_FinalEnergyCons!$A$4:$A$10000)))*1,[1]OUT_FinalEnergyCons!H$4:H$10000)</f>
        <v>9.2514687725253647E-2</v>
      </c>
      <c r="K2250" s="1" cm="1">
        <f t="array" ref="K2250">SUMPRODUCT(([1]OUT_FinalEnergyCons!$B$4:$B$10000="var_ncap")*1, (ISNUMBER(SEARCH("RH*-SHSOLBR",[1]OUT_FinalEnergyCons!$A$4:$A$10000)))*1,[1]OUT_FinalEnergyCons!I$4:I$10000)</f>
        <v>3.8445744259609393E-2</v>
      </c>
      <c r="L2250" s="1" cm="1">
        <f t="array" ref="L2250">SUMPRODUCT(([1]OUT_FinalEnergyCons!$B$4:$B$10000="var_ncap")*1, (ISNUMBER(SEARCH("RH*-SHSOLBR",[1]OUT_FinalEnergyCons!$A$4:$A$10000)))*1,[1]OUT_FinalEnergyCons!J$4:J$10000)</f>
        <v>2.7446795698984108E-4</v>
      </c>
      <c r="M2250" s="1" cm="1">
        <f t="array" ref="M2250">SUMPRODUCT(([1]OUT_FinalEnergyCons!$B$4:$B$10000="var_ncap")*1, (ISNUMBER(SEARCH("RH*-SHSOLBR",[1]OUT_FinalEnergyCons!$A$4:$A$10000)))*1,[1]OUT_FinalEnergyCons!K$4:K$10000)</f>
        <v>9.2400413136285511E-2</v>
      </c>
      <c r="N2250" s="1" cm="1">
        <f t="array" ref="N2250">SUMPRODUCT(([1]OUT_FinalEnergyCons!$B$4:$B$10000="var_ncap")*1, (ISNUMBER(SEARCH("RH*-SHSOLBR",[1]OUT_FinalEnergyCons!$A$4:$A$10000)))*1,[1]OUT_FinalEnergyCons!L$4:L$10000)</f>
        <v>3.0454676118437142E-2</v>
      </c>
      <c r="O2250" s="1" cm="1">
        <f t="array" ref="O2250">SUMPRODUCT(([1]OUT_FinalEnergyCons!$B$4:$B$10000="var_ncap")*1, (ISNUMBER(SEARCH("RH*-SHSOLBR",[1]OUT_FinalEnergyCons!$A$4:$A$10000)))*1,[1]OUT_FinalEnergyCons!M$4:M$10000)</f>
        <v>7.6102083167868696E-3</v>
      </c>
      <c r="P2250" s="1" cm="1">
        <f t="array" ref="P2250">SUMPRODUCT(([1]OUT_FinalEnergyCons!$B$4:$B$10000="var_ncap")*1, (ISNUMBER(SEARCH("RH*-SHSOLBR",[1]OUT_FinalEnergyCons!$A$4:$A$10000)))*1,[1]OUT_FinalEnergyCons!N$4:N$10000)</f>
        <v>8.2521674106015491E-2</v>
      </c>
      <c r="Q2250" s="1" cm="1">
        <f t="array" ref="Q2250">SUMPRODUCT(([1]OUT_FinalEnergyCons!$B$4:$B$10000="var_ncap")*1, (ISNUMBER(SEARCH("RH*-SHSOLBR",[1]OUT_FinalEnergyCons!$A$4:$A$10000)))*1,[1]OUT_FinalEnergyCons!O$4:O$10000)</f>
        <v>3.5481896902456747E-2</v>
      </c>
      <c r="S2250" s="3"/>
    </row>
    <row r="2251" spans="2:19" x14ac:dyDescent="0.5">
      <c r="B2251" s="5" t="str">
        <f t="shared" si="2263"/>
        <v>SPS1</v>
      </c>
      <c r="C2251" s="5" t="str">
        <f t="shared" si="2264"/>
        <v>CH</v>
      </c>
      <c r="D2251" t="s">
        <v>2385</v>
      </c>
      <c r="E2251" t="str">
        <f t="shared" si="2265"/>
        <v>GWth/yr.</v>
      </c>
      <c r="F2251" s="1">
        <f t="shared" ref="F2251:O2251" si="2273">F2252</f>
        <v>0</v>
      </c>
      <c r="G2251" s="1">
        <f t="shared" si="2273"/>
        <v>0</v>
      </c>
      <c r="H2251" s="1">
        <f t="shared" si="2273"/>
        <v>0</v>
      </c>
      <c r="I2251" s="1">
        <f t="shared" si="2273"/>
        <v>0</v>
      </c>
      <c r="J2251" s="1">
        <f t="shared" si="2273"/>
        <v>0</v>
      </c>
      <c r="K2251" s="1">
        <f t="shared" si="2273"/>
        <v>0</v>
      </c>
      <c r="L2251" s="1">
        <f t="shared" si="2273"/>
        <v>0</v>
      </c>
      <c r="M2251" s="1">
        <f t="shared" si="2273"/>
        <v>0</v>
      </c>
      <c r="N2251" s="1">
        <f t="shared" si="2273"/>
        <v>0</v>
      </c>
      <c r="O2251" s="1">
        <f t="shared" si="2273"/>
        <v>0</v>
      </c>
      <c r="P2251" s="1">
        <f>P2252</f>
        <v>0</v>
      </c>
      <c r="Q2251" s="1">
        <f>Q2252</f>
        <v>0</v>
      </c>
      <c r="S2251" s="3"/>
    </row>
    <row r="2252" spans="2:19" x14ac:dyDescent="0.5">
      <c r="B2252" s="5" t="str">
        <f t="shared" si="2263"/>
        <v>SPS1</v>
      </c>
      <c r="C2252" s="5" t="str">
        <f t="shared" si="2264"/>
        <v>CH</v>
      </c>
      <c r="D2252" t="s">
        <v>2386</v>
      </c>
      <c r="E2252" t="str">
        <f t="shared" si="2265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SUMPRODUCT(([1]OUT_FinalEnergyCons!$B$4:$B$10000="var_ncap")*1, (ISNUMBER(SEARCH("RH*-SHH2BR",[1]OUT_FinalEnergyCons!$A$4:$A$10000)))*1,[1]OUT_FinalEnergyCons!H$4:H$10000)</f>
        <v>0</v>
      </c>
      <c r="K2252" s="1" cm="1">
        <f t="array" ref="K2252">SUMPRODUCT(([1]OUT_FinalEnergyCons!$B$4:$B$10000="var_ncap")*1, (ISNUMBER(SEARCH("RH*-SHH2BR",[1]OUT_FinalEnergyCons!$A$4:$A$10000)))*1,[1]OUT_FinalEnergyCons!I$4:I$10000)</f>
        <v>0</v>
      </c>
      <c r="L2252" s="1" cm="1">
        <f t="array" ref="L2252">SUMPRODUCT(([1]OUT_FinalEnergyCons!$B$4:$B$10000="var_ncap")*1, (ISNUMBER(SEARCH("RH*-SHH2BR",[1]OUT_FinalEnergyCons!$A$4:$A$10000)))*1,[1]OUT_FinalEnergyCons!J$4:J$10000)</f>
        <v>0</v>
      </c>
      <c r="M2252" s="1" cm="1">
        <f t="array" ref="M2252">SUMPRODUCT(([1]OUT_FinalEnergyCons!$B$4:$B$10000="var_ncap")*1, (ISNUMBER(SEARCH("RH*-SHH2BR",[1]OUT_FinalEnergyCons!$A$4:$A$10000)))*1,[1]OUT_FinalEnergyCons!K$4:K$10000)</f>
        <v>0</v>
      </c>
      <c r="N2252" s="1" cm="1">
        <f t="array" ref="N2252">SUMPRODUCT(([1]OUT_FinalEnergyCons!$B$4:$B$10000="var_ncap")*1, (ISNUMBER(SEARCH("RH*-SHH2BR",[1]OUT_FinalEnergyCons!$A$4:$A$10000)))*1,[1]OUT_FinalEnergyCons!L$4:L$10000)</f>
        <v>0</v>
      </c>
      <c r="O2252" s="1" cm="1">
        <f t="array" ref="O2252">SUMPRODUCT(([1]OUT_FinalEnergyCons!$B$4:$B$10000="var_ncap")*1, (ISNUMBER(SEARCH("RH*-SHH2BR",[1]OUT_FinalEnergyCons!$A$4:$A$10000)))*1,[1]OUT_FinalEnergyCons!M$4:M$10000)</f>
        <v>0</v>
      </c>
      <c r="P2252" s="1" cm="1">
        <f t="array" ref="P2252">SUMPRODUCT(([1]OUT_FinalEnergyCons!$B$4:$B$10000="var_ncap")*1, (ISNUMBER(SEARCH("RH*-SHH2BR",[1]OUT_FinalEnergyCons!$A$4:$A$10000)))*1,[1]OUT_FinalEnergyCons!N$4:N$10000)</f>
        <v>0</v>
      </c>
      <c r="Q2252" s="1" cm="1">
        <f t="array" ref="Q2252">SUMPRODUCT(([1]OUT_FinalEnergyCons!$B$4:$B$10000="var_ncap")*1, (ISNUMBER(SEARCH("RH*-SHH2BR",[1]OUT_FinalEnergyCons!$A$4:$A$10000)))*1,[1]OUT_FinalEnergyCons!O$4:O$10000)</f>
        <v>0</v>
      </c>
      <c r="S2252" s="3"/>
    </row>
    <row r="2253" spans="2:19" x14ac:dyDescent="0.5">
      <c r="B2253" s="5" t="str">
        <f t="shared" si="2263"/>
        <v>SPS1</v>
      </c>
      <c r="C2253" s="5" t="str">
        <f t="shared" si="2264"/>
        <v>CH</v>
      </c>
      <c r="D2253" t="s">
        <v>2387</v>
      </c>
      <c r="E2253" t="str">
        <f t="shared" si="2265"/>
        <v>GWth/yr.</v>
      </c>
      <c r="F2253" s="1">
        <f t="shared" ref="F2253:K2253" si="2274">SUM(F2254,F2257,F2259,F2262,F2264,F2266,F2268,F2270)</f>
        <v>3.4708958929442668E-5</v>
      </c>
      <c r="G2253" s="1">
        <f t="shared" si="2274"/>
        <v>0.15796067915918682</v>
      </c>
      <c r="H2253" s="1">
        <f t="shared" si="2274"/>
        <v>0.27577032600155177</v>
      </c>
      <c r="I2253" s="1">
        <f t="shared" si="2274"/>
        <v>7.8242032129917261E-2</v>
      </c>
      <c r="J2253" s="1">
        <f t="shared" si="2274"/>
        <v>0.94723651885132454</v>
      </c>
      <c r="K2253" s="1">
        <f t="shared" si="2274"/>
        <v>0.68124657531027155</v>
      </c>
      <c r="L2253" s="1">
        <f t="shared" ref="L2253:O2253" si="2275">SUM(L2254,L2257,L2259,L2262,L2264,L2266,L2268,L2270)</f>
        <v>0.12917897185552057</v>
      </c>
      <c r="M2253" s="1">
        <f t="shared" si="2275"/>
        <v>0.87867955400964382</v>
      </c>
      <c r="N2253" s="1">
        <f t="shared" si="2275"/>
        <v>0.62758701210453194</v>
      </c>
      <c r="O2253" s="1">
        <f t="shared" si="2275"/>
        <v>0.17481818809132191</v>
      </c>
      <c r="P2253" s="1">
        <f>SUM(P2254,P2257,P2259,P2262,P2264,P2266,P2268,P2270)</f>
        <v>0.88884159110884597</v>
      </c>
      <c r="Q2253" s="1">
        <f>SUM(Q2254,Q2257,Q2259,Q2262,Q2264,Q2266,Q2268,Q2270)</f>
        <v>0.55028911198145281</v>
      </c>
      <c r="S2253" s="3"/>
    </row>
    <row r="2254" spans="2:19" x14ac:dyDescent="0.5">
      <c r="B2254" s="5" t="str">
        <f t="shared" si="2263"/>
        <v>SPS1</v>
      </c>
      <c r="C2254" s="5" t="str">
        <f t="shared" si="2264"/>
        <v>CH</v>
      </c>
      <c r="D2254" t="s">
        <v>2388</v>
      </c>
      <c r="E2254" t="str">
        <f t="shared" si="2265"/>
        <v>GWth/yr.</v>
      </c>
      <c r="F2254" s="1">
        <f t="shared" ref="F2254:K2254" si="2276">SUM(F2255:F2256)</f>
        <v>3.4708958929442668E-5</v>
      </c>
      <c r="G2254" s="1">
        <f t="shared" si="2276"/>
        <v>6.8147803463597001E-2</v>
      </c>
      <c r="H2254" s="1">
        <f t="shared" si="2276"/>
        <v>9.0845638866148021E-2</v>
      </c>
      <c r="I2254" s="1">
        <f t="shared" si="2276"/>
        <v>7.2290058555463207E-2</v>
      </c>
      <c r="J2254" s="1">
        <f t="shared" si="2276"/>
        <v>0.44319554576964704</v>
      </c>
      <c r="K2254" s="1">
        <f t="shared" si="2276"/>
        <v>0.27361462162841299</v>
      </c>
      <c r="L2254" s="1">
        <f t="shared" ref="L2254:O2254" si="2277">SUM(L2255:L2256)</f>
        <v>9.2339095612242031E-2</v>
      </c>
      <c r="M2254" s="1">
        <f t="shared" si="2277"/>
        <v>0.32630109696623155</v>
      </c>
      <c r="N2254" s="1">
        <f t="shared" si="2277"/>
        <v>0.29990847460066755</v>
      </c>
      <c r="O2254" s="1">
        <f t="shared" si="2277"/>
        <v>0.12020920999582861</v>
      </c>
      <c r="P2254" s="1">
        <f>SUM(P2255:P2256)</f>
        <v>0.26818391120966839</v>
      </c>
      <c r="Q2254" s="1">
        <f>SUM(Q2255:Q2256)</f>
        <v>0.34718735539300494</v>
      </c>
      <c r="S2254" s="3"/>
    </row>
    <row r="2255" spans="2:19" x14ac:dyDescent="0.5">
      <c r="B2255" s="5" t="str">
        <f t="shared" si="2263"/>
        <v>SPS1</v>
      </c>
      <c r="C2255" s="5" t="str">
        <f t="shared" si="2264"/>
        <v>CH</v>
      </c>
      <c r="D2255" t="s">
        <v>2389</v>
      </c>
      <c r="E2255" t="str">
        <f t="shared" si="2265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3.1304916994510297E-5</v>
      </c>
      <c r="G2255" s="1" cm="1">
        <f t="array" ref="G2255">SUMPRODUCT(([1]OUT_FinalEnergyCons!$B$4:$B$10000="var_ncap")*1,(ISNUMBER(SEARCH("RH*-WHELCBR",[1]OUT_FinalEnergyCons!$A$4:$A$10000)))*1,[1]OUT_FinalEnergyCons!E$4:E$10000)</f>
        <v>3.5355501770691501E-2</v>
      </c>
      <c r="H2255" s="1" cm="1">
        <f t="array" ref="H2255">SUMPRODUCT(([1]OUT_FinalEnergyCons!$B$4:$B$10000="var_ncap")*1,(ISNUMBER(SEARCH("RH*-WHELCBR",[1]OUT_FinalEnergyCons!$A$4:$A$10000)))*1,[1]OUT_FinalEnergyCons!F$4:F$10000)</f>
        <v>8.35259185301472E-6</v>
      </c>
      <c r="I2255" s="1" cm="1">
        <f t="array" ref="I2255">SUMPRODUCT(([1]OUT_FinalEnergyCons!$B$4:$B$10000="var_ncap")*1,(ISNUMBER(SEARCH("RH*-WHELCBR",[1]OUT_FinalEnergyCons!$A$4:$A$10000)))*1,[1]OUT_FinalEnergyCons!G$4:G$10000)</f>
        <v>5.6326385287019998E-6</v>
      </c>
      <c r="J2255" s="1" cm="1">
        <f t="array" ref="J2255">SUMPRODUCT(([1]OUT_FinalEnergyCons!$B$4:$B$10000="var_ncap")*1,(ISNUMBER(SEARCH("RH*-WHELCBR",[1]OUT_FinalEnergyCons!$A$4:$A$10000)))*1,[1]OUT_FinalEnergyCons!H$4:H$10000)</f>
        <v>0.14934647860974001</v>
      </c>
      <c r="K2255" s="1" cm="1">
        <f t="array" ref="K2255">SUMPRODUCT(([1]OUT_FinalEnergyCons!$B$4:$B$10000="var_ncap")*1,(ISNUMBER(SEARCH("RH*-WHELCBR",[1]OUT_FinalEnergyCons!$A$4:$A$10000)))*1,[1]OUT_FinalEnergyCons!I$4:I$10000)</f>
        <v>0.100240385983103</v>
      </c>
      <c r="L2255" s="1" cm="1">
        <f t="array" ref="L2255">SUMPRODUCT(([1]OUT_FinalEnergyCons!$B$4:$B$10000="var_ncap")*1,(ISNUMBER(SEARCH("RH*-WHELCBR",[1]OUT_FinalEnergyCons!$A$4:$A$10000)))*1,[1]OUT_FinalEnergyCons!J$4:J$10000)</f>
        <v>2.4552641869021799E-5</v>
      </c>
      <c r="M2255" s="1" cm="1">
        <f t="array" ref="M2255">SUMPRODUCT(([1]OUT_FinalEnergyCons!$B$4:$B$10000="var_ncap")*1,(ISNUMBER(SEARCH("RH*-WHELCBR",[1]OUT_FinalEnergyCons!$A$4:$A$10000)))*1,[1]OUT_FinalEnergyCons!K$4:K$10000)</f>
        <v>3.0381711253030599E-2</v>
      </c>
      <c r="N2255" s="1" cm="1">
        <f t="array" ref="N2255">SUMPRODUCT(([1]OUT_FinalEnergyCons!$B$4:$B$10000="var_ncap")*1,(ISNUMBER(SEARCH("RH*-WHELCBR",[1]OUT_FinalEnergyCons!$A$4:$A$10000)))*1,[1]OUT_FinalEnergyCons!L$4:L$10000)</f>
        <v>2.8427371649532402E-5</v>
      </c>
      <c r="O2255" s="1" cm="1">
        <f t="array" ref="O2255">SUMPRODUCT(([1]OUT_FinalEnergyCons!$B$4:$B$10000="var_ncap")*1,(ISNUMBER(SEARCH("RH*-WHELCBR",[1]OUT_FinalEnergyCons!$A$4:$A$10000)))*1,[1]OUT_FinalEnergyCons!M$4:M$10000)</f>
        <v>5.0915734045046098E-3</v>
      </c>
      <c r="P2255" s="1" cm="1">
        <f t="array" ref="P2255">SUMPRODUCT(([1]OUT_FinalEnergyCons!$B$4:$B$10000="var_ncap")*1,(ISNUMBER(SEARCH("RH*-WHELCBR",[1]OUT_FinalEnergyCons!$A$4:$A$10000)))*1,[1]OUT_FinalEnergyCons!N$4:N$10000)</f>
        <v>2.2794715618525401E-2</v>
      </c>
      <c r="Q2255" s="1" cm="1">
        <f t="array" ref="Q2255">SUMPRODUCT(([1]OUT_FinalEnergyCons!$B$4:$B$10000="var_ncap")*1,(ISNUMBER(SEARCH("RH*-WHELCBR",[1]OUT_FinalEnergyCons!$A$4:$A$10000)))*1,[1]OUT_FinalEnergyCons!O$4:O$10000)</f>
        <v>7.3722313539693201E-4</v>
      </c>
      <c r="S2255" s="3"/>
    </row>
    <row r="2256" spans="2:19" x14ac:dyDescent="0.5">
      <c r="B2256" s="5" t="str">
        <f t="shared" si="2263"/>
        <v>SPS1</v>
      </c>
      <c r="C2256" s="5" t="str">
        <f t="shared" si="2264"/>
        <v>CH</v>
      </c>
      <c r="D2256" t="s">
        <v>2390</v>
      </c>
      <c r="E2256" t="str">
        <f t="shared" si="2265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3.40404193493237E-6</v>
      </c>
      <c r="G2256" s="1" cm="1">
        <f t="array" ref="G2256">SUMPRODUCT(([1]OUT_FinalEnergyCons!$B$4:$B$10000="var_ncap")*1,ISNUMBER(SEARCH("RH*-WHELCHP",[1]OUT_FinalEnergyCons!$A$4:$A$10000))*1,[1]OUT_FinalEnergyCons!E$4:E$10000)</f>
        <v>3.27923016929055E-2</v>
      </c>
      <c r="H2256" s="1" cm="1">
        <f t="array" ref="H2256">SUMPRODUCT(([1]OUT_FinalEnergyCons!$B$4:$B$10000="var_ncap")*1,ISNUMBER(SEARCH("RH*-WHELCHP",[1]OUT_FinalEnergyCons!$A$4:$A$10000))*1,[1]OUT_FinalEnergyCons!F$4:F$10000)</f>
        <v>9.0837286274295007E-2</v>
      </c>
      <c r="I2256" s="1" cm="1">
        <f t="array" ref="I2256">SUMPRODUCT(([1]OUT_FinalEnergyCons!$B$4:$B$10000="var_ncap")*1,ISNUMBER(SEARCH("RH*-WHELCHP",[1]OUT_FinalEnergyCons!$A$4:$A$10000))*1,[1]OUT_FinalEnergyCons!G$4:G$10000)</f>
        <v>7.22844259169345E-2</v>
      </c>
      <c r="J2256" s="1" cm="1">
        <f t="array" ref="J2256">SUMPRODUCT(([1]OUT_FinalEnergyCons!$B$4:$B$10000="var_ncap")*1,ISNUMBER(SEARCH("RH*-WHELCHP",[1]OUT_FinalEnergyCons!$A$4:$A$10000))*1,[1]OUT_FinalEnergyCons!H$4:H$10000)</f>
        <v>0.293849067159907</v>
      </c>
      <c r="K2256" s="1" cm="1">
        <f t="array" ref="K2256">SUMPRODUCT(([1]OUT_FinalEnergyCons!$B$4:$B$10000="var_ncap")*1,ISNUMBER(SEARCH("RH*-WHELCHP",[1]OUT_FinalEnergyCons!$A$4:$A$10000))*1,[1]OUT_FinalEnergyCons!I$4:I$10000)</f>
        <v>0.17337423564530999</v>
      </c>
      <c r="L2256" s="1" cm="1">
        <f t="array" ref="L2256">SUMPRODUCT(([1]OUT_FinalEnergyCons!$B$4:$B$10000="var_ncap")*1,ISNUMBER(SEARCH("RH*-WHELCHP",[1]OUT_FinalEnergyCons!$A$4:$A$10000))*1,[1]OUT_FinalEnergyCons!J$4:J$10000)</f>
        <v>9.2314542970373004E-2</v>
      </c>
      <c r="M2256" s="1" cm="1">
        <f t="array" ref="M2256">SUMPRODUCT(([1]OUT_FinalEnergyCons!$B$4:$B$10000="var_ncap")*1,ISNUMBER(SEARCH("RH*-WHELCHP",[1]OUT_FinalEnergyCons!$A$4:$A$10000))*1,[1]OUT_FinalEnergyCons!K$4:K$10000)</f>
        <v>0.29591938571320098</v>
      </c>
      <c r="N2256" s="1" cm="1">
        <f t="array" ref="N2256">SUMPRODUCT(([1]OUT_FinalEnergyCons!$B$4:$B$10000="var_ncap")*1,ISNUMBER(SEARCH("RH*-WHELCHP",[1]OUT_FinalEnergyCons!$A$4:$A$10000))*1,[1]OUT_FinalEnergyCons!L$4:L$10000)</f>
        <v>0.29988004722901801</v>
      </c>
      <c r="O2256" s="1" cm="1">
        <f t="array" ref="O2256">SUMPRODUCT(([1]OUT_FinalEnergyCons!$B$4:$B$10000="var_ncap")*1,ISNUMBER(SEARCH("RH*-WHELCHP",[1]OUT_FinalEnergyCons!$A$4:$A$10000))*1,[1]OUT_FinalEnergyCons!M$4:M$10000)</f>
        <v>0.115117636591324</v>
      </c>
      <c r="P2256" s="1" cm="1">
        <f t="array" ref="P2256">SUMPRODUCT(([1]OUT_FinalEnergyCons!$B$4:$B$10000="var_ncap")*1,ISNUMBER(SEARCH("RH*-WHELCHP",[1]OUT_FinalEnergyCons!$A$4:$A$10000))*1,[1]OUT_FinalEnergyCons!N$4:N$10000)</f>
        <v>0.245389195591143</v>
      </c>
      <c r="Q2256" s="1" cm="1">
        <f t="array" ref="Q2256">SUMPRODUCT(([1]OUT_FinalEnergyCons!$B$4:$B$10000="var_ncap")*1,ISNUMBER(SEARCH("RH*-WHELCHP",[1]OUT_FinalEnergyCons!$A$4:$A$10000))*1,[1]OUT_FinalEnergyCons!O$4:O$10000)</f>
        <v>0.34645013225760801</v>
      </c>
      <c r="S2256" s="3"/>
    </row>
    <row r="2257" spans="2:19" x14ac:dyDescent="0.5">
      <c r="B2257" s="5" t="str">
        <f t="shared" si="2263"/>
        <v>SPS1</v>
      </c>
      <c r="C2257" s="5" t="str">
        <f t="shared" si="2264"/>
        <v>CH</v>
      </c>
      <c r="D2257" t="s">
        <v>2391</v>
      </c>
      <c r="E2257" t="str">
        <f t="shared" si="2265"/>
        <v>GWth/yr.</v>
      </c>
      <c r="F2257" s="1">
        <f t="shared" ref="F2257:O2257" si="2278">F2258</f>
        <v>0</v>
      </c>
      <c r="G2257" s="1">
        <f t="shared" si="2278"/>
        <v>7.8694765345913601E-7</v>
      </c>
      <c r="H2257" s="1">
        <f t="shared" si="2278"/>
        <v>3.0681515887223599E-7</v>
      </c>
      <c r="I2257" s="1">
        <f t="shared" si="2278"/>
        <v>5.35496250818481E-7</v>
      </c>
      <c r="J2257" s="1">
        <f t="shared" si="2278"/>
        <v>5.7170088017669296E-6</v>
      </c>
      <c r="K2257" s="1">
        <f t="shared" si="2278"/>
        <v>1.03146253851262E-3</v>
      </c>
      <c r="L2257" s="1">
        <f t="shared" si="2278"/>
        <v>5.4442746164624301E-5</v>
      </c>
      <c r="M2257" s="1">
        <f t="shared" si="2278"/>
        <v>0</v>
      </c>
      <c r="N2257" s="1">
        <f t="shared" si="2278"/>
        <v>1.1312266094060601E-3</v>
      </c>
      <c r="O2257" s="1">
        <f t="shared" si="2278"/>
        <v>9.4762121977619805E-4</v>
      </c>
      <c r="P2257" s="1">
        <f>P2258</f>
        <v>2.33329009063668E-5</v>
      </c>
      <c r="Q2257" s="1">
        <f>Q2258</f>
        <v>3.49248016044303E-3</v>
      </c>
      <c r="S2257" s="3"/>
    </row>
    <row r="2258" spans="2:19" x14ac:dyDescent="0.5">
      <c r="B2258" s="5" t="str">
        <f t="shared" si="2263"/>
        <v>SPS1</v>
      </c>
      <c r="C2258" s="5" t="str">
        <f t="shared" si="2264"/>
        <v>CH</v>
      </c>
      <c r="D2258" t="s">
        <v>2392</v>
      </c>
      <c r="E2258" t="str">
        <f t="shared" si="2265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7.8694765345913601E-7</v>
      </c>
      <c r="H2258" s="1" cm="1">
        <f t="array" ref="H2258">SUMPRODUCT(([1]OUT_FinalEnergyCons!$B$4:$B$10000="var_ncap")*1, (ISNUMBER(SEARCH("RH*-WHLFOBR",[1]OUT_FinalEnergyCons!$A$4:$A$10000)))*1,[1]OUT_FinalEnergyCons!F$4:F$10000)</f>
        <v>3.0681515887223599E-7</v>
      </c>
      <c r="I2258" s="1" cm="1">
        <f t="array" ref="I2258">SUMPRODUCT(([1]OUT_FinalEnergyCons!$B$4:$B$10000="var_ncap")*1, (ISNUMBER(SEARCH("RH*-WHLFOBR",[1]OUT_FinalEnergyCons!$A$4:$A$10000)))*1,[1]OUT_FinalEnergyCons!G$4:G$10000)</f>
        <v>5.35496250818481E-7</v>
      </c>
      <c r="J2258" s="1" cm="1">
        <f t="array" ref="J2258">SUMPRODUCT(([1]OUT_FinalEnergyCons!$B$4:$B$10000="var_ncap")*1, (ISNUMBER(SEARCH("RH*-WHLFOBR",[1]OUT_FinalEnergyCons!$A$4:$A$10000)))*1,[1]OUT_FinalEnergyCons!H$4:H$10000)</f>
        <v>5.7170088017669296E-6</v>
      </c>
      <c r="K2258" s="1" cm="1">
        <f t="array" ref="K2258">SUMPRODUCT(([1]OUT_FinalEnergyCons!$B$4:$B$10000="var_ncap")*1, (ISNUMBER(SEARCH("RH*-WHLFOBR",[1]OUT_FinalEnergyCons!$A$4:$A$10000)))*1,[1]OUT_FinalEnergyCons!I$4:I$10000)</f>
        <v>1.03146253851262E-3</v>
      </c>
      <c r="L2258" s="1" cm="1">
        <f t="array" ref="L2258">SUMPRODUCT(([1]OUT_FinalEnergyCons!$B$4:$B$10000="var_ncap")*1, (ISNUMBER(SEARCH("RH*-WHLFOBR",[1]OUT_FinalEnergyCons!$A$4:$A$10000)))*1,[1]OUT_FinalEnergyCons!J$4:J$10000)</f>
        <v>5.4442746164624301E-5</v>
      </c>
      <c r="M2258" s="1" cm="1">
        <f t="array" ref="M2258">SUMPRODUCT(([1]OUT_FinalEnergyCons!$B$4:$B$10000="var_ncap")*1, (ISNUMBER(SEARCH("RH*-WHLFOBR",[1]OUT_FinalEnergyCons!$A$4:$A$10000)))*1,[1]OUT_FinalEnergyCons!K$4:K$10000)</f>
        <v>0</v>
      </c>
      <c r="N2258" s="1" cm="1">
        <f t="array" ref="N2258">SUMPRODUCT(([1]OUT_FinalEnergyCons!$B$4:$B$10000="var_ncap")*1, (ISNUMBER(SEARCH("RH*-WHLFOBR",[1]OUT_FinalEnergyCons!$A$4:$A$10000)))*1,[1]OUT_FinalEnergyCons!L$4:L$10000)</f>
        <v>1.1312266094060601E-3</v>
      </c>
      <c r="O2258" s="1" cm="1">
        <f t="array" ref="O2258">SUMPRODUCT(([1]OUT_FinalEnergyCons!$B$4:$B$10000="var_ncap")*1, (ISNUMBER(SEARCH("RH*-WHLFOBR",[1]OUT_FinalEnergyCons!$A$4:$A$10000)))*1,[1]OUT_FinalEnergyCons!M$4:M$10000)</f>
        <v>9.4762121977619805E-4</v>
      </c>
      <c r="P2258" s="1" cm="1">
        <f t="array" ref="P2258">SUMPRODUCT(([1]OUT_FinalEnergyCons!$B$4:$B$10000="var_ncap")*1, (ISNUMBER(SEARCH("RH*-WHLFOBR",[1]OUT_FinalEnergyCons!$A$4:$A$10000)))*1,[1]OUT_FinalEnergyCons!N$4:N$10000)</f>
        <v>2.33329009063668E-5</v>
      </c>
      <c r="Q2258" s="1" cm="1">
        <f t="array" ref="Q2258">SUMPRODUCT(([1]OUT_FinalEnergyCons!$B$4:$B$10000="var_ncap")*1, (ISNUMBER(SEARCH("RH*-WHLFOBR",[1]OUT_FinalEnergyCons!$A$4:$A$10000)))*1,[1]OUT_FinalEnergyCons!O$4:O$10000)</f>
        <v>3.49248016044303E-3</v>
      </c>
      <c r="S2258" s="3"/>
    </row>
    <row r="2259" spans="2:19" x14ac:dyDescent="0.5">
      <c r="B2259" s="5" t="str">
        <f t="shared" si="2263"/>
        <v>SPS1</v>
      </c>
      <c r="C2259" s="5" t="str">
        <f t="shared" si="2264"/>
        <v>CH</v>
      </c>
      <c r="D2259" t="s">
        <v>2393</v>
      </c>
      <c r="E2259" t="str">
        <f t="shared" si="2265"/>
        <v>GWth/yr.</v>
      </c>
      <c r="F2259" s="1">
        <f t="shared" ref="F2259:K2259" si="2279">SUM(F2260:F2261)</f>
        <v>0</v>
      </c>
      <c r="G2259" s="1">
        <f t="shared" si="2279"/>
        <v>4.2269014260273499E-6</v>
      </c>
      <c r="H2259" s="1">
        <f t="shared" si="2279"/>
        <v>0.1849186941198521</v>
      </c>
      <c r="I2259" s="1">
        <f t="shared" si="2279"/>
        <v>5.9297966530141794E-3</v>
      </c>
      <c r="J2259" s="1">
        <f t="shared" si="2279"/>
        <v>0.41983941323304541</v>
      </c>
      <c r="K2259" s="1">
        <f t="shared" si="2279"/>
        <v>0.30319632512986733</v>
      </c>
      <c r="L2259" s="1">
        <f t="shared" ref="L2259:O2259" si="2280">SUM(L2260:L2261)</f>
        <v>3.6573932956636537E-2</v>
      </c>
      <c r="M2259" s="1">
        <f t="shared" si="2280"/>
        <v>0.48161304083749001</v>
      </c>
      <c r="N2259" s="1">
        <f t="shared" si="2280"/>
        <v>0.24141534962198991</v>
      </c>
      <c r="O2259" s="1">
        <f t="shared" si="2280"/>
        <v>4.6581199914104053E-2</v>
      </c>
      <c r="P2259" s="1">
        <f>SUM(P2260:P2261)</f>
        <v>0.53431378536526597</v>
      </c>
      <c r="Q2259" s="1">
        <f>SUM(Q2260:Q2261)</f>
        <v>0.15288297640321361</v>
      </c>
      <c r="S2259" s="3"/>
    </row>
    <row r="2260" spans="2:19" x14ac:dyDescent="0.5">
      <c r="B2260" s="5" t="str">
        <f t="shared" si="2263"/>
        <v>SPS1</v>
      </c>
      <c r="C2260" s="5" t="str">
        <f t="shared" si="2264"/>
        <v>CH</v>
      </c>
      <c r="D2260" t="s">
        <v>2394</v>
      </c>
      <c r="E2260" t="str">
        <f t="shared" si="2265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2.7984011018985201E-6</v>
      </c>
      <c r="H2260" s="1" cm="1">
        <f t="array" ref="H2260">SUMPRODUCT(([1]OUT_FinalEnergyCons!$B$4:$B$10000="var_ncap")*1, (ISNUMBER(SEARCH("RH*-WHNGABR",[1]OUT_FinalEnergyCons!$A$4:$A$10000)))*1,[1]OUT_FinalEnergyCons!F$4:F$10000)</f>
        <v>0.184293442682291</v>
      </c>
      <c r="I2260" s="1" cm="1">
        <f t="array" ref="I2260">SUMPRODUCT(([1]OUT_FinalEnergyCons!$B$4:$B$10000="var_ncap")*1, (ISNUMBER(SEARCH("RH*-WHNGABR",[1]OUT_FinalEnergyCons!$A$4:$A$10000)))*1,[1]OUT_FinalEnergyCons!G$4:G$10000)</f>
        <v>5.9194870013443701E-3</v>
      </c>
      <c r="J2260" s="1" cm="1">
        <f t="array" ref="J2260">SUMPRODUCT(([1]OUT_FinalEnergyCons!$B$4:$B$10000="var_ncap")*1, (ISNUMBER(SEARCH("RH*-WHNGABR",[1]OUT_FinalEnergyCons!$A$4:$A$10000)))*1,[1]OUT_FinalEnergyCons!H$4:H$10000)</f>
        <v>0.38582780706595399</v>
      </c>
      <c r="K2260" s="1" cm="1">
        <f t="array" ref="K2260">SUMPRODUCT(([1]OUT_FinalEnergyCons!$B$4:$B$10000="var_ncap")*1, (ISNUMBER(SEARCH("RH*-WHNGABR",[1]OUT_FinalEnergyCons!$A$4:$A$10000)))*1,[1]OUT_FinalEnergyCons!I$4:I$10000)</f>
        <v>0.24767165150180301</v>
      </c>
      <c r="L2260" s="1" cm="1">
        <f t="array" ref="L2260">SUMPRODUCT(([1]OUT_FinalEnergyCons!$B$4:$B$10000="var_ncap")*1, (ISNUMBER(SEARCH("RH*-WHNGABR",[1]OUT_FinalEnergyCons!$A$4:$A$10000)))*1,[1]OUT_FinalEnergyCons!J$4:J$10000)</f>
        <v>4.2544915492235399E-3</v>
      </c>
      <c r="M2260" s="1" cm="1">
        <f t="array" ref="M2260">SUMPRODUCT(([1]OUT_FinalEnergyCons!$B$4:$B$10000="var_ncap")*1, (ISNUMBER(SEARCH("RH*-WHNGABR",[1]OUT_FinalEnergyCons!$A$4:$A$10000)))*1,[1]OUT_FinalEnergyCons!K$4:K$10000)</f>
        <v>0.36467127675095801</v>
      </c>
      <c r="N2260" s="1" cm="1">
        <f t="array" ref="N2260">SUMPRODUCT(([1]OUT_FinalEnergyCons!$B$4:$B$10000="var_ncap")*1, (ISNUMBER(SEARCH("RH*-WHNGABR",[1]OUT_FinalEnergyCons!$A$4:$A$10000)))*1,[1]OUT_FinalEnergyCons!L$4:L$10000)</f>
        <v>0.176837594557614</v>
      </c>
      <c r="O2260" s="1" cm="1">
        <f t="array" ref="O2260">SUMPRODUCT(([1]OUT_FinalEnergyCons!$B$4:$B$10000="var_ncap")*1, (ISNUMBER(SEARCH("RH*-WHNGABR",[1]OUT_FinalEnergyCons!$A$4:$A$10000)))*1,[1]OUT_FinalEnergyCons!M$4:M$10000)</f>
        <v>1.39107211004051E-4</v>
      </c>
      <c r="P2260" s="1" cm="1">
        <f t="array" ref="P2260">SUMPRODUCT(([1]OUT_FinalEnergyCons!$B$4:$B$10000="var_ncap")*1, (ISNUMBER(SEARCH("RH*-WHNGABR",[1]OUT_FinalEnergyCons!$A$4:$A$10000)))*1,[1]OUT_FinalEnergyCons!N$4:N$10000)</f>
        <v>0.344988014254</v>
      </c>
      <c r="Q2260" s="1" cm="1">
        <f t="array" ref="Q2260">SUMPRODUCT(([1]OUT_FinalEnergyCons!$B$4:$B$10000="var_ncap")*1, (ISNUMBER(SEARCH("RH*-WHNGABR",[1]OUT_FinalEnergyCons!$A$4:$A$10000)))*1,[1]OUT_FinalEnergyCons!O$4:O$10000)</f>
        <v>8.69411159265224E-2</v>
      </c>
      <c r="S2260" s="3"/>
    </row>
    <row r="2261" spans="2:19" x14ac:dyDescent="0.5">
      <c r="B2261" s="5" t="str">
        <f t="shared" si="2263"/>
        <v>SPS1</v>
      </c>
      <c r="C2261" s="5" t="str">
        <f t="shared" si="2264"/>
        <v>CH</v>
      </c>
      <c r="D2261" t="s">
        <v>2395</v>
      </c>
      <c r="E2261" t="str">
        <f t="shared" si="2265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1.42850032412883E-6</v>
      </c>
      <c r="H2261" s="1" cm="1">
        <f t="array" ref="H2261">SUMPRODUCT(([1]OUT_FinalEnergyCons!$B$4:$B$10000="var_ncap")*1,ISNUMBER(SEARCH("RH*-WHngahp",[1]OUT_FinalEnergyCons!$A$4:$A$10000))*1,[1]OUT_FinalEnergyCons!F$4:F$10000)</f>
        <v>6.2525143756108595E-4</v>
      </c>
      <c r="I2261" s="1" cm="1">
        <f t="array" ref="I2261">SUMPRODUCT(([1]OUT_FinalEnergyCons!$B$4:$B$10000="var_ncap")*1,ISNUMBER(SEARCH("RH*-WHngahp",[1]OUT_FinalEnergyCons!$A$4:$A$10000))*1,[1]OUT_FinalEnergyCons!G$4:G$10000)</f>
        <v>1.0309651669809601E-5</v>
      </c>
      <c r="J2261" s="1" cm="1">
        <f t="array" ref="J2261">SUMPRODUCT(([1]OUT_FinalEnergyCons!$B$4:$B$10000="var_ncap")*1,ISNUMBER(SEARCH("RH*-WHngahp",[1]OUT_FinalEnergyCons!$A$4:$A$10000))*1,[1]OUT_FinalEnergyCons!H$4:H$10000)</f>
        <v>3.4011606167091403E-2</v>
      </c>
      <c r="K2261" s="1" cm="1">
        <f t="array" ref="K2261">SUMPRODUCT(([1]OUT_FinalEnergyCons!$B$4:$B$10000="var_ncap")*1,ISNUMBER(SEARCH("RH*-WHngahp",[1]OUT_FinalEnergyCons!$A$4:$A$10000))*1,[1]OUT_FinalEnergyCons!I$4:I$10000)</f>
        <v>5.5524673628064299E-2</v>
      </c>
      <c r="L2261" s="1" cm="1">
        <f t="array" ref="L2261">SUMPRODUCT(([1]OUT_FinalEnergyCons!$B$4:$B$10000="var_ncap")*1,ISNUMBER(SEARCH("RH*-WHngahp",[1]OUT_FinalEnergyCons!$A$4:$A$10000))*1,[1]OUT_FinalEnergyCons!J$4:J$10000)</f>
        <v>3.2319441407412997E-2</v>
      </c>
      <c r="M2261" s="1" cm="1">
        <f t="array" ref="M2261">SUMPRODUCT(([1]OUT_FinalEnergyCons!$B$4:$B$10000="var_ncap")*1,ISNUMBER(SEARCH("RH*-WHngahp",[1]OUT_FinalEnergyCons!$A$4:$A$10000))*1,[1]OUT_FinalEnergyCons!K$4:K$10000)</f>
        <v>0.11694176408653199</v>
      </c>
      <c r="N2261" s="1" cm="1">
        <f t="array" ref="N2261">SUMPRODUCT(([1]OUT_FinalEnergyCons!$B$4:$B$10000="var_ncap")*1,ISNUMBER(SEARCH("RH*-WHngahp",[1]OUT_FinalEnergyCons!$A$4:$A$10000))*1,[1]OUT_FinalEnergyCons!L$4:L$10000)</f>
        <v>6.4577755064375894E-2</v>
      </c>
      <c r="O2261" s="1" cm="1">
        <f t="array" ref="O2261">SUMPRODUCT(([1]OUT_FinalEnergyCons!$B$4:$B$10000="var_ncap")*1,ISNUMBER(SEARCH("RH*-WHngahp",[1]OUT_FinalEnergyCons!$A$4:$A$10000))*1,[1]OUT_FinalEnergyCons!M$4:M$10000)</f>
        <v>4.6442092703099999E-2</v>
      </c>
      <c r="P2261" s="1" cm="1">
        <f t="array" ref="P2261">SUMPRODUCT(([1]OUT_FinalEnergyCons!$B$4:$B$10000="var_ncap")*1,ISNUMBER(SEARCH("RH*-WHngahp",[1]OUT_FinalEnergyCons!$A$4:$A$10000))*1,[1]OUT_FinalEnergyCons!N$4:N$10000)</f>
        <v>0.189325771111266</v>
      </c>
      <c r="Q2261" s="1" cm="1">
        <f t="array" ref="Q2261">SUMPRODUCT(([1]OUT_FinalEnergyCons!$B$4:$B$10000="var_ncap")*1,ISNUMBER(SEARCH("RH*-WHngahp",[1]OUT_FinalEnergyCons!$A$4:$A$10000))*1,[1]OUT_FinalEnergyCons!O$4:O$10000)</f>
        <v>6.5941860476691205E-2</v>
      </c>
      <c r="S2261" s="3"/>
    </row>
    <row r="2262" spans="2:19" x14ac:dyDescent="0.5">
      <c r="B2262" s="5" t="str">
        <f t="shared" si="2263"/>
        <v>SPS1</v>
      </c>
      <c r="C2262" s="5" t="str">
        <f t="shared" si="2264"/>
        <v>CH</v>
      </c>
      <c r="D2262" t="s">
        <v>2396</v>
      </c>
      <c r="E2262" t="str">
        <f t="shared" si="2265"/>
        <v>GWth/yr.</v>
      </c>
      <c r="F2262" s="1">
        <f t="shared" ref="F2262:O2262" si="2281">F2263</f>
        <v>0</v>
      </c>
      <c r="G2262" s="1">
        <f t="shared" si="2281"/>
        <v>0</v>
      </c>
      <c r="H2262" s="1">
        <f t="shared" si="2281"/>
        <v>0</v>
      </c>
      <c r="I2262" s="1">
        <f t="shared" si="2281"/>
        <v>0</v>
      </c>
      <c r="J2262" s="1">
        <f t="shared" si="2281"/>
        <v>0</v>
      </c>
      <c r="K2262" s="1">
        <f t="shared" si="2281"/>
        <v>0</v>
      </c>
      <c r="L2262" s="1">
        <f t="shared" si="2281"/>
        <v>0</v>
      </c>
      <c r="M2262" s="1">
        <f t="shared" si="2281"/>
        <v>0</v>
      </c>
      <c r="N2262" s="1">
        <f t="shared" si="2281"/>
        <v>0</v>
      </c>
      <c r="O2262" s="1">
        <f t="shared" si="2281"/>
        <v>0</v>
      </c>
      <c r="P2262" s="1">
        <f>P2263</f>
        <v>0</v>
      </c>
      <c r="Q2262" s="1">
        <f>Q2263</f>
        <v>0</v>
      </c>
      <c r="S2262" s="3"/>
    </row>
    <row r="2263" spans="2:19" x14ac:dyDescent="0.5">
      <c r="B2263" s="5" t="str">
        <f t="shared" si="2263"/>
        <v>SPS1</v>
      </c>
      <c r="C2263" s="5" t="str">
        <f t="shared" si="2264"/>
        <v>CH</v>
      </c>
      <c r="D2263" t="s">
        <v>2397</v>
      </c>
      <c r="E2263" t="str">
        <f t="shared" si="2265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SUMPRODUCT(([1]OUT_FinalEnergyCons!$B$4:$B$10000="var_ncap")*1, (ISNUMBER(SEARCH("RH*-WHCOABR",[1]OUT_FinalEnergyCons!$A$4:$A$10000)))*1,[1]OUT_FinalEnergyCons!H$4:H$10000)</f>
        <v>0</v>
      </c>
      <c r="K2263" s="1" cm="1">
        <f t="array" ref="K2263">SUMPRODUCT(([1]OUT_FinalEnergyCons!$B$4:$B$10000="var_ncap")*1, (ISNUMBER(SEARCH("RH*-WHCOABR",[1]OUT_FinalEnergyCons!$A$4:$A$10000)))*1,[1]OUT_FinalEnergyCons!I$4:I$10000)</f>
        <v>0</v>
      </c>
      <c r="L2263" s="1" cm="1">
        <f t="array" ref="L2263">SUMPRODUCT(([1]OUT_FinalEnergyCons!$B$4:$B$10000="var_ncap")*1, (ISNUMBER(SEARCH("RH*-WHCOABR",[1]OUT_FinalEnergyCons!$A$4:$A$10000)))*1,[1]OUT_FinalEnergyCons!J$4:J$10000)</f>
        <v>0</v>
      </c>
      <c r="M2263" s="1" cm="1">
        <f t="array" ref="M2263">SUMPRODUCT(([1]OUT_FinalEnergyCons!$B$4:$B$10000="var_ncap")*1, (ISNUMBER(SEARCH("RH*-WHCOABR",[1]OUT_FinalEnergyCons!$A$4:$A$10000)))*1,[1]OUT_FinalEnergyCons!K$4:K$10000)</f>
        <v>0</v>
      </c>
      <c r="N2263" s="1" cm="1">
        <f t="array" ref="N2263">SUMPRODUCT(([1]OUT_FinalEnergyCons!$B$4:$B$10000="var_ncap")*1, (ISNUMBER(SEARCH("RH*-WHCOABR",[1]OUT_FinalEnergyCons!$A$4:$A$10000)))*1,[1]OUT_FinalEnergyCons!L$4:L$10000)</f>
        <v>0</v>
      </c>
      <c r="O2263" s="1" cm="1">
        <f t="array" ref="O2263">SUMPRODUCT(([1]OUT_FinalEnergyCons!$B$4:$B$10000="var_ncap")*1, (ISNUMBER(SEARCH("RH*-WHCOABR",[1]OUT_FinalEnergyCons!$A$4:$A$10000)))*1,[1]OUT_FinalEnergyCons!M$4:M$10000)</f>
        <v>0</v>
      </c>
      <c r="P2263" s="1" cm="1">
        <f t="array" ref="P2263">SUMPRODUCT(([1]OUT_FinalEnergyCons!$B$4:$B$10000="var_ncap")*1, (ISNUMBER(SEARCH("RH*-WHCOABR",[1]OUT_FinalEnergyCons!$A$4:$A$10000)))*1,[1]OUT_FinalEnergyCons!N$4:N$10000)</f>
        <v>0</v>
      </c>
      <c r="Q2263" s="1" cm="1">
        <f t="array" ref="Q2263">SUMPRODUCT(([1]OUT_FinalEnergyCons!$B$4:$B$10000="var_ncap")*1, (ISNUMBER(SEARCH("RH*-WHCOABR",[1]OUT_FinalEnergyCons!$A$4:$A$10000)))*1,[1]OUT_FinalEnergyCons!O$4:O$10000)</f>
        <v>0</v>
      </c>
      <c r="S2263" s="3"/>
    </row>
    <row r="2264" spans="2:19" x14ac:dyDescent="0.5">
      <c r="B2264" s="5" t="str">
        <f t="shared" si="2263"/>
        <v>SPS1</v>
      </c>
      <c r="C2264" s="5" t="str">
        <f t="shared" si="2264"/>
        <v>CH</v>
      </c>
      <c r="D2264" t="s">
        <v>2398</v>
      </c>
      <c r="E2264" t="str">
        <f t="shared" si="2265"/>
        <v>GWth/yr.</v>
      </c>
      <c r="F2264" s="1">
        <f t="shared" ref="F2264:O2264" si="2282">F2265</f>
        <v>0</v>
      </c>
      <c r="G2264" s="1">
        <f t="shared" si="2282"/>
        <v>5.1257299716664798E-3</v>
      </c>
      <c r="H2264" s="1">
        <f t="shared" si="2282"/>
        <v>3.8684189954115902E-7</v>
      </c>
      <c r="I2264" s="1">
        <f t="shared" si="2282"/>
        <v>2.2208779630100602E-6</v>
      </c>
      <c r="J2264" s="1">
        <f t="shared" si="2282"/>
        <v>5.6609974355937799E-3</v>
      </c>
      <c r="K2264" s="1">
        <f t="shared" si="2282"/>
        <v>8.9556107088088997E-3</v>
      </c>
      <c r="L2264" s="1">
        <f t="shared" si="2282"/>
        <v>6.2121043937088797E-6</v>
      </c>
      <c r="M2264" s="1">
        <f t="shared" si="2282"/>
        <v>1.90062236861144E-3</v>
      </c>
      <c r="N2264" s="1">
        <f t="shared" si="2282"/>
        <v>6.9249016221726196E-3</v>
      </c>
      <c r="O2264" s="1">
        <f t="shared" si="2282"/>
        <v>2.82157100533154E-5</v>
      </c>
      <c r="P2264" s="1">
        <f>P2265</f>
        <v>3.0353672460668299E-3</v>
      </c>
      <c r="Q2264" s="1">
        <f>Q2265</f>
        <v>2.1693201775392799E-3</v>
      </c>
      <c r="S2264" s="3"/>
    </row>
    <row r="2265" spans="2:19" x14ac:dyDescent="0.5">
      <c r="B2265" s="5" t="str">
        <f t="shared" si="2263"/>
        <v>SPS1</v>
      </c>
      <c r="C2265" s="5" t="str">
        <f t="shared" si="2264"/>
        <v>CH</v>
      </c>
      <c r="D2265" t="s">
        <v>2399</v>
      </c>
      <c r="E2265" t="str">
        <f t="shared" si="2265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5.1257299716664798E-3</v>
      </c>
      <c r="H2265" s="1" cm="1">
        <f t="array" ref="H2265">SUMPRODUCT(([1]OUT_FinalEnergyCons!$B$4:$B$10000="var_ncap")*1, (ISNUMBER(SEARCH("RH*-WHWODBR",[1]OUT_FinalEnergyCons!$A$4:$A$10000)))*1,[1]OUT_FinalEnergyCons!F$4:F$10000)</f>
        <v>3.8684189954115902E-7</v>
      </c>
      <c r="I2265" s="1" cm="1">
        <f t="array" ref="I2265">SUMPRODUCT(([1]OUT_FinalEnergyCons!$B$4:$B$10000="var_ncap")*1, (ISNUMBER(SEARCH("RH*-WHWODBR",[1]OUT_FinalEnergyCons!$A$4:$A$10000)))*1,[1]OUT_FinalEnergyCons!G$4:G$10000)</f>
        <v>2.2208779630100602E-6</v>
      </c>
      <c r="J2265" s="1" cm="1">
        <f t="array" ref="J2265">SUMPRODUCT(([1]OUT_FinalEnergyCons!$B$4:$B$10000="var_ncap")*1, (ISNUMBER(SEARCH("RH*-WHWODBR",[1]OUT_FinalEnergyCons!$A$4:$A$10000)))*1,[1]OUT_FinalEnergyCons!H$4:H$10000)</f>
        <v>5.6609974355937799E-3</v>
      </c>
      <c r="K2265" s="1" cm="1">
        <f t="array" ref="K2265">SUMPRODUCT(([1]OUT_FinalEnergyCons!$B$4:$B$10000="var_ncap")*1, (ISNUMBER(SEARCH("RH*-WHWODBR",[1]OUT_FinalEnergyCons!$A$4:$A$10000)))*1,[1]OUT_FinalEnergyCons!I$4:I$10000)</f>
        <v>8.9556107088088997E-3</v>
      </c>
      <c r="L2265" s="1" cm="1">
        <f t="array" ref="L2265">SUMPRODUCT(([1]OUT_FinalEnergyCons!$B$4:$B$10000="var_ncap")*1, (ISNUMBER(SEARCH("RH*-WHWODBR",[1]OUT_FinalEnergyCons!$A$4:$A$10000)))*1,[1]OUT_FinalEnergyCons!J$4:J$10000)</f>
        <v>6.2121043937088797E-6</v>
      </c>
      <c r="M2265" s="1" cm="1">
        <f t="array" ref="M2265">SUMPRODUCT(([1]OUT_FinalEnergyCons!$B$4:$B$10000="var_ncap")*1, (ISNUMBER(SEARCH("RH*-WHWODBR",[1]OUT_FinalEnergyCons!$A$4:$A$10000)))*1,[1]OUT_FinalEnergyCons!K$4:K$10000)</f>
        <v>1.90062236861144E-3</v>
      </c>
      <c r="N2265" s="1" cm="1">
        <f t="array" ref="N2265">SUMPRODUCT(([1]OUT_FinalEnergyCons!$B$4:$B$10000="var_ncap")*1, (ISNUMBER(SEARCH("RH*-WHWODBR",[1]OUT_FinalEnergyCons!$A$4:$A$10000)))*1,[1]OUT_FinalEnergyCons!L$4:L$10000)</f>
        <v>6.9249016221726196E-3</v>
      </c>
      <c r="O2265" s="1" cm="1">
        <f t="array" ref="O2265">SUMPRODUCT(([1]OUT_FinalEnergyCons!$B$4:$B$10000="var_ncap")*1, (ISNUMBER(SEARCH("RH*-WHWODBR",[1]OUT_FinalEnergyCons!$A$4:$A$10000)))*1,[1]OUT_FinalEnergyCons!M$4:M$10000)</f>
        <v>2.82157100533154E-5</v>
      </c>
      <c r="P2265" s="1" cm="1">
        <f t="array" ref="P2265">SUMPRODUCT(([1]OUT_FinalEnergyCons!$B$4:$B$10000="var_ncap")*1, (ISNUMBER(SEARCH("RH*-WHWODBR",[1]OUT_FinalEnergyCons!$A$4:$A$10000)))*1,[1]OUT_FinalEnergyCons!N$4:N$10000)</f>
        <v>3.0353672460668299E-3</v>
      </c>
      <c r="Q2265" s="1" cm="1">
        <f t="array" ref="Q2265">SUMPRODUCT(([1]OUT_FinalEnergyCons!$B$4:$B$10000="var_ncap")*1, (ISNUMBER(SEARCH("RH*-WHWODBR",[1]OUT_FinalEnergyCons!$A$4:$A$10000)))*1,[1]OUT_FinalEnergyCons!O$4:O$10000)</f>
        <v>2.1693201775392799E-3</v>
      </c>
      <c r="S2265" s="3"/>
    </row>
    <row r="2266" spans="2:19" x14ac:dyDescent="0.5">
      <c r="B2266" s="5" t="str">
        <f t="shared" si="2263"/>
        <v>SPS1</v>
      </c>
      <c r="C2266" s="5" t="str">
        <f t="shared" si="2264"/>
        <v>CH</v>
      </c>
      <c r="D2266" t="s">
        <v>2400</v>
      </c>
      <c r="E2266" t="str">
        <f t="shared" si="2265"/>
        <v>GWth/yr.</v>
      </c>
      <c r="F2266" s="1">
        <f t="shared" ref="F2266:O2266" si="2283">F2267</f>
        <v>0</v>
      </c>
      <c r="G2266" s="1">
        <f t="shared" si="2283"/>
        <v>1.9624538766629699E-3</v>
      </c>
      <c r="H2266" s="1">
        <f t="shared" si="2283"/>
        <v>7.1922848630425903E-7</v>
      </c>
      <c r="I2266" s="1">
        <f t="shared" si="2283"/>
        <v>1.20219658649673E-6</v>
      </c>
      <c r="J2266" s="1">
        <f t="shared" si="2283"/>
        <v>5.5886295763797004E-3</v>
      </c>
      <c r="K2266" s="1">
        <f t="shared" si="2283"/>
        <v>4.1561776458333604E-3</v>
      </c>
      <c r="L2266" s="1">
        <f t="shared" si="2283"/>
        <v>1.67257028279294E-4</v>
      </c>
      <c r="M2266" s="1">
        <f t="shared" si="2283"/>
        <v>5.8032094537065499E-3</v>
      </c>
      <c r="N2266" s="1">
        <f t="shared" si="2283"/>
        <v>3.5850061125078702E-3</v>
      </c>
      <c r="O2266" s="1">
        <f t="shared" si="2283"/>
        <v>9.3756213177013199E-4</v>
      </c>
      <c r="P2266" s="1">
        <f>P2267</f>
        <v>5.8875107864630304E-3</v>
      </c>
      <c r="Q2266" s="1">
        <f>Q2267</f>
        <v>3.5807466277932099E-3</v>
      </c>
      <c r="S2266" s="3"/>
    </row>
    <row r="2267" spans="2:19" x14ac:dyDescent="0.5">
      <c r="B2267" s="5" t="str">
        <f t="shared" si="2263"/>
        <v>SPS1</v>
      </c>
      <c r="C2267" s="5" t="str">
        <f t="shared" si="2264"/>
        <v>CH</v>
      </c>
      <c r="D2267" t="s">
        <v>2401</v>
      </c>
      <c r="E2267" t="str">
        <f t="shared" si="2265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1.9624538766629699E-3</v>
      </c>
      <c r="H2267" s="1" cm="1">
        <f t="array" ref="H2267">SUMPRODUCT(([1]OUT_FinalEnergyCons!$B$4:$B$10000="var_ncap")*1, (ISNUMBER(SEARCH("RH*-WHPLTBR",[1]OUT_FinalEnergyCons!$A$4:$A$10000)))*1,[1]OUT_FinalEnergyCons!F$4:F$10000)</f>
        <v>7.1922848630425903E-7</v>
      </c>
      <c r="I2267" s="1" cm="1">
        <f t="array" ref="I2267">SUMPRODUCT(([1]OUT_FinalEnergyCons!$B$4:$B$10000="var_ncap")*1, (ISNUMBER(SEARCH("RH*-WHPLTBR",[1]OUT_FinalEnergyCons!$A$4:$A$10000)))*1,[1]OUT_FinalEnergyCons!G$4:G$10000)</f>
        <v>1.20219658649673E-6</v>
      </c>
      <c r="J2267" s="1" cm="1">
        <f t="array" ref="J2267">SUMPRODUCT(([1]OUT_FinalEnergyCons!$B$4:$B$10000="var_ncap")*1, (ISNUMBER(SEARCH("RH*-WHPLTBR",[1]OUT_FinalEnergyCons!$A$4:$A$10000)))*1,[1]OUT_FinalEnergyCons!H$4:H$10000)</f>
        <v>5.5886295763797004E-3</v>
      </c>
      <c r="K2267" s="1" cm="1">
        <f t="array" ref="K2267">SUMPRODUCT(([1]OUT_FinalEnergyCons!$B$4:$B$10000="var_ncap")*1, (ISNUMBER(SEARCH("RH*-WHPLTBR",[1]OUT_FinalEnergyCons!$A$4:$A$10000)))*1,[1]OUT_FinalEnergyCons!I$4:I$10000)</f>
        <v>4.1561776458333604E-3</v>
      </c>
      <c r="L2267" s="1" cm="1">
        <f t="array" ref="L2267">SUMPRODUCT(([1]OUT_FinalEnergyCons!$B$4:$B$10000="var_ncap")*1, (ISNUMBER(SEARCH("RH*-WHPLTBR",[1]OUT_FinalEnergyCons!$A$4:$A$10000)))*1,[1]OUT_FinalEnergyCons!J$4:J$10000)</f>
        <v>1.67257028279294E-4</v>
      </c>
      <c r="M2267" s="1" cm="1">
        <f t="array" ref="M2267">SUMPRODUCT(([1]OUT_FinalEnergyCons!$B$4:$B$10000="var_ncap")*1, (ISNUMBER(SEARCH("RH*-WHPLTBR",[1]OUT_FinalEnergyCons!$A$4:$A$10000)))*1,[1]OUT_FinalEnergyCons!K$4:K$10000)</f>
        <v>5.8032094537065499E-3</v>
      </c>
      <c r="N2267" s="1" cm="1">
        <f t="array" ref="N2267">SUMPRODUCT(([1]OUT_FinalEnergyCons!$B$4:$B$10000="var_ncap")*1, (ISNUMBER(SEARCH("RH*-WHPLTBR",[1]OUT_FinalEnergyCons!$A$4:$A$10000)))*1,[1]OUT_FinalEnergyCons!L$4:L$10000)</f>
        <v>3.5850061125078702E-3</v>
      </c>
      <c r="O2267" s="1" cm="1">
        <f t="array" ref="O2267">SUMPRODUCT(([1]OUT_FinalEnergyCons!$B$4:$B$10000="var_ncap")*1, (ISNUMBER(SEARCH("RH*-WHPLTBR",[1]OUT_FinalEnergyCons!$A$4:$A$10000)))*1,[1]OUT_FinalEnergyCons!M$4:M$10000)</f>
        <v>9.3756213177013199E-4</v>
      </c>
      <c r="P2267" s="1" cm="1">
        <f t="array" ref="P2267">SUMPRODUCT(([1]OUT_FinalEnergyCons!$B$4:$B$10000="var_ncap")*1, (ISNUMBER(SEARCH("RH*-WHPLTBR",[1]OUT_FinalEnergyCons!$A$4:$A$10000)))*1,[1]OUT_FinalEnergyCons!N$4:N$10000)</f>
        <v>5.8875107864630304E-3</v>
      </c>
      <c r="Q2267" s="1" cm="1">
        <f t="array" ref="Q2267">SUMPRODUCT(([1]OUT_FinalEnergyCons!$B$4:$B$10000="var_ncap")*1, (ISNUMBER(SEARCH("RH*-WHPLTBR",[1]OUT_FinalEnergyCons!$A$4:$A$10000)))*1,[1]OUT_FinalEnergyCons!O$4:O$10000)</f>
        <v>3.5807466277932099E-3</v>
      </c>
      <c r="S2267" s="3"/>
    </row>
    <row r="2268" spans="2:19" x14ac:dyDescent="0.5">
      <c r="B2268" s="5" t="str">
        <f t="shared" ref="B2268:B2294" si="2284">B2267</f>
        <v>SPS1</v>
      </c>
      <c r="C2268" s="5" t="str">
        <f t="shared" ref="C2268:C2294" si="2285">C2267</f>
        <v>CH</v>
      </c>
      <c r="D2268" t="s">
        <v>2402</v>
      </c>
      <c r="E2268" t="str">
        <f t="shared" ref="E2268:E2299" si="2286">E2267</f>
        <v>GWth/yr.</v>
      </c>
      <c r="F2268" s="1">
        <f t="shared" ref="F2268:O2268" si="2287">F2269</f>
        <v>0</v>
      </c>
      <c r="G2268" s="1">
        <f t="shared" si="2287"/>
        <v>8.2719677998180904E-2</v>
      </c>
      <c r="H2268" s="1">
        <f t="shared" si="2287"/>
        <v>4.5801300069449502E-6</v>
      </c>
      <c r="I2268" s="1">
        <f t="shared" si="2287"/>
        <v>1.8218350639544398E-5</v>
      </c>
      <c r="J2268" s="1">
        <f t="shared" si="2287"/>
        <v>7.2946215827856903E-2</v>
      </c>
      <c r="K2268" s="1">
        <f t="shared" si="2287"/>
        <v>9.0292377658836506E-2</v>
      </c>
      <c r="L2268" s="1">
        <f t="shared" si="2287"/>
        <v>3.8031407804358E-5</v>
      </c>
      <c r="M2268" s="1">
        <f t="shared" si="2287"/>
        <v>6.3061584383604194E-2</v>
      </c>
      <c r="N2268" s="1">
        <f t="shared" si="2287"/>
        <v>7.4622053537787794E-2</v>
      </c>
      <c r="O2268" s="1">
        <f t="shared" si="2287"/>
        <v>6.1143791197895902E-3</v>
      </c>
      <c r="P2268" s="1">
        <f>P2269</f>
        <v>7.7397683600475498E-2</v>
      </c>
      <c r="Q2268" s="1">
        <f>Q2269</f>
        <v>4.0976233219458903E-2</v>
      </c>
      <c r="S2268" s="3"/>
    </row>
    <row r="2269" spans="2:19" x14ac:dyDescent="0.5">
      <c r="B2269" s="5" t="str">
        <f t="shared" si="2284"/>
        <v>SPS1</v>
      </c>
      <c r="C2269" s="5" t="str">
        <f t="shared" si="2285"/>
        <v>CH</v>
      </c>
      <c r="D2269" t="s">
        <v>2403</v>
      </c>
      <c r="E2269" t="str">
        <f t="shared" si="2286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8.2719677998180904E-2</v>
      </c>
      <c r="H2269" s="1" cm="1">
        <f t="array" ref="H2269">SUMPRODUCT(([1]OUT_FinalEnergyCons!$B$4:$B$10000="var_ncap")*1, (ISNUMBER(SEARCH("RH*-WHSOLBR",[1]OUT_FinalEnergyCons!$A$4:$A$10000)))*1,[1]OUT_FinalEnergyCons!F$4:F$10000)</f>
        <v>4.5801300069449502E-6</v>
      </c>
      <c r="I2269" s="1" cm="1">
        <f t="array" ref="I2269">SUMPRODUCT(([1]OUT_FinalEnergyCons!$B$4:$B$10000="var_ncap")*1, (ISNUMBER(SEARCH("RH*-WHSOLBR",[1]OUT_FinalEnergyCons!$A$4:$A$10000)))*1,[1]OUT_FinalEnergyCons!G$4:G$10000)</f>
        <v>1.8218350639544398E-5</v>
      </c>
      <c r="J2269" s="1" cm="1">
        <f t="array" ref="J2269">SUMPRODUCT(([1]OUT_FinalEnergyCons!$B$4:$B$10000="var_ncap")*1, (ISNUMBER(SEARCH("RH*-WHSOLBR",[1]OUT_FinalEnergyCons!$A$4:$A$10000)))*1,[1]OUT_FinalEnergyCons!H$4:H$10000)</f>
        <v>7.2946215827856903E-2</v>
      </c>
      <c r="K2269" s="1" cm="1">
        <f t="array" ref="K2269">SUMPRODUCT(([1]OUT_FinalEnergyCons!$B$4:$B$10000="var_ncap")*1, (ISNUMBER(SEARCH("RH*-WHSOLBR",[1]OUT_FinalEnergyCons!$A$4:$A$10000)))*1,[1]OUT_FinalEnergyCons!I$4:I$10000)</f>
        <v>9.0292377658836506E-2</v>
      </c>
      <c r="L2269" s="1" cm="1">
        <f t="array" ref="L2269">SUMPRODUCT(([1]OUT_FinalEnergyCons!$B$4:$B$10000="var_ncap")*1, (ISNUMBER(SEARCH("RH*-WHSOLBR",[1]OUT_FinalEnergyCons!$A$4:$A$10000)))*1,[1]OUT_FinalEnergyCons!J$4:J$10000)</f>
        <v>3.8031407804358E-5</v>
      </c>
      <c r="M2269" s="1" cm="1">
        <f t="array" ref="M2269">SUMPRODUCT(([1]OUT_FinalEnergyCons!$B$4:$B$10000="var_ncap")*1, (ISNUMBER(SEARCH("RH*-WHSOLBR",[1]OUT_FinalEnergyCons!$A$4:$A$10000)))*1,[1]OUT_FinalEnergyCons!K$4:K$10000)</f>
        <v>6.3061584383604194E-2</v>
      </c>
      <c r="N2269" s="1" cm="1">
        <f t="array" ref="N2269">SUMPRODUCT(([1]OUT_FinalEnergyCons!$B$4:$B$10000="var_ncap")*1, (ISNUMBER(SEARCH("RH*-WHSOLBR",[1]OUT_FinalEnergyCons!$A$4:$A$10000)))*1,[1]OUT_FinalEnergyCons!L$4:L$10000)</f>
        <v>7.4622053537787794E-2</v>
      </c>
      <c r="O2269" s="1" cm="1">
        <f t="array" ref="O2269">SUMPRODUCT(([1]OUT_FinalEnergyCons!$B$4:$B$10000="var_ncap")*1, (ISNUMBER(SEARCH("RH*-WHSOLBR",[1]OUT_FinalEnergyCons!$A$4:$A$10000)))*1,[1]OUT_FinalEnergyCons!M$4:M$10000)</f>
        <v>6.1143791197895902E-3</v>
      </c>
      <c r="P2269" s="1" cm="1">
        <f t="array" ref="P2269">SUMPRODUCT(([1]OUT_FinalEnergyCons!$B$4:$B$10000="var_ncap")*1, (ISNUMBER(SEARCH("RH*-WHSOLBR",[1]OUT_FinalEnergyCons!$A$4:$A$10000)))*1,[1]OUT_FinalEnergyCons!N$4:N$10000)</f>
        <v>7.7397683600475498E-2</v>
      </c>
      <c r="Q2269" s="1" cm="1">
        <f t="array" ref="Q2269">SUMPRODUCT(([1]OUT_FinalEnergyCons!$B$4:$B$10000="var_ncap")*1, (ISNUMBER(SEARCH("RH*-WHSOLBR",[1]OUT_FinalEnergyCons!$A$4:$A$10000)))*1,[1]OUT_FinalEnergyCons!O$4:O$10000)</f>
        <v>4.0976233219458903E-2</v>
      </c>
      <c r="S2269" s="3"/>
    </row>
    <row r="2270" spans="2:19" x14ac:dyDescent="0.5">
      <c r="B2270" s="5" t="str">
        <f t="shared" si="2284"/>
        <v>SPS1</v>
      </c>
      <c r="C2270" s="5" t="str">
        <f t="shared" si="2285"/>
        <v>CH</v>
      </c>
      <c r="D2270" t="s">
        <v>2404</v>
      </c>
      <c r="E2270" t="str">
        <f t="shared" si="2286"/>
        <v>GWth/yr.</v>
      </c>
      <c r="F2270" s="1">
        <f t="shared" ref="F2270:O2270" si="2288">F2271</f>
        <v>0</v>
      </c>
      <c r="G2270" s="1">
        <f t="shared" si="2288"/>
        <v>0</v>
      </c>
      <c r="H2270" s="1">
        <f t="shared" si="2288"/>
        <v>0</v>
      </c>
      <c r="I2270" s="1">
        <f t="shared" si="2288"/>
        <v>0</v>
      </c>
      <c r="J2270" s="1">
        <f t="shared" si="2288"/>
        <v>0</v>
      </c>
      <c r="K2270" s="1">
        <f t="shared" si="2288"/>
        <v>0</v>
      </c>
      <c r="L2270" s="1">
        <f t="shared" si="2288"/>
        <v>0</v>
      </c>
      <c r="M2270" s="1">
        <f t="shared" si="2288"/>
        <v>0</v>
      </c>
      <c r="N2270" s="1">
        <f t="shared" si="2288"/>
        <v>0</v>
      </c>
      <c r="O2270" s="1">
        <f t="shared" si="2288"/>
        <v>0</v>
      </c>
      <c r="P2270" s="1">
        <f>P2271</f>
        <v>0</v>
      </c>
      <c r="Q2270" s="1">
        <f>Q2271</f>
        <v>0</v>
      </c>
      <c r="S2270" s="3"/>
    </row>
    <row r="2271" spans="2:19" x14ac:dyDescent="0.5">
      <c r="B2271" s="5" t="str">
        <f t="shared" si="2284"/>
        <v>SPS1</v>
      </c>
      <c r="C2271" s="5" t="str">
        <f t="shared" si="2285"/>
        <v>CH</v>
      </c>
      <c r="D2271" t="s">
        <v>2405</v>
      </c>
      <c r="E2271" t="str">
        <f t="shared" si="2286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SUMPRODUCT(([1]OUT_FinalEnergyCons!$B$4:$B$10000="var_ncap")*1, (ISNUMBER(SEARCH("RH*-WHH2BR",[1]OUT_FinalEnergyCons!$A$4:$A$10000)))*1,[1]OUT_FinalEnergyCons!H$4:H$10000)</f>
        <v>0</v>
      </c>
      <c r="K2271" s="1" cm="1">
        <f t="array" ref="K2271">SUMPRODUCT(([1]OUT_FinalEnergyCons!$B$4:$B$10000="var_ncap")*1, (ISNUMBER(SEARCH("RH*-WHH2BR",[1]OUT_FinalEnergyCons!$A$4:$A$10000)))*1,[1]OUT_FinalEnergyCons!I$4:I$10000)</f>
        <v>0</v>
      </c>
      <c r="L2271" s="1" cm="1">
        <f t="array" ref="L2271">SUMPRODUCT(([1]OUT_FinalEnergyCons!$B$4:$B$10000="var_ncap")*1, (ISNUMBER(SEARCH("RH*-WHH2BR",[1]OUT_FinalEnergyCons!$A$4:$A$10000)))*1,[1]OUT_FinalEnergyCons!J$4:J$10000)</f>
        <v>0</v>
      </c>
      <c r="M2271" s="1" cm="1">
        <f t="array" ref="M2271">SUMPRODUCT(([1]OUT_FinalEnergyCons!$B$4:$B$10000="var_ncap")*1, (ISNUMBER(SEARCH("RH*-WHH2BR",[1]OUT_FinalEnergyCons!$A$4:$A$10000)))*1,[1]OUT_FinalEnergyCons!K$4:K$10000)</f>
        <v>0</v>
      </c>
      <c r="N2271" s="1" cm="1">
        <f t="array" ref="N2271">SUMPRODUCT(([1]OUT_FinalEnergyCons!$B$4:$B$10000="var_ncap")*1, (ISNUMBER(SEARCH("RH*-WHH2BR",[1]OUT_FinalEnergyCons!$A$4:$A$10000)))*1,[1]OUT_FinalEnergyCons!L$4:L$10000)</f>
        <v>0</v>
      </c>
      <c r="O2271" s="1" cm="1">
        <f t="array" ref="O2271">SUMPRODUCT(([1]OUT_FinalEnergyCons!$B$4:$B$10000="var_ncap")*1, (ISNUMBER(SEARCH("RH*-WHH2BR",[1]OUT_FinalEnergyCons!$A$4:$A$10000)))*1,[1]OUT_FinalEnergyCons!M$4:M$10000)</f>
        <v>0</v>
      </c>
      <c r="P2271" s="1" cm="1">
        <f t="array" ref="P2271">SUMPRODUCT(([1]OUT_FinalEnergyCons!$B$4:$B$10000="var_ncap")*1, (ISNUMBER(SEARCH("RH*-WHH2BR",[1]OUT_FinalEnergyCons!$A$4:$A$10000)))*1,[1]OUT_FinalEnergyCons!N$4:N$10000)</f>
        <v>0</v>
      </c>
      <c r="Q2271" s="1" cm="1">
        <f t="array" ref="Q2271">SUMPRODUCT(([1]OUT_FinalEnergyCons!$B$4:$B$10000="var_ncap")*1, (ISNUMBER(SEARCH("RH*-WHH2BR",[1]OUT_FinalEnergyCons!$A$4:$A$10000)))*1,[1]OUT_FinalEnergyCons!O$4:O$10000)</f>
        <v>0</v>
      </c>
      <c r="S2271" s="3"/>
    </row>
    <row r="2272" spans="2:19" x14ac:dyDescent="0.5">
      <c r="B2272" s="9" t="str">
        <f t="shared" si="2284"/>
        <v>SPS1</v>
      </c>
      <c r="C2272" s="9" t="str">
        <f t="shared" si="2285"/>
        <v>CH</v>
      </c>
      <c r="D2272" s="2" t="s">
        <v>2406</v>
      </c>
      <c r="E2272" s="9" t="str">
        <f t="shared" si="2286"/>
        <v>GWth/yr.</v>
      </c>
      <c r="F2272" s="17">
        <f t="shared" ref="F2272:K2272" si="2289">SUM(F2273,F2276,F2279,F2283,F2285,F2287,F2289,F2291,F2293)</f>
        <v>1.6391721941047799E-3</v>
      </c>
      <c r="G2272" s="17">
        <f t="shared" si="2289"/>
        <v>0.3141461835667711</v>
      </c>
      <c r="H2272" s="17">
        <f t="shared" si="2289"/>
        <v>0.12089259174115634</v>
      </c>
      <c r="I2272" s="17">
        <f t="shared" si="2289"/>
        <v>0.22467502785341703</v>
      </c>
      <c r="J2272" s="17">
        <f t="shared" si="2289"/>
        <v>2.1629041382133711</v>
      </c>
      <c r="K2272" s="17">
        <f t="shared" si="2289"/>
        <v>1.1636554529580483</v>
      </c>
      <c r="L2272" s="17">
        <f t="shared" ref="L2272:O2272" si="2290">SUM(L2273,L2276,L2279,L2283,L2285,L2287,L2289,L2291,L2293)</f>
        <v>0.32118750250918077</v>
      </c>
      <c r="M2272" s="17">
        <f t="shared" si="2290"/>
        <v>1.9602777435825745</v>
      </c>
      <c r="N2272" s="17">
        <f t="shared" si="2290"/>
        <v>0.93877481003512875</v>
      </c>
      <c r="O2272" s="17">
        <f t="shared" si="2290"/>
        <v>0.66956267705654837</v>
      </c>
      <c r="P2272" s="17">
        <f>SUM(P2273,P2276,P2279,P2283,P2285,P2287,P2289,P2291,P2293)</f>
        <v>1.6264794106515446</v>
      </c>
      <c r="Q2272" s="17">
        <f>SUM(Q2273,Q2276,Q2279,Q2283,Q2285,Q2287,Q2289,Q2291,Q2293)</f>
        <v>0.98560778306538799</v>
      </c>
      <c r="S2272" s="3"/>
    </row>
    <row r="2273" spans="2:19" x14ac:dyDescent="0.5">
      <c r="B2273" s="5" t="str">
        <f t="shared" si="2284"/>
        <v>SPS1</v>
      </c>
      <c r="C2273" s="5" t="str">
        <f t="shared" si="2285"/>
        <v>CH</v>
      </c>
      <c r="D2273" t="s">
        <v>2407</v>
      </c>
      <c r="E2273" t="str">
        <f t="shared" si="2286"/>
        <v>GWth/yr.</v>
      </c>
      <c r="F2273" s="18">
        <f t="shared" ref="F2273:K2273" si="2291">SUM(F2274:F2275)</f>
        <v>0</v>
      </c>
      <c r="G2273" s="18">
        <f t="shared" si="2291"/>
        <v>0.23788030905744911</v>
      </c>
      <c r="H2273" s="18">
        <f t="shared" si="2291"/>
        <v>0.11675654664964773</v>
      </c>
      <c r="I2273" s="18">
        <f t="shared" si="2291"/>
        <v>0.17534756186428468</v>
      </c>
      <c r="J2273" s="18">
        <f t="shared" si="2291"/>
        <v>0.765350516296042</v>
      </c>
      <c r="K2273" s="18">
        <f t="shared" si="2291"/>
        <v>0.52340502659346699</v>
      </c>
      <c r="L2273" s="18">
        <f t="shared" ref="L2273:O2273" si="2292">SUM(L2274:L2275)</f>
        <v>0.23145474946359801</v>
      </c>
      <c r="M2273" s="18">
        <f t="shared" si="2292"/>
        <v>0.73844678523345697</v>
      </c>
      <c r="N2273" s="18">
        <f t="shared" si="2292"/>
        <v>0.46004308988008502</v>
      </c>
      <c r="O2273" s="18">
        <f t="shared" si="2292"/>
        <v>0.38854709205619498</v>
      </c>
      <c r="P2273" s="18">
        <f>SUM(P2274:P2275)</f>
        <v>0.73200739497601197</v>
      </c>
      <c r="Q2273" s="18">
        <f>SUM(Q2274:Q2275)</f>
        <v>0.45889838498304597</v>
      </c>
      <c r="S2273" s="3"/>
    </row>
    <row r="2274" spans="2:19" x14ac:dyDescent="0.5">
      <c r="B2274" s="5" t="str">
        <f t="shared" si="2284"/>
        <v>SPS1</v>
      </c>
      <c r="C2274" s="5" t="str">
        <f t="shared" si="2285"/>
        <v>CH</v>
      </c>
      <c r="D2274" t="s">
        <v>2408</v>
      </c>
      <c r="E2274" t="str">
        <f t="shared" si="2286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0.22155153705908501</v>
      </c>
      <c r="H2274" s="1" cm="1">
        <f t="array" ref="H2274">SUMPRODUCT(([1]OUT_FinalEnergyCons!$B$4:$B$10000="var_ncap")*1,  (ISNUMBER(SEARCH("ITOT-SWHELCBR",[1]OUT_FinalEnergyCons!$A$4:$A$10000)))*1,[1]OUT_FinalEnergyCons!F$4:F$10000)</f>
        <v>1.45535132851973E-3</v>
      </c>
      <c r="I2274" s="1" cm="1">
        <f t="array" ref="I2274">SUMPRODUCT(([1]OUT_FinalEnergyCons!$B$4:$B$10000="var_ncap")*1,  (ISNUMBER(SEARCH("ITOT-SWHELCBR",[1]OUT_FinalEnergyCons!$A$4:$A$10000)))*1,[1]OUT_FinalEnergyCons!G$4:G$10000)</f>
        <v>5.1338175591770702E-2</v>
      </c>
      <c r="J2274" s="1" cm="1">
        <f t="array" ref="J2274">SUMPRODUCT(([1]OUT_FinalEnergyCons!$B$4:$B$10000="var_ncap")*1,  (ISNUMBER(SEARCH("ITOT-SWHELCBR",[1]OUT_FinalEnergyCons!$A$4:$A$10000)))*1,[1]OUT_FinalEnergyCons!H$4:H$10000)</f>
        <v>0.58227885884577701</v>
      </c>
      <c r="K2274" s="1" cm="1">
        <f t="array" ref="K2274">SUMPRODUCT(([1]OUT_FinalEnergyCons!$B$4:$B$10000="var_ncap")*1,  (ISNUMBER(SEARCH("ITOT-SWHELCBR",[1]OUT_FinalEnergyCons!$A$4:$A$10000)))*1,[1]OUT_FinalEnergyCons!I$4:I$10000)</f>
        <v>0.34653015045637497</v>
      </c>
      <c r="L2274" s="1" cm="1">
        <f t="array" ref="L2274">SUMPRODUCT(([1]OUT_FinalEnergyCons!$B$4:$B$10000="var_ncap")*1,  (ISNUMBER(SEARCH("ITOT-SWHELCBR",[1]OUT_FinalEnergyCons!$A$4:$A$10000)))*1,[1]OUT_FinalEnergyCons!J$4:J$10000)</f>
        <v>0.106882443841949</v>
      </c>
      <c r="M2274" s="1" cm="1">
        <f t="array" ref="M2274">SUMPRODUCT(([1]OUT_FinalEnergyCons!$B$4:$B$10000="var_ncap")*1,  (ISNUMBER(SEARCH("ITOT-SWHELCBR",[1]OUT_FinalEnergyCons!$A$4:$A$10000)))*1,[1]OUT_FinalEnergyCons!K$4:K$10000)</f>
        <v>0.55595400695111996</v>
      </c>
      <c r="N2274" s="1" cm="1">
        <f t="array" ref="N2274">SUMPRODUCT(([1]OUT_FinalEnergyCons!$B$4:$B$10000="var_ncap")*1,  (ISNUMBER(SEARCH("ITOT-SWHELCBR",[1]OUT_FinalEnergyCons!$A$4:$A$10000)))*1,[1]OUT_FinalEnergyCons!L$4:L$10000)</f>
        <v>0.294072445455619</v>
      </c>
      <c r="O2274" s="1" cm="1">
        <f t="array" ref="O2274">SUMPRODUCT(([1]OUT_FinalEnergyCons!$B$4:$B$10000="var_ncap")*1,  (ISNUMBER(SEARCH("ITOT-SWHELCBR",[1]OUT_FinalEnergyCons!$A$4:$A$10000)))*1,[1]OUT_FinalEnergyCons!M$4:M$10000)</f>
        <v>0.18615185455043201</v>
      </c>
      <c r="P2274" s="1" cm="1">
        <f t="array" ref="P2274">SUMPRODUCT(([1]OUT_FinalEnergyCons!$B$4:$B$10000="var_ncap")*1,  (ISNUMBER(SEARCH("ITOT-SWHELCBR",[1]OUT_FinalEnergyCons!$A$4:$A$10000)))*1,[1]OUT_FinalEnergyCons!N$4:N$10000)</f>
        <v>0.53001903680427698</v>
      </c>
      <c r="Q2274" s="1" cm="1">
        <f t="array" ref="Q2274">SUMPRODUCT(([1]OUT_FinalEnergyCons!$B$4:$B$10000="var_ncap")*1,  (ISNUMBER(SEARCH("ITOT-SWHELCBR",[1]OUT_FinalEnergyCons!$A$4:$A$10000)))*1,[1]OUT_FinalEnergyCons!O$4:O$10000)</f>
        <v>0.31325877470525998</v>
      </c>
      <c r="S2274" s="3"/>
    </row>
    <row r="2275" spans="2:19" x14ac:dyDescent="0.5">
      <c r="B2275" s="5" t="str">
        <f t="shared" si="2284"/>
        <v>SPS1</v>
      </c>
      <c r="C2275" s="5" t="str">
        <f t="shared" si="2285"/>
        <v>CH</v>
      </c>
      <c r="D2275" t="s">
        <v>2409</v>
      </c>
      <c r="E2275" t="str">
        <f t="shared" si="2286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1.6328771998364099E-2</v>
      </c>
      <c r="H2275" s="1" cm="1">
        <f t="array" ref="H2275">SUMPRODUCT(([1]OUT_FinalEnergyCons!$B$4:$B$10000="var_ncap")*1,  (ISNUMBER(SEARCH("ITOT-SWHELCHP",[1]OUT_FinalEnergyCons!$A$4:$A$10000)))*1,[1]OUT_FinalEnergyCons!F$4:F$10000)</f>
        <v>0.11530119532112799</v>
      </c>
      <c r="I2275" s="1" cm="1">
        <f t="array" ref="I2275">SUMPRODUCT(([1]OUT_FinalEnergyCons!$B$4:$B$10000="var_ncap")*1,  (ISNUMBER(SEARCH("ITOT-SWHELCHP",[1]OUT_FinalEnergyCons!$A$4:$A$10000)))*1,[1]OUT_FinalEnergyCons!G$4:G$10000)</f>
        <v>0.124009386272514</v>
      </c>
      <c r="J2275" s="1" cm="1">
        <f t="array" ref="J2275">SUMPRODUCT(([1]OUT_FinalEnergyCons!$B$4:$B$10000="var_ncap")*1,  (ISNUMBER(SEARCH("ITOT-SWHELCHP",[1]OUT_FinalEnergyCons!$A$4:$A$10000)))*1,[1]OUT_FinalEnergyCons!H$4:H$10000)</f>
        <v>0.18307165745026499</v>
      </c>
      <c r="K2275" s="1" cm="1">
        <f t="array" ref="K2275">SUMPRODUCT(([1]OUT_FinalEnergyCons!$B$4:$B$10000="var_ncap")*1,  (ISNUMBER(SEARCH("ITOT-SWHELCHP",[1]OUT_FinalEnergyCons!$A$4:$A$10000)))*1,[1]OUT_FinalEnergyCons!I$4:I$10000)</f>
        <v>0.17687487613709199</v>
      </c>
      <c r="L2275" s="1" cm="1">
        <f t="array" ref="L2275">SUMPRODUCT(([1]OUT_FinalEnergyCons!$B$4:$B$10000="var_ncap")*1,  (ISNUMBER(SEARCH("ITOT-SWHELCHP",[1]OUT_FinalEnergyCons!$A$4:$A$10000)))*1,[1]OUT_FinalEnergyCons!J$4:J$10000)</f>
        <v>0.124572305621649</v>
      </c>
      <c r="M2275" s="1" cm="1">
        <f t="array" ref="M2275">SUMPRODUCT(([1]OUT_FinalEnergyCons!$B$4:$B$10000="var_ncap")*1,  (ISNUMBER(SEARCH("ITOT-SWHELCHP",[1]OUT_FinalEnergyCons!$A$4:$A$10000)))*1,[1]OUT_FinalEnergyCons!K$4:K$10000)</f>
        <v>0.18249277828233701</v>
      </c>
      <c r="N2275" s="1" cm="1">
        <f t="array" ref="N2275">SUMPRODUCT(([1]OUT_FinalEnergyCons!$B$4:$B$10000="var_ncap")*1,  (ISNUMBER(SEARCH("ITOT-SWHELCHP",[1]OUT_FinalEnergyCons!$A$4:$A$10000)))*1,[1]OUT_FinalEnergyCons!L$4:L$10000)</f>
        <v>0.16597064442446599</v>
      </c>
      <c r="O2275" s="1" cm="1">
        <f t="array" ref="O2275">SUMPRODUCT(([1]OUT_FinalEnergyCons!$B$4:$B$10000="var_ncap")*1,  (ISNUMBER(SEARCH("ITOT-SWHELCHP",[1]OUT_FinalEnergyCons!$A$4:$A$10000)))*1,[1]OUT_FinalEnergyCons!M$4:M$10000)</f>
        <v>0.20239523750576299</v>
      </c>
      <c r="P2275" s="1" cm="1">
        <f t="array" ref="P2275">SUMPRODUCT(([1]OUT_FinalEnergyCons!$B$4:$B$10000="var_ncap")*1,  (ISNUMBER(SEARCH("ITOT-SWHELCHP",[1]OUT_FinalEnergyCons!$A$4:$A$10000)))*1,[1]OUT_FinalEnergyCons!N$4:N$10000)</f>
        <v>0.20198835817173499</v>
      </c>
      <c r="Q2275" s="1" cm="1">
        <f t="array" ref="Q2275">SUMPRODUCT(([1]OUT_FinalEnergyCons!$B$4:$B$10000="var_ncap")*1,  (ISNUMBER(SEARCH("ITOT-SWHELCHP",[1]OUT_FinalEnergyCons!$A$4:$A$10000)))*1,[1]OUT_FinalEnergyCons!O$4:O$10000)</f>
        <v>0.14563961027778599</v>
      </c>
      <c r="S2275" s="3"/>
    </row>
    <row r="2276" spans="2:19" x14ac:dyDescent="0.5">
      <c r="B2276" s="5" t="str">
        <f t="shared" si="2284"/>
        <v>SPS1</v>
      </c>
      <c r="C2276" s="5" t="str">
        <f t="shared" si="2285"/>
        <v>CH</v>
      </c>
      <c r="D2276" t="s">
        <v>2410</v>
      </c>
      <c r="E2276" t="str">
        <f t="shared" si="2286"/>
        <v>GWth/yr.</v>
      </c>
      <c r="F2276" s="18">
        <f t="shared" ref="F2276:K2276" si="2293">SUM(F2277:F2278)</f>
        <v>1.6391721941047799E-3</v>
      </c>
      <c r="G2276" s="18">
        <f t="shared" si="2293"/>
        <v>1.2703371753944918E-2</v>
      </c>
      <c r="H2276" s="18">
        <f t="shared" si="2293"/>
        <v>1.3120021564895051E-4</v>
      </c>
      <c r="I2276" s="18">
        <f t="shared" si="2293"/>
        <v>1.446978158873673E-4</v>
      </c>
      <c r="J2276" s="18">
        <f t="shared" si="2293"/>
        <v>0.16348944093357431</v>
      </c>
      <c r="K2276" s="18">
        <f t="shared" si="2293"/>
        <v>3.032802729450698E-3</v>
      </c>
      <c r="L2276" s="18">
        <f t="shared" ref="L2276:O2276" si="2294">SUM(L2277:L2278)</f>
        <v>2.084457958673159E-4</v>
      </c>
      <c r="M2276" s="18">
        <f t="shared" si="2294"/>
        <v>1.7327332191686324E-2</v>
      </c>
      <c r="N2276" s="18">
        <f t="shared" si="2294"/>
        <v>1.2543017852385556E-3</v>
      </c>
      <c r="O2276" s="18">
        <f t="shared" si="2294"/>
        <v>3.7366721798042023E-4</v>
      </c>
      <c r="P2276" s="18">
        <f>SUM(P2277:P2278)</f>
        <v>1.418635804763994E-2</v>
      </c>
      <c r="Q2276" s="18">
        <f>SUM(Q2277:Q2278)</f>
        <v>4.99320359812549E-3</v>
      </c>
      <c r="S2276" s="3"/>
    </row>
    <row r="2277" spans="2:19" x14ac:dyDescent="0.5">
      <c r="B2277" s="5" t="str">
        <f t="shared" si="2284"/>
        <v>SPS1</v>
      </c>
      <c r="C2277" s="5" t="str">
        <f t="shared" si="2285"/>
        <v>CH</v>
      </c>
      <c r="D2277" t="s">
        <v>2411</v>
      </c>
      <c r="E2277" t="str">
        <f t="shared" si="2286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1.26367417651719E-2</v>
      </c>
      <c r="H2277" s="1" cm="1">
        <f t="array" ref="H2277">SUMPRODUCT(([1]OUT_FinalEnergyCons!$B$4:$B$10000="var_ncap")*1,  (ISNUMBER(SEARCH("ITOT-SWHLFOBR",[1]OUT_FinalEnergyCons!$A$4:$A$10000)))*1,[1]OUT_FinalEnergyCons!F$4:F$10000)</f>
        <v>8.6362106705918106E-5</v>
      </c>
      <c r="I2277" s="1" cm="1">
        <f t="array" ref="I2277">SUMPRODUCT(([1]OUT_FinalEnergyCons!$B$4:$B$10000="var_ncap")*1,  (ISNUMBER(SEARCH("ITOT-SWHLFOBR",[1]OUT_FinalEnergyCons!$A$4:$A$10000)))*1,[1]OUT_FinalEnergyCons!G$4:G$10000)</f>
        <v>1.01140364462616E-4</v>
      </c>
      <c r="J2277" s="1" cm="1">
        <f t="array" ref="J2277">SUMPRODUCT(([1]OUT_FinalEnergyCons!$B$4:$B$10000="var_ncap")*1,  (ISNUMBER(SEARCH("ITOT-SWHLFOBR",[1]OUT_FinalEnergyCons!$A$4:$A$10000)))*1,[1]OUT_FinalEnergyCons!H$4:H$10000)</f>
        <v>0.16330223253595699</v>
      </c>
      <c r="K2277" s="1" cm="1">
        <f t="array" ref="K2277">SUMPRODUCT(([1]OUT_FinalEnergyCons!$B$4:$B$10000="var_ncap")*1,  (ISNUMBER(SEARCH("ITOT-SWHLFOBR",[1]OUT_FinalEnergyCons!$A$4:$A$10000)))*1,[1]OUT_FinalEnergyCons!I$4:I$10000)</f>
        <v>2.9630924168241798E-3</v>
      </c>
      <c r="L2277" s="1" cm="1">
        <f t="array" ref="L2277">SUMPRODUCT(([1]OUT_FinalEnergyCons!$B$4:$B$10000="var_ncap")*1,  (ISNUMBER(SEARCH("ITOT-SWHLFOBR",[1]OUT_FinalEnergyCons!$A$4:$A$10000)))*1,[1]OUT_FinalEnergyCons!J$4:J$10000)</f>
        <v>8.4973368909476902E-5</v>
      </c>
      <c r="M2277" s="1" cm="1">
        <f t="array" ref="M2277">SUMPRODUCT(([1]OUT_FinalEnergyCons!$B$4:$B$10000="var_ncap")*1,  (ISNUMBER(SEARCH("ITOT-SWHLFOBR",[1]OUT_FinalEnergyCons!$A$4:$A$10000)))*1,[1]OUT_FinalEnergyCons!K$4:K$10000)</f>
        <v>1.7302926412622301E-2</v>
      </c>
      <c r="N2277" s="1" cm="1">
        <f t="array" ref="N2277">SUMPRODUCT(([1]OUT_FinalEnergyCons!$B$4:$B$10000="var_ncap")*1,  (ISNUMBER(SEARCH("ITOT-SWHLFOBR",[1]OUT_FinalEnergyCons!$A$4:$A$10000)))*1,[1]OUT_FinalEnergyCons!L$4:L$10000)</f>
        <v>1.21403396565737E-3</v>
      </c>
      <c r="O2277" s="1" cm="1">
        <f t="array" ref="O2277">SUMPRODUCT(([1]OUT_FinalEnergyCons!$B$4:$B$10000="var_ncap")*1,  (ISNUMBER(SEARCH("ITOT-SWHLFOBR",[1]OUT_FinalEnergyCons!$A$4:$A$10000)))*1,[1]OUT_FinalEnergyCons!M$4:M$10000)</f>
        <v>3.4075914593855301E-4</v>
      </c>
      <c r="P2277" s="1" cm="1">
        <f t="array" ref="P2277">SUMPRODUCT(([1]OUT_FinalEnergyCons!$B$4:$B$10000="var_ncap")*1,  (ISNUMBER(SEARCH("ITOT-SWHLFOBR",[1]OUT_FinalEnergyCons!$A$4:$A$10000)))*1,[1]OUT_FinalEnergyCons!N$4:N$10000)</f>
        <v>1.41649752089561E-2</v>
      </c>
      <c r="Q2277" s="1" cm="1">
        <f t="array" ref="Q2277">SUMPRODUCT(([1]OUT_FinalEnergyCons!$B$4:$B$10000="var_ncap")*1,  (ISNUMBER(SEARCH("ITOT-SWHLFOBR",[1]OUT_FinalEnergyCons!$A$4:$A$10000)))*1,[1]OUT_FinalEnergyCons!O$4:O$10000)</f>
        <v>4.98119187427736E-3</v>
      </c>
      <c r="S2277" s="3"/>
    </row>
    <row r="2278" spans="2:19" x14ac:dyDescent="0.5">
      <c r="B2278" s="5" t="str">
        <f t="shared" si="2284"/>
        <v>SPS1</v>
      </c>
      <c r="C2278" s="5" t="str">
        <f t="shared" si="2285"/>
        <v>CH</v>
      </c>
      <c r="D2278" t="s">
        <v>2412</v>
      </c>
      <c r="E2278" t="str">
        <f t="shared" si="2286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1.6391721941047799E-3</v>
      </c>
      <c r="G2278" s="1" cm="1">
        <f t="array" ref="G2278">SUMPRODUCT(([1]OUT_FinalEnergyCons!$B$4:$B$10000="var_ncap")*1,  (ISNUMBER(SEARCH("ITOT-SWHHFOBR",[1]OUT_FinalEnergyCons!$A$4:$A$10000)))*1,[1]OUT_FinalEnergyCons!E$4:E$10000)</f>
        <v>6.6629988773017905E-5</v>
      </c>
      <c r="H2278" s="1" cm="1">
        <f t="array" ref="H2278">SUMPRODUCT(([1]OUT_FinalEnergyCons!$B$4:$B$10000="var_ncap")*1,  (ISNUMBER(SEARCH("ITOT-SWHHFOBR",[1]OUT_FinalEnergyCons!$A$4:$A$10000)))*1,[1]OUT_FinalEnergyCons!F$4:F$10000)</f>
        <v>4.4838108943032397E-5</v>
      </c>
      <c r="I2278" s="1" cm="1">
        <f t="array" ref="I2278">SUMPRODUCT(([1]OUT_FinalEnergyCons!$B$4:$B$10000="var_ncap")*1,  (ISNUMBER(SEARCH("ITOT-SWHHFOBR",[1]OUT_FinalEnergyCons!$A$4:$A$10000)))*1,[1]OUT_FinalEnergyCons!G$4:G$10000)</f>
        <v>4.3557451424751302E-5</v>
      </c>
      <c r="J2278" s="1" cm="1">
        <f t="array" ref="J2278">SUMPRODUCT(([1]OUT_FinalEnergyCons!$B$4:$B$10000="var_ncap")*1,  (ISNUMBER(SEARCH("ITOT-SWHHFOBR",[1]OUT_FinalEnergyCons!$A$4:$A$10000)))*1,[1]OUT_FinalEnergyCons!H$4:H$10000)</f>
        <v>1.8720839761731E-4</v>
      </c>
      <c r="K2278" s="1" cm="1">
        <f t="array" ref="K2278">SUMPRODUCT(([1]OUT_FinalEnergyCons!$B$4:$B$10000="var_ncap")*1,  (ISNUMBER(SEARCH("ITOT-SWHHFOBR",[1]OUT_FinalEnergyCons!$A$4:$A$10000)))*1,[1]OUT_FinalEnergyCons!I$4:I$10000)</f>
        <v>6.9710312626518296E-5</v>
      </c>
      <c r="L2278" s="1" cm="1">
        <f t="array" ref="L2278">SUMPRODUCT(([1]OUT_FinalEnergyCons!$B$4:$B$10000="var_ncap")*1,  (ISNUMBER(SEARCH("ITOT-SWHHFOBR",[1]OUT_FinalEnergyCons!$A$4:$A$10000)))*1,[1]OUT_FinalEnergyCons!J$4:J$10000)</f>
        <v>1.23472426957839E-4</v>
      </c>
      <c r="M2278" s="1" cm="1">
        <f t="array" ref="M2278">SUMPRODUCT(([1]OUT_FinalEnergyCons!$B$4:$B$10000="var_ncap")*1,  (ISNUMBER(SEARCH("ITOT-SWHHFOBR",[1]OUT_FinalEnergyCons!$A$4:$A$10000)))*1,[1]OUT_FinalEnergyCons!K$4:K$10000)</f>
        <v>2.44057790640219E-5</v>
      </c>
      <c r="N2278" s="1" cm="1">
        <f t="array" ref="N2278">SUMPRODUCT(([1]OUT_FinalEnergyCons!$B$4:$B$10000="var_ncap")*1,  (ISNUMBER(SEARCH("ITOT-SWHHFOBR",[1]OUT_FinalEnergyCons!$A$4:$A$10000)))*1,[1]OUT_FinalEnergyCons!L$4:L$10000)</f>
        <v>4.0267819581185598E-5</v>
      </c>
      <c r="O2278" s="1" cm="1">
        <f t="array" ref="O2278">SUMPRODUCT(([1]OUT_FinalEnergyCons!$B$4:$B$10000="var_ncap")*1,  (ISNUMBER(SEARCH("ITOT-SWHHFOBR",[1]OUT_FinalEnergyCons!$A$4:$A$10000)))*1,[1]OUT_FinalEnergyCons!M$4:M$10000)</f>
        <v>3.29080720418672E-5</v>
      </c>
      <c r="P2278" s="1" cm="1">
        <f t="array" ref="P2278">SUMPRODUCT(([1]OUT_FinalEnergyCons!$B$4:$B$10000="var_ncap")*1,  (ISNUMBER(SEARCH("ITOT-SWHHFOBR",[1]OUT_FinalEnergyCons!$A$4:$A$10000)))*1,[1]OUT_FinalEnergyCons!N$4:N$10000)</f>
        <v>2.13828386838406E-5</v>
      </c>
      <c r="Q2278" s="1" cm="1">
        <f t="array" ref="Q2278">SUMPRODUCT(([1]OUT_FinalEnergyCons!$B$4:$B$10000="var_ncap")*1,  (ISNUMBER(SEARCH("ITOT-SWHHFOBR",[1]OUT_FinalEnergyCons!$A$4:$A$10000)))*1,[1]OUT_FinalEnergyCons!O$4:O$10000)</f>
        <v>1.2011723848130401E-5</v>
      </c>
      <c r="S2278" s="3"/>
    </row>
    <row r="2279" spans="2:19" x14ac:dyDescent="0.5">
      <c r="B2279" s="5" t="str">
        <f t="shared" si="2284"/>
        <v>SPS1</v>
      </c>
      <c r="C2279" s="5" t="str">
        <f t="shared" si="2285"/>
        <v>CH</v>
      </c>
      <c r="D2279" t="s">
        <v>2413</v>
      </c>
      <c r="E2279" t="str">
        <f t="shared" si="2286"/>
        <v>GWth/yr.</v>
      </c>
      <c r="F2279" s="18">
        <f t="shared" ref="F2279:K2279" si="2295">SUM(F2280:F2281)</f>
        <v>0</v>
      </c>
      <c r="G2279" s="18">
        <f t="shared" si="2295"/>
        <v>1.4747921096186271E-3</v>
      </c>
      <c r="H2279" s="18">
        <f t="shared" si="2295"/>
        <v>3.6997810736301021E-3</v>
      </c>
      <c r="I2279" s="18">
        <f t="shared" si="2295"/>
        <v>4.8605355469063848E-3</v>
      </c>
      <c r="J2279" s="18">
        <f t="shared" si="2295"/>
        <v>0.83833285727453777</v>
      </c>
      <c r="K2279" s="18">
        <f t="shared" si="2295"/>
        <v>0.38076855338418464</v>
      </c>
      <c r="L2279" s="18">
        <f t="shared" ref="L2279:O2279" si="2296">SUM(L2280:L2281)</f>
        <v>5.003969607624224E-3</v>
      </c>
      <c r="M2279" s="18">
        <f t="shared" si="2296"/>
        <v>0.72747139139839745</v>
      </c>
      <c r="N2279" s="18">
        <f t="shared" si="2296"/>
        <v>0.21530530926032582</v>
      </c>
      <c r="O2279" s="18">
        <f t="shared" si="2296"/>
        <v>0.1710264048937733</v>
      </c>
      <c r="P2279" s="18">
        <f>SUM(P2280:P2281)</f>
        <v>0.47019020575403947</v>
      </c>
      <c r="Q2279" s="18">
        <f>SUM(Q2280:Q2281)</f>
        <v>0.23700046587218188</v>
      </c>
      <c r="S2279" s="3"/>
    </row>
    <row r="2280" spans="2:19" x14ac:dyDescent="0.5">
      <c r="B2280" s="5" t="str">
        <f t="shared" si="2284"/>
        <v>SPS1</v>
      </c>
      <c r="C2280" s="5" t="str">
        <f t="shared" si="2285"/>
        <v>CH</v>
      </c>
      <c r="D2280" t="s">
        <v>2414</v>
      </c>
      <c r="E2280" t="str">
        <f t="shared" si="2286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1.1217771684220701E-4</v>
      </c>
      <c r="H2280" s="1" cm="1">
        <f t="array" ref="H2280">SUMPRODUCT(([1]OUT_FinalEnergyCons!$B$4:$B$10000="var_ncap")*1,  (ISNUMBER(SEARCH("ITOT-SWHNGA*BR",[1]OUT_FinalEnergyCons!$A$4:$A$10000)))*1,[1]OUT_FinalEnergyCons!F$4:F$10000)</f>
        <v>2.1145727221031201E-4</v>
      </c>
      <c r="I2280" s="1" cm="1">
        <f t="array" ref="I2280">SUMPRODUCT(([1]OUT_FinalEnergyCons!$B$4:$B$10000="var_ncap")*1,  (ISNUMBER(SEARCH("ITOT-SWHNGA*BR",[1]OUT_FinalEnergyCons!$A$4:$A$10000)))*1,[1]OUT_FinalEnergyCons!G$4:G$10000)</f>
        <v>7.72808431159344E-5</v>
      </c>
      <c r="J2280" s="1" cm="1">
        <f t="array" ref="J2280">SUMPRODUCT(([1]OUT_FinalEnergyCons!$B$4:$B$10000="var_ncap")*1,  (ISNUMBER(SEARCH("ITOT-SWHNGA*BR",[1]OUT_FinalEnergyCons!$A$4:$A$10000)))*1,[1]OUT_FinalEnergyCons!H$4:H$10000)</f>
        <v>0.83524227989709199</v>
      </c>
      <c r="K2280" s="1" cm="1">
        <f t="array" ref="K2280">SUMPRODUCT(([1]OUT_FinalEnergyCons!$B$4:$B$10000="var_ncap")*1,  (ISNUMBER(SEARCH("ITOT-SWHNGA*BR",[1]OUT_FinalEnergyCons!$A$4:$A$10000)))*1,[1]OUT_FinalEnergyCons!I$4:I$10000)</f>
        <v>0.37495702859271601</v>
      </c>
      <c r="L2280" s="1" cm="1">
        <f t="array" ref="L2280">SUMPRODUCT(([1]OUT_FinalEnergyCons!$B$4:$B$10000="var_ncap")*1,  (ISNUMBER(SEARCH("ITOT-SWHNGA*BR",[1]OUT_FinalEnergyCons!$A$4:$A$10000)))*1,[1]OUT_FinalEnergyCons!J$4:J$10000)</f>
        <v>1.5844012325248399E-4</v>
      </c>
      <c r="M2280" s="1" cm="1">
        <f t="array" ref="M2280">SUMPRODUCT(([1]OUT_FinalEnergyCons!$B$4:$B$10000="var_ncap")*1,  (ISNUMBER(SEARCH("ITOT-SWHNGA*BR",[1]OUT_FinalEnergyCons!$A$4:$A$10000)))*1,[1]OUT_FinalEnergyCons!K$4:K$10000)</f>
        <v>0.72368254718455904</v>
      </c>
      <c r="N2280" s="1" cm="1">
        <f t="array" ref="N2280">SUMPRODUCT(([1]OUT_FinalEnergyCons!$B$4:$B$10000="var_ncap")*1,  (ISNUMBER(SEARCH("ITOT-SWHNGA*BR",[1]OUT_FinalEnergyCons!$A$4:$A$10000)))*1,[1]OUT_FinalEnergyCons!L$4:L$10000)</f>
        <v>0.21034264557660301</v>
      </c>
      <c r="O2280" s="1" cm="1">
        <f t="array" ref="O2280">SUMPRODUCT(([1]OUT_FinalEnergyCons!$B$4:$B$10000="var_ncap")*1,  (ISNUMBER(SEARCH("ITOT-SWHNGA*BR",[1]OUT_FinalEnergyCons!$A$4:$A$10000)))*1,[1]OUT_FinalEnergyCons!M$4:M$10000)</f>
        <v>1.1761781446932801E-3</v>
      </c>
      <c r="P2280" s="1" cm="1">
        <f t="array" ref="P2280">SUMPRODUCT(([1]OUT_FinalEnergyCons!$B$4:$B$10000="var_ncap")*1,  (ISNUMBER(SEARCH("ITOT-SWHNGA*BR",[1]OUT_FinalEnergyCons!$A$4:$A$10000)))*1,[1]OUT_FinalEnergyCons!N$4:N$10000)</f>
        <v>0.46568896518859498</v>
      </c>
      <c r="Q2280" s="1" cm="1">
        <f t="array" ref="Q2280">SUMPRODUCT(([1]OUT_FinalEnergyCons!$B$4:$B$10000="var_ncap")*1,  (ISNUMBER(SEARCH("ITOT-SWHNGA*BR",[1]OUT_FinalEnergyCons!$A$4:$A$10000)))*1,[1]OUT_FinalEnergyCons!O$4:O$10000)</f>
        <v>0.23214332256277501</v>
      </c>
      <c r="S2280" s="3"/>
    </row>
    <row r="2281" spans="2:19" x14ac:dyDescent="0.5">
      <c r="B2281" s="5" t="str">
        <f t="shared" si="2284"/>
        <v>SPS1</v>
      </c>
      <c r="C2281" s="5" t="str">
        <f t="shared" si="2285"/>
        <v>CH</v>
      </c>
      <c r="D2281" t="s">
        <v>2415</v>
      </c>
      <c r="E2281" t="str">
        <f t="shared" si="2286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1.36261439277642E-3</v>
      </c>
      <c r="H2281" s="1" cm="1">
        <f t="array" ref="H2281">SUMPRODUCT(([1]OUT_FinalEnergyCons!$B$4:$B$10000="var_ncap")*1,  (ISNUMBER(SEARCH("ITOT-SWHNGAHP",[1]OUT_FinalEnergyCons!$A$4:$A$10000)))*1,[1]OUT_FinalEnergyCons!F$4:F$10000)</f>
        <v>3.4883238014197901E-3</v>
      </c>
      <c r="I2281" s="1" cm="1">
        <f t="array" ref="I2281">SUMPRODUCT(([1]OUT_FinalEnergyCons!$B$4:$B$10000="var_ncap")*1,  (ISNUMBER(SEARCH("ITOT-SWHNGAHP",[1]OUT_FinalEnergyCons!$A$4:$A$10000)))*1,[1]OUT_FinalEnergyCons!G$4:G$10000)</f>
        <v>4.7832547037904502E-3</v>
      </c>
      <c r="J2281" s="1" cm="1">
        <f t="array" ref="J2281">SUMPRODUCT(([1]OUT_FinalEnergyCons!$B$4:$B$10000="var_ncap")*1,  (ISNUMBER(SEARCH("ITOT-SWHNGAHP",[1]OUT_FinalEnergyCons!$A$4:$A$10000)))*1,[1]OUT_FinalEnergyCons!H$4:H$10000)</f>
        <v>3.09057737744583E-3</v>
      </c>
      <c r="K2281" s="1" cm="1">
        <f t="array" ref="K2281">SUMPRODUCT(([1]OUT_FinalEnergyCons!$B$4:$B$10000="var_ncap")*1,  (ISNUMBER(SEARCH("ITOT-SWHNGAHP",[1]OUT_FinalEnergyCons!$A$4:$A$10000)))*1,[1]OUT_FinalEnergyCons!I$4:I$10000)</f>
        <v>5.81152479146864E-3</v>
      </c>
      <c r="L2281" s="1" cm="1">
        <f t="array" ref="L2281">SUMPRODUCT(([1]OUT_FinalEnergyCons!$B$4:$B$10000="var_ncap")*1,  (ISNUMBER(SEARCH("ITOT-SWHNGAHP",[1]OUT_FinalEnergyCons!$A$4:$A$10000)))*1,[1]OUT_FinalEnergyCons!J$4:J$10000)</f>
        <v>4.8455294843717401E-3</v>
      </c>
      <c r="M2281" s="1" cm="1">
        <f t="array" ref="M2281">SUMPRODUCT(([1]OUT_FinalEnergyCons!$B$4:$B$10000="var_ncap")*1,  (ISNUMBER(SEARCH("ITOT-SWHNGAHP",[1]OUT_FinalEnergyCons!$A$4:$A$10000)))*1,[1]OUT_FinalEnergyCons!K$4:K$10000)</f>
        <v>3.7888442138384001E-3</v>
      </c>
      <c r="N2281" s="1" cm="1">
        <f t="array" ref="N2281">SUMPRODUCT(([1]OUT_FinalEnergyCons!$B$4:$B$10000="var_ncap")*1,  (ISNUMBER(SEARCH("ITOT-SWHNGAHP",[1]OUT_FinalEnergyCons!$A$4:$A$10000)))*1,[1]OUT_FinalEnergyCons!L$4:L$10000)</f>
        <v>4.9626636837228197E-3</v>
      </c>
      <c r="O2281" s="1" cm="1">
        <f t="array" ref="O2281">SUMPRODUCT(([1]OUT_FinalEnergyCons!$B$4:$B$10000="var_ncap")*1,  (ISNUMBER(SEARCH("ITOT-SWHNGAHP",[1]OUT_FinalEnergyCons!$A$4:$A$10000)))*1,[1]OUT_FinalEnergyCons!M$4:M$10000)</f>
        <v>0.16985022674908001</v>
      </c>
      <c r="P2281" s="1" cm="1">
        <f t="array" ref="P2281">SUMPRODUCT(([1]OUT_FinalEnergyCons!$B$4:$B$10000="var_ncap")*1,  (ISNUMBER(SEARCH("ITOT-SWHNGAHP",[1]OUT_FinalEnergyCons!$A$4:$A$10000)))*1,[1]OUT_FinalEnergyCons!N$4:N$10000)</f>
        <v>4.5012405654444596E-3</v>
      </c>
      <c r="Q2281" s="1" cm="1">
        <f t="array" ref="Q2281">SUMPRODUCT(([1]OUT_FinalEnergyCons!$B$4:$B$10000="var_ncap")*1,  (ISNUMBER(SEARCH("ITOT-SWHNGAHP",[1]OUT_FinalEnergyCons!$A$4:$A$10000)))*1,[1]OUT_FinalEnergyCons!O$4:O$10000)</f>
        <v>4.8571433094068799E-3</v>
      </c>
      <c r="S2281" s="3"/>
    </row>
    <row r="2282" spans="2:19" x14ac:dyDescent="0.5">
      <c r="B2282" s="5" t="str">
        <f t="shared" si="2284"/>
        <v>SPS1</v>
      </c>
      <c r="C2282" s="5" t="str">
        <f t="shared" si="2285"/>
        <v>CH</v>
      </c>
      <c r="D2282" t="s">
        <v>2416</v>
      </c>
      <c r="E2282" t="str">
        <f t="shared" si="2286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1.40700929597524E-2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1.2469437910871401E-2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5.0368966396849402E-2</v>
      </c>
      <c r="J2282" s="1" cm="1">
        <f t="array" ref="J2282">SUMPRODUCT(([1]OUT_FinalEnergyCons!$B$4:$B$10000="var_ncap")*1,  (("ITOT-SWHBIOBR"=[1]OUT_FinalEnergyCons!$A$4:$A$10000)*1+("ITOT-SWHBNGABR"=[1]OUT_FinalEnergyCons!$A$4:$A$10000))*1,[1]OUT_FinalEnergyCons!H$4:H$10000)</f>
        <v>9.3894706239052494E-2</v>
      </c>
      <c r="K2282" s="1" cm="1">
        <f t="array" ref="K2282">SUMPRODUCT(([1]OUT_FinalEnergyCons!$B$4:$B$10000="var_ncap")*1,  (("ITOT-SWHBIOBR"=[1]OUT_FinalEnergyCons!$A$4:$A$10000)*1+("ITOT-SWHBNGABR"=[1]OUT_FinalEnergyCons!$A$4:$A$10000))*1,[1]OUT_FinalEnergyCons!I$4:I$10000)</f>
        <v>0.201131820558024</v>
      </c>
      <c r="L2282" s="1" cm="1">
        <f t="array" ref="L2282">SUMPRODUCT(([1]OUT_FinalEnergyCons!$B$4:$B$10000="var_ncap")*1,  (("ITOT-SWHBIOBR"=[1]OUT_FinalEnergyCons!$A$4:$A$10000)*1+("ITOT-SWHBNGABR"=[1]OUT_FinalEnergyCons!$A$4:$A$10000))*1,[1]OUT_FinalEnergyCons!J$4:J$10000)</f>
        <v>1.00200307959025E-3</v>
      </c>
      <c r="M2282" s="1" cm="1">
        <f t="array" ref="M2282">SUMPRODUCT(([1]OUT_FinalEnergyCons!$B$4:$B$10000="var_ncap")*1,  (("ITOT-SWHBIOBR"=[1]OUT_FinalEnergyCons!$A$4:$A$10000)*1+("ITOT-SWHBNGABR"=[1]OUT_FinalEnergyCons!$A$4:$A$10000))*1,[1]OUT_FinalEnergyCons!K$4:K$10000)</f>
        <v>0.15131009835532999</v>
      </c>
      <c r="N2282" s="1" cm="1">
        <f t="array" ref="N2282">SUMPRODUCT(([1]OUT_FinalEnergyCons!$B$4:$B$10000="var_ncap")*1,  (("ITOT-SWHBIOBR"=[1]OUT_FinalEnergyCons!$A$4:$A$10000)*1+("ITOT-SWHBNGABR"=[1]OUT_FinalEnergyCons!$A$4:$A$10000))*1,[1]OUT_FinalEnergyCons!L$4:L$10000)</f>
        <v>0.12946932007835399</v>
      </c>
      <c r="O2282" s="1" cm="1">
        <f t="array" ref="O2282">SUMPRODUCT(([1]OUT_FinalEnergyCons!$B$4:$B$10000="var_ncap")*1,  (("ITOT-SWHBIOBR"=[1]OUT_FinalEnergyCons!$A$4:$A$10000)*1+("ITOT-SWHBNGABR"=[1]OUT_FinalEnergyCons!$A$4:$A$10000))*1,[1]OUT_FinalEnergyCons!M$4:M$10000)</f>
        <v>1.9891019264010101E-2</v>
      </c>
      <c r="P2282" s="1" cm="1">
        <f t="array" ref="P2282">SUMPRODUCT(([1]OUT_FinalEnergyCons!$B$4:$B$10000="var_ncap")*1,  (("ITOT-SWHBIOBR"=[1]OUT_FinalEnergyCons!$A$4:$A$10000)*1+("ITOT-SWHBNGABR"=[1]OUT_FinalEnergyCons!$A$4:$A$10000))*1,[1]OUT_FinalEnergyCons!N$4:N$10000)</f>
        <v>0.19453812360328701</v>
      </c>
      <c r="Q2282" s="1" cm="1">
        <f t="array" ref="Q2282">SUMPRODUCT(([1]OUT_FinalEnergyCons!$B$4:$B$10000="var_ncap")*1,  (("ITOT-SWHBIOBR"=[1]OUT_FinalEnergyCons!$A$4:$A$10000)*1+("ITOT-SWHBNGABR"=[1]OUT_FinalEnergyCons!$A$4:$A$10000))*1,[1]OUT_FinalEnergyCons!O$4:O$10000)</f>
        <v>0.140336271511108</v>
      </c>
      <c r="S2282" s="3"/>
    </row>
    <row r="2283" spans="2:19" x14ac:dyDescent="0.5">
      <c r="B2283" s="5" t="str">
        <f t="shared" si="2284"/>
        <v>SPS1</v>
      </c>
      <c r="C2283" s="5" t="str">
        <f t="shared" si="2285"/>
        <v>CH</v>
      </c>
      <c r="D2283" t="s">
        <v>2417</v>
      </c>
      <c r="E2283" t="str">
        <f t="shared" si="2286"/>
        <v>GWth/yr.</v>
      </c>
      <c r="F2283" s="1">
        <f t="shared" ref="F2283:O2283" si="2297">F2284</f>
        <v>0</v>
      </c>
      <c r="G2283" s="1">
        <f t="shared" si="2297"/>
        <v>2.1345398295976099E-5</v>
      </c>
      <c r="H2283" s="1">
        <f t="shared" si="2297"/>
        <v>2.86624039875153E-5</v>
      </c>
      <c r="I2283" s="1">
        <f t="shared" si="2297"/>
        <v>3.0104568087740801E-5</v>
      </c>
      <c r="J2283" s="1">
        <f t="shared" si="2297"/>
        <v>1.65946506294364E-4</v>
      </c>
      <c r="K2283" s="1">
        <f t="shared" si="2297"/>
        <v>9.5752389176251596E-5</v>
      </c>
      <c r="L2283" s="1">
        <f t="shared" si="2297"/>
        <v>1.77884134693166E-4</v>
      </c>
      <c r="M2283" s="1">
        <f t="shared" si="2297"/>
        <v>5.2132473594159801E-4</v>
      </c>
      <c r="N2283" s="1">
        <f t="shared" si="2297"/>
        <v>3.8922662303568899E-5</v>
      </c>
      <c r="O2283" s="1">
        <f t="shared" si="2297"/>
        <v>2.9478475233302598E-4</v>
      </c>
      <c r="P2283" s="1">
        <f>P2284</f>
        <v>9.9634505913204899E-5</v>
      </c>
      <c r="Q2283" s="1">
        <f>Q2284</f>
        <v>4.6303868216642999E-4</v>
      </c>
      <c r="S2283" s="3"/>
    </row>
    <row r="2284" spans="2:19" x14ac:dyDescent="0.5">
      <c r="B2284" s="5" t="str">
        <f t="shared" si="2284"/>
        <v>SPS1</v>
      </c>
      <c r="C2284" s="5" t="str">
        <f t="shared" si="2285"/>
        <v>CH</v>
      </c>
      <c r="D2284" t="s">
        <v>2418</v>
      </c>
      <c r="E2284" t="str">
        <f t="shared" si="2286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2.1345398295976099E-5</v>
      </c>
      <c r="H2284" s="1" cm="1">
        <f t="array" ref="H2284">SUMPRODUCT(([1]OUT_FinalEnergyCons!$B$4:$B$10000="var_ncap")*1,  (ISNUMBER(SEARCH("ITOT-SWHCOA*BR",[1]OUT_FinalEnergyCons!$A$4:$A$10000)))*1,[1]OUT_FinalEnergyCons!F$4:F$10000)</f>
        <v>2.86624039875153E-5</v>
      </c>
      <c r="I2284" s="1" cm="1">
        <f t="array" ref="I2284">SUMPRODUCT(([1]OUT_FinalEnergyCons!$B$4:$B$10000="var_ncap")*1,  (ISNUMBER(SEARCH("ITOT-SWHCOA*BR",[1]OUT_FinalEnergyCons!$A$4:$A$10000)))*1,[1]OUT_FinalEnergyCons!G$4:G$10000)</f>
        <v>3.0104568087740801E-5</v>
      </c>
      <c r="J2284" s="1" cm="1">
        <f t="array" ref="J2284">SUMPRODUCT(([1]OUT_FinalEnergyCons!$B$4:$B$10000="var_ncap")*1,  (ISNUMBER(SEARCH("ITOT-SWHCOA*BR",[1]OUT_FinalEnergyCons!$A$4:$A$10000)))*1,[1]OUT_FinalEnergyCons!H$4:H$10000)</f>
        <v>1.65946506294364E-4</v>
      </c>
      <c r="K2284" s="1" cm="1">
        <f t="array" ref="K2284">SUMPRODUCT(([1]OUT_FinalEnergyCons!$B$4:$B$10000="var_ncap")*1,  (ISNUMBER(SEARCH("ITOT-SWHCOA*BR",[1]OUT_FinalEnergyCons!$A$4:$A$10000)))*1,[1]OUT_FinalEnergyCons!I$4:I$10000)</f>
        <v>9.5752389176251596E-5</v>
      </c>
      <c r="L2284" s="1" cm="1">
        <f t="array" ref="L2284">SUMPRODUCT(([1]OUT_FinalEnergyCons!$B$4:$B$10000="var_ncap")*1,  (ISNUMBER(SEARCH("ITOT-SWHCOA*BR",[1]OUT_FinalEnergyCons!$A$4:$A$10000)))*1,[1]OUT_FinalEnergyCons!J$4:J$10000)</f>
        <v>1.77884134693166E-4</v>
      </c>
      <c r="M2284" s="1" cm="1">
        <f t="array" ref="M2284">SUMPRODUCT(([1]OUT_FinalEnergyCons!$B$4:$B$10000="var_ncap")*1,  (ISNUMBER(SEARCH("ITOT-SWHCOA*BR",[1]OUT_FinalEnergyCons!$A$4:$A$10000)))*1,[1]OUT_FinalEnergyCons!K$4:K$10000)</f>
        <v>5.2132473594159801E-4</v>
      </c>
      <c r="N2284" s="1" cm="1">
        <f t="array" ref="N2284">SUMPRODUCT(([1]OUT_FinalEnergyCons!$B$4:$B$10000="var_ncap")*1,  (ISNUMBER(SEARCH("ITOT-SWHCOA*BR",[1]OUT_FinalEnergyCons!$A$4:$A$10000)))*1,[1]OUT_FinalEnergyCons!L$4:L$10000)</f>
        <v>3.8922662303568899E-5</v>
      </c>
      <c r="O2284" s="1" cm="1">
        <f t="array" ref="O2284">SUMPRODUCT(([1]OUT_FinalEnergyCons!$B$4:$B$10000="var_ncap")*1,  (ISNUMBER(SEARCH("ITOT-SWHCOA*BR",[1]OUT_FinalEnergyCons!$A$4:$A$10000)))*1,[1]OUT_FinalEnergyCons!M$4:M$10000)</f>
        <v>2.9478475233302598E-4</v>
      </c>
      <c r="P2284" s="1" cm="1">
        <f t="array" ref="P2284">SUMPRODUCT(([1]OUT_FinalEnergyCons!$B$4:$B$10000="var_ncap")*1,  (ISNUMBER(SEARCH("ITOT-SWHCOA*BR",[1]OUT_FinalEnergyCons!$A$4:$A$10000)))*1,[1]OUT_FinalEnergyCons!N$4:N$10000)</f>
        <v>9.9634505913204899E-5</v>
      </c>
      <c r="Q2284" s="1" cm="1">
        <f t="array" ref="Q2284">SUMPRODUCT(([1]OUT_FinalEnergyCons!$B$4:$B$10000="var_ncap")*1,  (ISNUMBER(SEARCH("ITOT-SWHCOA*BR",[1]OUT_FinalEnergyCons!$A$4:$A$10000)))*1,[1]OUT_FinalEnergyCons!O$4:O$10000)</f>
        <v>4.6303868216642999E-4</v>
      </c>
      <c r="S2284" s="3"/>
    </row>
    <row r="2285" spans="2:19" x14ac:dyDescent="0.5">
      <c r="B2285" s="5" t="str">
        <f t="shared" si="2284"/>
        <v>SPS1</v>
      </c>
      <c r="C2285" s="5" t="str">
        <f t="shared" si="2285"/>
        <v>CH</v>
      </c>
      <c r="D2285" t="s">
        <v>2419</v>
      </c>
      <c r="E2285" t="str">
        <f t="shared" si="2286"/>
        <v>GWth/yr.</v>
      </c>
      <c r="F2285" s="1">
        <f t="shared" ref="F2285:O2285" si="2298">F2286</f>
        <v>0</v>
      </c>
      <c r="G2285" s="1">
        <f t="shared" si="2298"/>
        <v>5.3798861633967299E-2</v>
      </c>
      <c r="H2285" s="1">
        <f t="shared" si="2298"/>
        <v>8.7494392534712105E-5</v>
      </c>
      <c r="I2285" s="1">
        <f t="shared" si="2298"/>
        <v>3.725358605305E-2</v>
      </c>
      <c r="J2285" s="1">
        <f t="shared" si="2298"/>
        <v>0.27378568363789302</v>
      </c>
      <c r="K2285" s="1">
        <f t="shared" si="2298"/>
        <v>0.149575415011134</v>
      </c>
      <c r="L2285" s="1">
        <f t="shared" si="2298"/>
        <v>7.4430053035277596E-2</v>
      </c>
      <c r="M2285" s="1">
        <f t="shared" si="2298"/>
        <v>0.32596480078410101</v>
      </c>
      <c r="N2285" s="1">
        <f t="shared" si="2298"/>
        <v>0.170784637398294</v>
      </c>
      <c r="O2285" s="1">
        <f t="shared" si="2298"/>
        <v>9.8540212742952202E-2</v>
      </c>
      <c r="P2285" s="1">
        <f>P2286</f>
        <v>0.246597909656285</v>
      </c>
      <c r="Q2285" s="1">
        <f>Q2286</f>
        <v>0.19055209292495301</v>
      </c>
      <c r="S2285" s="3"/>
    </row>
    <row r="2286" spans="2:19" x14ac:dyDescent="0.5">
      <c r="B2286" s="5" t="str">
        <f t="shared" si="2284"/>
        <v>SPS1</v>
      </c>
      <c r="C2286" s="5" t="str">
        <f t="shared" si="2285"/>
        <v>CH</v>
      </c>
      <c r="D2286" t="s">
        <v>2420</v>
      </c>
      <c r="E2286" t="str">
        <f t="shared" si="2286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5.3798861633967299E-2</v>
      </c>
      <c r="H2286" s="1" cm="1">
        <f t="array" ref="H2286">SUMPRODUCT(([1]OUT_FinalEnergyCons!$B$4:$B$10000="var_ncap")*1,  (ISNUMBER(SEARCH("ITOT-SWHWOD*BR",[1]OUT_FinalEnergyCons!$A$4:$A$10000)))*1,[1]OUT_FinalEnergyCons!F$4:F$10000)</f>
        <v>8.7494392534712105E-5</v>
      </c>
      <c r="I2286" s="1" cm="1">
        <f t="array" ref="I2286">SUMPRODUCT(([1]OUT_FinalEnergyCons!$B$4:$B$10000="var_ncap")*1,  (ISNUMBER(SEARCH("ITOT-SWHWOD*BR",[1]OUT_FinalEnergyCons!$A$4:$A$10000)))*1,[1]OUT_FinalEnergyCons!G$4:G$10000)</f>
        <v>3.725358605305E-2</v>
      </c>
      <c r="J2286" s="1" cm="1">
        <f t="array" ref="J2286">SUMPRODUCT(([1]OUT_FinalEnergyCons!$B$4:$B$10000="var_ncap")*1,  (ISNUMBER(SEARCH("ITOT-SWHWOD*BR",[1]OUT_FinalEnergyCons!$A$4:$A$10000)))*1,[1]OUT_FinalEnergyCons!H$4:H$10000)</f>
        <v>0.27378568363789302</v>
      </c>
      <c r="K2286" s="1" cm="1">
        <f t="array" ref="K2286">SUMPRODUCT(([1]OUT_FinalEnergyCons!$B$4:$B$10000="var_ncap")*1,  (ISNUMBER(SEARCH("ITOT-SWHWOD*BR",[1]OUT_FinalEnergyCons!$A$4:$A$10000)))*1,[1]OUT_FinalEnergyCons!I$4:I$10000)</f>
        <v>0.149575415011134</v>
      </c>
      <c r="L2286" s="1" cm="1">
        <f t="array" ref="L2286">SUMPRODUCT(([1]OUT_FinalEnergyCons!$B$4:$B$10000="var_ncap")*1,  (ISNUMBER(SEARCH("ITOT-SWHWOD*BR",[1]OUT_FinalEnergyCons!$A$4:$A$10000)))*1,[1]OUT_FinalEnergyCons!J$4:J$10000)</f>
        <v>7.4430053035277596E-2</v>
      </c>
      <c r="M2286" s="1" cm="1">
        <f t="array" ref="M2286">SUMPRODUCT(([1]OUT_FinalEnergyCons!$B$4:$B$10000="var_ncap")*1,  (ISNUMBER(SEARCH("ITOT-SWHWOD*BR",[1]OUT_FinalEnergyCons!$A$4:$A$10000)))*1,[1]OUT_FinalEnergyCons!K$4:K$10000)</f>
        <v>0.32596480078410101</v>
      </c>
      <c r="N2286" s="1" cm="1">
        <f t="array" ref="N2286">SUMPRODUCT(([1]OUT_FinalEnergyCons!$B$4:$B$10000="var_ncap")*1,  (ISNUMBER(SEARCH("ITOT-SWHWOD*BR",[1]OUT_FinalEnergyCons!$A$4:$A$10000)))*1,[1]OUT_FinalEnergyCons!L$4:L$10000)</f>
        <v>0.170784637398294</v>
      </c>
      <c r="O2286" s="1" cm="1">
        <f t="array" ref="O2286">SUMPRODUCT(([1]OUT_FinalEnergyCons!$B$4:$B$10000="var_ncap")*1,  (ISNUMBER(SEARCH("ITOT-SWHWOD*BR",[1]OUT_FinalEnergyCons!$A$4:$A$10000)))*1,[1]OUT_FinalEnergyCons!M$4:M$10000)</f>
        <v>9.8540212742952202E-2</v>
      </c>
      <c r="P2286" s="1" cm="1">
        <f t="array" ref="P2286">SUMPRODUCT(([1]OUT_FinalEnergyCons!$B$4:$B$10000="var_ncap")*1,  (ISNUMBER(SEARCH("ITOT-SWHWOD*BR",[1]OUT_FinalEnergyCons!$A$4:$A$10000)))*1,[1]OUT_FinalEnergyCons!N$4:N$10000)</f>
        <v>0.246597909656285</v>
      </c>
      <c r="Q2286" s="1" cm="1">
        <f t="array" ref="Q2286">SUMPRODUCT(([1]OUT_FinalEnergyCons!$B$4:$B$10000="var_ncap")*1,  (ISNUMBER(SEARCH("ITOT-SWHWOD*BR",[1]OUT_FinalEnergyCons!$A$4:$A$10000)))*1,[1]OUT_FinalEnergyCons!O$4:O$10000)</f>
        <v>0.19055209292495301</v>
      </c>
      <c r="S2286" s="3"/>
    </row>
    <row r="2287" spans="2:19" x14ac:dyDescent="0.5">
      <c r="B2287" s="5" t="str">
        <f t="shared" si="2284"/>
        <v>SPS1</v>
      </c>
      <c r="C2287" s="5" t="str">
        <f t="shared" si="2285"/>
        <v>CH</v>
      </c>
      <c r="D2287" t="s">
        <v>2421</v>
      </c>
      <c r="E2287" t="str">
        <f t="shared" si="2286"/>
        <v>GWth/yr.</v>
      </c>
      <c r="F2287" s="1">
        <f t="shared" ref="F2287:O2287" si="2299">F2288</f>
        <v>0</v>
      </c>
      <c r="G2287" s="1">
        <f t="shared" si="2299"/>
        <v>5.30650119067827E-3</v>
      </c>
      <c r="H2287" s="1">
        <f t="shared" si="2299"/>
        <v>1.7511393389923601E-4</v>
      </c>
      <c r="I2287" s="1">
        <f t="shared" si="2299"/>
        <v>6.86353610754133E-3</v>
      </c>
      <c r="J2287" s="1">
        <f t="shared" si="2299"/>
        <v>2.4381868745455199E-2</v>
      </c>
      <c r="K2287" s="1">
        <f t="shared" si="2299"/>
        <v>1.0069071381924701E-2</v>
      </c>
      <c r="L2287" s="1">
        <f t="shared" si="2299"/>
        <v>4.4100022021071996E-3</v>
      </c>
      <c r="M2287" s="1">
        <f t="shared" si="2299"/>
        <v>2.5998924048385601E-2</v>
      </c>
      <c r="N2287" s="1">
        <f t="shared" si="2299"/>
        <v>7.8040868163078902E-3</v>
      </c>
      <c r="O2287" s="1">
        <f t="shared" si="2299"/>
        <v>5.1862851705294297E-3</v>
      </c>
      <c r="P2287" s="1">
        <f>P2288</f>
        <v>2.56985265337684E-2</v>
      </c>
      <c r="Q2287" s="1">
        <f>Q2288</f>
        <v>1.04328004403109E-2</v>
      </c>
      <c r="S2287" s="3"/>
    </row>
    <row r="2288" spans="2:19" x14ac:dyDescent="0.5">
      <c r="B2288" s="5" t="str">
        <f t="shared" si="2284"/>
        <v>SPS1</v>
      </c>
      <c r="C2288" s="5" t="str">
        <f t="shared" si="2285"/>
        <v>CH</v>
      </c>
      <c r="D2288" t="s">
        <v>2422</v>
      </c>
      <c r="E2288" t="str">
        <f t="shared" si="2286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5.30650119067827E-3</v>
      </c>
      <c r="H2288" s="1" cm="1">
        <f t="array" ref="H2288">SUMPRODUCT(([1]OUT_FinalEnergyCons!$B$4:$B$10000="var_ncap")*1,  (ISNUMBER(SEARCH("ITOT-SWHPLT*BR",[1]OUT_FinalEnergyCons!$A$4:$A$10000)))*1,[1]OUT_FinalEnergyCons!F$4:F$10000)</f>
        <v>1.7511393389923601E-4</v>
      </c>
      <c r="I2288" s="1" cm="1">
        <f t="array" ref="I2288">SUMPRODUCT(([1]OUT_FinalEnergyCons!$B$4:$B$10000="var_ncap")*1,  (ISNUMBER(SEARCH("ITOT-SWHPLT*BR",[1]OUT_FinalEnergyCons!$A$4:$A$10000)))*1,[1]OUT_FinalEnergyCons!G$4:G$10000)</f>
        <v>6.86353610754133E-3</v>
      </c>
      <c r="J2288" s="1" cm="1">
        <f t="array" ref="J2288">SUMPRODUCT(([1]OUT_FinalEnergyCons!$B$4:$B$10000="var_ncap")*1,  (ISNUMBER(SEARCH("ITOT-SWHPLT*BR",[1]OUT_FinalEnergyCons!$A$4:$A$10000)))*1,[1]OUT_FinalEnergyCons!H$4:H$10000)</f>
        <v>2.4381868745455199E-2</v>
      </c>
      <c r="K2288" s="1" cm="1">
        <f t="array" ref="K2288">SUMPRODUCT(([1]OUT_FinalEnergyCons!$B$4:$B$10000="var_ncap")*1,  (ISNUMBER(SEARCH("ITOT-SWHPLT*BR",[1]OUT_FinalEnergyCons!$A$4:$A$10000)))*1,[1]OUT_FinalEnergyCons!I$4:I$10000)</f>
        <v>1.0069071381924701E-2</v>
      </c>
      <c r="L2288" s="1" cm="1">
        <f t="array" ref="L2288">SUMPRODUCT(([1]OUT_FinalEnergyCons!$B$4:$B$10000="var_ncap")*1,  (ISNUMBER(SEARCH("ITOT-SWHPLT*BR",[1]OUT_FinalEnergyCons!$A$4:$A$10000)))*1,[1]OUT_FinalEnergyCons!J$4:J$10000)</f>
        <v>4.4100022021071996E-3</v>
      </c>
      <c r="M2288" s="1" cm="1">
        <f t="array" ref="M2288">SUMPRODUCT(([1]OUT_FinalEnergyCons!$B$4:$B$10000="var_ncap")*1,  (ISNUMBER(SEARCH("ITOT-SWHPLT*BR",[1]OUT_FinalEnergyCons!$A$4:$A$10000)))*1,[1]OUT_FinalEnergyCons!K$4:K$10000)</f>
        <v>2.5998924048385601E-2</v>
      </c>
      <c r="N2288" s="1" cm="1">
        <f t="array" ref="N2288">SUMPRODUCT(([1]OUT_FinalEnergyCons!$B$4:$B$10000="var_ncap")*1,  (ISNUMBER(SEARCH("ITOT-SWHPLT*BR",[1]OUT_FinalEnergyCons!$A$4:$A$10000)))*1,[1]OUT_FinalEnergyCons!L$4:L$10000)</f>
        <v>7.8040868163078902E-3</v>
      </c>
      <c r="O2288" s="1" cm="1">
        <f t="array" ref="O2288">SUMPRODUCT(([1]OUT_FinalEnergyCons!$B$4:$B$10000="var_ncap")*1,  (ISNUMBER(SEARCH("ITOT-SWHPLT*BR",[1]OUT_FinalEnergyCons!$A$4:$A$10000)))*1,[1]OUT_FinalEnergyCons!M$4:M$10000)</f>
        <v>5.1862851705294297E-3</v>
      </c>
      <c r="P2288" s="1" cm="1">
        <f t="array" ref="P2288">SUMPRODUCT(([1]OUT_FinalEnergyCons!$B$4:$B$10000="var_ncap")*1,  (ISNUMBER(SEARCH("ITOT-SWHPLT*BR",[1]OUT_FinalEnergyCons!$A$4:$A$10000)))*1,[1]OUT_FinalEnergyCons!N$4:N$10000)</f>
        <v>2.56985265337684E-2</v>
      </c>
      <c r="Q2288" s="1" cm="1">
        <f t="array" ref="Q2288">SUMPRODUCT(([1]OUT_FinalEnergyCons!$B$4:$B$10000="var_ncap")*1,  (ISNUMBER(SEARCH("ITOT-SWHPLT*BR",[1]OUT_FinalEnergyCons!$A$4:$A$10000)))*1,[1]OUT_FinalEnergyCons!O$4:O$10000)</f>
        <v>1.04328004403109E-2</v>
      </c>
      <c r="S2288" s="3"/>
    </row>
    <row r="2289" spans="2:19" x14ac:dyDescent="0.5">
      <c r="B2289" s="5" t="str">
        <f t="shared" si="2284"/>
        <v>SPS1</v>
      </c>
      <c r="C2289" s="5" t="str">
        <f t="shared" si="2285"/>
        <v>CH</v>
      </c>
      <c r="D2289" t="s">
        <v>2423</v>
      </c>
      <c r="E2289" t="str">
        <f t="shared" si="2286"/>
        <v>GWth/yr.</v>
      </c>
      <c r="F2289" s="1">
        <f t="shared" ref="F2289:O2289" si="2300">F2290</f>
        <v>0</v>
      </c>
      <c r="G2289" s="1">
        <f t="shared" si="2300"/>
        <v>1.8283972179419799E-5</v>
      </c>
      <c r="H2289" s="1">
        <f t="shared" si="2300"/>
        <v>1.36504648616443E-5</v>
      </c>
      <c r="I2289" s="1">
        <f t="shared" si="2300"/>
        <v>3.0712752696661598E-5</v>
      </c>
      <c r="J2289" s="1">
        <f t="shared" si="2300"/>
        <v>8.7917287729301297E-2</v>
      </c>
      <c r="K2289" s="1">
        <f t="shared" si="2300"/>
        <v>9.2321473759670994E-2</v>
      </c>
      <c r="L2289" s="1">
        <f t="shared" si="2300"/>
        <v>5.3571890013444897E-3</v>
      </c>
      <c r="M2289" s="1">
        <f t="shared" si="2300"/>
        <v>0.112261844283125</v>
      </c>
      <c r="N2289" s="1">
        <f t="shared" si="2300"/>
        <v>7.7870953273446702E-2</v>
      </c>
      <c r="O2289" s="1">
        <f t="shared" si="2300"/>
        <v>1.2770699500258499E-3</v>
      </c>
      <c r="P2289" s="1">
        <f>P2290</f>
        <v>0.125702605046497</v>
      </c>
      <c r="Q2289" s="1">
        <f>Q2290</f>
        <v>7.0427419909632596E-2</v>
      </c>
      <c r="S2289" s="3"/>
    </row>
    <row r="2290" spans="2:19" x14ac:dyDescent="0.5">
      <c r="B2290" s="5" t="str">
        <f t="shared" si="2284"/>
        <v>SPS1</v>
      </c>
      <c r="C2290" s="5" t="str">
        <f t="shared" si="2285"/>
        <v>CH</v>
      </c>
      <c r="D2290" t="s">
        <v>2424</v>
      </c>
      <c r="E2290" t="str">
        <f t="shared" si="2286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1.8283972179419799E-5</v>
      </c>
      <c r="H2290" s="1" cm="1">
        <f t="array" ref="H2290">SUMPRODUCT(([1]OUT_FinalEnergyCons!$B$4:$B$10000="var_ncap")*1,  (ISNUMBER(SEARCH("ITOT-SWHWST*BR",[1]OUT_FinalEnergyCons!$A$4:$A$10000)))*1,[1]OUT_FinalEnergyCons!F$4:F$10000)</f>
        <v>1.36504648616443E-5</v>
      </c>
      <c r="I2290" s="1" cm="1">
        <f t="array" ref="I2290">SUMPRODUCT(([1]OUT_FinalEnergyCons!$B$4:$B$10000="var_ncap")*1,  (ISNUMBER(SEARCH("ITOT-SWHWST*BR",[1]OUT_FinalEnergyCons!$A$4:$A$10000)))*1,[1]OUT_FinalEnergyCons!G$4:G$10000)</f>
        <v>3.0712752696661598E-5</v>
      </c>
      <c r="J2290" s="1" cm="1">
        <f t="array" ref="J2290">SUMPRODUCT(([1]OUT_FinalEnergyCons!$B$4:$B$10000="var_ncap")*1,  (ISNUMBER(SEARCH("ITOT-SWHWST*BR",[1]OUT_FinalEnergyCons!$A$4:$A$10000)))*1,[1]OUT_FinalEnergyCons!H$4:H$10000)</f>
        <v>8.7917287729301297E-2</v>
      </c>
      <c r="K2290" s="1" cm="1">
        <f t="array" ref="K2290">SUMPRODUCT(([1]OUT_FinalEnergyCons!$B$4:$B$10000="var_ncap")*1,  (ISNUMBER(SEARCH("ITOT-SWHWST*BR",[1]OUT_FinalEnergyCons!$A$4:$A$10000)))*1,[1]OUT_FinalEnergyCons!I$4:I$10000)</f>
        <v>9.2321473759670994E-2</v>
      </c>
      <c r="L2290" s="1" cm="1">
        <f t="array" ref="L2290">SUMPRODUCT(([1]OUT_FinalEnergyCons!$B$4:$B$10000="var_ncap")*1,  (ISNUMBER(SEARCH("ITOT-SWHWST*BR",[1]OUT_FinalEnergyCons!$A$4:$A$10000)))*1,[1]OUT_FinalEnergyCons!J$4:J$10000)</f>
        <v>5.3571890013444897E-3</v>
      </c>
      <c r="M2290" s="1" cm="1">
        <f t="array" ref="M2290">SUMPRODUCT(([1]OUT_FinalEnergyCons!$B$4:$B$10000="var_ncap")*1,  (ISNUMBER(SEARCH("ITOT-SWHWST*BR",[1]OUT_FinalEnergyCons!$A$4:$A$10000)))*1,[1]OUT_FinalEnergyCons!K$4:K$10000)</f>
        <v>0.112261844283125</v>
      </c>
      <c r="N2290" s="1" cm="1">
        <f t="array" ref="N2290">SUMPRODUCT(([1]OUT_FinalEnergyCons!$B$4:$B$10000="var_ncap")*1,  (ISNUMBER(SEARCH("ITOT-SWHWST*BR",[1]OUT_FinalEnergyCons!$A$4:$A$10000)))*1,[1]OUT_FinalEnergyCons!L$4:L$10000)</f>
        <v>7.7870953273446702E-2</v>
      </c>
      <c r="O2290" s="1" cm="1">
        <f t="array" ref="O2290">SUMPRODUCT(([1]OUT_FinalEnergyCons!$B$4:$B$10000="var_ncap")*1,  (ISNUMBER(SEARCH("ITOT-SWHWST*BR",[1]OUT_FinalEnergyCons!$A$4:$A$10000)))*1,[1]OUT_FinalEnergyCons!M$4:M$10000)</f>
        <v>1.2770699500258499E-3</v>
      </c>
      <c r="P2290" s="1" cm="1">
        <f t="array" ref="P2290">SUMPRODUCT(([1]OUT_FinalEnergyCons!$B$4:$B$10000="var_ncap")*1,  (ISNUMBER(SEARCH("ITOT-SWHWST*BR",[1]OUT_FinalEnergyCons!$A$4:$A$10000)))*1,[1]OUT_FinalEnergyCons!N$4:N$10000)</f>
        <v>0.125702605046497</v>
      </c>
      <c r="Q2290" s="1" cm="1">
        <f t="array" ref="Q2290">SUMPRODUCT(([1]OUT_FinalEnergyCons!$B$4:$B$10000="var_ncap")*1,  (ISNUMBER(SEARCH("ITOT-SWHWST*BR",[1]OUT_FinalEnergyCons!$A$4:$A$10000)))*1,[1]OUT_FinalEnergyCons!O$4:O$10000)</f>
        <v>7.0427419909632596E-2</v>
      </c>
      <c r="S2290" s="3"/>
    </row>
    <row r="2291" spans="2:19" x14ac:dyDescent="0.5">
      <c r="B2291" s="5" t="str">
        <f t="shared" si="2284"/>
        <v>SPS1</v>
      </c>
      <c r="C2291" s="5" t="str">
        <f t="shared" si="2285"/>
        <v>CH</v>
      </c>
      <c r="D2291" t="s">
        <v>2425</v>
      </c>
      <c r="E2291" t="str">
        <f t="shared" si="2286"/>
        <v>GWth/yr.</v>
      </c>
      <c r="F2291" s="1">
        <f t="shared" ref="F2291:O2291" si="2301">F2292</f>
        <v>0</v>
      </c>
      <c r="G2291" s="1">
        <f t="shared" si="2301"/>
        <v>2.94271845063748E-3</v>
      </c>
      <c r="H2291" s="1">
        <f t="shared" si="2301"/>
        <v>1.4260694645423599E-7</v>
      </c>
      <c r="I2291" s="1">
        <f t="shared" si="2301"/>
        <v>2.68600896962748E-7</v>
      </c>
      <c r="J2291" s="1">
        <f t="shared" si="2301"/>
        <v>8.7070442905163598E-3</v>
      </c>
      <c r="K2291" s="1">
        <f t="shared" si="2301"/>
        <v>4.0521358677235303E-3</v>
      </c>
      <c r="L2291" s="1">
        <f t="shared" si="2301"/>
        <v>1.16601151399584E-6</v>
      </c>
      <c r="M2291" s="1">
        <f t="shared" si="2301"/>
        <v>8.7018332103566895E-3</v>
      </c>
      <c r="N2291" s="1">
        <f t="shared" si="2301"/>
        <v>3.4285996023508901E-3</v>
      </c>
      <c r="O2291" s="1">
        <f t="shared" si="2301"/>
        <v>1.81267339038895E-3</v>
      </c>
      <c r="P2291" s="1">
        <f>P2292</f>
        <v>8.2452470171827004E-3</v>
      </c>
      <c r="Q2291" s="1">
        <f>Q2292</f>
        <v>1.00485210904563E-2</v>
      </c>
      <c r="S2291" s="3"/>
    </row>
    <row r="2292" spans="2:19" x14ac:dyDescent="0.5">
      <c r="B2292" s="5" t="str">
        <f t="shared" si="2284"/>
        <v>SPS1</v>
      </c>
      <c r="C2292" s="5" t="str">
        <f t="shared" si="2285"/>
        <v>CH</v>
      </c>
      <c r="D2292" t="s">
        <v>2426</v>
      </c>
      <c r="E2292" t="str">
        <f t="shared" si="2286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2.94271845063748E-3</v>
      </c>
      <c r="H2292" s="1" cm="1">
        <f t="array" ref="H2292">SUMPRODUCT(([1]OUT_FinalEnergyCons!$B$4:$B$10000="var_ncap")*1, (ISNUMBER(SEARCH("ITOT-SWHSOLBR",[1]OUT_FinalEnergyCons!$A$4:$A$10000)))*1,[1]OUT_FinalEnergyCons!F$4:F$10000)</f>
        <v>1.4260694645423599E-7</v>
      </c>
      <c r="I2292" s="1" cm="1">
        <f t="array" ref="I2292">SUMPRODUCT(([1]OUT_FinalEnergyCons!$B$4:$B$10000="var_ncap")*1, (ISNUMBER(SEARCH("ITOT-SWHSOLBR",[1]OUT_FinalEnergyCons!$A$4:$A$10000)))*1,[1]OUT_FinalEnergyCons!G$4:G$10000)</f>
        <v>2.68600896962748E-7</v>
      </c>
      <c r="J2292" s="1" cm="1">
        <f t="array" ref="J2292">SUMPRODUCT(([1]OUT_FinalEnergyCons!$B$4:$B$10000="var_ncap")*1, (ISNUMBER(SEARCH("ITOT-SWHSOLBR",[1]OUT_FinalEnergyCons!$A$4:$A$10000)))*1,[1]OUT_FinalEnergyCons!H$4:H$10000)</f>
        <v>8.7070442905163598E-3</v>
      </c>
      <c r="K2292" s="1" cm="1">
        <f t="array" ref="K2292">SUMPRODUCT(([1]OUT_FinalEnergyCons!$B$4:$B$10000="var_ncap")*1, (ISNUMBER(SEARCH("ITOT-SWHSOLBR",[1]OUT_FinalEnergyCons!$A$4:$A$10000)))*1,[1]OUT_FinalEnergyCons!I$4:I$10000)</f>
        <v>4.0521358677235303E-3</v>
      </c>
      <c r="L2292" s="1" cm="1">
        <f t="array" ref="L2292">SUMPRODUCT(([1]OUT_FinalEnergyCons!$B$4:$B$10000="var_ncap")*1, (ISNUMBER(SEARCH("ITOT-SWHSOLBR",[1]OUT_FinalEnergyCons!$A$4:$A$10000)))*1,[1]OUT_FinalEnergyCons!J$4:J$10000)</f>
        <v>1.16601151399584E-6</v>
      </c>
      <c r="M2292" s="1" cm="1">
        <f t="array" ref="M2292">SUMPRODUCT(([1]OUT_FinalEnergyCons!$B$4:$B$10000="var_ncap")*1, (ISNUMBER(SEARCH("ITOT-SWHSOLBR",[1]OUT_FinalEnergyCons!$A$4:$A$10000)))*1,[1]OUT_FinalEnergyCons!K$4:K$10000)</f>
        <v>8.7018332103566895E-3</v>
      </c>
      <c r="N2292" s="1" cm="1">
        <f t="array" ref="N2292">SUMPRODUCT(([1]OUT_FinalEnergyCons!$B$4:$B$10000="var_ncap")*1, (ISNUMBER(SEARCH("ITOT-SWHSOLBR",[1]OUT_FinalEnergyCons!$A$4:$A$10000)))*1,[1]OUT_FinalEnergyCons!L$4:L$10000)</f>
        <v>3.4285996023508901E-3</v>
      </c>
      <c r="O2292" s="1" cm="1">
        <f t="array" ref="O2292">SUMPRODUCT(([1]OUT_FinalEnergyCons!$B$4:$B$10000="var_ncap")*1, (ISNUMBER(SEARCH("ITOT-SWHSOLBR",[1]OUT_FinalEnergyCons!$A$4:$A$10000)))*1,[1]OUT_FinalEnergyCons!M$4:M$10000)</f>
        <v>1.81267339038895E-3</v>
      </c>
      <c r="P2292" s="1" cm="1">
        <f t="array" ref="P2292">SUMPRODUCT(([1]OUT_FinalEnergyCons!$B$4:$B$10000="var_ncap")*1, (ISNUMBER(SEARCH("ITOT-SWHSOLBR",[1]OUT_FinalEnergyCons!$A$4:$A$10000)))*1,[1]OUT_FinalEnergyCons!N$4:N$10000)</f>
        <v>8.2452470171827004E-3</v>
      </c>
      <c r="Q2292" s="1" cm="1">
        <f t="array" ref="Q2292">SUMPRODUCT(([1]OUT_FinalEnergyCons!$B$4:$B$10000="var_ncap")*1, (ISNUMBER(SEARCH("ITOT-SWHSOLBR",[1]OUT_FinalEnergyCons!$A$4:$A$10000)))*1,[1]OUT_FinalEnergyCons!O$4:O$10000)</f>
        <v>1.00485210904563E-2</v>
      </c>
      <c r="S2292" s="3"/>
    </row>
    <row r="2293" spans="2:19" x14ac:dyDescent="0.5">
      <c r="B2293" s="5" t="str">
        <f t="shared" si="2284"/>
        <v>SPS1</v>
      </c>
      <c r="C2293" s="5" t="str">
        <f t="shared" si="2285"/>
        <v>CH</v>
      </c>
      <c r="D2293" t="s">
        <v>2427</v>
      </c>
      <c r="E2293" t="str">
        <f t="shared" si="2286"/>
        <v>GWth/yr.</v>
      </c>
      <c r="F2293" s="1">
        <f t="shared" ref="F2293:O2293" si="2302">F2294</f>
        <v>0</v>
      </c>
      <c r="G2293" s="1">
        <f t="shared" si="2302"/>
        <v>0</v>
      </c>
      <c r="H2293" s="1">
        <f t="shared" si="2302"/>
        <v>0</v>
      </c>
      <c r="I2293" s="1">
        <f t="shared" si="2302"/>
        <v>1.4402454406588799E-4</v>
      </c>
      <c r="J2293" s="1">
        <f t="shared" si="2302"/>
        <v>7.7349279975682801E-4</v>
      </c>
      <c r="K2293" s="1">
        <f t="shared" si="2302"/>
        <v>3.3522184131652699E-4</v>
      </c>
      <c r="L2293" s="1">
        <f t="shared" si="2302"/>
        <v>1.4404325715480499E-4</v>
      </c>
      <c r="M2293" s="1">
        <f t="shared" si="2302"/>
        <v>3.5835076971238201E-3</v>
      </c>
      <c r="N2293" s="1">
        <f t="shared" si="2302"/>
        <v>2.2449093567763201E-3</v>
      </c>
      <c r="O2293" s="1">
        <f t="shared" si="2302"/>
        <v>2.5044868823701398E-3</v>
      </c>
      <c r="P2293" s="1">
        <f>P2294</f>
        <v>3.75152911420689E-3</v>
      </c>
      <c r="Q2293" s="1">
        <f>Q2294</f>
        <v>2.7918555645153401E-3</v>
      </c>
      <c r="S2293" s="3"/>
    </row>
    <row r="2294" spans="2:19" x14ac:dyDescent="0.5">
      <c r="B2294" s="5" t="str">
        <f t="shared" si="2284"/>
        <v>SPS1</v>
      </c>
      <c r="C2294" s="5" t="str">
        <f t="shared" si="2285"/>
        <v>CH</v>
      </c>
      <c r="D2294" t="s">
        <v>2428</v>
      </c>
      <c r="E2294" t="str">
        <f t="shared" si="2286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1.4402454406588799E-4</v>
      </c>
      <c r="J2294" s="1" cm="1">
        <f t="array" ref="J2294">SUMPRODUCT(([1]OUT_FinalEnergyCons!$B$4:$B$10000="var_ncap")*1, (ISNUMBER(SEARCH("ITOT-SWHH2BR",[1]OUT_FinalEnergyCons!$A$4:$A$10000)))*1,[1]OUT_FinalEnergyCons!H$4:H$10000)</f>
        <v>7.7349279975682801E-4</v>
      </c>
      <c r="K2294" s="1" cm="1">
        <f t="array" ref="K2294">SUMPRODUCT(([1]OUT_FinalEnergyCons!$B$4:$B$10000="var_ncap")*1, (ISNUMBER(SEARCH("ITOT-SWHH2BR",[1]OUT_FinalEnergyCons!$A$4:$A$10000)))*1,[1]OUT_FinalEnergyCons!I$4:I$10000)</f>
        <v>3.3522184131652699E-4</v>
      </c>
      <c r="L2294" s="1" cm="1">
        <f t="array" ref="L2294">SUMPRODUCT(([1]OUT_FinalEnergyCons!$B$4:$B$10000="var_ncap")*1, (ISNUMBER(SEARCH("ITOT-SWHH2BR",[1]OUT_FinalEnergyCons!$A$4:$A$10000)))*1,[1]OUT_FinalEnergyCons!J$4:J$10000)</f>
        <v>1.4404325715480499E-4</v>
      </c>
      <c r="M2294" s="1" cm="1">
        <f t="array" ref="M2294">SUMPRODUCT(([1]OUT_FinalEnergyCons!$B$4:$B$10000="var_ncap")*1, (ISNUMBER(SEARCH("ITOT-SWHH2BR",[1]OUT_FinalEnergyCons!$A$4:$A$10000)))*1,[1]OUT_FinalEnergyCons!K$4:K$10000)</f>
        <v>3.5835076971238201E-3</v>
      </c>
      <c r="N2294" s="1" cm="1">
        <f t="array" ref="N2294">SUMPRODUCT(([1]OUT_FinalEnergyCons!$B$4:$B$10000="var_ncap")*1, (ISNUMBER(SEARCH("ITOT-SWHH2BR",[1]OUT_FinalEnergyCons!$A$4:$A$10000)))*1,[1]OUT_FinalEnergyCons!L$4:L$10000)</f>
        <v>2.2449093567763201E-3</v>
      </c>
      <c r="O2294" s="1" cm="1">
        <f t="array" ref="O2294">SUMPRODUCT(([1]OUT_FinalEnergyCons!$B$4:$B$10000="var_ncap")*1, (ISNUMBER(SEARCH("ITOT-SWHH2BR",[1]OUT_FinalEnergyCons!$A$4:$A$10000)))*1,[1]OUT_FinalEnergyCons!M$4:M$10000)</f>
        <v>2.5044868823701398E-3</v>
      </c>
      <c r="P2294" s="1" cm="1">
        <f t="array" ref="P2294">SUMPRODUCT(([1]OUT_FinalEnergyCons!$B$4:$B$10000="var_ncap")*1, (ISNUMBER(SEARCH("ITOT-SWHH2BR",[1]OUT_FinalEnergyCons!$A$4:$A$10000)))*1,[1]OUT_FinalEnergyCons!N$4:N$10000)</f>
        <v>3.75152911420689E-3</v>
      </c>
      <c r="Q2294" s="1" cm="1">
        <f t="array" ref="Q2294">SUMPRODUCT(([1]OUT_FinalEnergyCons!$B$4:$B$10000="var_ncap")*1, (ISNUMBER(SEARCH("ITOT-SWHH2BR",[1]OUT_FinalEnergyCons!$A$4:$A$10000)))*1,[1]OUT_FinalEnergyCons!O$4:O$10000)</f>
        <v>2.7918555645153401E-3</v>
      </c>
      <c r="S2294" s="3"/>
    </row>
    <row r="2295" spans="2:19" x14ac:dyDescent="0.5">
      <c r="B2295" s="9" t="str">
        <f>'SPS1'!B1813</f>
        <v>SPS1</v>
      </c>
      <c r="C2295" s="9" t="str">
        <f>'SPS1'!C1813</f>
        <v>CH</v>
      </c>
      <c r="D2295" s="2" t="s">
        <v>2429</v>
      </c>
      <c r="E2295" s="9" t="str">
        <f t="shared" si="2286"/>
        <v>GWth/yr.</v>
      </c>
      <c r="F2295" s="17">
        <f t="shared" ref="F2295:K2295" si="2303">SUM(F2296,F2299,F2301,F2305,F2307,F2309,F2311)</f>
        <v>1.0488720692372952E-4</v>
      </c>
      <c r="G2295" s="17">
        <f t="shared" si="2303"/>
        <v>7.1853934348801815E-2</v>
      </c>
      <c r="H2295" s="17">
        <f t="shared" si="2303"/>
        <v>0.11642735741620129</v>
      </c>
      <c r="I2295" s="17">
        <f t="shared" si="2303"/>
        <v>1.5983093335875758E-2</v>
      </c>
      <c r="J2295" s="17">
        <f t="shared" si="2303"/>
        <v>2.7394918590797381</v>
      </c>
      <c r="K2295" s="17">
        <f t="shared" si="2303"/>
        <v>1.4599262698083868</v>
      </c>
      <c r="L2295" s="17">
        <f t="shared" ref="L2295:O2295" si="2304">SUM(L2296,L2299,L2301,L2305,L2307,L2309,L2311)</f>
        <v>3.4641059252189896E-2</v>
      </c>
      <c r="M2295" s="17">
        <f t="shared" si="2304"/>
        <v>2.1993338560784723</v>
      </c>
      <c r="N2295" s="17">
        <f t="shared" si="2304"/>
        <v>1.1542117754232324</v>
      </c>
      <c r="O2295" s="17">
        <f t="shared" si="2304"/>
        <v>0.15282471435066466</v>
      </c>
      <c r="P2295" s="17">
        <f>SUM(P2296,P2299,P2301,P2305,P2307,P2309,P2311)</f>
        <v>2.0798766298145464</v>
      </c>
      <c r="Q2295" s="17">
        <f>SUM(Q2296,Q2299,Q2301,Q2305,Q2307,Q2309,Q2311)</f>
        <v>0.99100872613843594</v>
      </c>
      <c r="S2295" s="3"/>
    </row>
    <row r="2296" spans="2:19" x14ac:dyDescent="0.5">
      <c r="B2296" s="5" t="str">
        <f t="shared" ref="B2296:B2312" si="2305">B2295</f>
        <v>SPS1</v>
      </c>
      <c r="C2296" s="5" t="str">
        <f t="shared" ref="C2296:C2312" si="2306">C2295</f>
        <v>CH</v>
      </c>
      <c r="D2296" t="s">
        <v>2430</v>
      </c>
      <c r="E2296" t="str">
        <f t="shared" si="2286"/>
        <v>GWth/yr.</v>
      </c>
      <c r="F2296" s="1">
        <f t="shared" ref="F2296:K2296" si="2307">SUM(F2297:F2298)</f>
        <v>6.5515434388736697E-6</v>
      </c>
      <c r="G2296" s="1">
        <f t="shared" si="2307"/>
        <v>4.3537905600697212E-6</v>
      </c>
      <c r="H2296" s="1">
        <f t="shared" si="2307"/>
        <v>0.11147524372331029</v>
      </c>
      <c r="I2296" s="1">
        <f t="shared" si="2307"/>
        <v>2.897574111384175E-5</v>
      </c>
      <c r="J2296" s="1">
        <f t="shared" si="2307"/>
        <v>0.35410687977272082</v>
      </c>
      <c r="K2296" s="1">
        <f t="shared" si="2307"/>
        <v>0.22355399674205712</v>
      </c>
      <c r="L2296" s="1">
        <f t="shared" ref="L2296:O2296" si="2308">SUM(L2297:L2298)</f>
        <v>3.2089775716364344E-2</v>
      </c>
      <c r="M2296" s="1">
        <f t="shared" si="2308"/>
        <v>0.36541006360477973</v>
      </c>
      <c r="N2296" s="1">
        <f t="shared" si="2308"/>
        <v>0.23548252633388911</v>
      </c>
      <c r="O2296" s="1">
        <f t="shared" si="2308"/>
        <v>0.10233501957736389</v>
      </c>
      <c r="P2296" s="1">
        <f>SUM(P2297:P2298)</f>
        <v>0.4239953779870313</v>
      </c>
      <c r="Q2296" s="1">
        <f>SUM(Q2297:Q2298)</f>
        <v>0.26945475555690102</v>
      </c>
      <c r="S2296" s="3"/>
    </row>
    <row r="2297" spans="2:19" x14ac:dyDescent="0.5">
      <c r="B2297" s="5" t="str">
        <f t="shared" si="2305"/>
        <v>SPS1</v>
      </c>
      <c r="C2297" s="5" t="str">
        <f t="shared" si="2306"/>
        <v>CH</v>
      </c>
      <c r="D2297" t="s">
        <v>2431</v>
      </c>
      <c r="E2297" t="str">
        <f t="shared" si="2286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6.1900112897418101E-6</v>
      </c>
      <c r="G2297" s="1" cm="1">
        <f t="array" ref="G2297">SUMPRODUCT(([1]OUT_FinalEnergyCons!$B$4:$B$10000="var_ncap")*1, (ISNUMBER(SEARCH("SCOM-SHELCBR",[1]OUT_FinalEnergyCons!$A$4:$A$10000)))*1,[1]OUT_FinalEnergyCons!E$4:E$10000)</f>
        <v>3.5794373398227498E-6</v>
      </c>
      <c r="H2297" s="1" cm="1">
        <f t="array" ref="H2297">SUMPRODUCT(([1]OUT_FinalEnergyCons!$B$4:$B$10000="var_ncap")*1, (ISNUMBER(SEARCH("SCOM-SHELCBR",[1]OUT_FinalEnergyCons!$A$4:$A$10000)))*1,[1]OUT_FinalEnergyCons!F$4:F$10000)</f>
        <v>0.111473998922584</v>
      </c>
      <c r="I2297" s="1" cm="1">
        <f t="array" ref="I2297">SUMPRODUCT(([1]OUT_FinalEnergyCons!$B$4:$B$10000="var_ncap")*1, (ISNUMBER(SEARCH("SCOM-SHELCBR",[1]OUT_FinalEnergyCons!$A$4:$A$10000)))*1,[1]OUT_FinalEnergyCons!G$4:G$10000)</f>
        <v>2.5386492345672201E-5</v>
      </c>
      <c r="J2297" s="1" cm="1">
        <f t="array" ref="J2297">SUMPRODUCT(([1]OUT_FinalEnergyCons!$B$4:$B$10000="var_ncap")*1, (ISNUMBER(SEARCH("SCOM-SHELCBR",[1]OUT_FinalEnergyCons!$A$4:$A$10000)))*1,[1]OUT_FinalEnergyCons!H$4:H$10000)</f>
        <v>3.4607330899437801E-2</v>
      </c>
      <c r="K2297" s="1" cm="1">
        <f t="array" ref="K2297">SUMPRODUCT(([1]OUT_FinalEnergyCons!$B$4:$B$10000="var_ncap")*1, (ISNUMBER(SEARCH("SCOM-SHELCBR",[1]OUT_FinalEnergyCons!$A$4:$A$10000)))*1,[1]OUT_FinalEnergyCons!I$4:I$10000)</f>
        <v>7.7543621513164102E-2</v>
      </c>
      <c r="L2297" s="1" cm="1">
        <f t="array" ref="L2297">SUMPRODUCT(([1]OUT_FinalEnergyCons!$B$4:$B$10000="var_ncap")*1, (ISNUMBER(SEARCH("SCOM-SHELCBR",[1]OUT_FinalEnergyCons!$A$4:$A$10000)))*1,[1]OUT_FinalEnergyCons!J$4:J$10000)</f>
        <v>8.2822162307243005E-5</v>
      </c>
      <c r="M2297" s="1" cm="1">
        <f t="array" ref="M2297">SUMPRODUCT(([1]OUT_FinalEnergyCons!$B$4:$B$10000="var_ncap")*1, (ISNUMBER(SEARCH("SCOM-SHELCBR",[1]OUT_FinalEnergyCons!$A$4:$A$10000)))*1,[1]OUT_FinalEnergyCons!K$4:K$10000)</f>
        <v>6.6891143486117197E-3</v>
      </c>
      <c r="N2297" s="1" cm="1">
        <f t="array" ref="N2297">SUMPRODUCT(([1]OUT_FinalEnergyCons!$B$4:$B$10000="var_ncap")*1, (ISNUMBER(SEARCH("SCOM-SHELCBR",[1]OUT_FinalEnergyCons!$A$4:$A$10000)))*1,[1]OUT_FinalEnergyCons!L$4:L$10000)</f>
        <v>6.4612562982634097E-2</v>
      </c>
      <c r="O2297" s="1" cm="1">
        <f t="array" ref="O2297">SUMPRODUCT(([1]OUT_FinalEnergyCons!$B$4:$B$10000="var_ncap")*1, (ISNUMBER(SEARCH("SCOM-SHELCBR",[1]OUT_FinalEnergyCons!$A$4:$A$10000)))*1,[1]OUT_FinalEnergyCons!M$4:M$10000)</f>
        <v>1.55844097463196E-2</v>
      </c>
      <c r="P2297" s="1" cm="1">
        <f t="array" ref="P2297">SUMPRODUCT(([1]OUT_FinalEnergyCons!$B$4:$B$10000="var_ncap")*1, (ISNUMBER(SEARCH("SCOM-SHELCBR",[1]OUT_FinalEnergyCons!$A$4:$A$10000)))*1,[1]OUT_FinalEnergyCons!N$4:N$10000)</f>
        <v>2.5312549962409302E-2</v>
      </c>
      <c r="Q2297" s="1" cm="1">
        <f t="array" ref="Q2297">SUMPRODUCT(([1]OUT_FinalEnergyCons!$B$4:$B$10000="var_ncap")*1, (ISNUMBER(SEARCH("SCOM-SHELCBR",[1]OUT_FinalEnergyCons!$A$4:$A$10000)))*1,[1]OUT_FinalEnergyCons!O$4:O$10000)</f>
        <v>4.2412540028761998E-2</v>
      </c>
      <c r="S2297" s="3"/>
    </row>
    <row r="2298" spans="2:19" x14ac:dyDescent="0.5">
      <c r="B2298" s="5" t="str">
        <f t="shared" si="2305"/>
        <v>SPS1</v>
      </c>
      <c r="C2298" s="5" t="str">
        <f t="shared" si="2306"/>
        <v>CH</v>
      </c>
      <c r="D2298" t="s">
        <v>2432</v>
      </c>
      <c r="E2298" t="str">
        <f t="shared" si="2286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3.6153214913186E-7</v>
      </c>
      <c r="G2298" s="1" cm="1">
        <f t="array" ref="G2298">SUMPRODUCT(([1]OUT_FinalEnergyCons!$B$4:$B$10000="var_ncap")*1, (ISNUMBER(SEARCH("SCOM-SHELCHP",[1]OUT_FinalEnergyCons!$A$4:$A$10000)))*1,[1]OUT_FinalEnergyCons!E$4:E$10000)</f>
        <v>7.7435322024697096E-7</v>
      </c>
      <c r="H2298" s="1" cm="1">
        <f t="array" ref="H2298">SUMPRODUCT(([1]OUT_FinalEnergyCons!$B$4:$B$10000="var_ncap")*1, (ISNUMBER(SEARCH("SCOM-SHELCHP",[1]OUT_FinalEnergyCons!$A$4:$A$10000)))*1,[1]OUT_FinalEnergyCons!F$4:F$10000)</f>
        <v>1.24480072628399E-6</v>
      </c>
      <c r="I2298" s="1" cm="1">
        <f t="array" ref="I2298">SUMPRODUCT(([1]OUT_FinalEnergyCons!$B$4:$B$10000="var_ncap")*1, (ISNUMBER(SEARCH("SCOM-SHELCHP",[1]OUT_FinalEnergyCons!$A$4:$A$10000)))*1,[1]OUT_FinalEnergyCons!G$4:G$10000)</f>
        <v>3.5892487681695499E-6</v>
      </c>
      <c r="J2298" s="1" cm="1">
        <f t="array" ref="J2298">SUMPRODUCT(([1]OUT_FinalEnergyCons!$B$4:$B$10000="var_ncap")*1, (ISNUMBER(SEARCH("SCOM-SHELCHP",[1]OUT_FinalEnergyCons!$A$4:$A$10000)))*1,[1]OUT_FinalEnergyCons!H$4:H$10000)</f>
        <v>0.31949954887328302</v>
      </c>
      <c r="K2298" s="1" cm="1">
        <f t="array" ref="K2298">SUMPRODUCT(([1]OUT_FinalEnergyCons!$B$4:$B$10000="var_ncap")*1, (ISNUMBER(SEARCH("SCOM-SHELCHP",[1]OUT_FinalEnergyCons!$A$4:$A$10000)))*1,[1]OUT_FinalEnergyCons!I$4:I$10000)</f>
        <v>0.14601037522889301</v>
      </c>
      <c r="L2298" s="1" cm="1">
        <f t="array" ref="L2298">SUMPRODUCT(([1]OUT_FinalEnergyCons!$B$4:$B$10000="var_ncap")*1, (ISNUMBER(SEARCH("SCOM-SHELCHP",[1]OUT_FinalEnergyCons!$A$4:$A$10000)))*1,[1]OUT_FinalEnergyCons!J$4:J$10000)</f>
        <v>3.2006953554057103E-2</v>
      </c>
      <c r="M2298" s="1" cm="1">
        <f t="array" ref="M2298">SUMPRODUCT(([1]OUT_FinalEnergyCons!$B$4:$B$10000="var_ncap")*1, (ISNUMBER(SEARCH("SCOM-SHELCHP",[1]OUT_FinalEnergyCons!$A$4:$A$10000)))*1,[1]OUT_FinalEnergyCons!K$4:K$10000)</f>
        <v>0.35872094925616799</v>
      </c>
      <c r="N2298" s="1" cm="1">
        <f t="array" ref="N2298">SUMPRODUCT(([1]OUT_FinalEnergyCons!$B$4:$B$10000="var_ncap")*1, (ISNUMBER(SEARCH("SCOM-SHELCHP",[1]OUT_FinalEnergyCons!$A$4:$A$10000)))*1,[1]OUT_FinalEnergyCons!L$4:L$10000)</f>
        <v>0.17086996335125501</v>
      </c>
      <c r="O2298" s="1" cm="1">
        <f t="array" ref="O2298">SUMPRODUCT(([1]OUT_FinalEnergyCons!$B$4:$B$10000="var_ncap")*1, (ISNUMBER(SEARCH("SCOM-SHELCHP",[1]OUT_FinalEnergyCons!$A$4:$A$10000)))*1,[1]OUT_FinalEnergyCons!M$4:M$10000)</f>
        <v>8.6750609831044295E-2</v>
      </c>
      <c r="P2298" s="1" cm="1">
        <f t="array" ref="P2298">SUMPRODUCT(([1]OUT_FinalEnergyCons!$B$4:$B$10000="var_ncap")*1, (ISNUMBER(SEARCH("SCOM-SHELCHP",[1]OUT_FinalEnergyCons!$A$4:$A$10000)))*1,[1]OUT_FinalEnergyCons!N$4:N$10000)</f>
        <v>0.39868282802462202</v>
      </c>
      <c r="Q2298" s="1" cm="1">
        <f t="array" ref="Q2298">SUMPRODUCT(([1]OUT_FinalEnergyCons!$B$4:$B$10000="var_ncap")*1, (ISNUMBER(SEARCH("SCOM-SHELCHP",[1]OUT_FinalEnergyCons!$A$4:$A$10000)))*1,[1]OUT_FinalEnergyCons!O$4:O$10000)</f>
        <v>0.227042215528139</v>
      </c>
      <c r="S2298" s="3"/>
    </row>
    <row r="2299" spans="2:19" x14ac:dyDescent="0.5">
      <c r="B2299" s="5" t="str">
        <f t="shared" si="2305"/>
        <v>SPS1</v>
      </c>
      <c r="C2299" s="5" t="str">
        <f t="shared" si="2306"/>
        <v>CH</v>
      </c>
      <c r="D2299" t="s">
        <v>2433</v>
      </c>
      <c r="E2299" t="str">
        <f t="shared" si="2286"/>
        <v>GWth/yr.</v>
      </c>
      <c r="F2299" s="1">
        <f t="shared" ref="F2299:O2299" si="2309">F2300</f>
        <v>3.1799337878000702E-6</v>
      </c>
      <c r="G2299" s="1">
        <f t="shared" si="2309"/>
        <v>3.80517853383611E-6</v>
      </c>
      <c r="H2299" s="1">
        <f t="shared" si="2309"/>
        <v>3.38304563917409E-6</v>
      </c>
      <c r="I2299" s="1">
        <f t="shared" si="2309"/>
        <v>3.3608833774111998E-6</v>
      </c>
      <c r="J2299" s="1">
        <f t="shared" si="2309"/>
        <v>0.60637883939617399</v>
      </c>
      <c r="K2299" s="1">
        <f t="shared" si="2309"/>
        <v>0.33204318982609099</v>
      </c>
      <c r="L2299" s="1">
        <f t="shared" si="2309"/>
        <v>8.3488624400496606E-6</v>
      </c>
      <c r="M2299" s="1">
        <f t="shared" si="2309"/>
        <v>0.36406038468857999</v>
      </c>
      <c r="N2299" s="1">
        <f t="shared" si="2309"/>
        <v>0.16226901273488001</v>
      </c>
      <c r="O2299" s="1">
        <f t="shared" si="2309"/>
        <v>4.7537406989032701E-5</v>
      </c>
      <c r="P2299" s="1">
        <f>P2300</f>
        <v>9.1184493188099694E-2</v>
      </c>
      <c r="Q2299" s="1">
        <f>Q2300</f>
        <v>3.41831184811381E-4</v>
      </c>
      <c r="S2299" s="3"/>
    </row>
    <row r="2300" spans="2:19" x14ac:dyDescent="0.5">
      <c r="B2300" s="5" t="str">
        <f t="shared" si="2305"/>
        <v>SPS1</v>
      </c>
      <c r="C2300" s="5" t="str">
        <f t="shared" si="2306"/>
        <v>CH</v>
      </c>
      <c r="D2300" t="s">
        <v>2434</v>
      </c>
      <c r="E2300" t="str">
        <f t="shared" ref="E2300:E2312" si="2310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3.1799337878000702E-6</v>
      </c>
      <c r="G2300" s="1" cm="1">
        <f t="array" ref="G2300">SUMPRODUCT(([1]OUT_FinalEnergyCons!$B$4:$B$10000="var_ncap")*1,(ISNUMBER(SEARCH("SCOM-SHLFOBR",[1]OUT_FinalEnergyCons!$A$4:$A$10000)))*1,[1]OUT_FinalEnergyCons!E$4:E$10000)</f>
        <v>3.80517853383611E-6</v>
      </c>
      <c r="H2300" s="1" cm="1">
        <f t="array" ref="H2300">SUMPRODUCT(([1]OUT_FinalEnergyCons!$B$4:$B$10000="var_ncap")*1,(ISNUMBER(SEARCH("SCOM-SHLFOBR",[1]OUT_FinalEnergyCons!$A$4:$A$10000)))*1,[1]OUT_FinalEnergyCons!F$4:F$10000)</f>
        <v>3.38304563917409E-6</v>
      </c>
      <c r="I2300" s="1" cm="1">
        <f t="array" ref="I2300">SUMPRODUCT(([1]OUT_FinalEnergyCons!$B$4:$B$10000="var_ncap")*1,(ISNUMBER(SEARCH("SCOM-SHLFOBR",[1]OUT_FinalEnergyCons!$A$4:$A$10000)))*1,[1]OUT_FinalEnergyCons!G$4:G$10000)</f>
        <v>3.3608833774111998E-6</v>
      </c>
      <c r="J2300" s="1" cm="1">
        <f t="array" ref="J2300">SUMPRODUCT(([1]OUT_FinalEnergyCons!$B$4:$B$10000="var_ncap")*1,(ISNUMBER(SEARCH("SCOM-SHLFOBR",[1]OUT_FinalEnergyCons!$A$4:$A$10000)))*1,[1]OUT_FinalEnergyCons!H$4:H$10000)</f>
        <v>0.60637883939617399</v>
      </c>
      <c r="K2300" s="1" cm="1">
        <f t="array" ref="K2300">SUMPRODUCT(([1]OUT_FinalEnergyCons!$B$4:$B$10000="var_ncap")*1,(ISNUMBER(SEARCH("SCOM-SHLFOBR",[1]OUT_FinalEnergyCons!$A$4:$A$10000)))*1,[1]OUT_FinalEnergyCons!I$4:I$10000)</f>
        <v>0.33204318982609099</v>
      </c>
      <c r="L2300" s="1" cm="1">
        <f t="array" ref="L2300">SUMPRODUCT(([1]OUT_FinalEnergyCons!$B$4:$B$10000="var_ncap")*1,(ISNUMBER(SEARCH("SCOM-SHLFOBR",[1]OUT_FinalEnergyCons!$A$4:$A$10000)))*1,[1]OUT_FinalEnergyCons!J$4:J$10000)</f>
        <v>8.3488624400496606E-6</v>
      </c>
      <c r="M2300" s="1" cm="1">
        <f t="array" ref="M2300">SUMPRODUCT(([1]OUT_FinalEnergyCons!$B$4:$B$10000="var_ncap")*1,(ISNUMBER(SEARCH("SCOM-SHLFOBR",[1]OUT_FinalEnergyCons!$A$4:$A$10000)))*1,[1]OUT_FinalEnergyCons!K$4:K$10000)</f>
        <v>0.36406038468857999</v>
      </c>
      <c r="N2300" s="1" cm="1">
        <f t="array" ref="N2300">SUMPRODUCT(([1]OUT_FinalEnergyCons!$B$4:$B$10000="var_ncap")*1,(ISNUMBER(SEARCH("SCOM-SHLFOBR",[1]OUT_FinalEnergyCons!$A$4:$A$10000)))*1,[1]OUT_FinalEnergyCons!L$4:L$10000)</f>
        <v>0.16226901273488001</v>
      </c>
      <c r="O2300" s="1" cm="1">
        <f t="array" ref="O2300">SUMPRODUCT(([1]OUT_FinalEnergyCons!$B$4:$B$10000="var_ncap")*1,(ISNUMBER(SEARCH("SCOM-SHLFOBR",[1]OUT_FinalEnergyCons!$A$4:$A$10000)))*1,[1]OUT_FinalEnergyCons!M$4:M$10000)</f>
        <v>4.7537406989032701E-5</v>
      </c>
      <c r="P2300" s="1" cm="1">
        <f t="array" ref="P2300">SUMPRODUCT(([1]OUT_FinalEnergyCons!$B$4:$B$10000="var_ncap")*1,(ISNUMBER(SEARCH("SCOM-SHLFOBR",[1]OUT_FinalEnergyCons!$A$4:$A$10000)))*1,[1]OUT_FinalEnergyCons!N$4:N$10000)</f>
        <v>9.1184493188099694E-2</v>
      </c>
      <c r="Q2300" s="1" cm="1">
        <f t="array" ref="Q2300">SUMPRODUCT(([1]OUT_FinalEnergyCons!$B$4:$B$10000="var_ncap")*1,(ISNUMBER(SEARCH("SCOM-SHLFOBR",[1]OUT_FinalEnergyCons!$A$4:$A$10000)))*1,[1]OUT_FinalEnergyCons!O$4:O$10000)</f>
        <v>3.41831184811381E-4</v>
      </c>
      <c r="S2300" s="3"/>
    </row>
    <row r="2301" spans="2:19" x14ac:dyDescent="0.5">
      <c r="B2301" s="5" t="str">
        <f t="shared" si="2305"/>
        <v>SPS1</v>
      </c>
      <c r="C2301" s="5" t="str">
        <f t="shared" si="2306"/>
        <v>CH</v>
      </c>
      <c r="D2301" t="s">
        <v>2435</v>
      </c>
      <c r="E2301" t="str">
        <f t="shared" si="2310"/>
        <v>GWth/yr.</v>
      </c>
      <c r="F2301" s="1">
        <f t="shared" ref="F2301:K2301" si="2311">SUM(F2302:F2304)</f>
        <v>1.2247993871155906E-5</v>
      </c>
      <c r="G2301" s="1">
        <f t="shared" si="2311"/>
        <v>1.4324310168766012E-4</v>
      </c>
      <c r="H2301" s="1">
        <f t="shared" si="2311"/>
        <v>4.9267348317046742E-3</v>
      </c>
      <c r="I2301" s="1">
        <f t="shared" si="2311"/>
        <v>6.8862254358300704E-5</v>
      </c>
      <c r="J2301" s="1">
        <f t="shared" si="2311"/>
        <v>1.4281989735218257</v>
      </c>
      <c r="K2301" s="1">
        <f t="shared" si="2311"/>
        <v>0.76232846817405309</v>
      </c>
      <c r="L2301" s="1">
        <f t="shared" ref="L2301:O2301" si="2312">SUM(L2302:L2304)</f>
        <v>2.4733146429458549E-3</v>
      </c>
      <c r="M2301" s="1">
        <f t="shared" si="2312"/>
        <v>1.2533781909784438</v>
      </c>
      <c r="N2301" s="1">
        <f t="shared" si="2312"/>
        <v>0.64428028325564846</v>
      </c>
      <c r="O2301" s="1">
        <f t="shared" si="2312"/>
        <v>3.0350940375155858E-2</v>
      </c>
      <c r="P2301" s="1">
        <f>SUM(P2302:P2304)</f>
        <v>1.3475441529361283</v>
      </c>
      <c r="Q2301" s="1">
        <f>SUM(Q2302:Q2304)</f>
        <v>0.61584576324534457</v>
      </c>
      <c r="S2301" s="3"/>
    </row>
    <row r="2302" spans="2:19" x14ac:dyDescent="0.5">
      <c r="B2302" s="5" t="str">
        <f t="shared" si="2305"/>
        <v>SPS1</v>
      </c>
      <c r="C2302" s="5" t="str">
        <f t="shared" si="2306"/>
        <v>CH</v>
      </c>
      <c r="D2302" t="s">
        <v>2436</v>
      </c>
      <c r="E2302" t="str">
        <f t="shared" si="2310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4.4548929977979499E-7</v>
      </c>
      <c r="G2302" s="1" cm="1">
        <f t="array" ref="G2302">SUMPRODUCT(([1]OUT_FinalEnergyCons!$B$4:$B$10000="var_ncap")*1, (ISNUMBER(SEARCH("SCOM-SHNGABR",[1]OUT_FinalEnergyCons!$A$4:$A$10000)))*1,[1]OUT_FinalEnergyCons!E$4:E$10000)</f>
        <v>3.73569324648933E-6</v>
      </c>
      <c r="H2302" s="1" cm="1">
        <f t="array" ref="H2302">SUMPRODUCT(([1]OUT_FinalEnergyCons!$B$4:$B$10000="var_ncap")*1, (ISNUMBER(SEARCH("SCOM-SHNGABR",[1]OUT_FinalEnergyCons!$A$4:$A$10000)))*1,[1]OUT_FinalEnergyCons!F$4:F$10000)</f>
        <v>4.41233081942898E-6</v>
      </c>
      <c r="I2302" s="1" cm="1">
        <f t="array" ref="I2302">SUMPRODUCT(([1]OUT_FinalEnergyCons!$B$4:$B$10000="var_ncap")*1, (ISNUMBER(SEARCH("SCOM-SHNGABR",[1]OUT_FinalEnergyCons!$A$4:$A$10000)))*1,[1]OUT_FinalEnergyCons!G$4:G$10000)</f>
        <v>8.4253335524914995E-6</v>
      </c>
      <c r="J2302" s="1" cm="1">
        <f t="array" ref="J2302">SUMPRODUCT(([1]OUT_FinalEnergyCons!$B$4:$B$10000="var_ncap")*1, (ISNUMBER(SEARCH("SCOM-SHNGABR",[1]OUT_FinalEnergyCons!$A$4:$A$10000)))*1,[1]OUT_FinalEnergyCons!H$4:H$10000)</f>
        <v>1.32525426843293</v>
      </c>
      <c r="K2302" s="1" cm="1">
        <f t="array" ref="K2302">SUMPRODUCT(([1]OUT_FinalEnergyCons!$B$4:$B$10000="var_ncap")*1, (ISNUMBER(SEARCH("SCOM-SHNGABR",[1]OUT_FinalEnergyCons!$A$4:$A$10000)))*1,[1]OUT_FinalEnergyCons!I$4:I$10000)</f>
        <v>0.72196795196138897</v>
      </c>
      <c r="L2302" s="1" cm="1">
        <f t="array" ref="L2302">SUMPRODUCT(([1]OUT_FinalEnergyCons!$B$4:$B$10000="var_ncap")*1, (ISNUMBER(SEARCH("SCOM-SHNGABR",[1]OUT_FinalEnergyCons!$A$4:$A$10000)))*1,[1]OUT_FinalEnergyCons!J$4:J$10000)</f>
        <v>1.7778448844467901E-5</v>
      </c>
      <c r="M2302" s="1" cm="1">
        <f t="array" ref="M2302">SUMPRODUCT(([1]OUT_FinalEnergyCons!$B$4:$B$10000="var_ncap")*1, (ISNUMBER(SEARCH("SCOM-SHNGABR",[1]OUT_FinalEnergyCons!$A$4:$A$10000)))*1,[1]OUT_FinalEnergyCons!K$4:K$10000)</f>
        <v>1.1196277624555699</v>
      </c>
      <c r="N2302" s="1" cm="1">
        <f t="array" ref="N2302">SUMPRODUCT(([1]OUT_FinalEnergyCons!$B$4:$B$10000="var_ncap")*1, (ISNUMBER(SEARCH("SCOM-SHNGABR",[1]OUT_FinalEnergyCons!$A$4:$A$10000)))*1,[1]OUT_FinalEnergyCons!L$4:L$10000)</f>
        <v>0.60669800166241805</v>
      </c>
      <c r="O2302" s="1" cm="1">
        <f t="array" ref="O2302">SUMPRODUCT(([1]OUT_FinalEnergyCons!$B$4:$B$10000="var_ncap")*1, (ISNUMBER(SEARCH("SCOM-SHNGABR",[1]OUT_FinalEnergyCons!$A$4:$A$10000)))*1,[1]OUT_FinalEnergyCons!M$4:M$10000)</f>
        <v>1.7294529894983299E-2</v>
      </c>
      <c r="P2302" s="1" cm="1">
        <f t="array" ref="P2302">SUMPRODUCT(([1]OUT_FinalEnergyCons!$B$4:$B$10000="var_ncap")*1, (ISNUMBER(SEARCH("SCOM-SHNGABR",[1]OUT_FinalEnergyCons!$A$4:$A$10000)))*1,[1]OUT_FinalEnergyCons!N$4:N$10000)</f>
        <v>1.1332909647896801</v>
      </c>
      <c r="Q2302" s="1" cm="1">
        <f t="array" ref="Q2302">SUMPRODUCT(([1]OUT_FinalEnergyCons!$B$4:$B$10000="var_ncap")*1, (ISNUMBER(SEARCH("SCOM-SHNGABR",[1]OUT_FinalEnergyCons!$A$4:$A$10000)))*1,[1]OUT_FinalEnergyCons!O$4:O$10000)</f>
        <v>0.53130233311269504</v>
      </c>
      <c r="S2302" s="3"/>
    </row>
    <row r="2303" spans="2:19" x14ac:dyDescent="0.5">
      <c r="B2303" s="5" t="str">
        <f t="shared" si="2305"/>
        <v>SPS1</v>
      </c>
      <c r="C2303" s="5" t="str">
        <f t="shared" si="2306"/>
        <v>CH</v>
      </c>
      <c r="D2303" t="s">
        <v>2437</v>
      </c>
      <c r="E2303" t="str">
        <f t="shared" si="2310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1.28468545237621E-6</v>
      </c>
      <c r="G2303" s="1" cm="1">
        <f t="array" ref="G2303">SUMPRODUCT(([1]OUT_FinalEnergyCons!$B$4:$B$10000="var_ncap")*1, (ISNUMBER(SEARCH("SCOM-SHngahp",[1]OUT_FinalEnergyCons!$A$4:$A$10000)))*1,[1]OUT_FinalEnergyCons!E$4:E$10000)</f>
        <v>9.5945803456817601E-5</v>
      </c>
      <c r="H2303" s="1" cm="1">
        <f t="array" ref="H2303">SUMPRODUCT(([1]OUT_FinalEnergyCons!$B$4:$B$10000="var_ncap")*1, (ISNUMBER(SEARCH("SCOM-SHngahp",[1]OUT_FinalEnergyCons!$A$4:$A$10000)))*1,[1]OUT_FinalEnergyCons!F$4:F$10000)</f>
        <v>3.4746433941825502E-4</v>
      </c>
      <c r="I2303" s="1" cm="1">
        <f t="array" ref="I2303">SUMPRODUCT(([1]OUT_FinalEnergyCons!$B$4:$B$10000="var_ncap")*1, (ISNUMBER(SEARCH("SCOM-SHngahp",[1]OUT_FinalEnergyCons!$A$4:$A$10000)))*1,[1]OUT_FinalEnergyCons!G$4:G$10000)</f>
        <v>1.0080043684394799E-5</v>
      </c>
      <c r="J2303" s="1" cm="1">
        <f t="array" ref="J2303">SUMPRODUCT(([1]OUT_FinalEnergyCons!$B$4:$B$10000="var_ncap")*1, (ISNUMBER(SEARCH("SCOM-SHngahp",[1]OUT_FinalEnergyCons!$A$4:$A$10000)))*1,[1]OUT_FinalEnergyCons!H$4:H$10000)</f>
        <v>1.47111669841349E-3</v>
      </c>
      <c r="K2303" s="1" cm="1">
        <f t="array" ref="K2303">SUMPRODUCT(([1]OUT_FinalEnergyCons!$B$4:$B$10000="var_ncap")*1, (ISNUMBER(SEARCH("SCOM-SHngahp",[1]OUT_FinalEnergyCons!$A$4:$A$10000)))*1,[1]OUT_FinalEnergyCons!I$4:I$10000)</f>
        <v>1.1475772315483099E-3</v>
      </c>
      <c r="L2303" s="1" cm="1">
        <f t="array" ref="L2303">SUMPRODUCT(([1]OUT_FinalEnergyCons!$B$4:$B$10000="var_ncap")*1, (ISNUMBER(SEARCH("SCOM-SHngahp",[1]OUT_FinalEnergyCons!$A$4:$A$10000)))*1,[1]OUT_FinalEnergyCons!J$4:J$10000)</f>
        <v>2.4307169037467401E-3</v>
      </c>
      <c r="M2303" s="1" cm="1">
        <f t="array" ref="M2303">SUMPRODUCT(([1]OUT_FinalEnergyCons!$B$4:$B$10000="var_ncap")*1, (ISNUMBER(SEARCH("SCOM-SHngahp",[1]OUT_FinalEnergyCons!$A$4:$A$10000)))*1,[1]OUT_FinalEnergyCons!K$4:K$10000)</f>
        <v>1.10703816137893E-3</v>
      </c>
      <c r="N2303" s="1" cm="1">
        <f t="array" ref="N2303">SUMPRODUCT(([1]OUT_FinalEnergyCons!$B$4:$B$10000="var_ncap")*1, (ISNUMBER(SEARCH("SCOM-SHngahp",[1]OUT_FinalEnergyCons!$A$4:$A$10000)))*1,[1]OUT_FinalEnergyCons!L$4:L$10000)</f>
        <v>7.1727986273804407E-5</v>
      </c>
      <c r="O2303" s="1" cm="1">
        <f t="array" ref="O2303">SUMPRODUCT(([1]OUT_FinalEnergyCons!$B$4:$B$10000="var_ncap")*1, (ISNUMBER(SEARCH("SCOM-SHngahp",[1]OUT_FinalEnergyCons!$A$4:$A$10000)))*1,[1]OUT_FinalEnergyCons!M$4:M$10000)</f>
        <v>1.08174128285495E-2</v>
      </c>
      <c r="P2303" s="1" cm="1">
        <f t="array" ref="P2303">SUMPRODUCT(([1]OUT_FinalEnergyCons!$B$4:$B$10000="var_ncap")*1, (ISNUMBER(SEARCH("SCOM-SHngahp",[1]OUT_FinalEnergyCons!$A$4:$A$10000)))*1,[1]OUT_FinalEnergyCons!N$4:N$10000)</f>
        <v>1.6552764214007801E-4</v>
      </c>
      <c r="Q2303" s="1" cm="1">
        <f t="array" ref="Q2303">SUMPRODUCT(([1]OUT_FinalEnergyCons!$B$4:$B$10000="var_ncap")*1, (ISNUMBER(SEARCH("SCOM-SHngahp",[1]OUT_FinalEnergyCons!$A$4:$A$10000)))*1,[1]OUT_FinalEnergyCons!O$4:O$10000)</f>
        <v>5.93034076465262E-3</v>
      </c>
      <c r="S2303" s="3"/>
    </row>
    <row r="2304" spans="2:19" x14ac:dyDescent="0.5">
      <c r="B2304" s="5" t="str">
        <f t="shared" si="2305"/>
        <v>SPS1</v>
      </c>
      <c r="C2304" s="5" t="str">
        <f t="shared" si="2306"/>
        <v>CH</v>
      </c>
      <c r="D2304" t="s">
        <v>2438</v>
      </c>
      <c r="E2304" t="str">
        <f t="shared" si="2310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1.0517819118999901E-5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4.3561604984353201E-5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4.5748581614669902E-3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5.0356877121414403E-5</v>
      </c>
      <c r="J2304" s="1" cm="1">
        <f t="array" ref="J2304">SUMPRODUCT(([1]OUT_FinalEnergyCons!$B$4:$B$10000="var_ncap")*1, (("SCOM-SHBIOBR"=[1]OUT_FinalEnergyCons!$A$4:$A$10000)*1+("SCOM-SHBNGABR"=[1]OUT_FinalEnergyCons!$A$4:$A$10000)*1),[1]OUT_FinalEnergyCons!H$4:H$10000)</f>
        <v>0.101473588390482</v>
      </c>
      <c r="K2304" s="1" cm="1">
        <f t="array" ref="K2304">SUMPRODUCT(([1]OUT_FinalEnergyCons!$B$4:$B$10000="var_ncap")*1, (("SCOM-SHBIOBR"=[1]OUT_FinalEnergyCons!$A$4:$A$10000)*1+("SCOM-SHBNGABR"=[1]OUT_FinalEnergyCons!$A$4:$A$10000)*1),[1]OUT_FinalEnergyCons!I$4:I$10000)</f>
        <v>3.9212938981115802E-2</v>
      </c>
      <c r="L2304" s="1" cm="1">
        <f t="array" ref="L2304">SUMPRODUCT(([1]OUT_FinalEnergyCons!$B$4:$B$10000="var_ncap")*1, (("SCOM-SHBIOBR"=[1]OUT_FinalEnergyCons!$A$4:$A$10000)*1+("SCOM-SHBNGABR"=[1]OUT_FinalEnergyCons!$A$4:$A$10000)*1),[1]OUT_FinalEnergyCons!J$4:J$10000)</f>
        <v>2.4819290354646699E-5</v>
      </c>
      <c r="M2304" s="1" cm="1">
        <f t="array" ref="M2304">SUMPRODUCT(([1]OUT_FinalEnergyCons!$B$4:$B$10000="var_ncap")*1, (("SCOM-SHBIOBR"=[1]OUT_FinalEnergyCons!$A$4:$A$10000)*1+("SCOM-SHBNGABR"=[1]OUT_FinalEnergyCons!$A$4:$A$10000)*1),[1]OUT_FinalEnergyCons!K$4:K$10000)</f>
        <v>0.132643390361495</v>
      </c>
      <c r="N2304" s="1" cm="1">
        <f t="array" ref="N2304">SUMPRODUCT(([1]OUT_FinalEnergyCons!$B$4:$B$10000="var_ncap")*1, (("SCOM-SHBIOBR"=[1]OUT_FinalEnergyCons!$A$4:$A$10000)*1+("SCOM-SHBNGABR"=[1]OUT_FinalEnergyCons!$A$4:$A$10000)*1),[1]OUT_FinalEnergyCons!L$4:L$10000)</f>
        <v>3.7510553606956598E-2</v>
      </c>
      <c r="O2304" s="1" cm="1">
        <f t="array" ref="O2304">SUMPRODUCT(([1]OUT_FinalEnergyCons!$B$4:$B$10000="var_ncap")*1, (("SCOM-SHBIOBR"=[1]OUT_FinalEnergyCons!$A$4:$A$10000)*1+("SCOM-SHBNGABR"=[1]OUT_FinalEnergyCons!$A$4:$A$10000)*1),[1]OUT_FinalEnergyCons!M$4:M$10000)</f>
        <v>2.2389976516230601E-3</v>
      </c>
      <c r="P2304" s="1" cm="1">
        <f t="array" ref="P2304">SUMPRODUCT(([1]OUT_FinalEnergyCons!$B$4:$B$10000="var_ncap")*1, (("SCOM-SHBIOBR"=[1]OUT_FinalEnergyCons!$A$4:$A$10000)*1+("SCOM-SHBNGABR"=[1]OUT_FinalEnergyCons!$A$4:$A$10000)*1),[1]OUT_FinalEnergyCons!N$4:N$10000)</f>
        <v>0.214087660504308</v>
      </c>
      <c r="Q2304" s="1" cm="1">
        <f t="array" ref="Q2304">SUMPRODUCT(([1]OUT_FinalEnergyCons!$B$4:$B$10000="var_ncap")*1, (("SCOM-SHBIOBR"=[1]OUT_FinalEnergyCons!$A$4:$A$10000)*1+("SCOM-SHBNGABR"=[1]OUT_FinalEnergyCons!$A$4:$A$10000)*1),[1]OUT_FinalEnergyCons!O$4:O$10000)</f>
        <v>7.8613089367996894E-2</v>
      </c>
      <c r="S2304" s="3"/>
    </row>
    <row r="2305" spans="2:19" x14ac:dyDescent="0.5">
      <c r="B2305" s="5" t="str">
        <f t="shared" si="2305"/>
        <v>SPS1</v>
      </c>
      <c r="C2305" s="5" t="str">
        <f t="shared" si="2306"/>
        <v>CH</v>
      </c>
      <c r="D2305" t="s">
        <v>2439</v>
      </c>
      <c r="E2305" t="str">
        <f t="shared" si="2310"/>
        <v>GWth/yr.</v>
      </c>
      <c r="F2305" s="1">
        <f t="shared" ref="F2305:O2305" si="2313">F2306</f>
        <v>3.3934117209221899E-5</v>
      </c>
      <c r="G2305" s="1">
        <f t="shared" si="2313"/>
        <v>4.0796524727781502E-2</v>
      </c>
      <c r="H2305" s="1">
        <f t="shared" si="2313"/>
        <v>6.3309616382082803E-6</v>
      </c>
      <c r="I2305" s="1">
        <f t="shared" si="2313"/>
        <v>1.6642505551345501E-5</v>
      </c>
      <c r="J2305" s="1">
        <f t="shared" si="2313"/>
        <v>0.14325953311280901</v>
      </c>
      <c r="K2305" s="1">
        <f t="shared" si="2313"/>
        <v>3.6792614165909801E-2</v>
      </c>
      <c r="L2305" s="1">
        <f t="shared" si="2313"/>
        <v>3.5514981730309801E-6</v>
      </c>
      <c r="M2305" s="1">
        <f t="shared" si="2313"/>
        <v>1.134669767686E-4</v>
      </c>
      <c r="N2305" s="1">
        <f t="shared" si="2313"/>
        <v>2.9350447356523202E-2</v>
      </c>
      <c r="O2305" s="1">
        <f t="shared" si="2313"/>
        <v>4.9474091577904602E-3</v>
      </c>
      <c r="P2305" s="1">
        <f>P2306</f>
        <v>8.7350180998577703E-3</v>
      </c>
      <c r="Q2305" s="1">
        <f>Q2306</f>
        <v>1.9057469619588999E-2</v>
      </c>
      <c r="S2305" s="3"/>
    </row>
    <row r="2306" spans="2:19" x14ac:dyDescent="0.5">
      <c r="B2306" s="5" t="str">
        <f t="shared" si="2305"/>
        <v>SPS1</v>
      </c>
      <c r="C2306" s="5" t="str">
        <f t="shared" si="2306"/>
        <v>CH</v>
      </c>
      <c r="D2306" t="s">
        <v>2440</v>
      </c>
      <c r="E2306" t="str">
        <f t="shared" si="2310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3.3934117209221899E-5</v>
      </c>
      <c r="G2306" s="1" cm="1">
        <f t="array" ref="G2306">SUMPRODUCT(([1]OUT_FinalEnergyCons!$B$4:$B$10000="var_ncap")*1, (ISNUMBER(SEARCH("SCOM-SHWODBR",[1]OUT_FinalEnergyCons!$A$4:$A$10000)))*1,[1]OUT_FinalEnergyCons!E$4:E$10000)</f>
        <v>4.0796524727781502E-2</v>
      </c>
      <c r="H2306" s="1" cm="1">
        <f t="array" ref="H2306">SUMPRODUCT(([1]OUT_FinalEnergyCons!$B$4:$B$10000="var_ncap")*1, (ISNUMBER(SEARCH("SCOM-SHWODBR",[1]OUT_FinalEnergyCons!$A$4:$A$10000)))*1,[1]OUT_FinalEnergyCons!F$4:F$10000)</f>
        <v>6.3309616382082803E-6</v>
      </c>
      <c r="I2306" s="1" cm="1">
        <f t="array" ref="I2306">SUMPRODUCT(([1]OUT_FinalEnergyCons!$B$4:$B$10000="var_ncap")*1, (ISNUMBER(SEARCH("SCOM-SHWODBR",[1]OUT_FinalEnergyCons!$A$4:$A$10000)))*1,[1]OUT_FinalEnergyCons!G$4:G$10000)</f>
        <v>1.6642505551345501E-5</v>
      </c>
      <c r="J2306" s="1" cm="1">
        <f t="array" ref="J2306">SUMPRODUCT(([1]OUT_FinalEnergyCons!$B$4:$B$10000="var_ncap")*1, (ISNUMBER(SEARCH("SCOM-SHWODBR",[1]OUT_FinalEnergyCons!$A$4:$A$10000)))*1,[1]OUT_FinalEnergyCons!H$4:H$10000)</f>
        <v>0.14325953311280901</v>
      </c>
      <c r="K2306" s="1" cm="1">
        <f t="array" ref="K2306">SUMPRODUCT(([1]OUT_FinalEnergyCons!$B$4:$B$10000="var_ncap")*1, (ISNUMBER(SEARCH("SCOM-SHWODBR",[1]OUT_FinalEnergyCons!$A$4:$A$10000)))*1,[1]OUT_FinalEnergyCons!I$4:I$10000)</f>
        <v>3.6792614165909801E-2</v>
      </c>
      <c r="L2306" s="1" cm="1">
        <f t="array" ref="L2306">SUMPRODUCT(([1]OUT_FinalEnergyCons!$B$4:$B$10000="var_ncap")*1, (ISNUMBER(SEARCH("SCOM-SHWODBR",[1]OUT_FinalEnergyCons!$A$4:$A$10000)))*1,[1]OUT_FinalEnergyCons!J$4:J$10000)</f>
        <v>3.5514981730309801E-6</v>
      </c>
      <c r="M2306" s="1" cm="1">
        <f t="array" ref="M2306">SUMPRODUCT(([1]OUT_FinalEnergyCons!$B$4:$B$10000="var_ncap")*1, (ISNUMBER(SEARCH("SCOM-SHWODBR",[1]OUT_FinalEnergyCons!$A$4:$A$10000)))*1,[1]OUT_FinalEnergyCons!K$4:K$10000)</f>
        <v>1.134669767686E-4</v>
      </c>
      <c r="N2306" s="1" cm="1">
        <f t="array" ref="N2306">SUMPRODUCT(([1]OUT_FinalEnergyCons!$B$4:$B$10000="var_ncap")*1, (ISNUMBER(SEARCH("SCOM-SHWODBR",[1]OUT_FinalEnergyCons!$A$4:$A$10000)))*1,[1]OUT_FinalEnergyCons!L$4:L$10000)</f>
        <v>2.9350447356523202E-2</v>
      </c>
      <c r="O2306" s="1" cm="1">
        <f t="array" ref="O2306">SUMPRODUCT(([1]OUT_FinalEnergyCons!$B$4:$B$10000="var_ncap")*1, (ISNUMBER(SEARCH("SCOM-SHWODBR",[1]OUT_FinalEnergyCons!$A$4:$A$10000)))*1,[1]OUT_FinalEnergyCons!M$4:M$10000)</f>
        <v>4.9474091577904602E-3</v>
      </c>
      <c r="P2306" s="1" cm="1">
        <f t="array" ref="P2306">SUMPRODUCT(([1]OUT_FinalEnergyCons!$B$4:$B$10000="var_ncap")*1, (ISNUMBER(SEARCH("SCOM-SHWODBR",[1]OUT_FinalEnergyCons!$A$4:$A$10000)))*1,[1]OUT_FinalEnergyCons!N$4:N$10000)</f>
        <v>8.7350180998577703E-3</v>
      </c>
      <c r="Q2306" s="1" cm="1">
        <f t="array" ref="Q2306">SUMPRODUCT(([1]OUT_FinalEnergyCons!$B$4:$B$10000="var_ncap")*1, (ISNUMBER(SEARCH("SCOM-SHWODBR",[1]OUT_FinalEnergyCons!$A$4:$A$10000)))*1,[1]OUT_FinalEnergyCons!O$4:O$10000)</f>
        <v>1.9057469619588999E-2</v>
      </c>
      <c r="S2306" s="3"/>
    </row>
    <row r="2307" spans="2:19" x14ac:dyDescent="0.5">
      <c r="B2307" s="5" t="str">
        <f t="shared" si="2305"/>
        <v>SPS1</v>
      </c>
      <c r="C2307" s="5" t="str">
        <f t="shared" si="2306"/>
        <v>CH</v>
      </c>
      <c r="D2307" t="s">
        <v>2441</v>
      </c>
      <c r="E2307" t="str">
        <f t="shared" si="2310"/>
        <v>GWth/yr.</v>
      </c>
      <c r="F2307" s="1">
        <f t="shared" ref="F2307:O2307" si="2314">F2308</f>
        <v>5.1252125897137797E-6</v>
      </c>
      <c r="G2307" s="1">
        <f t="shared" si="2314"/>
        <v>2.2086300554074002E-2</v>
      </c>
      <c r="H2307" s="1">
        <f t="shared" si="2314"/>
        <v>1.1535221242349399E-5</v>
      </c>
      <c r="I2307" s="1">
        <f t="shared" si="2314"/>
        <v>1.5646776603667201E-2</v>
      </c>
      <c r="J2307" s="1">
        <f t="shared" si="2314"/>
        <v>0.13540591358229101</v>
      </c>
      <c r="K2307" s="1">
        <f t="shared" si="2314"/>
        <v>7.6773296248312806E-2</v>
      </c>
      <c r="L2307" s="1">
        <f t="shared" si="2314"/>
        <v>1.04045530896049E-5</v>
      </c>
      <c r="M2307" s="1">
        <f t="shared" si="2314"/>
        <v>0.14269966945082499</v>
      </c>
      <c r="N2307" s="1">
        <f t="shared" si="2314"/>
        <v>5.8921019018811201E-2</v>
      </c>
      <c r="O2307" s="1">
        <f t="shared" si="2314"/>
        <v>5.3308516421556396E-3</v>
      </c>
      <c r="P2307" s="1">
        <f>P2308</f>
        <v>0.13517593633924099</v>
      </c>
      <c r="Q2307" s="1">
        <f>Q2308</f>
        <v>5.6739818081898E-2</v>
      </c>
      <c r="S2307" s="3"/>
    </row>
    <row r="2308" spans="2:19" x14ac:dyDescent="0.5">
      <c r="B2308" s="5" t="str">
        <f t="shared" si="2305"/>
        <v>SPS1</v>
      </c>
      <c r="C2308" s="5" t="str">
        <f t="shared" si="2306"/>
        <v>CH</v>
      </c>
      <c r="D2308" t="s">
        <v>2442</v>
      </c>
      <c r="E2308" t="str">
        <f t="shared" si="2310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5.1252125897137797E-6</v>
      </c>
      <c r="G2308" s="1" cm="1">
        <f t="array" ref="G2308">SUMPRODUCT(([1]OUT_FinalEnergyCons!$B$4:$B$10000="var_ncap")*1,(ISNUMBER(SEARCH("SCOM-SHPLTBR",[1]OUT_FinalEnergyCons!$A$4:$A$10000)))*1,[1]OUT_FinalEnergyCons!E$4:E$10000)</f>
        <v>2.2086300554074002E-2</v>
      </c>
      <c r="H2308" s="1" cm="1">
        <f t="array" ref="H2308">SUMPRODUCT(([1]OUT_FinalEnergyCons!$B$4:$B$10000="var_ncap")*1,(ISNUMBER(SEARCH("SCOM-SHPLTBR",[1]OUT_FinalEnergyCons!$A$4:$A$10000)))*1,[1]OUT_FinalEnergyCons!F$4:F$10000)</f>
        <v>1.1535221242349399E-5</v>
      </c>
      <c r="I2308" s="1" cm="1">
        <f t="array" ref="I2308">SUMPRODUCT(([1]OUT_FinalEnergyCons!$B$4:$B$10000="var_ncap")*1,(ISNUMBER(SEARCH("SCOM-SHPLTBR",[1]OUT_FinalEnergyCons!$A$4:$A$10000)))*1,[1]OUT_FinalEnergyCons!G$4:G$10000)</f>
        <v>1.5646776603667201E-2</v>
      </c>
      <c r="J2308" s="1" cm="1">
        <f t="array" ref="J2308">SUMPRODUCT(([1]OUT_FinalEnergyCons!$B$4:$B$10000="var_ncap")*1,(ISNUMBER(SEARCH("SCOM-SHPLTBR",[1]OUT_FinalEnergyCons!$A$4:$A$10000)))*1,[1]OUT_FinalEnergyCons!H$4:H$10000)</f>
        <v>0.13540591358229101</v>
      </c>
      <c r="K2308" s="1" cm="1">
        <f t="array" ref="K2308">SUMPRODUCT(([1]OUT_FinalEnergyCons!$B$4:$B$10000="var_ncap")*1,(ISNUMBER(SEARCH("SCOM-SHPLTBR",[1]OUT_FinalEnergyCons!$A$4:$A$10000)))*1,[1]OUT_FinalEnergyCons!I$4:I$10000)</f>
        <v>7.6773296248312806E-2</v>
      </c>
      <c r="L2308" s="1" cm="1">
        <f t="array" ref="L2308">SUMPRODUCT(([1]OUT_FinalEnergyCons!$B$4:$B$10000="var_ncap")*1,(ISNUMBER(SEARCH("SCOM-SHPLTBR",[1]OUT_FinalEnergyCons!$A$4:$A$10000)))*1,[1]OUT_FinalEnergyCons!J$4:J$10000)</f>
        <v>1.04045530896049E-5</v>
      </c>
      <c r="M2308" s="1" cm="1">
        <f t="array" ref="M2308">SUMPRODUCT(([1]OUT_FinalEnergyCons!$B$4:$B$10000="var_ncap")*1,(ISNUMBER(SEARCH("SCOM-SHPLTBR",[1]OUT_FinalEnergyCons!$A$4:$A$10000)))*1,[1]OUT_FinalEnergyCons!K$4:K$10000)</f>
        <v>0.14269966945082499</v>
      </c>
      <c r="N2308" s="1" cm="1">
        <f t="array" ref="N2308">SUMPRODUCT(([1]OUT_FinalEnergyCons!$B$4:$B$10000="var_ncap")*1,(ISNUMBER(SEARCH("SCOM-SHPLTBR",[1]OUT_FinalEnergyCons!$A$4:$A$10000)))*1,[1]OUT_FinalEnergyCons!L$4:L$10000)</f>
        <v>5.8921019018811201E-2</v>
      </c>
      <c r="O2308" s="1" cm="1">
        <f t="array" ref="O2308">SUMPRODUCT(([1]OUT_FinalEnergyCons!$B$4:$B$10000="var_ncap")*1,(ISNUMBER(SEARCH("SCOM-SHPLTBR",[1]OUT_FinalEnergyCons!$A$4:$A$10000)))*1,[1]OUT_FinalEnergyCons!M$4:M$10000)</f>
        <v>5.3308516421556396E-3</v>
      </c>
      <c r="P2308" s="1" cm="1">
        <f t="array" ref="P2308">SUMPRODUCT(([1]OUT_FinalEnergyCons!$B$4:$B$10000="var_ncap")*1,(ISNUMBER(SEARCH("SCOM-SHPLTBR",[1]OUT_FinalEnergyCons!$A$4:$A$10000)))*1,[1]OUT_FinalEnergyCons!N$4:N$10000)</f>
        <v>0.13517593633924099</v>
      </c>
      <c r="Q2308" s="1" cm="1">
        <f t="array" ref="Q2308">SUMPRODUCT(([1]OUT_FinalEnergyCons!$B$4:$B$10000="var_ncap")*1,(ISNUMBER(SEARCH("SCOM-SHPLTBR",[1]OUT_FinalEnergyCons!$A$4:$A$10000)))*1,[1]OUT_FinalEnergyCons!O$4:O$10000)</f>
        <v>5.6739818081898E-2</v>
      </c>
      <c r="S2308" s="3"/>
    </row>
    <row r="2309" spans="2:19" x14ac:dyDescent="0.5">
      <c r="B2309" s="5" t="str">
        <f t="shared" si="2305"/>
        <v>SPS1</v>
      </c>
      <c r="C2309" s="5" t="str">
        <f t="shared" si="2306"/>
        <v>CH</v>
      </c>
      <c r="D2309" t="s">
        <v>2443</v>
      </c>
      <c r="E2309" t="str">
        <f t="shared" si="2310"/>
        <v>GWth/yr.</v>
      </c>
      <c r="F2309" s="1">
        <f t="shared" ref="F2309:O2309" si="2315">F2310</f>
        <v>4.3848406026964198E-5</v>
      </c>
      <c r="G2309" s="1">
        <f t="shared" si="2315"/>
        <v>8.8197069961647497E-3</v>
      </c>
      <c r="H2309" s="1">
        <f t="shared" si="2315"/>
        <v>4.1296326665864102E-6</v>
      </c>
      <c r="I2309" s="1">
        <f t="shared" si="2315"/>
        <v>1.0432176810758799E-5</v>
      </c>
      <c r="J2309" s="1">
        <f t="shared" si="2315"/>
        <v>7.1866548479612505E-2</v>
      </c>
      <c r="K2309" s="1">
        <f t="shared" si="2315"/>
        <v>2.8153876390063001E-2</v>
      </c>
      <c r="L2309" s="1">
        <f t="shared" si="2315"/>
        <v>2.54325238957607E-5</v>
      </c>
      <c r="M2309" s="1">
        <f t="shared" si="2315"/>
        <v>7.1917167043687294E-2</v>
      </c>
      <c r="N2309" s="1">
        <f t="shared" si="2315"/>
        <v>2.3851396965656201E-2</v>
      </c>
      <c r="O2309" s="1">
        <f t="shared" si="2315"/>
        <v>4.3771984334319601E-3</v>
      </c>
      <c r="P2309" s="1">
        <f>P2310</f>
        <v>6.6793697308725294E-2</v>
      </c>
      <c r="Q2309" s="1">
        <f>Q2310</f>
        <v>2.92067394239117E-2</v>
      </c>
      <c r="S2309" s="3"/>
    </row>
    <row r="2310" spans="2:19" x14ac:dyDescent="0.5">
      <c r="B2310" s="5" t="str">
        <f t="shared" si="2305"/>
        <v>SPS1</v>
      </c>
      <c r="C2310" s="5" t="str">
        <f t="shared" si="2306"/>
        <v>CH</v>
      </c>
      <c r="D2310" t="s">
        <v>2444</v>
      </c>
      <c r="E2310" t="str">
        <f t="shared" si="2310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4.3848406026964198E-5</v>
      </c>
      <c r="G2310" s="1" cm="1">
        <f t="array" ref="G2310">SUMPRODUCT(([1]OUT_FinalEnergyCons!$B$4:$B$10000="var_ncap")*1, (ISNUMBER(SEARCH("SCOM-SHSOLBR",[1]OUT_FinalEnergyCons!$A$4:$A$10000)))*1,[1]OUT_FinalEnergyCons!E$4:E$10000)</f>
        <v>8.8197069961647497E-3</v>
      </c>
      <c r="H2310" s="1" cm="1">
        <f t="array" ref="H2310">SUMPRODUCT(([1]OUT_FinalEnergyCons!$B$4:$B$10000="var_ncap")*1, (ISNUMBER(SEARCH("SCOM-SHSOLBR",[1]OUT_FinalEnergyCons!$A$4:$A$10000)))*1,[1]OUT_FinalEnergyCons!F$4:F$10000)</f>
        <v>4.1296326665864102E-6</v>
      </c>
      <c r="I2310" s="1" cm="1">
        <f t="array" ref="I2310">SUMPRODUCT(([1]OUT_FinalEnergyCons!$B$4:$B$10000="var_ncap")*1, (ISNUMBER(SEARCH("SCOM-SHSOLBR",[1]OUT_FinalEnergyCons!$A$4:$A$10000)))*1,[1]OUT_FinalEnergyCons!G$4:G$10000)</f>
        <v>1.0432176810758799E-5</v>
      </c>
      <c r="J2310" s="1" cm="1">
        <f t="array" ref="J2310">SUMPRODUCT(([1]OUT_FinalEnergyCons!$B$4:$B$10000="var_ncap")*1, (ISNUMBER(SEARCH("SCOM-SHSOLBR",[1]OUT_FinalEnergyCons!$A$4:$A$10000)))*1,[1]OUT_FinalEnergyCons!H$4:H$10000)</f>
        <v>7.1866548479612505E-2</v>
      </c>
      <c r="K2310" s="1" cm="1">
        <f t="array" ref="K2310">SUMPRODUCT(([1]OUT_FinalEnergyCons!$B$4:$B$10000="var_ncap")*1, (ISNUMBER(SEARCH("SCOM-SHSOLBR",[1]OUT_FinalEnergyCons!$A$4:$A$10000)))*1,[1]OUT_FinalEnergyCons!I$4:I$10000)</f>
        <v>2.8153876390063001E-2</v>
      </c>
      <c r="L2310" s="1" cm="1">
        <f t="array" ref="L2310">SUMPRODUCT(([1]OUT_FinalEnergyCons!$B$4:$B$10000="var_ncap")*1, (ISNUMBER(SEARCH("SCOM-SHSOLBR",[1]OUT_FinalEnergyCons!$A$4:$A$10000)))*1,[1]OUT_FinalEnergyCons!J$4:J$10000)</f>
        <v>2.54325238957607E-5</v>
      </c>
      <c r="M2310" s="1" cm="1">
        <f t="array" ref="M2310">SUMPRODUCT(([1]OUT_FinalEnergyCons!$B$4:$B$10000="var_ncap")*1, (ISNUMBER(SEARCH("SCOM-SHSOLBR",[1]OUT_FinalEnergyCons!$A$4:$A$10000)))*1,[1]OUT_FinalEnergyCons!K$4:K$10000)</f>
        <v>7.1917167043687294E-2</v>
      </c>
      <c r="N2310" s="1" cm="1">
        <f t="array" ref="N2310">SUMPRODUCT(([1]OUT_FinalEnergyCons!$B$4:$B$10000="var_ncap")*1, (ISNUMBER(SEARCH("SCOM-SHSOLBR",[1]OUT_FinalEnergyCons!$A$4:$A$10000)))*1,[1]OUT_FinalEnergyCons!L$4:L$10000)</f>
        <v>2.3851396965656201E-2</v>
      </c>
      <c r="O2310" s="1" cm="1">
        <f t="array" ref="O2310">SUMPRODUCT(([1]OUT_FinalEnergyCons!$B$4:$B$10000="var_ncap")*1, (ISNUMBER(SEARCH("SCOM-SHSOLBR",[1]OUT_FinalEnergyCons!$A$4:$A$10000)))*1,[1]OUT_FinalEnergyCons!M$4:M$10000)</f>
        <v>4.3771984334319601E-3</v>
      </c>
      <c r="P2310" s="1" cm="1">
        <f t="array" ref="P2310">SUMPRODUCT(([1]OUT_FinalEnergyCons!$B$4:$B$10000="var_ncap")*1, (ISNUMBER(SEARCH("SCOM-SHSOLBR",[1]OUT_FinalEnergyCons!$A$4:$A$10000)))*1,[1]OUT_FinalEnergyCons!N$4:N$10000)</f>
        <v>6.6793697308725294E-2</v>
      </c>
      <c r="Q2310" s="1" cm="1">
        <f t="array" ref="Q2310">SUMPRODUCT(([1]OUT_FinalEnergyCons!$B$4:$B$10000="var_ncap")*1, (ISNUMBER(SEARCH("SCOM-SHSOLBR",[1]OUT_FinalEnergyCons!$A$4:$A$10000)))*1,[1]OUT_FinalEnergyCons!O$4:O$10000)</f>
        <v>2.92067394239117E-2</v>
      </c>
      <c r="S2310" s="3"/>
    </row>
    <row r="2311" spans="2:19" x14ac:dyDescent="0.5">
      <c r="B2311" s="5" t="str">
        <f t="shared" si="2305"/>
        <v>SPS1</v>
      </c>
      <c r="C2311" s="5" t="str">
        <f t="shared" si="2306"/>
        <v>CH</v>
      </c>
      <c r="D2311" t="s">
        <v>2445</v>
      </c>
      <c r="E2311" t="str">
        <f t="shared" si="2310"/>
        <v>GWth/yr.</v>
      </c>
      <c r="F2311" s="1">
        <f t="shared" ref="F2311:O2311" si="2316">F2312</f>
        <v>0</v>
      </c>
      <c r="G2311" s="1">
        <f t="shared" si="2316"/>
        <v>0</v>
      </c>
      <c r="H2311" s="1">
        <f t="shared" si="2316"/>
        <v>0</v>
      </c>
      <c r="I2311" s="1">
        <f t="shared" si="2316"/>
        <v>2.08043170996898E-4</v>
      </c>
      <c r="J2311" s="1">
        <f t="shared" si="2316"/>
        <v>2.7517121430538198E-4</v>
      </c>
      <c r="K2311" s="1">
        <f t="shared" si="2316"/>
        <v>2.8082826190010902E-4</v>
      </c>
      <c r="L2311" s="1">
        <f t="shared" si="2316"/>
        <v>3.0231455281257301E-5</v>
      </c>
      <c r="M2311" s="1">
        <f t="shared" si="2316"/>
        <v>1.75491333538799E-3</v>
      </c>
      <c r="N2311" s="1">
        <f t="shared" si="2316"/>
        <v>5.7089757824212402E-5</v>
      </c>
      <c r="O2311" s="1">
        <f t="shared" si="2316"/>
        <v>5.4357577577778199E-3</v>
      </c>
      <c r="P2311" s="1">
        <f>P2312</f>
        <v>6.4479539554633397E-3</v>
      </c>
      <c r="Q2311" s="1">
        <f>Q2312</f>
        <v>3.6234902598033202E-4</v>
      </c>
      <c r="S2311" s="3"/>
    </row>
    <row r="2312" spans="2:19" x14ac:dyDescent="0.5">
      <c r="B2312" s="5" t="str">
        <f t="shared" si="2305"/>
        <v>SPS1</v>
      </c>
      <c r="C2312" s="5" t="str">
        <f t="shared" si="2306"/>
        <v>CH</v>
      </c>
      <c r="D2312" t="s">
        <v>2446</v>
      </c>
      <c r="E2312" t="str">
        <f t="shared" si="2310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2.08043170996898E-4</v>
      </c>
      <c r="J2312" s="1" cm="1">
        <f t="array" ref="J2312">SUMPRODUCT(([1]OUT_FinalEnergyCons!$B$4:$B$10000="var_ncap")*1, (ISNUMBER(SEARCH("SCOM-SHH2BR",[1]OUT_FinalEnergyCons!$A$4:$A$10000)))*1,[1]OUT_FinalEnergyCons!H$4:H$10000)</f>
        <v>2.7517121430538198E-4</v>
      </c>
      <c r="K2312" s="1" cm="1">
        <f t="array" ref="K2312">SUMPRODUCT(([1]OUT_FinalEnergyCons!$B$4:$B$10000="var_ncap")*1, (ISNUMBER(SEARCH("SCOM-SHH2BR",[1]OUT_FinalEnergyCons!$A$4:$A$10000)))*1,[1]OUT_FinalEnergyCons!I$4:I$10000)</f>
        <v>2.8082826190010902E-4</v>
      </c>
      <c r="L2312" s="1" cm="1">
        <f t="array" ref="L2312">SUMPRODUCT(([1]OUT_FinalEnergyCons!$B$4:$B$10000="var_ncap")*1, (ISNUMBER(SEARCH("SCOM-SHH2BR",[1]OUT_FinalEnergyCons!$A$4:$A$10000)))*1,[1]OUT_FinalEnergyCons!J$4:J$10000)</f>
        <v>3.0231455281257301E-5</v>
      </c>
      <c r="M2312" s="1" cm="1">
        <f t="array" ref="M2312">SUMPRODUCT(([1]OUT_FinalEnergyCons!$B$4:$B$10000="var_ncap")*1, (ISNUMBER(SEARCH("SCOM-SHH2BR",[1]OUT_FinalEnergyCons!$A$4:$A$10000)))*1,[1]OUT_FinalEnergyCons!K$4:K$10000)</f>
        <v>1.75491333538799E-3</v>
      </c>
      <c r="N2312" s="1" cm="1">
        <f t="array" ref="N2312">SUMPRODUCT(([1]OUT_FinalEnergyCons!$B$4:$B$10000="var_ncap")*1, (ISNUMBER(SEARCH("SCOM-SHH2BR",[1]OUT_FinalEnergyCons!$A$4:$A$10000)))*1,[1]OUT_FinalEnergyCons!L$4:L$10000)</f>
        <v>5.7089757824212402E-5</v>
      </c>
      <c r="O2312" s="1" cm="1">
        <f t="array" ref="O2312">SUMPRODUCT(([1]OUT_FinalEnergyCons!$B$4:$B$10000="var_ncap")*1, (ISNUMBER(SEARCH("SCOM-SHH2BR",[1]OUT_FinalEnergyCons!$A$4:$A$10000)))*1,[1]OUT_FinalEnergyCons!M$4:M$10000)</f>
        <v>5.4357577577778199E-3</v>
      </c>
      <c r="P2312" s="1" cm="1">
        <f t="array" ref="P2312">SUMPRODUCT(([1]OUT_FinalEnergyCons!$B$4:$B$10000="var_ncap")*1, (ISNUMBER(SEARCH("SCOM-SHH2BR",[1]OUT_FinalEnergyCons!$A$4:$A$10000)))*1,[1]OUT_FinalEnergyCons!N$4:N$10000)</f>
        <v>6.4479539554633397E-3</v>
      </c>
      <c r="Q2312" s="1" cm="1">
        <f t="array" ref="Q2312">SUMPRODUCT(([1]OUT_FinalEnergyCons!$B$4:$B$10000="var_ncap")*1, (ISNUMBER(SEARCH("SCOM-SHH2BR",[1]OUT_FinalEnergyCons!$A$4:$A$10000)))*1,[1]OUT_FinalEnergyCons!O$4:O$10000)</f>
        <v>3.6234902598033202E-4</v>
      </c>
      <c r="S2312" s="3"/>
    </row>
    <row r="2313" spans="2:19" x14ac:dyDescent="0.5">
      <c r="B2313" s="5" t="str">
        <f>'SPS1'!B2021</f>
        <v>SPS1</v>
      </c>
      <c r="C2313" s="5" t="str">
        <f>'SPS1'!C2021</f>
        <v>CH</v>
      </c>
      <c r="D2313" s="2" t="s">
        <v>2448</v>
      </c>
      <c r="E2313" s="2" t="s">
        <v>2154</v>
      </c>
      <c r="F2313" s="3">
        <f t="shared" ref="F2313:K2313" si="2317">SUM(F2314,F2318,F2321)</f>
        <v>4.8178042680774497E-4</v>
      </c>
      <c r="G2313" s="3">
        <f t="shared" si="2317"/>
        <v>8.9760127022405894E-6</v>
      </c>
      <c r="H2313" s="3">
        <f t="shared" si="2317"/>
        <v>1.80401096413948E-5</v>
      </c>
      <c r="I2313" s="3">
        <f t="shared" si="2317"/>
        <v>7.1388683051680046E-4</v>
      </c>
      <c r="J2313" s="3">
        <f t="shared" si="2317"/>
        <v>2.8601890532997595E-3</v>
      </c>
      <c r="K2313" s="3">
        <f t="shared" si="2317"/>
        <v>3.4999406239561194E-3</v>
      </c>
      <c r="L2313" s="3">
        <f t="shared" ref="L2313:O2313" si="2318">SUM(L2314,L2318,L2321)</f>
        <v>9.3997072150695069E-4</v>
      </c>
      <c r="M2313" s="3">
        <f t="shared" si="2318"/>
        <v>1.9405185842450767E-2</v>
      </c>
      <c r="N2313" s="3">
        <f t="shared" si="2318"/>
        <v>6.2486443552053179E-4</v>
      </c>
      <c r="O2313" s="3">
        <f t="shared" si="2318"/>
        <v>4.1194242807665232E-2</v>
      </c>
      <c r="P2313" s="3">
        <f>SUM(P2314,P2318,P2321)</f>
        <v>3.8049209491985468E-3</v>
      </c>
      <c r="Q2313" s="3">
        <f>SUM(Q2314,Q2318,Q2321)</f>
        <v>2.9497969878964136E-2</v>
      </c>
      <c r="S2313" s="3"/>
    </row>
    <row r="2314" spans="2:19" x14ac:dyDescent="0.5">
      <c r="B2314" s="5" t="str">
        <f t="shared" ref="B2314:B2340" si="2319">B2313</f>
        <v>SPS1</v>
      </c>
      <c r="C2314" s="5" t="str">
        <f t="shared" ref="C2314:C2340" si="2320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4.8178042680774497E-4</v>
      </c>
      <c r="G2314" s="1" cm="1">
        <f t="array" ref="G2314">SUMPRODUCT(ISNUMBER(SEARCH("SUP_ELCH2*",[1]OUT_SyntheticFuels!$C$4:$C$1000))*1,("var_ncap"=[1]OUT_SyntheticFuels!$B$4:$B$1000)*1,[1]OUT_SyntheticFuels!F$4:F$1000)</f>
        <v>8.9760127022405894E-6</v>
      </c>
      <c r="H2314" s="1" cm="1">
        <f t="array" ref="H2314">SUMPRODUCT(ISNUMBER(SEARCH("SUP_ELCH2*",[1]OUT_SyntheticFuels!$C$4:$C$1000))*1,("var_ncap"=[1]OUT_SyntheticFuels!$B$4:$B$1000)*1,[1]OUT_SyntheticFuels!G$4:G$1000)</f>
        <v>1.80401096413948E-5</v>
      </c>
      <c r="I2314" s="1" cm="1">
        <f t="array" ref="I2314">SUMPRODUCT(ISNUMBER(SEARCH("SUP_ELCH2*",[1]OUT_SyntheticFuels!$C$4:$C$1000))*1,("var_ncap"=[1]OUT_SyntheticFuels!$B$4:$B$1000)*1,[1]OUT_SyntheticFuels!H$4:H$1000)</f>
        <v>7.1216425266791442E-4</v>
      </c>
      <c r="J2314" s="1" cm="1">
        <f t="array" ref="J2314">SUMPRODUCT(ISNUMBER(SEARCH("SUP_ELCH2*",[1]OUT_SyntheticFuels!$C$4:$C$1000))*1,("var_ncap"=[1]OUT_SyntheticFuels!$B$4:$B$1000)*1,[1]OUT_SyntheticFuels!I$4:I$1000)</f>
        <v>2.85709830643687E-3</v>
      </c>
      <c r="K2314" s="1" cm="1">
        <f t="array" ref="K2314">SUMPRODUCT(ISNUMBER(SEARCH("SUP_ELCH2*",[1]OUT_SyntheticFuels!$C$4:$C$1000))*1,("var_ncap"=[1]OUT_SyntheticFuels!$B$4:$B$1000)*1,[1]OUT_SyntheticFuels!J$4:J$1000)</f>
        <v>3.4961012676704528E-3</v>
      </c>
      <c r="L2314" s="1" cm="1">
        <f t="array" ref="L2314">SUMPRODUCT(ISNUMBER(SEARCH("SUP_ELCH2*",[1]OUT_SyntheticFuels!$C$4:$C$1000))*1,("var_ncap"=[1]OUT_SyntheticFuels!$B$4:$B$1000)*1,[1]OUT_SyntheticFuels!K$4:K$1000)</f>
        <v>9.3364021806422609E-4</v>
      </c>
      <c r="M2314" s="1" cm="1">
        <f t="array" ref="M2314">SUMPRODUCT(ISNUMBER(SEARCH("SUP_ELCH2*",[1]OUT_SyntheticFuels!$C$4:$C$1000))*1,("var_ncap"=[1]OUT_SyntheticFuels!$B$4:$B$1000)*1,[1]OUT_SyntheticFuels!L$4:L$1000)</f>
        <v>1.8248017605177962E-2</v>
      </c>
      <c r="N2314" s="1" cm="1">
        <f t="array" ref="N2314">SUMPRODUCT(ISNUMBER(SEARCH("SUP_ELCH2*",[1]OUT_SyntheticFuels!$C$4:$C$1000))*1,("var_ncap"=[1]OUT_SyntheticFuels!$B$4:$B$1000)*1,[1]OUT_SyntheticFuels!M$4:M$1000)</f>
        <v>6.0992355698892163E-4</v>
      </c>
      <c r="O2314" s="1" cm="1">
        <f t="array" ref="O2314">SUMPRODUCT(ISNUMBER(SEARCH("SUP_ELCH2*",[1]OUT_SyntheticFuels!$C$4:$C$1000))*1,("var_ncap"=[1]OUT_SyntheticFuels!$B$4:$B$1000)*1,[1]OUT_SyntheticFuels!N$4:N$1000)</f>
        <v>4.0557183940947067E-2</v>
      </c>
      <c r="P2314" s="1" cm="1">
        <f t="array" ref="P2314">SUMPRODUCT(ISNUMBER(SEARCH("SUP_ELCH2*",[1]OUT_SyntheticFuels!$C$4:$C$1000))*1,("var_ncap"=[1]OUT_SyntheticFuels!$B$4:$B$1000)*1,[1]OUT_SyntheticFuels!O$4:O$1000)</f>
        <v>3.7409286211377117E-3</v>
      </c>
      <c r="Q2314" s="1" cm="1">
        <f t="array" ref="Q2314">SUMPRODUCT(ISNUMBER(SEARCH("SUP_ELCH2*",[1]OUT_SyntheticFuels!$C$4:$C$1000))*1,("var_ncap"=[1]OUT_SyntheticFuels!$B$4:$B$1000)*1,[1]OUT_SyntheticFuels!P$4:P$1000)</f>
        <v>2.6370725583540325E-2</v>
      </c>
      <c r="S2314" s="3"/>
    </row>
    <row r="2315" spans="2:19" x14ac:dyDescent="0.5">
      <c r="B2315" s="5" t="str">
        <f t="shared" si="2319"/>
        <v>SPS1</v>
      </c>
      <c r="C2315" s="5" t="str">
        <f t="shared" si="2320"/>
        <v>CH</v>
      </c>
      <c r="D2315" t="s">
        <v>2450</v>
      </c>
      <c r="E2315" t="s">
        <v>2154</v>
      </c>
      <c r="F2315" s="1">
        <f t="shared" ref="F2315:K2315" si="2321">F2314-F2316-F2317</f>
        <v>4.8178042680774497E-4</v>
      </c>
      <c r="G2315" s="1">
        <f t="shared" si="2321"/>
        <v>8.9760127022405894E-6</v>
      </c>
      <c r="H2315" s="1">
        <f t="shared" si="2321"/>
        <v>1.80401096413948E-5</v>
      </c>
      <c r="I2315" s="1">
        <f t="shared" si="2321"/>
        <v>6.78655918921052E-4</v>
      </c>
      <c r="J2315" s="1">
        <f t="shared" si="2321"/>
        <v>2.72055590126145E-3</v>
      </c>
      <c r="K2315" s="1">
        <f t="shared" si="2321"/>
        <v>1.9616094934319199E-3</v>
      </c>
      <c r="L2315" s="1">
        <f t="shared" ref="L2315:O2315" si="2322">L2314-L2316-L2317</f>
        <v>3.4946348432365892E-4</v>
      </c>
      <c r="M2315" s="1">
        <f t="shared" si="2322"/>
        <v>1.5822967917704201E-2</v>
      </c>
      <c r="N2315" s="1">
        <f t="shared" si="2322"/>
        <v>5.2190223745640402E-4</v>
      </c>
      <c r="O2315" s="1">
        <f t="shared" si="2322"/>
        <v>3.7195011788218491E-2</v>
      </c>
      <c r="P2315" s="1">
        <f>P2314-P2316-P2317</f>
        <v>3.7009797332069206E-3</v>
      </c>
      <c r="Q2315" s="1">
        <f>Q2314-Q2316-Q2317</f>
        <v>1.9993995692809401E-2</v>
      </c>
      <c r="S2315" s="3"/>
    </row>
    <row r="2316" spans="2:19" x14ac:dyDescent="0.5">
      <c r="B2316" s="5" t="str">
        <f t="shared" si="2319"/>
        <v>SPS1</v>
      </c>
      <c r="C2316" s="5" t="str">
        <f t="shared" si="2320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3.35083337468624E-5</v>
      </c>
      <c r="J2316" s="1" cm="1">
        <f t="array" ref="J2316">SUMPRODUCT(ISNUMBER(SEARCH("SUP_ELCH2*D",[1]OUT_SyntheticFuels!$C$4:$C$1000))*1,("var_ncap"=[1]OUT_SyntheticFuels!$B$4:$B$1000)*1,[1]OUT_SyntheticFuels!I$4:I$1000)</f>
        <v>1.3654240517542001E-4</v>
      </c>
      <c r="K2316" s="1" cm="1">
        <f t="array" ref="K2316">SUMPRODUCT(ISNUMBER(SEARCH("SUP_ELCH2*D",[1]OUT_SyntheticFuels!$C$4:$C$1000))*1,("var_ncap"=[1]OUT_SyntheticFuels!$B$4:$B$1000)*1,[1]OUT_SyntheticFuels!J$4:J$1000)</f>
        <v>2.46132260862403E-4</v>
      </c>
      <c r="L2316" s="1" cm="1">
        <f t="array" ref="L2316">SUMPRODUCT(ISNUMBER(SEARCH("SUP_ELCH2*D",[1]OUT_SyntheticFuels!$C$4:$C$1000))*1,("var_ncap"=[1]OUT_SyntheticFuels!$B$4:$B$1000)*1,[1]OUT_SyntheticFuels!K$4:K$1000)</f>
        <v>7.0863063328712204E-5</v>
      </c>
      <c r="M2316" s="1" cm="1">
        <f t="array" ref="M2316">SUMPRODUCT(ISNUMBER(SEARCH("SUP_ELCH2*D",[1]OUT_SyntheticFuels!$C$4:$C$1000))*1,("var_ncap"=[1]OUT_SyntheticFuels!$B$4:$B$1000)*1,[1]OUT_SyntheticFuels!L$4:L$1000)</f>
        <v>1.60783457734989E-4</v>
      </c>
      <c r="N2316" s="1" cm="1">
        <f t="array" ref="N2316">SUMPRODUCT(ISNUMBER(SEARCH("SUP_ELCH2*D",[1]OUT_SyntheticFuels!$C$4:$C$1000))*1,("var_ncap"=[1]OUT_SyntheticFuels!$B$4:$B$1000)*1,[1]OUT_SyntheticFuels!M$4:M$1000)</f>
        <v>4.9935214204216202E-5</v>
      </c>
      <c r="O2316" s="1" cm="1">
        <f t="array" ref="O2316">SUMPRODUCT(ISNUMBER(SEARCH("SUP_ELCH2*D",[1]OUT_SyntheticFuels!$C$4:$C$1000))*1,("var_ncap"=[1]OUT_SyntheticFuels!$B$4:$B$1000)*1,[1]OUT_SyntheticFuels!N$4:N$1000)</f>
        <v>3.5892737233741197E-4</v>
      </c>
      <c r="P2316" s="1" cm="1">
        <f t="array" ref="P2316">SUMPRODUCT(ISNUMBER(SEARCH("SUP_ELCH2*D",[1]OUT_SyntheticFuels!$C$4:$C$1000))*1,("var_ncap"=[1]OUT_SyntheticFuels!$B$4:$B$1000)*1,[1]OUT_SyntheticFuels!O$4:O$1000)</f>
        <v>1.87202764329308E-5</v>
      </c>
      <c r="Q2316" s="1" cm="1">
        <f t="array" ref="Q2316">SUMPRODUCT(ISNUMBER(SEARCH("SUP_ELCH2*D",[1]OUT_SyntheticFuels!$C$4:$C$1000))*1,("var_ncap"=[1]OUT_SyntheticFuels!$B$4:$B$1000)*1,[1]OUT_SyntheticFuels!P$4:P$1000)</f>
        <v>7.1462279937775403E-4</v>
      </c>
      <c r="S2316" s="3"/>
    </row>
    <row r="2317" spans="2:19" x14ac:dyDescent="0.5">
      <c r="B2317" s="5" t="str">
        <f t="shared" si="2319"/>
        <v>SPS1</v>
      </c>
      <c r="C2317" s="5" t="str">
        <f t="shared" si="2320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SUMPRODUCT(ISNUMBER(SEARCH("SUP_ELCH2*SOEC*",[1]OUT_SyntheticFuels!$C$4:$C$1000))*1,("var_ncap"=[1]OUT_SyntheticFuels!$B$4:$B$1000)*1,[1]OUT_SyntheticFuels!I$4:I$1000)</f>
        <v>0</v>
      </c>
      <c r="K2317" s="1" cm="1">
        <f t="array" ref="K2317">SUMPRODUCT(ISNUMBER(SEARCH("SUP_ELCH2*SOEC*",[1]OUT_SyntheticFuels!$C$4:$C$1000))*1,("var_ncap"=[1]OUT_SyntheticFuels!$B$4:$B$1000)*1,[1]OUT_SyntheticFuels!J$4:J$1000)</f>
        <v>1.28835951337613E-3</v>
      </c>
      <c r="L2317" s="1" cm="1">
        <f t="array" ref="L2317">SUMPRODUCT(ISNUMBER(SEARCH("SUP_ELCH2*SOEC*",[1]OUT_SyntheticFuels!$C$4:$C$1000))*1,("var_ncap"=[1]OUT_SyntheticFuels!$B$4:$B$1000)*1,[1]OUT_SyntheticFuels!K$4:K$1000)</f>
        <v>5.1331367041185499E-4</v>
      </c>
      <c r="M2317" s="1" cm="1">
        <f t="array" ref="M2317">SUMPRODUCT(ISNUMBER(SEARCH("SUP_ELCH2*SOEC*",[1]OUT_SyntheticFuels!$C$4:$C$1000))*1,("var_ncap"=[1]OUT_SyntheticFuels!$B$4:$B$1000)*1,[1]OUT_SyntheticFuels!L$4:L$1000)</f>
        <v>2.2642662297387701E-3</v>
      </c>
      <c r="N2317" s="1" cm="1">
        <f t="array" ref="N2317">SUMPRODUCT(ISNUMBER(SEARCH("SUP_ELCH2*SOEC*",[1]OUT_SyntheticFuels!$C$4:$C$1000))*1,("var_ncap"=[1]OUT_SyntheticFuels!$B$4:$B$1000)*1,[1]OUT_SyntheticFuels!M$4:M$1000)</f>
        <v>3.80861053283014E-5</v>
      </c>
      <c r="O2317" s="1" cm="1">
        <f t="array" ref="O2317">SUMPRODUCT(ISNUMBER(SEARCH("SUP_ELCH2*SOEC*",[1]OUT_SyntheticFuels!$C$4:$C$1000))*1,("var_ncap"=[1]OUT_SyntheticFuels!$B$4:$B$1000)*1,[1]OUT_SyntheticFuels!N$4:N$1000)</f>
        <v>3.0032447803911601E-3</v>
      </c>
      <c r="P2317" s="1" cm="1">
        <f t="array" ref="P2317">SUMPRODUCT(ISNUMBER(SEARCH("SUP_ELCH2*SOEC*",[1]OUT_SyntheticFuels!$C$4:$C$1000))*1,("var_ncap"=[1]OUT_SyntheticFuels!$B$4:$B$1000)*1,[1]OUT_SyntheticFuels!O$4:O$1000)</f>
        <v>2.1228611497860602E-5</v>
      </c>
      <c r="Q2317" s="1" cm="1">
        <f t="array" ref="Q2317">SUMPRODUCT(ISNUMBER(SEARCH("SUP_ELCH2*SOEC*",[1]OUT_SyntheticFuels!$C$4:$C$1000))*1,("var_ncap"=[1]OUT_SyntheticFuels!$B$4:$B$1000)*1,[1]OUT_SyntheticFuels!P$4:P$1000)</f>
        <v>5.6621070913531702E-3</v>
      </c>
      <c r="S2317" s="3"/>
    </row>
    <row r="2318" spans="2:19" x14ac:dyDescent="0.5">
      <c r="B2318" s="5" t="str">
        <f t="shared" si="2319"/>
        <v>SPS1</v>
      </c>
      <c r="C2318" s="5" t="str">
        <f t="shared" si="2320"/>
        <v>CH</v>
      </c>
      <c r="D2318" t="s">
        <v>2453</v>
      </c>
      <c r="E2318" t="s">
        <v>2154</v>
      </c>
      <c r="F2318" s="1">
        <f t="shared" ref="F2318:K2318" si="2323">SUM(F2319:F2320)</f>
        <v>0</v>
      </c>
      <c r="G2318" s="1">
        <f t="shared" si="2323"/>
        <v>0</v>
      </c>
      <c r="H2318" s="1">
        <f t="shared" si="2323"/>
        <v>0</v>
      </c>
      <c r="I2318" s="1">
        <f t="shared" si="2323"/>
        <v>1.7225778488860301E-6</v>
      </c>
      <c r="J2318" s="1">
        <f t="shared" si="2323"/>
        <v>3.0907468628897199E-6</v>
      </c>
      <c r="K2318" s="1">
        <f t="shared" si="2323"/>
        <v>3.8393562856665003E-6</v>
      </c>
      <c r="L2318" s="1">
        <f t="shared" ref="L2318:O2318" si="2324">SUM(L2319:L2320)</f>
        <v>6.3305034427246496E-6</v>
      </c>
      <c r="M2318" s="1">
        <f t="shared" si="2324"/>
        <v>4.8361547441946802E-4</v>
      </c>
      <c r="N2318" s="1">
        <f t="shared" si="2324"/>
        <v>1.06301292730717E-5</v>
      </c>
      <c r="O2318" s="1">
        <f t="shared" si="2324"/>
        <v>2.6096175905398301E-4</v>
      </c>
      <c r="P2318" s="1">
        <f>SUM(P2319:P2320)</f>
        <v>1.8498591932663101E-5</v>
      </c>
      <c r="Q2318" s="1">
        <f>SUM(Q2319:Q2320)</f>
        <v>9.21939379685291E-4</v>
      </c>
      <c r="S2318" s="3"/>
    </row>
    <row r="2319" spans="2:19" x14ac:dyDescent="0.5">
      <c r="B2319" s="5" t="str">
        <f t="shared" si="2319"/>
        <v>SPS1</v>
      </c>
      <c r="C2319" s="5" t="str">
        <f t="shared" si="2320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1.7225778488860301E-6</v>
      </c>
      <c r="J2319" s="1" cm="1">
        <f t="array" ref="J2319">SUMPRODUCT(ISNUMBER(SEARCH("SUP_NGAH2",[1]OUT_SyntheticFuels!$C$4:$C$1000))*1,("var_ncap"=[1]OUT_SyntheticFuels!$B$4:$B$1000)*1,[1]OUT_SyntheticFuels!I$4:I$1000)-J2320</f>
        <v>3.0907468628897199E-6</v>
      </c>
      <c r="K2319" s="1" cm="1">
        <f t="array" ref="K2319">SUMPRODUCT(ISNUMBER(SEARCH("SUP_NGAH2",[1]OUT_SyntheticFuels!$C$4:$C$1000))*1,("var_ncap"=[1]OUT_SyntheticFuels!$B$4:$B$1000)*1,[1]OUT_SyntheticFuels!J$4:J$1000)-K2320</f>
        <v>3.8393562856665003E-6</v>
      </c>
      <c r="L2319" s="1" cm="1">
        <f t="array" ref="L2319">SUMPRODUCT(ISNUMBER(SEARCH("SUP_NGAH2",[1]OUT_SyntheticFuels!$C$4:$C$1000))*1,("var_ncap"=[1]OUT_SyntheticFuels!$B$4:$B$1000)*1,[1]OUT_SyntheticFuels!K$4:K$1000)-L2320</f>
        <v>6.3305034427246496E-6</v>
      </c>
      <c r="M2319" s="1" cm="1">
        <f t="array" ref="M2319">SUMPRODUCT(ISNUMBER(SEARCH("SUP_NGAH2",[1]OUT_SyntheticFuels!$C$4:$C$1000))*1,("var_ncap"=[1]OUT_SyntheticFuels!$B$4:$B$1000)*1,[1]OUT_SyntheticFuels!L$4:L$1000)-M2320</f>
        <v>4.8361547441946802E-4</v>
      </c>
      <c r="N2319" s="1" cm="1">
        <f t="array" ref="N2319">SUMPRODUCT(ISNUMBER(SEARCH("SUP_NGAH2",[1]OUT_SyntheticFuels!$C$4:$C$1000))*1,("var_ncap"=[1]OUT_SyntheticFuels!$B$4:$B$1000)*1,[1]OUT_SyntheticFuels!M$4:M$1000)-N2320</f>
        <v>1.06301292730717E-5</v>
      </c>
      <c r="O2319" s="1" cm="1">
        <f t="array" ref="O2319">SUMPRODUCT(ISNUMBER(SEARCH("SUP_NGAH2",[1]OUT_SyntheticFuels!$C$4:$C$1000))*1,("var_ncap"=[1]OUT_SyntheticFuels!$B$4:$B$1000)*1,[1]OUT_SyntheticFuels!N$4:N$1000)-O2320</f>
        <v>2.6096175905398301E-4</v>
      </c>
      <c r="P2319" s="1" cm="1">
        <f t="array" ref="P2319">SUMPRODUCT(ISNUMBER(SEARCH("SUP_NGAH2",[1]OUT_SyntheticFuels!$C$4:$C$1000))*1,("var_ncap"=[1]OUT_SyntheticFuels!$B$4:$B$1000)*1,[1]OUT_SyntheticFuels!O$4:O$1000)-P2320</f>
        <v>1.8498591932663101E-5</v>
      </c>
      <c r="Q2319" s="1" cm="1">
        <f t="array" ref="Q2319">SUMPRODUCT(ISNUMBER(SEARCH("SUP_NGAH2",[1]OUT_SyntheticFuels!$C$4:$C$1000))*1,("var_ncap"=[1]OUT_SyntheticFuels!$B$4:$B$1000)*1,[1]OUT_SyntheticFuels!P$4:P$1000)-Q2320</f>
        <v>9.21939379685291E-4</v>
      </c>
      <c r="S2319" s="3"/>
    </row>
    <row r="2320" spans="2:19" x14ac:dyDescent="0.5">
      <c r="B2320" s="5" t="str">
        <f t="shared" si="2319"/>
        <v>SPS1</v>
      </c>
      <c r="C2320" s="5" t="str">
        <f t="shared" si="2320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SUMPRODUCT(ISNUMBER(SEARCH("SUP_NGAH2CCS",[1]OUT_SyntheticFuels!$C$4:$C$1000))*1,("var_ncap"=[1]OUT_SyntheticFuels!$B$4:$B$1000)*1,[1]OUT_SyntheticFuels!I$4:I$1000)</f>
        <v>0</v>
      </c>
      <c r="K2320" s="1" cm="1">
        <f t="array" ref="K2320">SUMPRODUCT(ISNUMBER(SEARCH("SUP_NGAH2CCS",[1]OUT_SyntheticFuels!$C$4:$C$1000))*1,("var_ncap"=[1]OUT_SyntheticFuels!$B$4:$B$1000)*1,[1]OUT_SyntheticFuels!J$4:J$1000)</f>
        <v>0</v>
      </c>
      <c r="L2320" s="1" cm="1">
        <f t="array" ref="L2320">SUMPRODUCT(ISNUMBER(SEARCH("SUP_NGAH2CCS",[1]OUT_SyntheticFuels!$C$4:$C$1000))*1,("var_ncap"=[1]OUT_SyntheticFuels!$B$4:$B$1000)*1,[1]OUT_SyntheticFuels!K$4:K$1000)</f>
        <v>0</v>
      </c>
      <c r="M2320" s="1" cm="1">
        <f t="array" ref="M2320">SUMPRODUCT(ISNUMBER(SEARCH("SUP_NGAH2CCS",[1]OUT_SyntheticFuels!$C$4:$C$1000))*1,("var_ncap"=[1]OUT_SyntheticFuels!$B$4:$B$1000)*1,[1]OUT_SyntheticFuels!L$4:L$1000)</f>
        <v>0</v>
      </c>
      <c r="N2320" s="1" cm="1">
        <f t="array" ref="N2320">SUMPRODUCT(ISNUMBER(SEARCH("SUP_NGAH2CCS",[1]OUT_SyntheticFuels!$C$4:$C$1000))*1,("var_ncap"=[1]OUT_SyntheticFuels!$B$4:$B$1000)*1,[1]OUT_SyntheticFuels!M$4:M$1000)</f>
        <v>0</v>
      </c>
      <c r="O2320" s="1" cm="1">
        <f t="array" ref="O2320">SUMPRODUCT(ISNUMBER(SEARCH("SUP_NGAH2CCS",[1]OUT_SyntheticFuels!$C$4:$C$1000))*1,("var_ncap"=[1]OUT_SyntheticFuels!$B$4:$B$1000)*1,[1]OUT_SyntheticFuels!N$4:N$1000)</f>
        <v>0</v>
      </c>
      <c r="P2320" s="1" cm="1">
        <f t="array" ref="P2320">SUMPRODUCT(ISNUMBER(SEARCH("SUP_NGAH2CCS",[1]OUT_SyntheticFuels!$C$4:$C$1000))*1,("var_ncap"=[1]OUT_SyntheticFuels!$B$4:$B$1000)*1,[1]OUT_SyntheticFuels!O$4:O$1000)</f>
        <v>0</v>
      </c>
      <c r="Q2320" s="1" cm="1">
        <f t="array" ref="Q2320">SUMPRODUCT(ISNUMBER(SEARCH("SUP_NGAH2CCS",[1]OUT_SyntheticFuels!$C$4:$C$1000))*1,("var_ncap"=[1]OUT_SyntheticFuels!$B$4:$B$1000)*1,[1]OUT_SyntheticFuels!P$4:P$1000)</f>
        <v>0</v>
      </c>
      <c r="S2320" s="3"/>
    </row>
    <row r="2321" spans="2:19" x14ac:dyDescent="0.5">
      <c r="B2321" s="5" t="str">
        <f t="shared" si="2319"/>
        <v>SPS1</v>
      </c>
      <c r="C2321" s="5" t="str">
        <f t="shared" si="2320"/>
        <v>CH</v>
      </c>
      <c r="D2321" t="s">
        <v>2456</v>
      </c>
      <c r="E2321" t="s">
        <v>2154</v>
      </c>
      <c r="F2321" s="1">
        <f t="shared" ref="F2321:K2321" si="2325">SUM(F2322:F2323)</f>
        <v>0</v>
      </c>
      <c r="G2321" s="1">
        <f t="shared" si="2325"/>
        <v>0</v>
      </c>
      <c r="H2321" s="1">
        <f t="shared" si="2325"/>
        <v>0</v>
      </c>
      <c r="I2321" s="1">
        <f t="shared" si="2325"/>
        <v>0</v>
      </c>
      <c r="J2321" s="1">
        <f t="shared" si="2325"/>
        <v>0</v>
      </c>
      <c r="K2321" s="1">
        <f t="shared" si="2325"/>
        <v>0</v>
      </c>
      <c r="L2321" s="1">
        <f t="shared" ref="L2321:O2321" si="2326">SUM(L2322:L2323)</f>
        <v>0</v>
      </c>
      <c r="M2321" s="1">
        <f t="shared" si="2326"/>
        <v>6.7355276285333801E-4</v>
      </c>
      <c r="N2321" s="1">
        <f t="shared" si="2326"/>
        <v>4.3107492585384604E-6</v>
      </c>
      <c r="O2321" s="1">
        <f t="shared" si="2326"/>
        <v>3.76097107664183E-4</v>
      </c>
      <c r="P2321" s="1">
        <f>SUM(P2322:P2323)</f>
        <v>4.5493736128172002E-5</v>
      </c>
      <c r="Q2321" s="1">
        <f>SUM(Q2322:Q2323)</f>
        <v>2.2053049157385201E-3</v>
      </c>
      <c r="S2321" s="3"/>
    </row>
    <row r="2322" spans="2:19" x14ac:dyDescent="0.5">
      <c r="B2322" s="5" t="str">
        <f t="shared" si="2319"/>
        <v>SPS1</v>
      </c>
      <c r="C2322" s="5" t="str">
        <f t="shared" si="2320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SUMPRODUCT(ISNUMBER(SEARCH("SUP_WODH2",[1]OUT_SyntheticFuels!$C$4:$C$1000))*1,("var_ncap"=[1]OUT_SyntheticFuels!$B$4:$B$1000)*1,[1]OUT_SyntheticFuels!I$4:I$1000)-J2323</f>
        <v>0</v>
      </c>
      <c r="K2322" s="1" cm="1">
        <f t="array" ref="K2322">SUMPRODUCT(ISNUMBER(SEARCH("SUP_WODH2",[1]OUT_SyntheticFuels!$C$4:$C$1000))*1,("var_ncap"=[1]OUT_SyntheticFuels!$B$4:$B$1000)*1,[1]OUT_SyntheticFuels!J$4:J$1000)-K2323</f>
        <v>0</v>
      </c>
      <c r="L2322" s="1" cm="1">
        <f t="array" ref="L2322">SUMPRODUCT(ISNUMBER(SEARCH("SUP_WODH2",[1]OUT_SyntheticFuels!$C$4:$C$1000))*1,("var_ncap"=[1]OUT_SyntheticFuels!$B$4:$B$1000)*1,[1]OUT_SyntheticFuels!K$4:K$1000)-L2323</f>
        <v>0</v>
      </c>
      <c r="M2322" s="1" cm="1">
        <f t="array" ref="M2322">SUMPRODUCT(ISNUMBER(SEARCH("SUP_WODH2",[1]OUT_SyntheticFuels!$C$4:$C$1000))*1,("var_ncap"=[1]OUT_SyntheticFuels!$B$4:$B$1000)*1,[1]OUT_SyntheticFuels!L$4:L$1000)-M2323</f>
        <v>6.7355276285333801E-4</v>
      </c>
      <c r="N2322" s="1" cm="1">
        <f t="array" ref="N2322">SUMPRODUCT(ISNUMBER(SEARCH("SUP_WODH2",[1]OUT_SyntheticFuels!$C$4:$C$1000))*1,("var_ncap"=[1]OUT_SyntheticFuels!$B$4:$B$1000)*1,[1]OUT_SyntheticFuels!M$4:M$1000)-N2323</f>
        <v>4.3107492585384604E-6</v>
      </c>
      <c r="O2322" s="1" cm="1">
        <f t="array" ref="O2322">SUMPRODUCT(ISNUMBER(SEARCH("SUP_WODH2",[1]OUT_SyntheticFuels!$C$4:$C$1000))*1,("var_ncap"=[1]OUT_SyntheticFuels!$B$4:$B$1000)*1,[1]OUT_SyntheticFuels!N$4:N$1000)-O2323</f>
        <v>3.76097107664183E-4</v>
      </c>
      <c r="P2322" s="1" cm="1">
        <f t="array" ref="P2322">SUMPRODUCT(ISNUMBER(SEARCH("SUP_WODH2",[1]OUT_SyntheticFuels!$C$4:$C$1000))*1,("var_ncap"=[1]OUT_SyntheticFuels!$B$4:$B$1000)*1,[1]OUT_SyntheticFuels!O$4:O$1000)-P2323</f>
        <v>4.5493736128172002E-5</v>
      </c>
      <c r="Q2322" s="1" cm="1">
        <f t="array" ref="Q2322">SUMPRODUCT(ISNUMBER(SEARCH("SUP_WODH2",[1]OUT_SyntheticFuels!$C$4:$C$1000))*1,("var_ncap"=[1]OUT_SyntheticFuels!$B$4:$B$1000)*1,[1]OUT_SyntheticFuels!P$4:P$1000)-Q2323</f>
        <v>2.2053049157385201E-3</v>
      </c>
      <c r="S2322" s="3"/>
    </row>
    <row r="2323" spans="2:19" x14ac:dyDescent="0.5">
      <c r="B2323" s="5" t="str">
        <f t="shared" si="2319"/>
        <v>SPS1</v>
      </c>
      <c r="C2323" s="5" t="str">
        <f t="shared" si="2320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SUMPRODUCT(ISNUMBER(SEARCH("SUP_WODH2CCS",[1]OUT_SyntheticFuels!$C$4:$C$1000))*1,("var_ncap"=[1]OUT_SyntheticFuels!$B$4:$B$1000)*1,[1]OUT_SyntheticFuels!I$4:I$1000)</f>
        <v>0</v>
      </c>
      <c r="K2323" s="1" cm="1">
        <f t="array" ref="K2323">SUMPRODUCT(ISNUMBER(SEARCH("SUP_WODH2CCS",[1]OUT_SyntheticFuels!$C$4:$C$1000))*1,("var_ncap"=[1]OUT_SyntheticFuels!$B$4:$B$1000)*1,[1]OUT_SyntheticFuels!J$4:J$1000)</f>
        <v>0</v>
      </c>
      <c r="L2323" s="1" cm="1">
        <f t="array" ref="L2323">SUMPRODUCT(ISNUMBER(SEARCH("SUP_WODH2CCS",[1]OUT_SyntheticFuels!$C$4:$C$1000))*1,("var_ncap"=[1]OUT_SyntheticFuels!$B$4:$B$1000)*1,[1]OUT_SyntheticFuels!K$4:K$1000)</f>
        <v>0</v>
      </c>
      <c r="M2323" s="1" cm="1">
        <f t="array" ref="M2323">SUMPRODUCT(ISNUMBER(SEARCH("SUP_WODH2CCS",[1]OUT_SyntheticFuels!$C$4:$C$1000))*1,("var_ncap"=[1]OUT_SyntheticFuels!$B$4:$B$1000)*1,[1]OUT_SyntheticFuels!L$4:L$1000)</f>
        <v>0</v>
      </c>
      <c r="N2323" s="1" cm="1">
        <f t="array" ref="N2323">SUMPRODUCT(ISNUMBER(SEARCH("SUP_WODH2CCS",[1]OUT_SyntheticFuels!$C$4:$C$1000))*1,("var_ncap"=[1]OUT_SyntheticFuels!$B$4:$B$1000)*1,[1]OUT_SyntheticFuels!M$4:M$1000)</f>
        <v>0</v>
      </c>
      <c r="O2323" s="1" cm="1">
        <f t="array" ref="O2323">SUMPRODUCT(ISNUMBER(SEARCH("SUP_WODH2CCS",[1]OUT_SyntheticFuels!$C$4:$C$1000))*1,("var_ncap"=[1]OUT_SyntheticFuels!$B$4:$B$1000)*1,[1]OUT_SyntheticFuels!N$4:N$1000)</f>
        <v>0</v>
      </c>
      <c r="P2323" s="1" cm="1">
        <f t="array" ref="P2323">SUMPRODUCT(ISNUMBER(SEARCH("SUP_WODH2CCS",[1]OUT_SyntheticFuels!$C$4:$C$1000))*1,("var_ncap"=[1]OUT_SyntheticFuels!$B$4:$B$1000)*1,[1]OUT_SyntheticFuels!O$4:O$1000)</f>
        <v>0</v>
      </c>
      <c r="Q2323" s="1" cm="1">
        <f t="array" ref="Q2323">SUMPRODUCT(ISNUMBER(SEARCH("SUP_WODH2CCS",[1]OUT_SyntheticFuels!$C$4:$C$1000))*1,("var_ncap"=[1]OUT_SyntheticFuels!$B$4:$B$1000)*1,[1]OUT_SyntheticFuels!P$4:P$1000)</f>
        <v>0</v>
      </c>
      <c r="S2323" s="3"/>
    </row>
    <row r="2324" spans="2:19" x14ac:dyDescent="0.5">
      <c r="B2324" s="5" t="str">
        <f t="shared" si="2319"/>
        <v>SPS1</v>
      </c>
      <c r="C2324" s="5" t="str">
        <f t="shared" si="2320"/>
        <v>CH</v>
      </c>
      <c r="D2324" s="2" t="s">
        <v>2459</v>
      </c>
      <c r="E2324" s="2" t="s">
        <v>2156</v>
      </c>
      <c r="F2324" s="24"/>
      <c r="G2324" s="24"/>
      <c r="H2324" s="24"/>
      <c r="I2324" s="24"/>
      <c r="J2324" s="24"/>
      <c r="K2324" s="24"/>
      <c r="L2324" s="24"/>
      <c r="M2324" s="24"/>
      <c r="N2324" s="24"/>
      <c r="O2324" s="24"/>
      <c r="P2324" s="24"/>
      <c r="Q2324" s="24"/>
      <c r="S2324" s="3"/>
    </row>
    <row r="2325" spans="2:19" x14ac:dyDescent="0.5">
      <c r="B2325" s="5" t="str">
        <f t="shared" si="2319"/>
        <v>SPS1</v>
      </c>
      <c r="C2325" s="5" t="str">
        <f t="shared" si="2320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9.33080315303741E-7</v>
      </c>
      <c r="G2325" s="7" cm="1">
        <f t="array" ref="G2325">SUMPRODUCT(("CT_CWODBDS"=[1]OUT_SyntheticFuels!$C$4:$C$1000)*1,("var_ncap"=[1]OUT_SyntheticFuels!$B$4:$B$1000)*1,[1]OUT_SyntheticFuels!F$4:F$1000)</f>
        <v>5.4483157656781101E-7</v>
      </c>
      <c r="H2325" s="7" cm="1">
        <f t="array" ref="H2325">SUMPRODUCT(("CT_CWODBDS"=[1]OUT_SyntheticFuels!$C$4:$C$1000)*1,("var_ncap"=[1]OUT_SyntheticFuels!$B$4:$B$1000)*1,[1]OUT_SyntheticFuels!G$4:G$1000)</f>
        <v>4.9850806953624302E-7</v>
      </c>
      <c r="I2325" s="7" cm="1">
        <f t="array" ref="I2325">SUMPRODUCT(("CT_CWODBDS"=[1]OUT_SyntheticFuels!$C$4:$C$1000)*1,("var_ncap"=[1]OUT_SyntheticFuels!$B$4:$B$1000)*1,[1]OUT_SyntheticFuels!H$4:H$1000)</f>
        <v>6.0889549222411598E-7</v>
      </c>
      <c r="J2325" s="7" cm="1">
        <f t="array" ref="J2325">SUMPRODUCT(("CT_CWODBDS"=[1]OUT_SyntheticFuels!$C$4:$C$1000)*1,("var_ncap"=[1]OUT_SyntheticFuels!$B$4:$B$1000)*1,[1]OUT_SyntheticFuels!I$4:I$1000)</f>
        <v>6.3925038104659505E-5</v>
      </c>
      <c r="K2325" s="7" cm="1">
        <f t="array" ref="K2325">SUMPRODUCT(("CT_CWODBDS"=[1]OUT_SyntheticFuels!$C$4:$C$1000)*1,("var_ncap"=[1]OUT_SyntheticFuels!$B$4:$B$1000)*1,[1]OUT_SyntheticFuels!J$4:J$1000)</f>
        <v>7.6114028938363299E-5</v>
      </c>
      <c r="L2325" s="7" cm="1">
        <f t="array" ref="L2325">SUMPRODUCT(("CT_CWODBDS"=[1]OUT_SyntheticFuels!$C$4:$C$1000)*1,("var_ncap"=[1]OUT_SyntheticFuels!$B$4:$B$1000)*1,[1]OUT_SyntheticFuels!K$4:K$1000)</f>
        <v>3.2899340786950401E-5</v>
      </c>
      <c r="M2325" s="7" cm="1">
        <f t="array" ref="M2325">SUMPRODUCT(("CT_CWODBDS"=[1]OUT_SyntheticFuels!$C$4:$C$1000)*1,("var_ncap"=[1]OUT_SyntheticFuels!$B$4:$B$1000)*1,[1]OUT_SyntheticFuels!L$4:L$1000)</f>
        <v>1.8372223640617301E-3</v>
      </c>
      <c r="N2325" s="7" cm="1">
        <f t="array" ref="N2325">SUMPRODUCT(("CT_CWODBDS"=[1]OUT_SyntheticFuels!$C$4:$C$1000)*1,("var_ncap"=[1]OUT_SyntheticFuels!$B$4:$B$1000)*1,[1]OUT_SyntheticFuels!M$4:M$1000)</f>
        <v>1.2639230429698301E-2</v>
      </c>
      <c r="O2325" s="7" cm="1">
        <f t="array" ref="O2325">SUMPRODUCT(("CT_CWODBDS"=[1]OUT_SyntheticFuels!$C$4:$C$1000)*1,("var_ncap"=[1]OUT_SyntheticFuels!$B$4:$B$1000)*1,[1]OUT_SyntheticFuels!N$4:N$1000)</f>
        <v>8.2860184542679505E-3</v>
      </c>
      <c r="P2325" s="7" cm="1">
        <f t="array" ref="P2325">SUMPRODUCT(("CT_CWODBDS"=[1]OUT_SyntheticFuels!$C$4:$C$1000)*1,("var_ncap"=[1]OUT_SyntheticFuels!$B$4:$B$1000)*1,[1]OUT_SyntheticFuels!O$4:O$1000)</f>
        <v>4.6801700090082297E-2</v>
      </c>
      <c r="Q2325" s="7" cm="1">
        <f t="array" ref="Q2325">SUMPRODUCT(("CT_CWODBDS"=[1]OUT_SyntheticFuels!$C$4:$C$1000)*1,("var_ncap"=[1]OUT_SyntheticFuels!$B$4:$B$1000)*1,[1]OUT_SyntheticFuels!P$4:P$1000)</f>
        <v>1.290424769265E-2</v>
      </c>
      <c r="S2325" s="3"/>
    </row>
    <row r="2326" spans="2:19" x14ac:dyDescent="0.5">
      <c r="B2326" s="5" t="str">
        <f t="shared" si="2319"/>
        <v>SPS1</v>
      </c>
      <c r="C2326" s="5" t="str">
        <f t="shared" si="2320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SUMPRODUCT(("CT_CWODBDSCCS"=[1]OUT_SyntheticFuels!$C$4:$C$1000)*1,("var_ncap"=[1]OUT_SyntheticFuels!$B$4:$B$1000)*1,[1]OUT_SyntheticFuels!I$4:I$1000)</f>
        <v>0</v>
      </c>
      <c r="K2326" s="7" cm="1">
        <f t="array" ref="K2326">SUMPRODUCT(("CT_CWODBDSCCS"=[1]OUT_SyntheticFuels!$C$4:$C$1000)*1,("var_ncap"=[1]OUT_SyntheticFuels!$B$4:$B$1000)*1,[1]OUT_SyntheticFuels!J$4:J$1000)</f>
        <v>0</v>
      </c>
      <c r="L2326" s="7" cm="1">
        <f t="array" ref="L2326">SUMPRODUCT(("CT_CWODBDSCCS"=[1]OUT_SyntheticFuels!$C$4:$C$1000)*1,("var_ncap"=[1]OUT_SyntheticFuels!$B$4:$B$1000)*1,[1]OUT_SyntheticFuels!K$4:K$1000)</f>
        <v>0</v>
      </c>
      <c r="M2326" s="7" cm="1">
        <f t="array" ref="M2326">SUMPRODUCT(("CT_CWODBDSCCS"=[1]OUT_SyntheticFuels!$C$4:$C$1000)*1,("var_ncap"=[1]OUT_SyntheticFuels!$B$4:$B$1000)*1,[1]OUT_SyntheticFuels!L$4:L$1000)</f>
        <v>0</v>
      </c>
      <c r="N2326" s="7" cm="1">
        <f t="array" ref="N2326">SUMPRODUCT(("CT_CWODBDSCCS"=[1]OUT_SyntheticFuels!$C$4:$C$1000)*1,("var_ncap"=[1]OUT_SyntheticFuels!$B$4:$B$1000)*1,[1]OUT_SyntheticFuels!M$4:M$1000)</f>
        <v>0</v>
      </c>
      <c r="O2326" s="7" cm="1">
        <f t="array" ref="O2326">SUMPRODUCT(("CT_CWODBDSCCS"=[1]OUT_SyntheticFuels!$C$4:$C$1000)*1,("var_ncap"=[1]OUT_SyntheticFuels!$B$4:$B$1000)*1,[1]OUT_SyntheticFuels!N$4:N$1000)</f>
        <v>0</v>
      </c>
      <c r="P2326" s="7" cm="1">
        <f t="array" ref="P2326">SUMPRODUCT(("CT_CWODBDSCCS"=[1]OUT_SyntheticFuels!$C$4:$C$1000)*1,("var_ncap"=[1]OUT_SyntheticFuels!$B$4:$B$1000)*1,[1]OUT_SyntheticFuels!O$4:O$1000)</f>
        <v>0</v>
      </c>
      <c r="Q2326" s="7" cm="1">
        <f t="array" ref="Q2326">SUMPRODUCT(("CT_CWODBDSCCS"=[1]OUT_SyntheticFuels!$C$4:$C$1000)*1,("var_ncap"=[1]OUT_SyntheticFuels!$B$4:$B$1000)*1,[1]OUT_SyntheticFuels!P$4:P$1000)</f>
        <v>0</v>
      </c>
      <c r="S2326" s="3"/>
    </row>
    <row r="2327" spans="2:19" x14ac:dyDescent="0.5">
      <c r="B2327" s="5" t="str">
        <f t="shared" si="2319"/>
        <v>SPS1</v>
      </c>
      <c r="C2327" s="5" t="str">
        <f t="shared" si="2320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5.0779881730707004E-3</v>
      </c>
      <c r="G2327" s="7" cm="1">
        <f t="array" ref="G2327">SUMPRODUCT(("CT_CWODETH"=[1]OUT_SyntheticFuels!$C$4:$C$1000)*1,("var_ncap"=[1]OUT_SyntheticFuels!$B$4:$B$1000)*1,[1]OUT_SyntheticFuels!F$4:F$1000)</f>
        <v>5.6573985705219099E-7</v>
      </c>
      <c r="H2327" s="7" cm="1">
        <f t="array" ref="H2327">SUMPRODUCT(("CT_CWODETH"=[1]OUT_SyntheticFuels!$C$4:$C$1000)*1,("var_ncap"=[1]OUT_SyntheticFuels!$B$4:$B$1000)*1,[1]OUT_SyntheticFuels!G$4:G$1000)</f>
        <v>6.2637973807416698E-7</v>
      </c>
      <c r="I2327" s="7" cm="1">
        <f t="array" ref="I2327">SUMPRODUCT(("CT_CWODETH"=[1]OUT_SyntheticFuels!$C$4:$C$1000)*1,("var_ncap"=[1]OUT_SyntheticFuels!$B$4:$B$1000)*1,[1]OUT_SyntheticFuels!H$4:H$1000)</f>
        <v>5.5222360025788504E-7</v>
      </c>
      <c r="J2327" s="7" cm="1">
        <f t="array" ref="J2327">SUMPRODUCT(("CT_CWODETH"=[1]OUT_SyntheticFuels!$C$4:$C$1000)*1,("var_ncap"=[1]OUT_SyntheticFuels!$B$4:$B$1000)*1,[1]OUT_SyntheticFuels!I$4:I$1000)</f>
        <v>5.3734135168742197E-6</v>
      </c>
      <c r="K2327" s="7" cm="1">
        <f t="array" ref="K2327">SUMPRODUCT(("CT_CWODETH"=[1]OUT_SyntheticFuels!$C$4:$C$1000)*1,("var_ncap"=[1]OUT_SyntheticFuels!$B$4:$B$1000)*1,[1]OUT_SyntheticFuels!J$4:J$1000)</f>
        <v>2.64813407634567E-5</v>
      </c>
      <c r="L2327" s="7" cm="1">
        <f t="array" ref="L2327">SUMPRODUCT(("CT_CWODETH"=[1]OUT_SyntheticFuels!$C$4:$C$1000)*1,("var_ncap"=[1]OUT_SyntheticFuels!$B$4:$B$1000)*1,[1]OUT_SyntheticFuels!K$4:K$1000)</f>
        <v>3.4521600150141298E-5</v>
      </c>
      <c r="M2327" s="7" cm="1">
        <f t="array" ref="M2327">SUMPRODUCT(("CT_CWODETH"=[1]OUT_SyntheticFuels!$C$4:$C$1000)*1,("var_ncap"=[1]OUT_SyntheticFuels!$B$4:$B$1000)*1,[1]OUT_SyntheticFuels!L$4:L$1000)</f>
        <v>6.8034062967470803E-5</v>
      </c>
      <c r="N2327" s="7" cm="1">
        <f t="array" ref="N2327">SUMPRODUCT(("CT_CWODETH"=[1]OUT_SyntheticFuels!$C$4:$C$1000)*1,("var_ncap"=[1]OUT_SyntheticFuels!$B$4:$B$1000)*1,[1]OUT_SyntheticFuels!M$4:M$1000)</f>
        <v>3.26890093631143E-6</v>
      </c>
      <c r="O2327" s="7" cm="1">
        <f t="array" ref="O2327">SUMPRODUCT(("CT_CWODETH"=[1]OUT_SyntheticFuels!$C$4:$C$1000)*1,("var_ncap"=[1]OUT_SyntheticFuels!$B$4:$B$1000)*1,[1]OUT_SyntheticFuels!N$4:N$1000)</f>
        <v>9.1348482629846305E-5</v>
      </c>
      <c r="P2327" s="7" cm="1">
        <f t="array" ref="P2327">SUMPRODUCT(("CT_CWODETH"=[1]OUT_SyntheticFuels!$C$4:$C$1000)*1,("var_ncap"=[1]OUT_SyntheticFuels!$B$4:$B$1000)*1,[1]OUT_SyntheticFuels!O$4:O$1000)</f>
        <v>1.4051350861034099E-5</v>
      </c>
      <c r="Q2327" s="7" cm="1">
        <f t="array" ref="Q2327">SUMPRODUCT(("CT_CWODETH"=[1]OUT_SyntheticFuels!$C$4:$C$1000)*1,("var_ncap"=[1]OUT_SyntheticFuels!$B$4:$B$1000)*1,[1]OUT_SyntheticFuels!P$4:P$1000)</f>
        <v>2.5669853202592801E-4</v>
      </c>
      <c r="S2327" s="3"/>
    </row>
    <row r="2328" spans="2:19" x14ac:dyDescent="0.5">
      <c r="B2328" s="5" t="str">
        <f t="shared" si="2319"/>
        <v>SPS1</v>
      </c>
      <c r="C2328" s="5" t="str">
        <f t="shared" si="2320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SUMPRODUCT(("CT_CWODETHCCS"=[1]OUT_SyntheticFuels!$C$4:$C$1000)*1,("var_ncap"=[1]OUT_SyntheticFuels!$B$4:$B$1000)*1,[1]OUT_SyntheticFuels!I$4:I$1000)</f>
        <v>0</v>
      </c>
      <c r="K2328" s="7" cm="1">
        <f t="array" ref="K2328">SUMPRODUCT(("CT_CWODETHCCS"=[1]OUT_SyntheticFuels!$C$4:$C$1000)*1,("var_ncap"=[1]OUT_SyntheticFuels!$B$4:$B$1000)*1,[1]OUT_SyntheticFuels!J$4:J$1000)</f>
        <v>0</v>
      </c>
      <c r="L2328" s="7" cm="1">
        <f t="array" ref="L2328">SUMPRODUCT(("CT_CWODETHCCS"=[1]OUT_SyntheticFuels!$C$4:$C$1000)*1,("var_ncap"=[1]OUT_SyntheticFuels!$B$4:$B$1000)*1,[1]OUT_SyntheticFuels!K$4:K$1000)</f>
        <v>0</v>
      </c>
      <c r="M2328" s="7" cm="1">
        <f t="array" ref="M2328">SUMPRODUCT(("CT_CWODETHCCS"=[1]OUT_SyntheticFuels!$C$4:$C$1000)*1,("var_ncap"=[1]OUT_SyntheticFuels!$B$4:$B$1000)*1,[1]OUT_SyntheticFuels!L$4:L$1000)</f>
        <v>0</v>
      </c>
      <c r="N2328" s="7" cm="1">
        <f t="array" ref="N2328">SUMPRODUCT(("CT_CWODETHCCS"=[1]OUT_SyntheticFuels!$C$4:$C$1000)*1,("var_ncap"=[1]OUT_SyntheticFuels!$B$4:$B$1000)*1,[1]OUT_SyntheticFuels!M$4:M$1000)</f>
        <v>0</v>
      </c>
      <c r="O2328" s="7" cm="1">
        <f t="array" ref="O2328">SUMPRODUCT(("CT_CWODETHCCS"=[1]OUT_SyntheticFuels!$C$4:$C$1000)*1,("var_ncap"=[1]OUT_SyntheticFuels!$B$4:$B$1000)*1,[1]OUT_SyntheticFuels!N$4:N$1000)</f>
        <v>0</v>
      </c>
      <c r="P2328" s="7" cm="1">
        <f t="array" ref="P2328">SUMPRODUCT(("CT_CWODETHCCS"=[1]OUT_SyntheticFuels!$C$4:$C$1000)*1,("var_ncap"=[1]OUT_SyntheticFuels!$B$4:$B$1000)*1,[1]OUT_SyntheticFuels!O$4:O$1000)</f>
        <v>0</v>
      </c>
      <c r="Q2328" s="7" cm="1">
        <f t="array" ref="Q2328">SUMPRODUCT(("CT_CWODETHCCS"=[1]OUT_SyntheticFuels!$C$4:$C$1000)*1,("var_ncap"=[1]OUT_SyntheticFuels!$B$4:$B$1000)*1,[1]OUT_SyntheticFuels!P$4:P$1000)</f>
        <v>0</v>
      </c>
      <c r="S2328" s="3"/>
    </row>
    <row r="2329" spans="2:19" x14ac:dyDescent="0.5">
      <c r="B2329" s="5" t="str">
        <f t="shared" si="2319"/>
        <v>SPS1</v>
      </c>
      <c r="C2329" s="5" t="str">
        <f t="shared" si="2320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5.2479972143585497E-2</v>
      </c>
      <c r="G2329" s="7" cm="1">
        <f t="array" ref="G2329">SUMPRODUCT(("SUP_MNRBIO"=[1]OUT_SyntheticFuels!$C$4:$C$1000)*1,("var_ncap"=[1]OUT_SyntheticFuels!$B$4:$B$1000)*1,[1]OUT_SyntheticFuels!F$4:F$1000)</f>
        <v>0.109371842294681</v>
      </c>
      <c r="H2329" s="7" cm="1">
        <f t="array" ref="H2329">SUMPRODUCT(("SUP_MNRBIO"=[1]OUT_SyntheticFuels!$C$4:$C$1000)*1,("var_ncap"=[1]OUT_SyntheticFuels!$B$4:$B$1000)*1,[1]OUT_SyntheticFuels!G$4:G$1000)</f>
        <v>5.5242763726491605E-4</v>
      </c>
      <c r="I2329" s="7" cm="1">
        <f t="array" ref="I2329">SUMPRODUCT(("SUP_MNRBIO"=[1]OUT_SyntheticFuels!$C$4:$C$1000)*1,("var_ncap"=[1]OUT_SyntheticFuels!$B$4:$B$1000)*1,[1]OUT_SyntheticFuels!H$4:H$1000)</f>
        <v>7.5017423708575902E-6</v>
      </c>
      <c r="J2329" s="7" cm="1">
        <f t="array" ref="J2329">SUMPRODUCT(("SUP_MNRBIO"=[1]OUT_SyntheticFuels!$C$4:$C$1000)*1,("var_ncap"=[1]OUT_SyntheticFuels!$B$4:$B$1000)*1,[1]OUT_SyntheticFuels!I$4:I$1000)</f>
        <v>3.3679634727695398E-5</v>
      </c>
      <c r="K2329" s="7" cm="1">
        <f t="array" ref="K2329">SUMPRODUCT(("SUP_MNRBIO"=[1]OUT_SyntheticFuels!$C$4:$C$1000)*1,("var_ncap"=[1]OUT_SyntheticFuels!$B$4:$B$1000)*1,[1]OUT_SyntheticFuels!J$4:J$1000)</f>
        <v>7.2836501308715496E-2</v>
      </c>
      <c r="L2329" s="7" cm="1">
        <f t="array" ref="L2329">SUMPRODUCT(("SUP_MNRBIO"=[1]OUT_SyntheticFuels!$C$4:$C$1000)*1,("var_ncap"=[1]OUT_SyntheticFuels!$B$4:$B$1000)*1,[1]OUT_SyntheticFuels!K$4:K$1000)</f>
        <v>8.9454843291006794E-2</v>
      </c>
      <c r="M2329" s="7" cm="1">
        <f t="array" ref="M2329">SUMPRODUCT(("SUP_MNRBIO"=[1]OUT_SyntheticFuels!$C$4:$C$1000)*1,("var_ncap"=[1]OUT_SyntheticFuels!$B$4:$B$1000)*1,[1]OUT_SyntheticFuels!L$4:L$1000)</f>
        <v>1.5654739754156999E-4</v>
      </c>
      <c r="N2329" s="7" cm="1">
        <f t="array" ref="N2329">SUMPRODUCT(("SUP_MNRBIO"=[1]OUT_SyntheticFuels!$C$4:$C$1000)*1,("var_ncap"=[1]OUT_SyntheticFuels!$B$4:$B$1000)*1,[1]OUT_SyntheticFuels!M$4:M$1000)</f>
        <v>9.6333047628539108E-3</v>
      </c>
      <c r="O2329" s="7" cm="1">
        <f t="array" ref="O2329">SUMPRODUCT(("SUP_MNRBIO"=[1]OUT_SyntheticFuels!$C$4:$C$1000)*1,("var_ncap"=[1]OUT_SyntheticFuels!$B$4:$B$1000)*1,[1]OUT_SyntheticFuels!N$4:N$1000)</f>
        <v>6.32125304045843E-2</v>
      </c>
      <c r="P2329" s="7" cm="1">
        <f t="array" ref="P2329">SUMPRODUCT(("SUP_MNRBIO"=[1]OUT_SyntheticFuels!$C$4:$C$1000)*1,("var_ncap"=[1]OUT_SyntheticFuels!$B$4:$B$1000)*1,[1]OUT_SyntheticFuels!O$4:O$1000)</f>
        <v>8.9450892653630903E-2</v>
      </c>
      <c r="Q2329" s="7" cm="1">
        <f t="array" ref="Q2329">SUMPRODUCT(("SUP_MNRBIO"=[1]OUT_SyntheticFuels!$C$4:$C$1000)*1,("var_ncap"=[1]OUT_SyntheticFuels!$B$4:$B$1000)*1,[1]OUT_SyntheticFuels!P$4:P$1000)</f>
        <v>2.14979191045916E-4</v>
      </c>
      <c r="S2329" s="3"/>
    </row>
    <row r="2330" spans="2:19" x14ac:dyDescent="0.5">
      <c r="B2330" s="5" t="str">
        <f t="shared" si="2319"/>
        <v>SPS1</v>
      </c>
      <c r="C2330" s="5" t="str">
        <f t="shared" si="2320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4.1041518270735003E-3</v>
      </c>
      <c r="G2330" s="7" cm="1">
        <f t="array" ref="G2330">SUMPRODUCT(("SUP_WSTBIO"=[1]OUT_SyntheticFuels!$C$4:$C$1000)*1,("var_ncap"=[1]OUT_SyntheticFuels!$B$4:$B$1000)*1,[1]OUT_SyntheticFuels!F$4:F$1000)</f>
        <v>4.16725846327999E-3</v>
      </c>
      <c r="H2330" s="7" cm="1">
        <f t="array" ref="H2330">SUMPRODUCT(("SUP_WSTBIO"=[1]OUT_SyntheticFuels!$C$4:$C$1000)*1,("var_ncap"=[1]OUT_SyntheticFuels!$B$4:$B$1000)*1,[1]OUT_SyntheticFuels!G$4:G$1000)</f>
        <v>3.0678029357195302E-6</v>
      </c>
      <c r="I2330" s="7" cm="1">
        <f t="array" ref="I2330">SUMPRODUCT(("SUP_WSTBIO"=[1]OUT_SyntheticFuels!$C$4:$C$1000)*1,("var_ncap"=[1]OUT_SyntheticFuels!$B$4:$B$1000)*1,[1]OUT_SyntheticFuels!H$4:H$1000)</f>
        <v>7.2850988698914307E-2</v>
      </c>
      <c r="J2330" s="7" cm="1">
        <f t="array" ref="J2330">SUMPRODUCT(("SUP_WSTBIO"=[1]OUT_SyntheticFuels!$C$4:$C$1000)*1,("var_ncap"=[1]OUT_SyntheticFuels!$B$4:$B$1000)*1,[1]OUT_SyntheticFuels!I$4:I$1000)</f>
        <v>0.116853307184847</v>
      </c>
      <c r="K2330" s="7" cm="1">
        <f t="array" ref="K2330">SUMPRODUCT(("SUP_WSTBIO"=[1]OUT_SyntheticFuels!$C$4:$C$1000)*1,("var_ncap"=[1]OUT_SyntheticFuels!$B$4:$B$1000)*1,[1]OUT_SyntheticFuels!J$4:J$1000)</f>
        <v>1.5547034663599199E-2</v>
      </c>
      <c r="L2330" s="7" cm="1">
        <f t="array" ref="L2330">SUMPRODUCT(("SUP_WSTBIO"=[1]OUT_SyntheticFuels!$C$4:$C$1000)*1,("var_ncap"=[1]OUT_SyntheticFuels!$B$4:$B$1000)*1,[1]OUT_SyntheticFuels!K$4:K$1000)</f>
        <v>2.1288374726710298E-2</v>
      </c>
      <c r="M2330" s="7" cm="1">
        <f t="array" ref="M2330">SUMPRODUCT(("SUP_WSTBIO"=[1]OUT_SyntheticFuels!$C$4:$C$1000)*1,("var_ncap"=[1]OUT_SyntheticFuels!$B$4:$B$1000)*1,[1]OUT_SyntheticFuels!L$4:L$1000)</f>
        <v>4.3688396225490998E-2</v>
      </c>
      <c r="N2330" s="7" cm="1">
        <f t="array" ref="N2330">SUMPRODUCT(("SUP_WSTBIO"=[1]OUT_SyntheticFuels!$C$4:$C$1000)*1,("var_ncap"=[1]OUT_SyntheticFuels!$B$4:$B$1000)*1,[1]OUT_SyntheticFuels!M$4:M$1000)</f>
        <v>8.3432305707779195E-2</v>
      </c>
      <c r="O2330" s="7" cm="1">
        <f t="array" ref="O2330">SUMPRODUCT(("SUP_WSTBIO"=[1]OUT_SyntheticFuels!$C$4:$C$1000)*1,("var_ncap"=[1]OUT_SyntheticFuels!$B$4:$B$1000)*1,[1]OUT_SyntheticFuels!N$4:N$1000)</f>
        <v>4.8951230469524203E-2</v>
      </c>
      <c r="P2330" s="7" cm="1">
        <f t="array" ref="P2330">SUMPRODUCT(("SUP_WSTBIO"=[1]OUT_SyntheticFuels!$C$4:$C$1000)*1,("var_ncap"=[1]OUT_SyntheticFuels!$B$4:$B$1000)*1,[1]OUT_SyntheticFuels!O$4:O$1000)</f>
        <v>2.1283522873807199E-2</v>
      </c>
      <c r="Q2330" s="7" cm="1">
        <f t="array" ref="Q2330">SUMPRODUCT(("SUP_WSTBIO"=[1]OUT_SyntheticFuels!$C$4:$C$1000)*1,("var_ncap"=[1]OUT_SyntheticFuels!$B$4:$B$1000)*1,[1]OUT_SyntheticFuels!P$4:P$1000)</f>
        <v>4.3631635012763202E-2</v>
      </c>
      <c r="S2330" s="3"/>
    </row>
    <row r="2331" spans="2:19" x14ac:dyDescent="0.5">
      <c r="B2331" s="5" t="str">
        <f t="shared" si="2319"/>
        <v>SPS1</v>
      </c>
      <c r="C2331" s="5" t="str">
        <f t="shared" si="2320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SUMPRODUCT(("SUP_WSTBIOCCS"=[1]OUT_SyntheticFuels!$C$4:$C$1000)*1,("var_ncap"=[1]OUT_SyntheticFuels!$B$4:$B$1000)*1,[1]OUT_SyntheticFuels!I$4:I$1000)</f>
        <v>0</v>
      </c>
      <c r="K2331" s="7" cm="1">
        <f t="array" ref="K2331">SUMPRODUCT(("SUP_WSTBIOCCS"=[1]OUT_SyntheticFuels!$C$4:$C$1000)*1,("var_ncap"=[1]OUT_SyntheticFuels!$B$4:$B$1000)*1,[1]OUT_SyntheticFuels!J$4:J$1000)</f>
        <v>0</v>
      </c>
      <c r="L2331" s="7" cm="1">
        <f t="array" ref="L2331">SUMPRODUCT(("SUP_WSTBIOCCS"=[1]OUT_SyntheticFuels!$C$4:$C$1000)*1,("var_ncap"=[1]OUT_SyntheticFuels!$B$4:$B$1000)*1,[1]OUT_SyntheticFuels!K$4:K$1000)</f>
        <v>0</v>
      </c>
      <c r="M2331" s="7" cm="1">
        <f t="array" ref="M2331">SUMPRODUCT(("SUP_WSTBIOCCS"=[1]OUT_SyntheticFuels!$C$4:$C$1000)*1,("var_ncap"=[1]OUT_SyntheticFuels!$B$4:$B$1000)*1,[1]OUT_SyntheticFuels!L$4:L$1000)</f>
        <v>0</v>
      </c>
      <c r="N2331" s="7" cm="1">
        <f t="array" ref="N2331">SUMPRODUCT(("SUP_WSTBIOCCS"=[1]OUT_SyntheticFuels!$C$4:$C$1000)*1,("var_ncap"=[1]OUT_SyntheticFuels!$B$4:$B$1000)*1,[1]OUT_SyntheticFuels!M$4:M$1000)</f>
        <v>0</v>
      </c>
      <c r="O2331" s="7" cm="1">
        <f t="array" ref="O2331">SUMPRODUCT(("SUP_WSTBIOCCS"=[1]OUT_SyntheticFuels!$C$4:$C$1000)*1,("var_ncap"=[1]OUT_SyntheticFuels!$B$4:$B$1000)*1,[1]OUT_SyntheticFuels!N$4:N$1000)</f>
        <v>0</v>
      </c>
      <c r="P2331" s="7" cm="1">
        <f t="array" ref="P2331">SUMPRODUCT(("SUP_WSTBIOCCS"=[1]OUT_SyntheticFuels!$C$4:$C$1000)*1,("var_ncap"=[1]OUT_SyntheticFuels!$B$4:$B$1000)*1,[1]OUT_SyntheticFuels!O$4:O$1000)</f>
        <v>0</v>
      </c>
      <c r="Q2331" s="7" cm="1">
        <f t="array" ref="Q2331">SUMPRODUCT(("SUP_WSTBIOCCS"=[1]OUT_SyntheticFuels!$C$4:$C$1000)*1,("var_ncap"=[1]OUT_SyntheticFuels!$B$4:$B$1000)*1,[1]OUT_SyntheticFuels!P$4:P$1000)</f>
        <v>0</v>
      </c>
      <c r="S2331" s="3"/>
    </row>
    <row r="2332" spans="2:19" x14ac:dyDescent="0.5">
      <c r="B2332" s="5" t="str">
        <f t="shared" si="2319"/>
        <v>SPS1</v>
      </c>
      <c r="C2332" s="5" t="str">
        <f t="shared" si="2320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SUMPRODUCT(("SUP_WSTHTGBIO"=[1]OUT_SyntheticFuels!$C$4:$C$1000)*1,("var_ncap"=[1]OUT_SyntheticFuels!$B$4:$B$1000)*1,[1]OUT_SyntheticFuels!I$4:I$1000)</f>
        <v>0</v>
      </c>
      <c r="K2332" s="7" cm="1">
        <f t="array" ref="K2332">SUMPRODUCT(("SUP_WSTHTGBIO"=[1]OUT_SyntheticFuels!$C$4:$C$1000)*1,("var_ncap"=[1]OUT_SyntheticFuels!$B$4:$B$1000)*1,[1]OUT_SyntheticFuels!J$4:J$1000)</f>
        <v>8.4623554305439107E-5</v>
      </c>
      <c r="L2332" s="7" cm="1">
        <f t="array" ref="L2332">SUMPRODUCT(("SUP_WSTHTGBIO"=[1]OUT_SyntheticFuels!$C$4:$C$1000)*1,("var_ncap"=[1]OUT_SyntheticFuels!$B$4:$B$1000)*1,[1]OUT_SyntheticFuels!K$4:K$1000)</f>
        <v>3.60740095031632E-6</v>
      </c>
      <c r="M2332" s="7" cm="1">
        <f t="array" ref="M2332">SUMPRODUCT(("SUP_WSTHTGBIO"=[1]OUT_SyntheticFuels!$C$4:$C$1000)*1,("var_ncap"=[1]OUT_SyntheticFuels!$B$4:$B$1000)*1,[1]OUT_SyntheticFuels!L$4:L$1000)</f>
        <v>2.0648978162064699E-5</v>
      </c>
      <c r="N2332" s="7" cm="1">
        <f t="array" ref="N2332">SUMPRODUCT(("SUP_WSTHTGBIO"=[1]OUT_SyntheticFuels!$C$4:$C$1000)*1,("var_ncap"=[1]OUT_SyntheticFuels!$B$4:$B$1000)*1,[1]OUT_SyntheticFuels!M$4:M$1000)</f>
        <v>2.8522482047387499E-6</v>
      </c>
      <c r="O2332" s="7" cm="1">
        <f t="array" ref="O2332">SUMPRODUCT(("SUP_WSTHTGBIO"=[1]OUT_SyntheticFuels!$C$4:$C$1000)*1,("var_ncap"=[1]OUT_SyntheticFuels!$B$4:$B$1000)*1,[1]OUT_SyntheticFuels!N$4:N$1000)</f>
        <v>1.03752499704588E-4</v>
      </c>
      <c r="P2332" s="7" cm="1">
        <f t="array" ref="P2332">SUMPRODUCT(("SUP_WSTHTGBIO"=[1]OUT_SyntheticFuels!$C$4:$C$1000)*1,("var_ncap"=[1]OUT_SyntheticFuels!$B$4:$B$1000)*1,[1]OUT_SyntheticFuels!O$4:O$1000)</f>
        <v>2.1341863233995902E-6</v>
      </c>
      <c r="Q2332" s="7" cm="1">
        <f t="array" ref="Q2332">SUMPRODUCT(("SUP_WSTHTGBIO"=[1]OUT_SyntheticFuels!$C$4:$C$1000)*1,("var_ncap"=[1]OUT_SyntheticFuels!$B$4:$B$1000)*1,[1]OUT_SyntheticFuels!P$4:P$1000)</f>
        <v>1.3921101186895E-4</v>
      </c>
      <c r="S2332" s="3"/>
    </row>
    <row r="2333" spans="2:19" x14ac:dyDescent="0.5">
      <c r="B2333" s="5" t="str">
        <f t="shared" si="2319"/>
        <v>SPS1</v>
      </c>
      <c r="C2333" s="5" t="str">
        <f t="shared" si="2320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SUMPRODUCT(("SUP_WSTHTGBIOCCS"=[1]OUT_SyntheticFuels!$C$4:$C$1000)*1,("var_ncap"=[1]OUT_SyntheticFuels!$B$4:$B$1000)*1,[1]OUT_SyntheticFuels!I$4:I$1000)</f>
        <v>0</v>
      </c>
      <c r="K2333" s="7" cm="1">
        <f t="array" ref="K2333">SUMPRODUCT(("SUP_WSTHTGBIOCCS"=[1]OUT_SyntheticFuels!$C$4:$C$1000)*1,("var_ncap"=[1]OUT_SyntheticFuels!$B$4:$B$1000)*1,[1]OUT_SyntheticFuels!J$4:J$1000)</f>
        <v>0</v>
      </c>
      <c r="L2333" s="7" cm="1">
        <f t="array" ref="L2333">SUMPRODUCT(("SUP_WSTHTGBIOCCS"=[1]OUT_SyntheticFuels!$C$4:$C$1000)*1,("var_ncap"=[1]OUT_SyntheticFuels!$B$4:$B$1000)*1,[1]OUT_SyntheticFuels!K$4:K$1000)</f>
        <v>0</v>
      </c>
      <c r="M2333" s="7" cm="1">
        <f t="array" ref="M2333">SUMPRODUCT(("SUP_WSTHTGBIOCCS"=[1]OUT_SyntheticFuels!$C$4:$C$1000)*1,("var_ncap"=[1]OUT_SyntheticFuels!$B$4:$B$1000)*1,[1]OUT_SyntheticFuels!L$4:L$1000)</f>
        <v>0</v>
      </c>
      <c r="N2333" s="7" cm="1">
        <f t="array" ref="N2333">SUMPRODUCT(("SUP_WSTHTGBIOCCS"=[1]OUT_SyntheticFuels!$C$4:$C$1000)*1,("var_ncap"=[1]OUT_SyntheticFuels!$B$4:$B$1000)*1,[1]OUT_SyntheticFuels!M$4:M$1000)</f>
        <v>0</v>
      </c>
      <c r="O2333" s="7" cm="1">
        <f t="array" ref="O2333">SUMPRODUCT(("SUP_WSTHTGBIOCCS"=[1]OUT_SyntheticFuels!$C$4:$C$1000)*1,("var_ncap"=[1]OUT_SyntheticFuels!$B$4:$B$1000)*1,[1]OUT_SyntheticFuels!N$4:N$1000)</f>
        <v>0</v>
      </c>
      <c r="P2333" s="7" cm="1">
        <f t="array" ref="P2333">SUMPRODUCT(("SUP_WSTHTGBIOCCS"=[1]OUT_SyntheticFuels!$C$4:$C$1000)*1,("var_ncap"=[1]OUT_SyntheticFuels!$B$4:$B$1000)*1,[1]OUT_SyntheticFuels!O$4:O$1000)</f>
        <v>0</v>
      </c>
      <c r="Q2333" s="7" cm="1">
        <f t="array" ref="Q2333">SUMPRODUCT(("SUP_WSTHTGBIOCCS"=[1]OUT_SyntheticFuels!$C$4:$C$1000)*1,("var_ncap"=[1]OUT_SyntheticFuels!$B$4:$B$1000)*1,[1]OUT_SyntheticFuels!P$4:P$1000)</f>
        <v>0</v>
      </c>
      <c r="S2333" s="3"/>
    </row>
    <row r="2334" spans="2:19" x14ac:dyDescent="0.5">
      <c r="B2334" s="5" t="str">
        <f t="shared" si="2319"/>
        <v>SPS1</v>
      </c>
      <c r="C2334" s="5" t="str">
        <f t="shared" si="2320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2.1105569584986899E-6</v>
      </c>
      <c r="G2334" s="7" cm="1">
        <f t="array" ref="G2334">SUMPRODUCT(("SUP_WODBIO"=[1]OUT_SyntheticFuels!$C$4:$C$1000)*1,("var_ncap"=[1]OUT_SyntheticFuels!$B$4:$B$1000)*1,[1]OUT_SyntheticFuels!F$4:F$1000)</f>
        <v>6.7074339449156096E-5</v>
      </c>
      <c r="H2334" s="7" cm="1">
        <f t="array" ref="H2334">SUMPRODUCT(("SUP_WODBIO"=[1]OUT_SyntheticFuels!$C$4:$C$1000)*1,("var_ncap"=[1]OUT_SyntheticFuels!$B$4:$B$1000)*1,[1]OUT_SyntheticFuels!G$4:G$1000)</f>
        <v>5.2108780792253999E-6</v>
      </c>
      <c r="I2334" s="7" cm="1">
        <f t="array" ref="I2334">SUMPRODUCT(("SUP_WODBIO"=[1]OUT_SyntheticFuels!$C$4:$C$1000)*1,("var_ncap"=[1]OUT_SyntheticFuels!$B$4:$B$1000)*1,[1]OUT_SyntheticFuels!H$4:H$1000)</f>
        <v>1.4831427539964699E-6</v>
      </c>
      <c r="J2334" s="7" cm="1">
        <f t="array" ref="J2334">SUMPRODUCT(("SUP_WODBIO"=[1]OUT_SyntheticFuels!$C$4:$C$1000)*1,("var_ncap"=[1]OUT_SyntheticFuels!$B$4:$B$1000)*1,[1]OUT_SyntheticFuels!I$4:I$1000)</f>
        <v>5.3264719685822998E-5</v>
      </c>
      <c r="K2334" s="7" cm="1">
        <f t="array" ref="K2334">SUMPRODUCT(("SUP_WODBIO"=[1]OUT_SyntheticFuels!$C$4:$C$1000)*1,("var_ncap"=[1]OUT_SyntheticFuels!$B$4:$B$1000)*1,[1]OUT_SyntheticFuels!J$4:J$1000)</f>
        <v>1.78057313376033E-5</v>
      </c>
      <c r="L2334" s="7" cm="1">
        <f t="array" ref="L2334">SUMPRODUCT(("SUP_WODBIO"=[1]OUT_SyntheticFuels!$C$4:$C$1000)*1,("var_ncap"=[1]OUT_SyntheticFuels!$B$4:$B$1000)*1,[1]OUT_SyntheticFuels!K$4:K$1000)</f>
        <v>4.27218225644497E-5</v>
      </c>
      <c r="M2334" s="7" cm="1">
        <f t="array" ref="M2334">SUMPRODUCT(("SUP_WODBIO"=[1]OUT_SyntheticFuels!$C$4:$C$1000)*1,("var_ncap"=[1]OUT_SyntheticFuels!$B$4:$B$1000)*1,[1]OUT_SyntheticFuels!L$4:L$1000)</f>
        <v>6.4417908181037294E-5</v>
      </c>
      <c r="N2334" s="7" cm="1">
        <f t="array" ref="N2334">SUMPRODUCT(("SUP_WODBIO"=[1]OUT_SyntheticFuels!$C$4:$C$1000)*1,("var_ncap"=[1]OUT_SyntheticFuels!$B$4:$B$1000)*1,[1]OUT_SyntheticFuels!M$4:M$1000)</f>
        <v>4.6276793063203003E-6</v>
      </c>
      <c r="O2334" s="7" cm="1">
        <f t="array" ref="O2334">SUMPRODUCT(("SUP_WODBIO"=[1]OUT_SyntheticFuels!$C$4:$C$1000)*1,("var_ncap"=[1]OUT_SyntheticFuels!$B$4:$B$1000)*1,[1]OUT_SyntheticFuels!N$4:N$1000)</f>
        <v>1.0357122751952101E-4</v>
      </c>
      <c r="P2334" s="7" cm="1">
        <f t="array" ref="P2334">SUMPRODUCT(("SUP_WODBIO"=[1]OUT_SyntheticFuels!$C$4:$C$1000)*1,("var_ncap"=[1]OUT_SyntheticFuels!$B$4:$B$1000)*1,[1]OUT_SyntheticFuels!O$4:O$1000)</f>
        <v>1.5643857996776999E-5</v>
      </c>
      <c r="Q2334" s="7" cm="1">
        <f t="array" ref="Q2334">SUMPRODUCT(("SUP_WODBIO"=[1]OUT_SyntheticFuels!$C$4:$C$1000)*1,("var_ncap"=[1]OUT_SyntheticFuels!$B$4:$B$1000)*1,[1]OUT_SyntheticFuels!P$4:P$1000)</f>
        <v>2.6353780731207997E-4</v>
      </c>
      <c r="S2334" s="3"/>
    </row>
    <row r="2335" spans="2:19" x14ac:dyDescent="0.5">
      <c r="B2335" s="5" t="str">
        <f t="shared" si="2319"/>
        <v>SPS1</v>
      </c>
      <c r="C2335" s="5" t="str">
        <f t="shared" si="2320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SUMPRODUCT(("SUP_WODBIOCCS"=[1]OUT_SyntheticFuels!$C$4:$C$1000)*1,("var_ncap"=[1]OUT_SyntheticFuels!$B$4:$B$1000)*1,[1]OUT_SyntheticFuels!I$4:I$1000)</f>
        <v>0</v>
      </c>
      <c r="K2335" s="7" cm="1">
        <f t="array" ref="K2335">SUMPRODUCT(("SUP_WODBIOCCS"=[1]OUT_SyntheticFuels!$C$4:$C$1000)*1,("var_ncap"=[1]OUT_SyntheticFuels!$B$4:$B$1000)*1,[1]OUT_SyntheticFuels!J$4:J$1000)</f>
        <v>0</v>
      </c>
      <c r="L2335" s="7" cm="1">
        <f t="array" ref="L2335">SUMPRODUCT(("SUP_WODBIOCCS"=[1]OUT_SyntheticFuels!$C$4:$C$1000)*1,("var_ncap"=[1]OUT_SyntheticFuels!$B$4:$B$1000)*1,[1]OUT_SyntheticFuels!K$4:K$1000)</f>
        <v>0</v>
      </c>
      <c r="M2335" s="7" cm="1">
        <f t="array" ref="M2335">SUMPRODUCT(("SUP_WODBIOCCS"=[1]OUT_SyntheticFuels!$C$4:$C$1000)*1,("var_ncap"=[1]OUT_SyntheticFuels!$B$4:$B$1000)*1,[1]OUT_SyntheticFuels!L$4:L$1000)</f>
        <v>0</v>
      </c>
      <c r="N2335" s="7" cm="1">
        <f t="array" ref="N2335">SUMPRODUCT(("SUP_WODBIOCCS"=[1]OUT_SyntheticFuels!$C$4:$C$1000)*1,("var_ncap"=[1]OUT_SyntheticFuels!$B$4:$B$1000)*1,[1]OUT_SyntheticFuels!M$4:M$1000)</f>
        <v>0</v>
      </c>
      <c r="O2335" s="7" cm="1">
        <f t="array" ref="O2335">SUMPRODUCT(("SUP_WODBIOCCS"=[1]OUT_SyntheticFuels!$C$4:$C$1000)*1,("var_ncap"=[1]OUT_SyntheticFuels!$B$4:$B$1000)*1,[1]OUT_SyntheticFuels!N$4:N$1000)</f>
        <v>0</v>
      </c>
      <c r="P2335" s="7" cm="1">
        <f t="array" ref="P2335">SUMPRODUCT(("SUP_WODBIOCCS"=[1]OUT_SyntheticFuels!$C$4:$C$1000)*1,("var_ncap"=[1]OUT_SyntheticFuels!$B$4:$B$1000)*1,[1]OUT_SyntheticFuels!O$4:O$1000)</f>
        <v>0</v>
      </c>
      <c r="Q2335" s="7" cm="1">
        <f t="array" ref="Q2335">SUMPRODUCT(("SUP_WODBIOCCS"=[1]OUT_SyntheticFuels!$C$4:$C$1000)*1,("var_ncap"=[1]OUT_SyntheticFuels!$B$4:$B$1000)*1,[1]OUT_SyntheticFuels!P$4:P$1000)</f>
        <v>0</v>
      </c>
      <c r="S2335" s="3"/>
    </row>
    <row r="2336" spans="2:19" x14ac:dyDescent="0.5">
      <c r="B2336" s="5" t="str">
        <f t="shared" si="2319"/>
        <v>SPS1</v>
      </c>
      <c r="C2336" s="5" t="str">
        <f t="shared" si="2320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1.43335138848388E-2</v>
      </c>
      <c r="G2336" s="7" cm="1">
        <f t="array" ref="G2336">SUMPRODUCT(("SUP_BIONGA"=[1]OUT_SyntheticFuels!$C$4:$C$1000)*1,("var_ncap"=[1]OUT_SyntheticFuels!$B$4:$B$1000)*1,[1]OUT_SyntheticFuels!F$4:F$1000)</f>
        <v>7.05572514877775E-2</v>
      </c>
      <c r="H2336" s="7" cm="1">
        <f t="array" ref="H2336">SUMPRODUCT(("SUP_BIONGA"=[1]OUT_SyntheticFuels!$C$4:$C$1000)*1,("var_ncap"=[1]OUT_SyntheticFuels!$B$4:$B$1000)*1,[1]OUT_SyntheticFuels!G$4:G$1000)</f>
        <v>1.1269534805183501E-6</v>
      </c>
      <c r="I2336" s="7" cm="1">
        <f t="array" ref="I2336">SUMPRODUCT(("SUP_BIONGA"=[1]OUT_SyntheticFuels!$C$4:$C$1000)*1,("var_ncap"=[1]OUT_SyntheticFuels!$B$4:$B$1000)*1,[1]OUT_SyntheticFuels!H$4:H$1000)</f>
        <v>1.1940581584987101E-6</v>
      </c>
      <c r="J2336" s="7" cm="1">
        <f t="array" ref="J2336">SUMPRODUCT(("SUP_BIONGA"=[1]OUT_SyntheticFuels!$C$4:$C$1000)*1,("var_ncap"=[1]OUT_SyntheticFuels!$B$4:$B$1000)*1,[1]OUT_SyntheticFuels!I$4:I$1000)</f>
        <v>1.46415686360916E-2</v>
      </c>
      <c r="K2336" s="7" cm="1">
        <f t="array" ref="K2336">SUMPRODUCT(("SUP_BIONGA"=[1]OUT_SyntheticFuels!$C$4:$C$1000)*1,("var_ncap"=[1]OUT_SyntheticFuels!$B$4:$B$1000)*1,[1]OUT_SyntheticFuels!J$4:J$1000)</f>
        <v>3.9948034619404701E-2</v>
      </c>
      <c r="L2336" s="7" cm="1">
        <f t="array" ref="L2336">SUMPRODUCT(("SUP_BIONGA"=[1]OUT_SyntheticFuels!$C$4:$C$1000)*1,("var_ncap"=[1]OUT_SyntheticFuels!$B$4:$B$1000)*1,[1]OUT_SyntheticFuels!K$4:K$1000)</f>
        <v>4.9321689353011698E-2</v>
      </c>
      <c r="M2336" s="7" cm="1">
        <f t="array" ref="M2336">SUMPRODUCT(("SUP_BIONGA"=[1]OUT_SyntheticFuels!$C$4:$C$1000)*1,("var_ncap"=[1]OUT_SyntheticFuels!$B$4:$B$1000)*1,[1]OUT_SyntheticFuels!L$4:L$1000)</f>
        <v>1.64231943409145E-4</v>
      </c>
      <c r="N2336" s="7" cm="1">
        <f t="array" ref="N2336">SUMPRODUCT(("SUP_BIONGA"=[1]OUT_SyntheticFuels!$C$4:$C$1000)*1,("var_ncap"=[1]OUT_SyntheticFuels!$B$4:$B$1000)*1,[1]OUT_SyntheticFuels!M$4:M$1000)</f>
        <v>1.54788520299039E-2</v>
      </c>
      <c r="O2336" s="7" cm="1">
        <f t="array" ref="O2336">SUMPRODUCT(("SUP_BIONGA"=[1]OUT_SyntheticFuels!$C$4:$C$1000)*1,("var_ncap"=[1]OUT_SyntheticFuels!$B$4:$B$1000)*1,[1]OUT_SyntheticFuels!N$4:N$1000)</f>
        <v>3.9196371911643997E-2</v>
      </c>
      <c r="P2336" s="7" cm="1">
        <f t="array" ref="P2336">SUMPRODUCT(("SUP_BIONGA"=[1]OUT_SyntheticFuels!$C$4:$C$1000)*1,("var_ncap"=[1]OUT_SyntheticFuels!$B$4:$B$1000)*1,[1]OUT_SyntheticFuels!O$4:O$1000)</f>
        <v>4.9319958887258999E-2</v>
      </c>
      <c r="Q2336" s="7" cm="1">
        <f t="array" ref="Q2336">SUMPRODUCT(("SUP_BIONGA"=[1]OUT_SyntheticFuels!$C$4:$C$1000)*1,("var_ncap"=[1]OUT_SyntheticFuels!$B$4:$B$1000)*1,[1]OUT_SyntheticFuels!P$4:P$1000)</f>
        <v>4.9274367361507899E-4</v>
      </c>
      <c r="S2336" s="3"/>
    </row>
    <row r="2337" spans="2:19" x14ac:dyDescent="0.5">
      <c r="B2337" s="5" t="str">
        <f t="shared" si="2319"/>
        <v>SPS1</v>
      </c>
      <c r="C2337" s="5" t="str">
        <f t="shared" si="2320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0.162057826859103</v>
      </c>
      <c r="G2337" s="7" cm="1">
        <f t="array" ref="G2337">SUMPRODUCT(("CT_CWODPLT"=[1]OUT_SyntheticFuels!$C$4:$C$1000)*1,("var_ncap"=[1]OUT_SyntheticFuels!$B$4:$B$1000)*1,[1]OUT_SyntheticFuels!F$4:F$1000)</f>
        <v>5.0412625067991497E-2</v>
      </c>
      <c r="H2337" s="7" cm="1">
        <f t="array" ref="H2337">SUMPRODUCT(("CT_CWODPLT"=[1]OUT_SyntheticFuels!$C$4:$C$1000)*1,("var_ncap"=[1]OUT_SyntheticFuels!$B$4:$B$1000)*1,[1]OUT_SyntheticFuels!G$4:G$1000)</f>
        <v>1.2209043640819101E-5</v>
      </c>
      <c r="I2337" s="7" cm="1">
        <f t="array" ref="I2337">SUMPRODUCT(("CT_CWODPLT"=[1]OUT_SyntheticFuels!$C$4:$C$1000)*1,("var_ncap"=[1]OUT_SyntheticFuels!$B$4:$B$1000)*1,[1]OUT_SyntheticFuels!H$4:H$1000)</f>
        <v>1.0729106422587001E-3</v>
      </c>
      <c r="J2337" s="7" cm="1">
        <f t="array" ref="J2337">SUMPRODUCT(("CT_CWODPLT"=[1]OUT_SyntheticFuels!$C$4:$C$1000)*1,("var_ncap"=[1]OUT_SyntheticFuels!$B$4:$B$1000)*1,[1]OUT_SyntheticFuels!I$4:I$1000)</f>
        <v>0.16982004545847401</v>
      </c>
      <c r="K2337" s="7" cm="1">
        <f t="array" ref="K2337">SUMPRODUCT(("CT_CWODPLT"=[1]OUT_SyntheticFuels!$C$4:$C$1000)*1,("var_ncap"=[1]OUT_SyntheticFuels!$B$4:$B$1000)*1,[1]OUT_SyntheticFuels!J$4:J$1000)</f>
        <v>0.19679895116270299</v>
      </c>
      <c r="L2337" s="7" cm="1">
        <f t="array" ref="L2337">SUMPRODUCT(("CT_CWODPLT"=[1]OUT_SyntheticFuels!$C$4:$C$1000)*1,("var_ncap"=[1]OUT_SyntheticFuels!$B$4:$B$1000)*1,[1]OUT_SyntheticFuels!K$4:K$1000)</f>
        <v>9.6891617876482705E-2</v>
      </c>
      <c r="M2337" s="7" cm="1">
        <f t="array" ref="M2337">SUMPRODUCT(("CT_CWODPLT"=[1]OUT_SyntheticFuels!$C$4:$C$1000)*1,("var_ncap"=[1]OUT_SyntheticFuels!$B$4:$B$1000)*1,[1]OUT_SyntheticFuels!L$4:L$1000)</f>
        <v>7.19307604343825E-3</v>
      </c>
      <c r="N2337" s="7" cm="1">
        <f t="array" ref="N2337">SUMPRODUCT(("CT_CWODPLT"=[1]OUT_SyntheticFuels!$C$4:$C$1000)*1,("var_ncap"=[1]OUT_SyntheticFuels!$B$4:$B$1000)*1,[1]OUT_SyntheticFuels!M$4:M$1000)</f>
        <v>0.14588188080423101</v>
      </c>
      <c r="O2337" s="7" cm="1">
        <f t="array" ref="O2337">SUMPRODUCT(("CT_CWODPLT"=[1]OUT_SyntheticFuels!$C$4:$C$1000)*1,("var_ncap"=[1]OUT_SyntheticFuels!$B$4:$B$1000)*1,[1]OUT_SyntheticFuels!N$4:N$1000)</f>
        <v>0.22055395891528301</v>
      </c>
      <c r="P2337" s="7" cm="1">
        <f t="array" ref="P2337">SUMPRODUCT(("CT_CWODPLT"=[1]OUT_SyntheticFuels!$C$4:$C$1000)*1,("var_ncap"=[1]OUT_SyntheticFuels!$B$4:$B$1000)*1,[1]OUT_SyntheticFuels!O$4:O$1000)</f>
        <v>9.1158340633304094E-2</v>
      </c>
      <c r="Q2337" s="7" cm="1">
        <f t="array" ref="Q2337">SUMPRODUCT(("CT_CWODPLT"=[1]OUT_SyntheticFuels!$C$4:$C$1000)*1,("var_ncap"=[1]OUT_SyntheticFuels!$B$4:$B$1000)*1,[1]OUT_SyntheticFuels!P$4:P$1000)</f>
        <v>3.6999945496513401E-4</v>
      </c>
      <c r="S2337" s="3"/>
    </row>
    <row r="2338" spans="2:19" x14ac:dyDescent="0.5">
      <c r="B2338" s="5" t="str">
        <f t="shared" si="2319"/>
        <v>SPS1</v>
      </c>
      <c r="C2338" s="5" t="str">
        <f t="shared" si="2320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1.4695535864433801E-6</v>
      </c>
      <c r="J2338" s="7" cm="1">
        <f t="array" ref="J2338">SUMPRODUCT(("SUP_H2NGA"=[1]OUT_SyntheticFuels!$C$4:$C$1000)*1,("var_ncap"=[1]OUT_SyntheticFuels!$B$4:$B$1000)*1,[1]OUT_SyntheticFuels!I$4:I$1000)</f>
        <v>3.39622517066166E-6</v>
      </c>
      <c r="K2338" s="7" cm="1">
        <f t="array" ref="K2338">SUMPRODUCT(("SUP_H2NGA"=[1]OUT_SyntheticFuels!$C$4:$C$1000)*1,("var_ncap"=[1]OUT_SyntheticFuels!$B$4:$B$1000)*1,[1]OUT_SyntheticFuels!J$4:J$1000)</f>
        <v>3.63711143216504E-6</v>
      </c>
      <c r="L2338" s="7" cm="1">
        <f t="array" ref="L2338">SUMPRODUCT(("SUP_H2NGA"=[1]OUT_SyntheticFuels!$C$4:$C$1000)*1,("var_ncap"=[1]OUT_SyntheticFuels!$B$4:$B$1000)*1,[1]OUT_SyntheticFuels!K$4:K$1000)</f>
        <v>5.0979639843277102E-6</v>
      </c>
      <c r="M2338" s="7" cm="1">
        <f t="array" ref="M2338">SUMPRODUCT(("SUP_H2NGA"=[1]OUT_SyntheticFuels!$C$4:$C$1000)*1,("var_ncap"=[1]OUT_SyntheticFuels!$B$4:$B$1000)*1,[1]OUT_SyntheticFuels!L$4:L$1000)</f>
        <v>5.6546066001477601E-6</v>
      </c>
      <c r="N2338" s="7" cm="1">
        <f t="array" ref="N2338">SUMPRODUCT(("SUP_H2NGA"=[1]OUT_SyntheticFuels!$C$4:$C$1000)*1,("var_ncap"=[1]OUT_SyntheticFuels!$B$4:$B$1000)*1,[1]OUT_SyntheticFuels!M$4:M$1000)</f>
        <v>4.5272497305471496E-6</v>
      </c>
      <c r="O2338" s="7" cm="1">
        <f t="array" ref="O2338">SUMPRODUCT(("SUP_H2NGA"=[1]OUT_SyntheticFuels!$C$4:$C$1000)*1,("var_ncap"=[1]OUT_SyntheticFuels!$B$4:$B$1000)*1,[1]OUT_SyntheticFuels!N$4:N$1000)</f>
        <v>3.50625922597682E-6</v>
      </c>
      <c r="P2338" s="7" cm="1">
        <f t="array" ref="P2338">SUMPRODUCT(("SUP_H2NGA"=[1]OUT_SyntheticFuels!$C$4:$C$1000)*1,("var_ncap"=[1]OUT_SyntheticFuels!$B$4:$B$1000)*1,[1]OUT_SyntheticFuels!O$4:O$1000)</f>
        <v>4.3813266066164596E-6</v>
      </c>
      <c r="Q2338" s="7" cm="1">
        <f t="array" ref="Q2338">SUMPRODUCT(("SUP_H2NGA"=[1]OUT_SyntheticFuels!$C$4:$C$1000)*1,("var_ncap"=[1]OUT_SyntheticFuels!$B$4:$B$1000)*1,[1]OUT_SyntheticFuels!P$4:P$1000)</f>
        <v>1.3495496258042399E-5</v>
      </c>
      <c r="S2338" s="3"/>
    </row>
    <row r="2339" spans="2:19" x14ac:dyDescent="0.5">
      <c r="B2339" s="5" t="str">
        <f t="shared" si="2319"/>
        <v>SPS1</v>
      </c>
      <c r="C2339" s="5" t="str">
        <f t="shared" si="2320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1.8592066029133901E-6</v>
      </c>
      <c r="J2339" s="7" cm="1">
        <f t="array" ref="J2339">SUMPRODUCT(("SUP_H2DSL"=[1]OUT_SyntheticFuels!$C$4:$C$1000)*1,("var_ncap"=[1]OUT_SyntheticFuels!$B$4:$B$1000)*1,[1]OUT_SyntheticFuels!I$4:I$1000)</f>
        <v>3.7517663118503801E-6</v>
      </c>
      <c r="K2339" s="7" cm="1">
        <f t="array" ref="K2339">SUMPRODUCT(("SUP_H2DSL"=[1]OUT_SyntheticFuels!$C$4:$C$1000)*1,("var_ncap"=[1]OUT_SyntheticFuels!$B$4:$B$1000)*1,[1]OUT_SyntheticFuels!J$4:J$1000)</f>
        <v>4.7334389212479802E-6</v>
      </c>
      <c r="L2339" s="7" cm="1">
        <f t="array" ref="L2339">SUMPRODUCT(("SUP_H2DSL"=[1]OUT_SyntheticFuels!$C$4:$C$1000)*1,("var_ncap"=[1]OUT_SyntheticFuels!$B$4:$B$1000)*1,[1]OUT_SyntheticFuels!K$4:K$1000)</f>
        <v>5.2226443656787102E-6</v>
      </c>
      <c r="M2339" s="7" cm="1">
        <f t="array" ref="M2339">SUMPRODUCT(("SUP_H2DSL"=[1]OUT_SyntheticFuels!$C$4:$C$1000)*1,("var_ncap"=[1]OUT_SyntheticFuels!$B$4:$B$1000)*1,[1]OUT_SyntheticFuels!L$4:L$1000)</f>
        <v>6.5290000915808597E-6</v>
      </c>
      <c r="N2339" s="7" cm="1">
        <f t="array" ref="N2339">SUMPRODUCT(("SUP_H2DSL"=[1]OUT_SyntheticFuels!$C$4:$C$1000)*1,("var_ncap"=[1]OUT_SyntheticFuels!$B$4:$B$1000)*1,[1]OUT_SyntheticFuels!M$4:M$1000)</f>
        <v>5.4739378686305101E-6</v>
      </c>
      <c r="O2339" s="7" cm="1">
        <f t="array" ref="O2339">SUMPRODUCT(("SUP_H2DSL"=[1]OUT_SyntheticFuels!$C$4:$C$1000)*1,("var_ncap"=[1]OUT_SyntheticFuels!$B$4:$B$1000)*1,[1]OUT_SyntheticFuels!N$4:N$1000)</f>
        <v>4.9456440725973297E-6</v>
      </c>
      <c r="P2339" s="7" cm="1">
        <f t="array" ref="P2339">SUMPRODUCT(("SUP_H2DSL"=[1]OUT_SyntheticFuels!$C$4:$C$1000)*1,("var_ncap"=[1]OUT_SyntheticFuels!$B$4:$B$1000)*1,[1]OUT_SyntheticFuels!O$4:O$1000)</f>
        <v>6.2886032419857003E-6</v>
      </c>
      <c r="Q2339" s="7" cm="1">
        <f t="array" ref="Q2339">SUMPRODUCT(("SUP_H2DSL"=[1]OUT_SyntheticFuels!$C$4:$C$1000)*1,("var_ncap"=[1]OUT_SyntheticFuels!$B$4:$B$1000)*1,[1]OUT_SyntheticFuels!P$4:P$1000)</f>
        <v>2.0770784704210599E-5</v>
      </c>
      <c r="S2339" s="3"/>
    </row>
    <row r="2340" spans="2:19" x14ac:dyDescent="0.5">
      <c r="B2340" s="5" t="str">
        <f t="shared" si="2319"/>
        <v>SPS1</v>
      </c>
      <c r="C2340" s="5" t="str">
        <f t="shared" si="2320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1.6514454571931801E-6</v>
      </c>
      <c r="J2340" s="7" cm="1">
        <f t="array" ref="J2340">SUMPRODUCT(("SUP_H2GSL"=[1]OUT_SyntheticFuels!$C$4:$C$1000)*1,("var_ncap"=[1]OUT_SyntheticFuels!$B$4:$B$1000)*1,[1]OUT_SyntheticFuels!I$4:I$1000)</f>
        <v>3.4390518459606399E-6</v>
      </c>
      <c r="K2340" s="7" cm="1">
        <f t="array" ref="K2340">SUMPRODUCT(("SUP_H2GSL"=[1]OUT_SyntheticFuels!$C$4:$C$1000)*1,("var_ncap"=[1]OUT_SyntheticFuels!$B$4:$B$1000)*1,[1]OUT_SyntheticFuels!J$4:J$1000)</f>
        <v>4.2003633990629197E-6</v>
      </c>
      <c r="L2340" s="7" cm="1">
        <f t="array" ref="L2340">SUMPRODUCT(("SUP_H2GSL"=[1]OUT_SyntheticFuels!$C$4:$C$1000)*1,("var_ncap"=[1]OUT_SyntheticFuels!$B$4:$B$1000)*1,[1]OUT_SyntheticFuels!K$4:K$1000)</f>
        <v>4.7196075560239901E-6</v>
      </c>
      <c r="M2340" s="7" cm="1">
        <f t="array" ref="M2340">SUMPRODUCT(("SUP_H2GSL"=[1]OUT_SyntheticFuels!$C$4:$C$1000)*1,("var_ncap"=[1]OUT_SyntheticFuels!$B$4:$B$1000)*1,[1]OUT_SyntheticFuels!L$4:L$1000)</f>
        <v>6.1044663053601802E-6</v>
      </c>
      <c r="N2340" s="7" cm="1">
        <f t="array" ref="N2340">SUMPRODUCT(("SUP_H2GSL"=[1]OUT_SyntheticFuels!$C$4:$C$1000)*1,("var_ncap"=[1]OUT_SyntheticFuels!$B$4:$B$1000)*1,[1]OUT_SyntheticFuels!M$4:M$1000)</f>
        <v>4.72671320760514E-6</v>
      </c>
      <c r="O2340" s="7" cm="1">
        <f t="array" ref="O2340">SUMPRODUCT(("SUP_H2GSL"=[1]OUT_SyntheticFuels!$C$4:$C$1000)*1,("var_ncap"=[1]OUT_SyntheticFuels!$B$4:$B$1000)*1,[1]OUT_SyntheticFuels!N$4:N$1000)</f>
        <v>4.4766032817234297E-6</v>
      </c>
      <c r="P2340" s="7" cm="1">
        <f t="array" ref="P2340">SUMPRODUCT(("SUP_H2GSL"=[1]OUT_SyntheticFuels!$C$4:$C$1000)*1,("var_ncap"=[1]OUT_SyntheticFuels!$B$4:$B$1000)*1,[1]OUT_SyntheticFuels!O$4:O$1000)</f>
        <v>5.6951505392467199E-6</v>
      </c>
      <c r="Q2340" s="7" cm="1">
        <f t="array" ref="Q2340">SUMPRODUCT(("SUP_H2GSL"=[1]OUT_SyntheticFuels!$C$4:$C$1000)*1,("var_ncap"=[1]OUT_SyntheticFuels!$B$4:$B$1000)*1,[1]OUT_SyntheticFuels!P$4:P$1000)</f>
        <v>1.88669789986721E-5</v>
      </c>
      <c r="S2340" s="3"/>
    </row>
  </sheetData>
  <sortState xmlns:xlrd2="http://schemas.microsoft.com/office/spreadsheetml/2017/richdata2" ref="D1574:D1576">
    <sortCondition ref="D1574:D1576"/>
  </sortState>
  <phoneticPr fontId="3" type="noConversion"/>
  <conditionalFormatting sqref="F736:G736">
    <cfRule type="cellIs" dxfId="3" priority="1" operator="lessThan">
      <formula>0</formula>
    </cfRule>
  </conditionalFormatting>
  <conditionalFormatting sqref="F908:G908">
    <cfRule type="cellIs" dxfId="2" priority="5" operator="lessThan">
      <formula>0</formula>
    </cfRule>
  </conditionalFormatting>
  <conditionalFormatting sqref="F1158:Q1158">
    <cfRule type="cellIs" dxfId="1" priority="7" operator="lessThan">
      <formula>0</formula>
    </cfRule>
  </conditionalFormatting>
  <conditionalFormatting sqref="H1:Q113 S2:S2340 H131:Q1205 R224 T224 H1208:Q1343 H1346:Q1427 H1430:Q1569 H1572:Q1616 H1619:Q2340 H2341:L1048576">
    <cfRule type="cellIs" dxfId="0" priority="3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75" x14ac:dyDescent="0.5"/>
  <cols>
    <col min="2" max="2" width="36.5625" bestFit="1" customWidth="1"/>
    <col min="3" max="3" width="9.4375" bestFit="1" customWidth="1"/>
  </cols>
  <sheetData>
    <row r="2" spans="2:8" x14ac:dyDescent="0.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5">
      <c r="B3" s="2" t="s">
        <v>1719</v>
      </c>
      <c r="C3" s="3">
        <f>SUM(C4:C7)</f>
        <v>695.75939194958187</v>
      </c>
      <c r="D3" s="3">
        <f t="shared" ref="D3:H3" si="0">SUM(D4:D7)</f>
        <v>686.39107942150918</v>
      </c>
      <c r="E3" s="3">
        <f t="shared" si="0"/>
        <v>683.43321236572717</v>
      </c>
      <c r="F3" s="3">
        <f t="shared" si="0"/>
        <v>647.57383774148002</v>
      </c>
      <c r="G3" s="3">
        <f t="shared" si="0"/>
        <v>618.81861831523452</v>
      </c>
      <c r="H3" s="3">
        <f t="shared" si="0"/>
        <v>608.04521520204969</v>
      </c>
    </row>
    <row r="4" spans="2:8" x14ac:dyDescent="0.5">
      <c r="B4" s="23" t="s">
        <v>1727</v>
      </c>
      <c r="C4" s="1">
        <f>'SPS1'!F763</f>
        <v>142.21765212884654</v>
      </c>
      <c r="D4" s="1">
        <f>'SPS1'!G763</f>
        <v>141.12846220110805</v>
      </c>
      <c r="E4" s="1">
        <f>'SPS1'!H763</f>
        <v>142.97155579276304</v>
      </c>
      <c r="F4" s="1">
        <f>'SPS1'!I763</f>
        <v>144.1532227492207</v>
      </c>
      <c r="G4" s="1">
        <f>'SPS1'!J763</f>
        <v>145.41202518010138</v>
      </c>
      <c r="H4" s="1">
        <f>'SPS1'!K763</f>
        <v>146.33822874211648</v>
      </c>
    </row>
    <row r="5" spans="2:8" x14ac:dyDescent="0.5">
      <c r="B5" s="23" t="s">
        <v>1728</v>
      </c>
      <c r="C5" s="1">
        <f>'SPS1'!F882</f>
        <v>140.1011753367508</v>
      </c>
      <c r="D5" s="1">
        <f>'SPS1'!G882</f>
        <v>139.66495179573135</v>
      </c>
      <c r="E5" s="1">
        <f>'SPS1'!H882</f>
        <v>141.58365689154908</v>
      </c>
      <c r="F5" s="1">
        <f>'SPS1'!I882</f>
        <v>139.73507119091744</v>
      </c>
      <c r="G5" s="1">
        <f>'SPS1'!J882</f>
        <v>135.82110543060043</v>
      </c>
      <c r="H5" s="1">
        <f>'SPS1'!K882</f>
        <v>132.4841064070761</v>
      </c>
    </row>
    <row r="6" spans="2:8" x14ac:dyDescent="0.5">
      <c r="B6" s="23" t="s">
        <v>1729</v>
      </c>
      <c r="C6" s="1">
        <f>'SPS1'!F972</f>
        <v>217.22776594100952</v>
      </c>
      <c r="D6" s="1">
        <f>'SPS1'!G972</f>
        <v>217.98536961996595</v>
      </c>
      <c r="E6" s="1">
        <f>'SPS1'!H972</f>
        <v>215.90240874918547</v>
      </c>
      <c r="F6" s="1">
        <f>'SPS1'!I972</f>
        <v>215.23983711707646</v>
      </c>
      <c r="G6" s="1">
        <f>'SPS1'!J972</f>
        <v>213.87409785075502</v>
      </c>
      <c r="H6" s="1">
        <f>'SPS1'!K972</f>
        <v>210.77513651903456</v>
      </c>
    </row>
    <row r="7" spans="2:8" x14ac:dyDescent="0.5">
      <c r="B7" s="23" t="s">
        <v>1730</v>
      </c>
      <c r="C7" s="1">
        <f>'SPS1'!F1136+'SPS1'!F1315+'SPS1'!F1399+'SPS1'!F1483+'SPS1'!F1490+'SPS1'!F1497+'SPS1'!F1546+'SPS1'!F1593+'SPS1'!F1640</f>
        <v>196.21279854297495</v>
      </c>
      <c r="D7" s="1">
        <f>'SPS1'!G1136+'SPS1'!G1315+'SPS1'!G1399+'SPS1'!G1483+'SPS1'!G1490+'SPS1'!G1497+'SPS1'!G1546+'SPS1'!G1593+'SPS1'!G1640</f>
        <v>187.61229580470382</v>
      </c>
      <c r="E7" s="1">
        <f>'SPS1'!H1136+'SPS1'!H1315+'SPS1'!H1399+'SPS1'!H1483+'SPS1'!H1490+'SPS1'!H1497+'SPS1'!H1546+'SPS1'!H1593+'SPS1'!H1640</f>
        <v>182.97559093222955</v>
      </c>
      <c r="F7" s="1">
        <f>'SPS1'!I1136+'SPS1'!I1315+'SPS1'!I1399+'SPS1'!I1483+'SPS1'!I1490+'SPS1'!I1497+'SPS1'!I1546+'SPS1'!I1593+'SPS1'!I1640</f>
        <v>148.44570668426539</v>
      </c>
      <c r="G7" s="1">
        <f>'SPS1'!J1136+'SPS1'!J1315+'SPS1'!J1399+'SPS1'!J1483+'SPS1'!J1490+'SPS1'!J1497+'SPS1'!J1546+'SPS1'!J1593+'SPS1'!J1640</f>
        <v>123.71138985377769</v>
      </c>
      <c r="H7" s="1">
        <f>'SPS1'!K1136+'SPS1'!K1315+'SPS1'!K1399+'SPS1'!K1483+'SPS1'!K1490+'SPS1'!K1497+'SPS1'!K1546+'SPS1'!K1593+'SPS1'!K1640</f>
        <v>118.44774353382257</v>
      </c>
    </row>
    <row r="8" spans="2:8" x14ac:dyDescent="0.5">
      <c r="B8" s="2" t="s">
        <v>1735</v>
      </c>
      <c r="C8" s="3">
        <f>SUM(C9:C12)</f>
        <v>509.51477823602386</v>
      </c>
      <c r="D8" s="3">
        <f t="shared" ref="D8:H8" si="1">SUM(D9:D12)</f>
        <v>500.97115382963756</v>
      </c>
      <c r="E8" s="3">
        <f t="shared" si="1"/>
        <v>507.87283858342568</v>
      </c>
      <c r="F8" s="3">
        <f t="shared" si="1"/>
        <v>543.84487096449368</v>
      </c>
      <c r="G8" s="3">
        <f t="shared" si="1"/>
        <v>505.76753351373111</v>
      </c>
      <c r="H8" s="3">
        <f t="shared" si="1"/>
        <v>436.40910106833775</v>
      </c>
    </row>
    <row r="9" spans="2:8" x14ac:dyDescent="0.5">
      <c r="B9" s="23" t="s">
        <v>1732</v>
      </c>
      <c r="C9" s="1">
        <f>'SPS1'!F291+'SPS1'!F409</f>
        <v>493.60781311589216</v>
      </c>
      <c r="D9" s="1">
        <f>'SPS1'!G291+'SPS1'!G409</f>
        <v>476.73507489347747</v>
      </c>
      <c r="E9" s="1">
        <f>'SPS1'!H291+'SPS1'!H409</f>
        <v>483.9697899459498</v>
      </c>
      <c r="F9" s="1">
        <f>'SPS1'!I291+'SPS1'!I409</f>
        <v>521.43533094118709</v>
      </c>
      <c r="G9" s="1">
        <f>'SPS1'!J291+'SPS1'!J409</f>
        <v>483.32589061183467</v>
      </c>
      <c r="H9" s="1">
        <f>'SPS1'!K291+'SPS1'!K409</f>
        <v>414.20788707963311</v>
      </c>
    </row>
    <row r="10" spans="2:8" x14ac:dyDescent="0.5">
      <c r="B10" s="23" t="s">
        <v>1733</v>
      </c>
      <c r="C10" s="1">
        <f>'SPS1'!F590+'SPS1'!F604+'SPS1'!F644</f>
        <v>15.901102484075466</v>
      </c>
      <c r="D10" s="1">
        <f>'SPS1'!G590+'SPS1'!G604+'SPS1'!G644</f>
        <v>24.227598441995518</v>
      </c>
      <c r="E10" s="1">
        <f>'SPS1'!H590+'SPS1'!H604+'SPS1'!H644</f>
        <v>23.894593112016707</v>
      </c>
      <c r="F10" s="1">
        <f>'SPS1'!I590+'SPS1'!I604+'SPS1'!I644</f>
        <v>22.380880306148708</v>
      </c>
      <c r="G10" s="1">
        <f>'SPS1'!J590+'SPS1'!J604+'SPS1'!J644</f>
        <v>22.360393669492897</v>
      </c>
      <c r="H10" s="1">
        <f>'SPS1'!K590+'SPS1'!K604+'SPS1'!K644</f>
        <v>22.08910975519855</v>
      </c>
    </row>
    <row r="11" spans="2:8" x14ac:dyDescent="0.5">
      <c r="B11" s="23" t="s">
        <v>1731</v>
      </c>
      <c r="C11" s="1">
        <f>'SPS1'!F679</f>
        <v>5.8626360562511071E-3</v>
      </c>
      <c r="D11" s="1">
        <f>'SPS1'!G679</f>
        <v>8.4804941645605578E-3</v>
      </c>
      <c r="E11" s="1">
        <f>'SPS1'!H679</f>
        <v>8.4555254591415913E-3</v>
      </c>
      <c r="F11" s="1">
        <f>'SPS1'!I679</f>
        <v>2.8659717157907535E-2</v>
      </c>
      <c r="G11" s="1">
        <f>'SPS1'!J679</f>
        <v>8.1249232403556984E-2</v>
      </c>
      <c r="H11" s="1">
        <f>'SPS1'!K679</f>
        <v>0.11210423350608306</v>
      </c>
    </row>
    <row r="12" spans="2:8" x14ac:dyDescent="0.5">
      <c r="B12" s="23" t="s">
        <v>1734</v>
      </c>
      <c r="C12" s="1">
        <f>'SPS1'!F1707</f>
        <v>0</v>
      </c>
      <c r="D12" s="1">
        <f>'SPS1'!G1707</f>
        <v>0</v>
      </c>
      <c r="E12" s="1">
        <f>'SPS1'!H1707</f>
        <v>0</v>
      </c>
      <c r="F12" s="1">
        <f>'SPS1'!I1707</f>
        <v>0</v>
      </c>
      <c r="G12" s="1">
        <f>'SPS1'!J1707</f>
        <v>0</v>
      </c>
      <c r="H12" s="1">
        <f>'SPS1'!K1707</f>
        <v>0</v>
      </c>
    </row>
    <row r="13" spans="2:8" x14ac:dyDescent="0.5">
      <c r="B13" s="2" t="s">
        <v>1736</v>
      </c>
      <c r="C13" s="3">
        <f>'SPS1'!F2+'SPS1'!F20-'SPS1'!F57</f>
        <v>962.49685584910173</v>
      </c>
      <c r="D13" s="3">
        <f>'SPS1'!G2+'SPS1'!G20-'SPS1'!G57</f>
        <v>962.40308444361722</v>
      </c>
      <c r="E13" s="3">
        <f>'SPS1'!H2+'SPS1'!H20-'SPS1'!H57</f>
        <v>924.19450289329939</v>
      </c>
      <c r="F13" s="3">
        <f>'SPS1'!I2+'SPS1'!I20-'SPS1'!I57</f>
        <v>897.93174212060092</v>
      </c>
      <c r="G13" s="3">
        <f>'SPS1'!J2+'SPS1'!J20-'SPS1'!J57</f>
        <v>835.88268056191623</v>
      </c>
      <c r="H13" s="3">
        <f>'SPS1'!K2+'SPS1'!K20-'SPS1'!K57</f>
        <v>775.71931838221167</v>
      </c>
    </row>
    <row r="14" spans="2:8" x14ac:dyDescent="0.5">
      <c r="B14" s="23" t="s">
        <v>1737</v>
      </c>
      <c r="C14" s="1">
        <f>'SPS1'!F2</f>
        <v>299.90056103004576</v>
      </c>
      <c r="D14" s="1">
        <f>'SPS1'!G2</f>
        <v>295.42081873213789</v>
      </c>
      <c r="E14" s="1">
        <f>'SPS1'!H2</f>
        <v>331.08394448158236</v>
      </c>
      <c r="F14" s="1">
        <f>'SPS1'!I2</f>
        <v>364.92305896500466</v>
      </c>
      <c r="G14" s="1">
        <f>'SPS1'!J2</f>
        <v>376.07664570164803</v>
      </c>
      <c r="H14" s="1">
        <f>'SPS1'!K2</f>
        <v>382.02346789553866</v>
      </c>
    </row>
    <row r="15" spans="2:8" x14ac:dyDescent="0.5">
      <c r="B15" s="23" t="s">
        <v>19</v>
      </c>
      <c r="C15" s="1">
        <f>'SPS1'!F20</f>
        <v>779.76630178440496</v>
      </c>
      <c r="D15" s="1">
        <f>'SPS1'!G20</f>
        <v>702.80041363734369</v>
      </c>
      <c r="E15" s="1">
        <f>'SPS1'!H20</f>
        <v>657.54307662115434</v>
      </c>
      <c r="F15" s="1">
        <f>'SPS1'!I20</f>
        <v>614.01536859750081</v>
      </c>
      <c r="G15" s="1">
        <f>'SPS1'!J20</f>
        <v>524.92930021053132</v>
      </c>
      <c r="H15" s="1">
        <f>'SPS1'!K20</f>
        <v>436.89280449142586</v>
      </c>
    </row>
    <row r="16" spans="2:8" x14ac:dyDescent="0.5">
      <c r="B16" s="23" t="s">
        <v>24</v>
      </c>
      <c r="C16" s="1">
        <f>'SPS1'!F57</f>
        <v>117.17000696534897</v>
      </c>
      <c r="D16" s="1">
        <f>'SPS1'!G57</f>
        <v>35.818147925864416</v>
      </c>
      <c r="E16" s="1">
        <f>'SPS1'!H57</f>
        <v>64.432518209437347</v>
      </c>
      <c r="F16" s="1">
        <f>'SPS1'!I57</f>
        <v>81.006685441904509</v>
      </c>
      <c r="G16" s="1">
        <f>'SPS1'!J57</f>
        <v>65.123265350263239</v>
      </c>
      <c r="H16" s="1">
        <f>'SPS1'!K57</f>
        <v>43.196954004752769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SPS1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Fernandez de Losada, Lucas Javier</cp:lastModifiedBy>
  <dcterms:created xsi:type="dcterms:W3CDTF">2023-01-16T15:31:56Z</dcterms:created>
  <dcterms:modified xsi:type="dcterms:W3CDTF">2026-03-24T10:30:24Z</dcterms:modified>
</cp:coreProperties>
</file>