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-105" yWindow="-105" windowWidth="25815" windowHeight="14025" activeTab="4"/>
  </bookViews>
  <sheets>
    <sheet name="ICEV engines" sheetId="4" r:id="rId1"/>
    <sheet name="Engines mass" sheetId="9" r:id="rId2"/>
    <sheet name="Electric trucks" sheetId="10" r:id="rId3"/>
    <sheet name="Fuel cell trucks" sheetId="11" r:id="rId4"/>
    <sheet name="Swiss buses" sheetId="12" r:id="rId5"/>
    <sheet name="BEV motors" sheetId="3" r:id="rId6"/>
    <sheet name="BEV chargers" sheetId="2" r:id="rId7"/>
    <sheet name="Loading factors" sheetId="5" r:id="rId8"/>
    <sheet name="battery sizing" sheetId="6" r:id="rId9"/>
    <sheet name="weight composition" sheetId="7" r:id="rId10"/>
    <sheet name="weight composition of MAN TGX" sheetId="8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1" l="1"/>
  <c r="C8" i="11"/>
  <c r="K7" i="11"/>
  <c r="C7" i="11"/>
  <c r="C6" i="11" l="1"/>
  <c r="K6" i="11"/>
  <c r="K5" i="11"/>
  <c r="C5" i="11"/>
  <c r="K4" i="11"/>
  <c r="C4" i="11"/>
  <c r="K3" i="11"/>
  <c r="C3" i="11"/>
  <c r="K2" i="11"/>
  <c r="C2" i="11"/>
  <c r="C3" i="10" l="1"/>
  <c r="C4" i="10"/>
  <c r="C5" i="10"/>
  <c r="C6" i="10"/>
  <c r="C7" i="10"/>
  <c r="C8" i="10"/>
  <c r="C9" i="10"/>
  <c r="C10" i="10"/>
  <c r="C11" i="10"/>
  <c r="C12" i="10"/>
  <c r="C13" i="10"/>
  <c r="C14" i="10"/>
  <c r="C2" i="10"/>
  <c r="I14" i="10"/>
  <c r="I12" i="10"/>
  <c r="I11" i="10"/>
  <c r="I10" i="10"/>
  <c r="I9" i="10"/>
  <c r="I8" i="10"/>
  <c r="I7" i="10"/>
  <c r="I6" i="10"/>
  <c r="I5" i="10"/>
  <c r="I4" i="10"/>
  <c r="I3" i="10"/>
  <c r="I2" i="10"/>
  <c r="F31" i="7" l="1"/>
  <c r="G32" i="7"/>
  <c r="H32" i="7"/>
  <c r="I32" i="7"/>
  <c r="J32" i="7"/>
  <c r="K32" i="7"/>
  <c r="L32" i="7"/>
  <c r="F32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D15" i="8"/>
  <c r="L21" i="7"/>
  <c r="K21" i="7"/>
  <c r="H21" i="7"/>
  <c r="G21" i="7"/>
  <c r="F21" i="7"/>
  <c r="K28" i="7"/>
  <c r="K27" i="7"/>
  <c r="K26" i="7"/>
  <c r="K25" i="7"/>
  <c r="K24" i="7"/>
  <c r="F29" i="7"/>
  <c r="G29" i="7"/>
  <c r="K23" i="7"/>
  <c r="C15" i="8" l="1"/>
  <c r="H33" i="7" l="1"/>
  <c r="K33" i="7"/>
  <c r="H31" i="7"/>
  <c r="K31" i="7"/>
  <c r="F8" i="7" l="1"/>
  <c r="F9" i="7"/>
  <c r="F10" i="7"/>
  <c r="F11" i="7"/>
  <c r="F12" i="7"/>
  <c r="F13" i="7"/>
  <c r="F14" i="7"/>
  <c r="F15" i="7"/>
  <c r="F16" i="7"/>
  <c r="F17" i="7"/>
  <c r="F18" i="7"/>
  <c r="F19" i="7"/>
  <c r="F7" i="7"/>
  <c r="F33" i="7" s="1"/>
  <c r="L8" i="7"/>
  <c r="L9" i="7"/>
  <c r="L10" i="7"/>
  <c r="L11" i="7"/>
  <c r="L12" i="7"/>
  <c r="L13" i="7"/>
  <c r="L14" i="7"/>
  <c r="L15" i="7"/>
  <c r="L16" i="7"/>
  <c r="L17" i="7"/>
  <c r="L18" i="7"/>
  <c r="L19" i="7"/>
  <c r="L7" i="7"/>
  <c r="L33" i="7" s="1"/>
  <c r="J8" i="7"/>
  <c r="J9" i="7"/>
  <c r="J10" i="7"/>
  <c r="J11" i="7"/>
  <c r="J12" i="7"/>
  <c r="J13" i="7"/>
  <c r="J15" i="7"/>
  <c r="J17" i="7"/>
  <c r="J7" i="7"/>
  <c r="J33" i="7" s="1"/>
  <c r="I8" i="7"/>
  <c r="I9" i="7"/>
  <c r="I10" i="7"/>
  <c r="I11" i="7"/>
  <c r="I12" i="7"/>
  <c r="I13" i="7"/>
  <c r="I14" i="7"/>
  <c r="I15" i="7"/>
  <c r="I16" i="7"/>
  <c r="I17" i="7"/>
  <c r="I18" i="7"/>
  <c r="I7" i="7"/>
  <c r="I33" i="7" s="1"/>
  <c r="G8" i="7"/>
  <c r="G9" i="7"/>
  <c r="G10" i="7"/>
  <c r="G11" i="7"/>
  <c r="G12" i="7"/>
  <c r="G13" i="7"/>
  <c r="G14" i="7"/>
  <c r="G15" i="7"/>
  <c r="G16" i="7"/>
  <c r="G17" i="7"/>
  <c r="G18" i="7"/>
  <c r="G19" i="7"/>
  <c r="G31" i="7" s="1"/>
  <c r="G7" i="7"/>
  <c r="G33" i="7" s="1"/>
  <c r="H20" i="7"/>
  <c r="H22" i="7" s="1"/>
  <c r="H23" i="7" s="1"/>
  <c r="K20" i="7"/>
  <c r="K22" i="7" s="1"/>
  <c r="J31" i="7" l="1"/>
  <c r="I31" i="7"/>
  <c r="L31" i="7"/>
  <c r="G20" i="7"/>
  <c r="G22" i="7" s="1"/>
  <c r="K29" i="7"/>
  <c r="F20" i="7"/>
  <c r="F22" i="7" s="1"/>
  <c r="L20" i="7"/>
  <c r="L22" i="7" s="1"/>
  <c r="J20" i="7"/>
  <c r="I20" i="7"/>
  <c r="F49" i="6"/>
  <c r="F56" i="6" s="1"/>
  <c r="F63" i="6" s="1"/>
  <c r="F28" i="6" s="1"/>
  <c r="E49" i="6"/>
  <c r="E56" i="6" s="1"/>
  <c r="E63" i="6" s="1"/>
  <c r="E28" i="6" s="1"/>
  <c r="D48" i="6"/>
  <c r="D55" i="6" s="1"/>
  <c r="D62" i="6" s="1"/>
  <c r="D27" i="6" s="1"/>
  <c r="C48" i="6"/>
  <c r="C55" i="6" s="1"/>
  <c r="C62" i="6" s="1"/>
  <c r="C27" i="6" s="1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C20" i="6"/>
  <c r="C21" i="6"/>
  <c r="C22" i="6"/>
  <c r="C23" i="6"/>
  <c r="C24" i="6"/>
  <c r="C19" i="6"/>
  <c r="F50" i="6"/>
  <c r="F57" i="6" s="1"/>
  <c r="F64" i="6" s="1"/>
  <c r="F29" i="6" s="1"/>
  <c r="I22" i="7" l="1"/>
  <c r="I23" i="7" s="1"/>
  <c r="I21" i="7"/>
  <c r="J22" i="7"/>
  <c r="J21" i="7"/>
  <c r="L23" i="7"/>
  <c r="L26" i="7"/>
  <c r="L27" i="7"/>
  <c r="L28" i="7"/>
  <c r="L25" i="7"/>
  <c r="L24" i="7"/>
  <c r="J23" i="7"/>
  <c r="F23" i="7"/>
  <c r="G23" i="7"/>
  <c r="L29" i="7"/>
  <c r="D52" i="6"/>
  <c r="D59" i="6" s="1"/>
  <c r="D66" i="6" s="1"/>
  <c r="D31" i="6" s="1"/>
  <c r="E52" i="6"/>
  <c r="E59" i="6" s="1"/>
  <c r="E66" i="6" s="1"/>
  <c r="E31" i="6" s="1"/>
  <c r="E48" i="6"/>
  <c r="E55" i="6" s="1"/>
  <c r="E62" i="6" s="1"/>
  <c r="E27" i="6" s="1"/>
  <c r="E51" i="6"/>
  <c r="E58" i="6" s="1"/>
  <c r="E65" i="6" s="1"/>
  <c r="E30" i="6" s="1"/>
  <c r="E50" i="6"/>
  <c r="E57" i="6" s="1"/>
  <c r="E64" i="6" s="1"/>
  <c r="E29" i="6" s="1"/>
  <c r="D49" i="6"/>
  <c r="D56" i="6" s="1"/>
  <c r="D63" i="6" s="1"/>
  <c r="D28" i="6" s="1"/>
  <c r="D47" i="6"/>
  <c r="D54" i="6" s="1"/>
  <c r="D61" i="6" s="1"/>
  <c r="D26" i="6" s="1"/>
  <c r="D51" i="6"/>
  <c r="D58" i="6" s="1"/>
  <c r="D65" i="6" s="1"/>
  <c r="D30" i="6" s="1"/>
  <c r="C47" i="6"/>
  <c r="C54" i="6" s="1"/>
  <c r="C61" i="6" s="1"/>
  <c r="C26" i="6" s="1"/>
  <c r="C52" i="6"/>
  <c r="C59" i="6" s="1"/>
  <c r="C66" i="6" s="1"/>
  <c r="C31" i="6" s="1"/>
  <c r="C50" i="6"/>
  <c r="C57" i="6" s="1"/>
  <c r="C64" i="6" s="1"/>
  <c r="C29" i="6" s="1"/>
  <c r="C49" i="6"/>
  <c r="C56" i="6" s="1"/>
  <c r="C63" i="6" s="1"/>
  <c r="C28" i="6" s="1"/>
  <c r="C51" i="6"/>
  <c r="C58" i="6" s="1"/>
  <c r="C65" i="6" s="1"/>
  <c r="C30" i="6" s="1"/>
  <c r="F47" i="6"/>
  <c r="F54" i="6" s="1"/>
  <c r="F61" i="6" s="1"/>
  <c r="F26" i="6" s="1"/>
  <c r="F51" i="6"/>
  <c r="F58" i="6" s="1"/>
  <c r="F65" i="6" s="1"/>
  <c r="F30" i="6" s="1"/>
  <c r="D50" i="6"/>
  <c r="D57" i="6" s="1"/>
  <c r="D64" i="6" s="1"/>
  <c r="D29" i="6" s="1"/>
  <c r="F48" i="6"/>
  <c r="F55" i="6" s="1"/>
  <c r="F62" i="6" s="1"/>
  <c r="F27" i="6" s="1"/>
  <c r="E47" i="6"/>
  <c r="E54" i="6" s="1"/>
  <c r="E61" i="6" s="1"/>
  <c r="E26" i="6" s="1"/>
  <c r="F52" i="6"/>
  <c r="F59" i="6" s="1"/>
  <c r="F66" i="6" s="1"/>
  <c r="F31" i="6" s="1"/>
  <c r="I45" i="5"/>
  <c r="I44" i="5"/>
  <c r="I43" i="5"/>
  <c r="E45" i="5"/>
  <c r="E49" i="5" s="1"/>
  <c r="E44" i="5"/>
  <c r="E43" i="5"/>
  <c r="C45" i="5"/>
  <c r="C44" i="5"/>
  <c r="C43" i="5"/>
  <c r="C47" i="5" s="1"/>
  <c r="B45" i="5"/>
  <c r="B44" i="5"/>
  <c r="B43" i="5"/>
  <c r="B47" i="5" s="1"/>
  <c r="I51" i="5"/>
  <c r="E51" i="5"/>
  <c r="C51" i="5"/>
  <c r="B51" i="5"/>
  <c r="I49" i="5"/>
  <c r="C49" i="5"/>
  <c r="B49" i="5"/>
  <c r="I48" i="5"/>
  <c r="E48" i="5"/>
  <c r="C48" i="5"/>
  <c r="B48" i="5"/>
  <c r="I47" i="5"/>
  <c r="E47" i="5"/>
  <c r="C30" i="5"/>
  <c r="D30" i="5"/>
  <c r="E30" i="5"/>
  <c r="F30" i="5"/>
  <c r="F34" i="5" s="1"/>
  <c r="G30" i="5"/>
  <c r="H30" i="5"/>
  <c r="I30" i="5"/>
  <c r="C31" i="5"/>
  <c r="C35" i="5" s="1"/>
  <c r="D31" i="5"/>
  <c r="E31" i="5"/>
  <c r="F31" i="5"/>
  <c r="G31" i="5"/>
  <c r="G35" i="5" s="1"/>
  <c r="H31" i="5"/>
  <c r="I31" i="5"/>
  <c r="C32" i="5"/>
  <c r="D32" i="5"/>
  <c r="D36" i="5" s="1"/>
  <c r="E32" i="5"/>
  <c r="F32" i="5"/>
  <c r="G32" i="5"/>
  <c r="H32" i="5"/>
  <c r="H36" i="5" s="1"/>
  <c r="I32" i="5"/>
  <c r="B31" i="5"/>
  <c r="B35" i="5" s="1"/>
  <c r="B32" i="5"/>
  <c r="B36" i="5" s="1"/>
  <c r="B30" i="5"/>
  <c r="I38" i="5"/>
  <c r="H38" i="5"/>
  <c r="G38" i="5"/>
  <c r="F38" i="5"/>
  <c r="E38" i="5"/>
  <c r="D38" i="5"/>
  <c r="C38" i="5"/>
  <c r="B38" i="5"/>
  <c r="I36" i="5"/>
  <c r="G36" i="5"/>
  <c r="F36" i="5"/>
  <c r="E36" i="5"/>
  <c r="C36" i="5"/>
  <c r="I35" i="5"/>
  <c r="H35" i="5"/>
  <c r="F35" i="5"/>
  <c r="E35" i="5"/>
  <c r="D35" i="5"/>
  <c r="I34" i="5"/>
  <c r="H34" i="5"/>
  <c r="G34" i="5"/>
  <c r="E34" i="5"/>
  <c r="D34" i="5"/>
  <c r="C34" i="5"/>
  <c r="B34" i="5"/>
  <c r="H25" i="5"/>
  <c r="G25" i="5"/>
  <c r="F25" i="5"/>
  <c r="E25" i="5"/>
  <c r="D25" i="5"/>
  <c r="C25" i="5"/>
  <c r="B25" i="5"/>
  <c r="C18" i="5"/>
  <c r="D18" i="5"/>
  <c r="E18" i="5"/>
  <c r="F18" i="5"/>
  <c r="G18" i="5"/>
  <c r="H18" i="5"/>
  <c r="B18" i="5"/>
  <c r="C19" i="5"/>
  <c r="D19" i="5"/>
  <c r="E19" i="5"/>
  <c r="E23" i="5" s="1"/>
  <c r="F19" i="5"/>
  <c r="F23" i="5" s="1"/>
  <c r="G19" i="5"/>
  <c r="H19" i="5"/>
  <c r="B19" i="5"/>
  <c r="B23" i="5" s="1"/>
  <c r="C17" i="5"/>
  <c r="D17" i="5"/>
  <c r="E17" i="5"/>
  <c r="E21" i="5" s="1"/>
  <c r="F17" i="5"/>
  <c r="G17" i="5"/>
  <c r="H17" i="5"/>
  <c r="B17" i="5"/>
  <c r="B21" i="5" s="1"/>
  <c r="C12" i="5"/>
  <c r="D12" i="5"/>
  <c r="E12" i="5"/>
  <c r="F12" i="5"/>
  <c r="G12" i="5"/>
  <c r="H12" i="5"/>
  <c r="I12" i="5"/>
  <c r="B12" i="5"/>
  <c r="H23" i="5"/>
  <c r="G23" i="5"/>
  <c r="D23" i="5"/>
  <c r="C23" i="5"/>
  <c r="H22" i="5"/>
  <c r="G22" i="5"/>
  <c r="F22" i="5"/>
  <c r="E22" i="5"/>
  <c r="D22" i="5"/>
  <c r="C22" i="5"/>
  <c r="B22" i="5"/>
  <c r="H21" i="5"/>
  <c r="G21" i="5"/>
  <c r="F21" i="5"/>
  <c r="D21" i="5"/>
  <c r="C21" i="5"/>
  <c r="B4" i="5"/>
  <c r="C4" i="5"/>
  <c r="D4" i="5"/>
  <c r="D8" i="5" s="1"/>
  <c r="E4" i="5"/>
  <c r="E8" i="5" s="1"/>
  <c r="F4" i="5"/>
  <c r="G4" i="5"/>
  <c r="G8" i="5" s="1"/>
  <c r="H4" i="5"/>
  <c r="H8" i="5" s="1"/>
  <c r="I4" i="5"/>
  <c r="I8" i="5" s="1"/>
  <c r="B5" i="5"/>
  <c r="C5" i="5"/>
  <c r="C9" i="5" s="1"/>
  <c r="D5" i="5"/>
  <c r="D9" i="5" s="1"/>
  <c r="E5" i="5"/>
  <c r="E9" i="5" s="1"/>
  <c r="F5" i="5"/>
  <c r="G5" i="5"/>
  <c r="G9" i="5" s="1"/>
  <c r="H5" i="5"/>
  <c r="H9" i="5" s="1"/>
  <c r="I5" i="5"/>
  <c r="I9" i="5" s="1"/>
  <c r="B6" i="5"/>
  <c r="C6" i="5"/>
  <c r="C10" i="5" s="1"/>
  <c r="D6" i="5"/>
  <c r="D10" i="5" s="1"/>
  <c r="E6" i="5"/>
  <c r="E10" i="5" s="1"/>
  <c r="F6" i="5"/>
  <c r="G6" i="5"/>
  <c r="G10" i="5" s="1"/>
  <c r="H6" i="5"/>
  <c r="H10" i="5" s="1"/>
  <c r="I6" i="5"/>
  <c r="I10" i="5" s="1"/>
  <c r="B8" i="5"/>
  <c r="C8" i="5"/>
  <c r="F8" i="5"/>
  <c r="B9" i="5"/>
  <c r="F9" i="5"/>
  <c r="B10" i="5"/>
  <c r="F10" i="5"/>
  <c r="C5" i="2"/>
  <c r="B5" i="2"/>
  <c r="I26" i="7" l="1"/>
  <c r="I24" i="7"/>
  <c r="I27" i="7"/>
  <c r="I28" i="7"/>
  <c r="I25" i="7"/>
  <c r="J25" i="7"/>
  <c r="J24" i="7"/>
  <c r="J27" i="7"/>
  <c r="J28" i="7"/>
  <c r="J26" i="7"/>
</calcChain>
</file>

<file path=xl/sharedStrings.xml><?xml version="1.0" encoding="utf-8"?>
<sst xmlns="http://schemas.openxmlformats.org/spreadsheetml/2006/main" count="431" uniqueCount="252">
  <si>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</si>
  <si>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</si>
  <si>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</si>
  <si>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</si>
  <si>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</si>
  <si>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</si>
  <si>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</si>
  <si>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</si>
  <si>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</si>
  <si>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</si>
  <si>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</si>
  <si>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</si>
  <si>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</si>
  <si>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</si>
  <si>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</si>
  <si>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</si>
  <si>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Theoretical max. Carrying capacity, max (@9.5t cap.) (million tkm)</t>
  </si>
  <si>
    <t>Theoretical max. Carrying capacity, mean (@4.25t cap.) (million tkm)</t>
  </si>
  <si>
    <t>Theoretical max. Carrying capacity, min (@3.5t cap.)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</si>
  <si>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</si>
  <si>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</si>
  <si>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</si>
  <si>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</si>
  <si>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</si>
  <si>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</si>
  <si>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</si>
  <si>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</si>
  <si>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</si>
  <si>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</si>
  <si>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</si>
  <si>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</si>
  <si>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</si>
  <si>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</si>
  <si>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</si>
  <si>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</si>
  <si>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</si>
  <si>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</si>
  <si>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</si>
  <si>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</si>
  <si>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</si>
  <si>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</si>
  <si>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</si>
  <si>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</si>
  <si>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</si>
  <si>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</si>
  <si>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</si>
  <si>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</si>
  <si>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</si>
  <si>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</si>
  <si>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</si>
  <si>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</si>
  <si>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</si>
  <si>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</si>
  <si>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</si>
  <si>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</si>
  <si>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</si>
  <si>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</si>
  <si>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</si>
  <si>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</si>
  <si>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</si>
  <si>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</si>
  <si>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</si>
  <si>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</si>
  <si>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</si>
  <si>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</si>
  <si>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</si>
  <si>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</si>
  <si>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</si>
  <si>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</si>
  <si>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</si>
  <si>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</si>
  <si>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</si>
  <si>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</si>
  <si>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</si>
  <si>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</si>
  <si>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</si>
  <si>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</si>
  <si>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</si>
  <si>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</si>
  <si>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</si>
  <si>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</si>
  <si>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</si>
  <si>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</si>
  <si>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</si>
  <si>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</si>
  <si>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</si>
  <si>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</si>
  <si>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</si>
  <si>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</si>
  <si>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</si>
  <si>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</si>
  <si>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</si>
  <si>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</si>
  <si>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</si>
  <si>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</si>
  <si>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</si>
  <si>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</si>
  <si>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</si>
  <si>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</si>
  <si>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</si>
  <si>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</si>
  <si>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</si>
  <si>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</si>
  <si>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</si>
  <si>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</si>
  <si>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</si>
  <si>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</si>
  <si>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</si>
  <si>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</si>
  <si>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</si>
  <si>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</si>
  <si>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</si>
  <si>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</si>
  <si>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</si>
  <si>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</si>
  <si>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</si>
  <si>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</si>
  <si>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</si>
  <si>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</si>
  <si>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</si>
  <si>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</si>
  <si>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</si>
  <si>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</si>
  <si>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</si>
  <si>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</si>
  <si>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</si>
  <si>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</si>
  <si>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</si>
  <si>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</si>
  <si>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</si>
  <si>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</si>
  <si>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</si>
  <si>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</si>
  <si>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</si>
  <si>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</si>
  <si>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</si>
  <si>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</si>
  <si>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</si>
  <si>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</si>
  <si>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</si>
  <si>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</si>
  <si>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</si>
  <si>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</si>
  <si>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</si>
  <si>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</si>
  <si>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</si>
  <si>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</si>
  <si>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</si>
  <si>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</si>
  <si>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</si>
  <si>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</si>
  <si>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</si>
  <si>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</si>
  <si>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</si>
  <si>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</si>
  <si>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</si>
  <si>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</si>
  <si>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</si>
  <si>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</si>
  <si>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</si>
  <si>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</si>
  <si>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</si>
  <si>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</si>
  <si>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</si>
  <si>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</si>
  <si>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</si>
  <si>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</si>
  <si>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</si>
  <si>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</si>
  <si>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</si>
  <si>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</si>
  <si>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</si>
  <si>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</si>
  <si>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</si>
  <si>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</si>
  <si>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</si>
  <si>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</si>
  <si>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</si>
  <si>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</si>
  <si>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</si>
  <si>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</si>
  <si>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</si>
  <si>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</si>
  <si>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</si>
  <si>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</si>
  <si>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</si>
  <si>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</si>
  <si>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</si>
  <si>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</si>
  <si>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</si>
  <si>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</si>
  <si>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</si>
  <si>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</si>
  <si>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</si>
  <si>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</si>
  <si>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</si>
  <si>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</si>
  <si>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</si>
  <si>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</si>
  <si>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</si>
  <si>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</si>
  <si>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</si>
  <si>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</si>
  <si>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</si>
  <si>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</si>
  <si>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</si>
  <si>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</si>
  <si>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</si>
  <si>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</si>
  <si>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</si>
  <si>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</si>
  <si>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</si>
  <si>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</si>
  <si>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</si>
  <si>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</si>
  <si>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</si>
  <si>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</si>
  <si>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</si>
  <si>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</si>
  <si>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</si>
  <si>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</si>
  <si>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</si>
  <si>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</si>
  <si>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</si>
  <si>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</si>
  <si>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</si>
  <si>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Make</t>
  </si>
  <si>
    <t>Mercedes-Benz</t>
  </si>
  <si>
    <t>Citaro</t>
  </si>
  <si>
    <t>Setra</t>
  </si>
  <si>
    <t>Connecto</t>
  </si>
  <si>
    <t>City</t>
  </si>
  <si>
    <t>S 319</t>
  </si>
  <si>
    <t>School</t>
  </si>
  <si>
    <t>Neoplan</t>
  </si>
  <si>
    <t>Cityliner</t>
  </si>
  <si>
    <t>S 417</t>
  </si>
  <si>
    <t>S 416</t>
  </si>
  <si>
    <t>S 417 UL</t>
  </si>
  <si>
    <t>S 415 H</t>
  </si>
  <si>
    <t>Coach, double deck</t>
  </si>
  <si>
    <t>Tourismo</t>
  </si>
  <si>
    <t>Coach</t>
  </si>
  <si>
    <t>S 416 GT-HD</t>
  </si>
  <si>
    <t>Length</t>
  </si>
  <si>
    <t>Height</t>
  </si>
  <si>
    <t>Pass. Capacity</t>
  </si>
  <si>
    <t>Curb weight</t>
  </si>
  <si>
    <t>Width</t>
  </si>
  <si>
    <t>S 516 HD</t>
  </si>
  <si>
    <t>S 431 DT</t>
  </si>
  <si>
    <t>S 516+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</si>
</sst>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2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trucks'!$F$1</c:f>
              <c:strCache>
                <c:ptCount val="1"/>
                <c:pt idx="0">
                  <c:v>Engine power [kW]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trucks'!$F$2:$F$14</c:f>
              <c:numCache>
                <c:formatCode>General</c:formatCode>
                <c:ptCount val="13"/>
                <c:pt idx="0">
                  <c:v>391</c:v>
                </c:pt>
                <c:pt idx="1">
                  <c:v>224</c:v>
                </c:pt>
                <c:pt idx="2">
                  <c:v>400</c:v>
                </c:pt>
                <c:pt idx="3">
                  <c:v>400</c:v>
                </c:pt>
                <c:pt idx="5">
                  <c:v>745</c:v>
                </c:pt>
                <c:pt idx="6">
                  <c:v>745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8-4EA4-9E81-B434A06F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trucks'!$E$1</c:f>
              <c:strCache>
                <c:ptCount val="1"/>
                <c:pt idx="0">
                  <c:v>Max. Payload [ton]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trucks'!$E$2:$E$14</c:f>
              <c:numCache>
                <c:formatCode>General</c:formatCode>
                <c:ptCount val="13"/>
                <c:pt idx="2">
                  <c:v>19.2</c:v>
                </c:pt>
                <c:pt idx="3">
                  <c:v>19.2</c:v>
                </c:pt>
                <c:pt idx="5">
                  <c:v>22</c:v>
                </c:pt>
                <c:pt idx="6">
                  <c:v>12</c:v>
                </c:pt>
                <c:pt idx="7">
                  <c:v>0.8</c:v>
                </c:pt>
                <c:pt idx="8">
                  <c:v>2.6</c:v>
                </c:pt>
                <c:pt idx="9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B-4195-99F4-AA94A24D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trucks'!$G$1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trucks'!$G$2:$G$14</c:f>
              <c:numCache>
                <c:formatCode>General</c:formatCode>
                <c:ptCount val="13"/>
                <c:pt idx="0">
                  <c:v>475</c:v>
                </c:pt>
                <c:pt idx="1">
                  <c:v>315</c:v>
                </c:pt>
                <c:pt idx="2">
                  <c:v>300</c:v>
                </c:pt>
                <c:pt idx="3">
                  <c:v>300</c:v>
                </c:pt>
                <c:pt idx="4">
                  <c:v>70</c:v>
                </c:pt>
                <c:pt idx="5">
                  <c:v>500</c:v>
                </c:pt>
                <c:pt idx="6">
                  <c:v>1100</c:v>
                </c:pt>
                <c:pt idx="7">
                  <c:v>43</c:v>
                </c:pt>
                <c:pt idx="8">
                  <c:v>150</c:v>
                </c:pt>
                <c:pt idx="9">
                  <c:v>175</c:v>
                </c:pt>
                <c:pt idx="10">
                  <c:v>175</c:v>
                </c:pt>
                <c:pt idx="11">
                  <c:v>350</c:v>
                </c:pt>
                <c:pt idx="1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0-49F4-B05E-364963F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composition'!$F$6:$L$6</c:f>
              <c:numCache>
                <c:formatCode>General</c:formatCode>
                <c:ptCount val="7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40000</c:v>
                </c:pt>
                <c:pt idx="6">
                  <c:v>60000</c:v>
                </c:pt>
              </c:numCache>
            </c:numRef>
          </c:xVal>
          <c:yVal>
            <c:numRef>
              <c:f>'weight composition'!$F$32:$L$32</c:f>
              <c:numCache>
                <c:formatCode>0</c:formatCode>
                <c:ptCount val="7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558</c:v>
                </c:pt>
                <c:pt idx="6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17</xdr:row>
      <xdr:rowOff>20637</xdr:rowOff>
    </xdr:from>
    <xdr:to>
      <xdr:col>4</xdr:col>
      <xdr:colOff>1120775</xdr:colOff>
      <xdr:row>32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1219200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17</xdr:row>
      <xdr:rowOff>19050</xdr:rowOff>
    </xdr:from>
    <xdr:to>
      <xdr:col>16</xdr:col>
      <xdr:colOff>323850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A11" sqref="A11:E12"/>
    </sheetView>
  </sheetViews>
  <sheetFormatPr defaultRowHeight="15" x14ac:dyDescent="0.25"/>
  <sheetData>
    <row r="2" spans="1:19" x14ac:dyDescent="0.25">
      <c r="A2" t="s">
        <v>10</v>
      </c>
    </row>
    <row r="3" spans="1:19" x14ac:dyDescent="0.25">
      <c r="A3" t="s">
        <v>5</v>
      </c>
      <c r="B3">
        <v>0.74570000000000003</v>
      </c>
    </row>
    <row r="4" spans="1:19" x14ac:dyDescent="0.25">
      <c r="A4" t="s">
        <v>127</v>
      </c>
    </row>
    <row r="5" spans="1:19" x14ac:dyDescent="0.25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126</v>
      </c>
      <c r="M5" t="s">
        <v>126</v>
      </c>
      <c r="N5" t="s">
        <v>126</v>
      </c>
      <c r="O5" t="s">
        <v>126</v>
      </c>
      <c r="P5" t="s">
        <v>126</v>
      </c>
      <c r="Q5" t="s">
        <v>126</v>
      </c>
      <c r="R5" t="s">
        <v>126</v>
      </c>
      <c r="S5" t="s">
        <v>126</v>
      </c>
    </row>
    <row r="6" spans="1:19" x14ac:dyDescent="0.25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25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25">
      <c r="A9" t="s">
        <v>128</v>
      </c>
    </row>
    <row r="10" spans="1:19" x14ac:dyDescent="0.25">
      <c r="A10" t="s">
        <v>6</v>
      </c>
      <c r="B10" t="s">
        <v>126</v>
      </c>
      <c r="C10" t="s">
        <v>126</v>
      </c>
      <c r="D10" t="s">
        <v>126</v>
      </c>
      <c r="E10" t="s">
        <v>126</v>
      </c>
    </row>
    <row r="11" spans="1:19" x14ac:dyDescent="0.25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25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19" sqref="I19"/>
    </sheetView>
  </sheetViews>
  <sheetFormatPr defaultRowHeight="15" x14ac:dyDescent="0.25"/>
  <cols>
    <col min="4" max="4" width="26.5703125" bestFit="1" customWidth="1"/>
    <col min="5" max="5" width="18.5703125" bestFit="1" customWidth="1"/>
    <col min="6" max="10" width="18.5703125" customWidth="1"/>
    <col min="11" max="12" width="18.28515625" bestFit="1" customWidth="1"/>
  </cols>
  <sheetData>
    <row r="1" spans="1:12" x14ac:dyDescent="0.25">
      <c r="A1" s="33" t="s">
        <v>112</v>
      </c>
    </row>
    <row r="2" spans="1:12" x14ac:dyDescent="0.25">
      <c r="A2" t="s">
        <v>113</v>
      </c>
      <c r="B2" t="s">
        <v>114</v>
      </c>
    </row>
    <row r="4" spans="1:12" x14ac:dyDescent="0.25">
      <c r="F4" t="s">
        <v>155</v>
      </c>
      <c r="G4" t="s">
        <v>154</v>
      </c>
      <c r="H4" s="34" t="s">
        <v>153</v>
      </c>
      <c r="I4" t="s">
        <v>152</v>
      </c>
      <c r="J4" t="s">
        <v>151</v>
      </c>
      <c r="K4" s="34" t="s">
        <v>149</v>
      </c>
      <c r="L4" t="s">
        <v>150</v>
      </c>
    </row>
    <row r="5" spans="1:12" ht="38.25" x14ac:dyDescent="0.25">
      <c r="E5" t="s">
        <v>161</v>
      </c>
      <c r="F5" s="20" t="s">
        <v>157</v>
      </c>
      <c r="G5" s="20" t="s">
        <v>157</v>
      </c>
      <c r="H5" s="20" t="s">
        <v>157</v>
      </c>
      <c r="I5" s="20" t="s">
        <v>157</v>
      </c>
      <c r="J5" s="20" t="s">
        <v>158</v>
      </c>
      <c r="K5" s="20" t="s">
        <v>159</v>
      </c>
      <c r="L5" s="20" t="s">
        <v>160</v>
      </c>
    </row>
    <row r="6" spans="1:12" x14ac:dyDescent="0.25">
      <c r="D6" s="55" t="s">
        <v>156</v>
      </c>
      <c r="E6" t="s">
        <v>119</v>
      </c>
      <c r="F6">
        <v>3500</v>
      </c>
      <c r="G6">
        <v>7500</v>
      </c>
      <c r="H6" s="34">
        <v>12000</v>
      </c>
      <c r="I6">
        <v>18000</v>
      </c>
      <c r="J6">
        <v>26000</v>
      </c>
      <c r="K6" s="34">
        <v>40000</v>
      </c>
      <c r="L6">
        <v>60000</v>
      </c>
    </row>
    <row r="7" spans="1:12" x14ac:dyDescent="0.25">
      <c r="D7" t="s">
        <v>97</v>
      </c>
      <c r="E7" t="s">
        <v>102</v>
      </c>
      <c r="F7" s="8">
        <f>H7*$F$6/$H$6</f>
        <v>151.08333333333334</v>
      </c>
      <c r="G7" s="8">
        <f>H7*$G$6/$H$6</f>
        <v>323.75</v>
      </c>
      <c r="H7" s="35">
        <v>518</v>
      </c>
      <c r="I7" s="8">
        <f>H7*$I$6/$H$6</f>
        <v>777</v>
      </c>
      <c r="J7" s="8">
        <f>H7*$J$6/$H$6</f>
        <v>1122.3333333333333</v>
      </c>
      <c r="K7" s="35">
        <v>1124</v>
      </c>
      <c r="L7" s="8">
        <f>K7*$L$6/$K$6</f>
        <v>1686</v>
      </c>
    </row>
    <row r="8" spans="1:12" x14ac:dyDescent="0.25">
      <c r="E8" t="s">
        <v>103</v>
      </c>
      <c r="F8" s="8">
        <f t="shared" ref="F8:F19" si="0">H8*$F$6/$H$6</f>
        <v>10.791666666666666</v>
      </c>
      <c r="G8" s="8">
        <f t="shared" ref="G8:G19" si="1">H8*$G$6/$H$6</f>
        <v>23.125</v>
      </c>
      <c r="H8" s="35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35">
        <v>140</v>
      </c>
      <c r="L8" s="8">
        <f t="shared" ref="L8:L19" si="4">K8*$L$6/$K$6</f>
        <v>210</v>
      </c>
    </row>
    <row r="9" spans="1:12" x14ac:dyDescent="0.25">
      <c r="E9" t="s">
        <v>104</v>
      </c>
      <c r="F9" s="8">
        <f t="shared" si="0"/>
        <v>13.708333333333334</v>
      </c>
      <c r="G9" s="8">
        <f t="shared" si="1"/>
        <v>29.375</v>
      </c>
      <c r="H9" s="35">
        <v>47</v>
      </c>
      <c r="I9" s="8">
        <f t="shared" si="2"/>
        <v>70.5</v>
      </c>
      <c r="J9" s="8">
        <f t="shared" si="3"/>
        <v>101.83333333333333</v>
      </c>
      <c r="K9" s="35">
        <v>80</v>
      </c>
      <c r="L9" s="8">
        <f t="shared" si="4"/>
        <v>120</v>
      </c>
    </row>
    <row r="10" spans="1:12" x14ac:dyDescent="0.25">
      <c r="E10" t="s">
        <v>105</v>
      </c>
      <c r="F10" s="8">
        <f t="shared" si="0"/>
        <v>43.75</v>
      </c>
      <c r="G10" s="8">
        <f t="shared" si="1"/>
        <v>93.75</v>
      </c>
      <c r="H10" s="35">
        <v>150</v>
      </c>
      <c r="I10" s="8">
        <f t="shared" si="2"/>
        <v>225</v>
      </c>
      <c r="J10" s="8">
        <f t="shared" si="3"/>
        <v>325</v>
      </c>
      <c r="K10" s="35">
        <v>220</v>
      </c>
      <c r="L10" s="8">
        <f t="shared" si="4"/>
        <v>330</v>
      </c>
    </row>
    <row r="11" spans="1:12" x14ac:dyDescent="0.25">
      <c r="E11" t="s">
        <v>106</v>
      </c>
      <c r="F11" s="8">
        <f t="shared" si="0"/>
        <v>82.541666666666671</v>
      </c>
      <c r="G11" s="8">
        <f t="shared" si="1"/>
        <v>176.875</v>
      </c>
      <c r="H11" s="35">
        <v>283</v>
      </c>
      <c r="I11" s="8">
        <f t="shared" si="2"/>
        <v>424.5</v>
      </c>
      <c r="J11" s="8">
        <f t="shared" si="3"/>
        <v>613.16666666666663</v>
      </c>
      <c r="K11" s="35">
        <v>558</v>
      </c>
      <c r="L11" s="8">
        <f t="shared" si="4"/>
        <v>837</v>
      </c>
    </row>
    <row r="12" spans="1:12" x14ac:dyDescent="0.25">
      <c r="D12" t="s">
        <v>98</v>
      </c>
      <c r="F12" s="8">
        <f t="shared" si="0"/>
        <v>24.208333333333332</v>
      </c>
      <c r="G12" s="8">
        <f t="shared" si="1"/>
        <v>51.875</v>
      </c>
      <c r="H12" s="35">
        <v>83</v>
      </c>
      <c r="I12" s="8">
        <f t="shared" si="2"/>
        <v>124.5</v>
      </c>
      <c r="J12" s="8">
        <f t="shared" si="3"/>
        <v>179.83333333333334</v>
      </c>
      <c r="K12" s="35">
        <v>265</v>
      </c>
      <c r="L12" s="8">
        <f t="shared" si="4"/>
        <v>397.5</v>
      </c>
    </row>
    <row r="13" spans="1:12" x14ac:dyDescent="0.25">
      <c r="D13" t="s">
        <v>99</v>
      </c>
      <c r="E13" t="s">
        <v>107</v>
      </c>
      <c r="F13" s="8">
        <f t="shared" si="0"/>
        <v>119.58333333333333</v>
      </c>
      <c r="G13" s="8">
        <f t="shared" si="1"/>
        <v>256.25</v>
      </c>
      <c r="H13" s="35">
        <v>410</v>
      </c>
      <c r="I13" s="8">
        <f t="shared" si="2"/>
        <v>615</v>
      </c>
      <c r="J13" s="8">
        <f t="shared" si="3"/>
        <v>888.33333333333337</v>
      </c>
      <c r="K13" s="35">
        <v>3439</v>
      </c>
      <c r="L13" s="8">
        <f t="shared" si="4"/>
        <v>5158.5</v>
      </c>
    </row>
    <row r="14" spans="1:12" x14ac:dyDescent="0.25">
      <c r="E14" t="s">
        <v>108</v>
      </c>
      <c r="F14" s="8">
        <f t="shared" si="0"/>
        <v>310.33333333333331</v>
      </c>
      <c r="G14" s="8">
        <f t="shared" si="1"/>
        <v>665</v>
      </c>
      <c r="H14" s="35">
        <v>1064</v>
      </c>
      <c r="I14" s="8">
        <f t="shared" si="2"/>
        <v>1596</v>
      </c>
      <c r="J14" s="8">
        <v>2000</v>
      </c>
      <c r="K14" s="35">
        <v>2656</v>
      </c>
      <c r="L14" s="8">
        <f t="shared" si="4"/>
        <v>3984</v>
      </c>
    </row>
    <row r="15" spans="1:12" x14ac:dyDescent="0.25">
      <c r="E15" t="s">
        <v>109</v>
      </c>
      <c r="F15" s="8">
        <f t="shared" si="0"/>
        <v>24.208333333333332</v>
      </c>
      <c r="G15" s="8">
        <f t="shared" si="1"/>
        <v>51.875</v>
      </c>
      <c r="H15" s="35">
        <v>83</v>
      </c>
      <c r="I15" s="8">
        <f t="shared" si="2"/>
        <v>124.5</v>
      </c>
      <c r="J15" s="8">
        <f t="shared" si="3"/>
        <v>179.83333333333334</v>
      </c>
      <c r="K15" s="35">
        <v>784</v>
      </c>
      <c r="L15" s="8">
        <f t="shared" si="4"/>
        <v>1176</v>
      </c>
    </row>
    <row r="16" spans="1:12" x14ac:dyDescent="0.25">
      <c r="E16" t="s">
        <v>110</v>
      </c>
      <c r="F16" s="8">
        <f t="shared" si="0"/>
        <v>193.95833333333334</v>
      </c>
      <c r="G16" s="8">
        <f t="shared" si="1"/>
        <v>415.625</v>
      </c>
      <c r="H16" s="35">
        <v>665</v>
      </c>
      <c r="I16" s="8">
        <f t="shared" si="2"/>
        <v>997.5</v>
      </c>
      <c r="J16" s="8">
        <v>1100</v>
      </c>
      <c r="K16" s="35">
        <v>1422</v>
      </c>
      <c r="L16" s="8">
        <f t="shared" si="4"/>
        <v>2133</v>
      </c>
    </row>
    <row r="17" spans="4:12" x14ac:dyDescent="0.25">
      <c r="D17" t="s">
        <v>101</v>
      </c>
      <c r="E17" t="s">
        <v>101</v>
      </c>
      <c r="F17" s="8">
        <f t="shared" si="0"/>
        <v>0</v>
      </c>
      <c r="G17" s="8">
        <f t="shared" si="1"/>
        <v>0</v>
      </c>
      <c r="H17" s="35">
        <v>0</v>
      </c>
      <c r="I17" s="8">
        <f t="shared" si="2"/>
        <v>0</v>
      </c>
      <c r="J17" s="8">
        <f t="shared" si="3"/>
        <v>0</v>
      </c>
      <c r="K17" s="35">
        <v>0</v>
      </c>
      <c r="L17" s="8">
        <f t="shared" si="4"/>
        <v>0</v>
      </c>
    </row>
    <row r="18" spans="4:12" x14ac:dyDescent="0.25">
      <c r="E18" t="s">
        <v>111</v>
      </c>
      <c r="F18" s="8">
        <f t="shared" si="0"/>
        <v>175</v>
      </c>
      <c r="G18" s="8">
        <f t="shared" si="1"/>
        <v>375</v>
      </c>
      <c r="H18" s="35">
        <v>600</v>
      </c>
      <c r="I18" s="8">
        <f t="shared" si="2"/>
        <v>900</v>
      </c>
      <c r="J18" s="8">
        <v>1000</v>
      </c>
      <c r="K18" s="35">
        <v>1153</v>
      </c>
      <c r="L18" s="8">
        <f t="shared" si="4"/>
        <v>1729.5</v>
      </c>
    </row>
    <row r="19" spans="4:12" x14ac:dyDescent="0.25">
      <c r="D19" t="s">
        <v>100</v>
      </c>
      <c r="F19" s="8">
        <f t="shared" si="0"/>
        <v>659.16666666666663</v>
      </c>
      <c r="G19" s="8">
        <f t="shared" si="1"/>
        <v>1412.5</v>
      </c>
      <c r="H19" s="35">
        <v>2260</v>
      </c>
      <c r="I19" s="8">
        <v>2300</v>
      </c>
      <c r="J19" s="8">
        <v>2500</v>
      </c>
      <c r="K19" s="35">
        <v>2700</v>
      </c>
      <c r="L19" s="8">
        <f t="shared" si="4"/>
        <v>4050</v>
      </c>
    </row>
    <row r="20" spans="4:12" x14ac:dyDescent="0.25">
      <c r="D20" t="s">
        <v>163</v>
      </c>
      <c r="F20" s="8">
        <f t="shared" ref="F20:L20" si="5">SUM(F7:F19)</f>
        <v>1808.3333333333335</v>
      </c>
      <c r="G20" s="8">
        <f t="shared" si="5"/>
        <v>3875</v>
      </c>
      <c r="H20" s="35">
        <f t="shared" si="5"/>
        <v>6200</v>
      </c>
      <c r="I20" s="8">
        <f t="shared" si="5"/>
        <v>8210</v>
      </c>
      <c r="J20" s="8">
        <f t="shared" si="5"/>
        <v>10090.5</v>
      </c>
      <c r="K20" s="35">
        <f t="shared" si="5"/>
        <v>14541</v>
      </c>
      <c r="L20" s="8">
        <f t="shared" si="5"/>
        <v>21811.5</v>
      </c>
    </row>
    <row r="21" spans="4:12" x14ac:dyDescent="0.25">
      <c r="D21" t="s">
        <v>115</v>
      </c>
      <c r="F21" s="8">
        <f t="shared" ref="F21:L21" si="6">F6-F20</f>
        <v>1691.6666666666665</v>
      </c>
      <c r="G21" s="8">
        <f t="shared" si="6"/>
        <v>3625</v>
      </c>
      <c r="H21" s="8">
        <f t="shared" si="6"/>
        <v>5800</v>
      </c>
      <c r="I21" s="8">
        <f t="shared" si="6"/>
        <v>9790</v>
      </c>
      <c r="J21" s="8">
        <f t="shared" si="6"/>
        <v>15909.5</v>
      </c>
      <c r="K21" s="8">
        <f t="shared" si="6"/>
        <v>25459</v>
      </c>
      <c r="L21" s="8">
        <f t="shared" si="6"/>
        <v>38188.5</v>
      </c>
    </row>
    <row r="22" spans="4:12" x14ac:dyDescent="0.25">
      <c r="D22" t="s">
        <v>162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 t="shared" ref="I22:J22" si="7">I20-I29</f>
        <v>3210</v>
      </c>
      <c r="J22" s="8">
        <f t="shared" si="7"/>
        <v>4090.5</v>
      </c>
      <c r="K22" s="35">
        <f>K20-7050</f>
        <v>7491</v>
      </c>
      <c r="L22" s="39">
        <f>L20-7050</f>
        <v>14761.5</v>
      </c>
    </row>
    <row r="23" spans="4:12" x14ac:dyDescent="0.25">
      <c r="D23" t="s">
        <v>164</v>
      </c>
      <c r="F23" s="38">
        <f t="shared" ref="F23:K23" si="8">F22/F20</f>
        <v>0.27419354838709681</v>
      </c>
      <c r="G23" s="38">
        <f t="shared" si="8"/>
        <v>0.27419354838709675</v>
      </c>
      <c r="H23" s="38">
        <f t="shared" si="8"/>
        <v>0.27419354838709675</v>
      </c>
      <c r="I23" s="38">
        <f t="shared" si="8"/>
        <v>0.39098660170523752</v>
      </c>
      <c r="J23" s="38">
        <f t="shared" si="8"/>
        <v>0.40538129924186117</v>
      </c>
      <c r="K23" s="38">
        <f t="shared" si="8"/>
        <v>0.51516401898081288</v>
      </c>
      <c r="L23" s="38">
        <f>L22/L20</f>
        <v>0.67677601265387521</v>
      </c>
    </row>
    <row r="24" spans="4:12" x14ac:dyDescent="0.25">
      <c r="D24" s="40" t="s">
        <v>132</v>
      </c>
      <c r="F24" s="41">
        <f t="shared" ref="F24:H28" si="9">$K24*F$22/$K$22</f>
        <v>171.10254527655414</v>
      </c>
      <c r="G24" s="41">
        <f t="shared" si="9"/>
        <v>366.64831130690163</v>
      </c>
      <c r="H24" s="41">
        <f t="shared" si="9"/>
        <v>586.63729809104257</v>
      </c>
      <c r="I24" s="41">
        <f>$K24*I$22/$K$22</f>
        <v>1107.7092511013216</v>
      </c>
      <c r="J24" s="41">
        <f>$K24*J$22/$K$22</f>
        <v>1411.5528634361233</v>
      </c>
      <c r="K24" s="41">
        <f>K13-854</f>
        <v>2585</v>
      </c>
      <c r="L24" s="41">
        <f>K24*$L$22/$K$22</f>
        <v>5093.9096916299559</v>
      </c>
    </row>
    <row r="25" spans="4:12" x14ac:dyDescent="0.25">
      <c r="D25" s="40" t="s">
        <v>133</v>
      </c>
      <c r="F25" s="41">
        <f t="shared" si="9"/>
        <v>69.89720998531574</v>
      </c>
      <c r="G25" s="41">
        <f t="shared" si="9"/>
        <v>149.77973568281939</v>
      </c>
      <c r="H25" s="41">
        <f t="shared" si="9"/>
        <v>239.647577092511</v>
      </c>
      <c r="I25" s="41">
        <f t="shared" ref="I25:I28" si="10">$K25*I$22/$K$22</f>
        <v>452.51101321585901</v>
      </c>
      <c r="J25" s="41">
        <f t="shared" ref="J25:J28" si="11">$K25*J$22/$K$22</f>
        <v>576.63436123348015</v>
      </c>
      <c r="K25" s="41">
        <f>K14-1600</f>
        <v>1056</v>
      </c>
      <c r="L25" s="41">
        <f t="shared" ref="L25:L28" si="12">K25*$L$22/$K$22</f>
        <v>2080.9162995594716</v>
      </c>
    </row>
    <row r="26" spans="4:12" x14ac:dyDescent="0.25">
      <c r="D26" s="40" t="s">
        <v>134</v>
      </c>
      <c r="F26" s="41">
        <f t="shared" si="9"/>
        <v>50.503381835980967</v>
      </c>
      <c r="G26" s="41">
        <f t="shared" si="9"/>
        <v>108.22153250567348</v>
      </c>
      <c r="H26" s="41">
        <f t="shared" si="9"/>
        <v>173.15445200907757</v>
      </c>
      <c r="I26" s="41">
        <f t="shared" si="10"/>
        <v>326.95634761714058</v>
      </c>
      <c r="J26" s="41">
        <f t="shared" si="11"/>
        <v>416.64016820184219</v>
      </c>
      <c r="K26" s="41">
        <f>K16-659</f>
        <v>763</v>
      </c>
      <c r="L26" s="41">
        <f t="shared" si="12"/>
        <v>1503.5408490188227</v>
      </c>
    </row>
    <row r="27" spans="4:12" x14ac:dyDescent="0.25">
      <c r="D27" s="40" t="s">
        <v>135</v>
      </c>
      <c r="F27" s="41">
        <f t="shared" si="9"/>
        <v>26.733603832840483</v>
      </c>
      <c r="G27" s="41">
        <f t="shared" si="9"/>
        <v>57.286293927515295</v>
      </c>
      <c r="H27" s="41">
        <f t="shared" si="9"/>
        <v>91.658070284024475</v>
      </c>
      <c r="I27" s="41">
        <f t="shared" si="10"/>
        <v>173.07200330101091</v>
      </c>
      <c r="J27" s="41">
        <f t="shared" si="11"/>
        <v>220.54549205694244</v>
      </c>
      <c r="K27" s="41">
        <f>K15*K23</f>
        <v>403.88859088095728</v>
      </c>
      <c r="L27" s="41">
        <f t="shared" si="12"/>
        <v>795.88859088095717</v>
      </c>
    </row>
    <row r="28" spans="4:12" x14ac:dyDescent="0.25">
      <c r="D28" s="40" t="s">
        <v>136</v>
      </c>
      <c r="F28" s="41">
        <f t="shared" si="9"/>
        <v>178.71445734881866</v>
      </c>
      <c r="G28" s="41">
        <f t="shared" si="9"/>
        <v>382.95955146175413</v>
      </c>
      <c r="H28" s="41">
        <f t="shared" si="9"/>
        <v>612.73528233880654</v>
      </c>
      <c r="I28" s="41">
        <f t="shared" si="10"/>
        <v>1156.988386063276</v>
      </c>
      <c r="J28" s="41">
        <f t="shared" si="11"/>
        <v>1474.3492190628754</v>
      </c>
      <c r="K28" s="41">
        <f>K19</f>
        <v>2700</v>
      </c>
      <c r="L28" s="41">
        <f t="shared" si="12"/>
        <v>5320.5246295554662</v>
      </c>
    </row>
    <row r="29" spans="4:12" x14ac:dyDescent="0.25">
      <c r="D29" t="s">
        <v>131</v>
      </c>
      <c r="F29" s="8">
        <f>H29*$F$6/$H$6</f>
        <v>1312.5</v>
      </c>
      <c r="G29" s="8">
        <f>H29*$G$6/$H$6</f>
        <v>2812.5</v>
      </c>
      <c r="H29" s="34">
        <v>4500</v>
      </c>
      <c r="I29" s="8">
        <v>5000</v>
      </c>
      <c r="J29" s="8">
        <v>6000</v>
      </c>
      <c r="K29" s="35">
        <f>K20-K22</f>
        <v>7050</v>
      </c>
      <c r="L29" s="39">
        <f>L20-L22</f>
        <v>7050</v>
      </c>
    </row>
    <row r="31" spans="4:12" x14ac:dyDescent="0.25">
      <c r="D31" t="s">
        <v>116</v>
      </c>
      <c r="F31" s="8">
        <f>SUM(F12:F19)</f>
        <v>1506.4583333333333</v>
      </c>
      <c r="G31" s="8">
        <f t="shared" ref="G31:L31" si="13">SUM(G12:G19)</f>
        <v>3228.125</v>
      </c>
      <c r="H31" s="8">
        <f t="shared" si="13"/>
        <v>5165</v>
      </c>
      <c r="I31" s="8">
        <f t="shared" si="13"/>
        <v>6657.5</v>
      </c>
      <c r="J31" s="8">
        <f t="shared" si="13"/>
        <v>7848</v>
      </c>
      <c r="K31" s="8">
        <f t="shared" si="13"/>
        <v>12419</v>
      </c>
      <c r="L31" s="8">
        <f t="shared" si="13"/>
        <v>18628.5</v>
      </c>
    </row>
    <row r="32" spans="4:12" x14ac:dyDescent="0.25">
      <c r="D32" t="s">
        <v>117</v>
      </c>
      <c r="F32" s="8">
        <f>SUM(F11)</f>
        <v>82.541666666666671</v>
      </c>
      <c r="G32" s="8">
        <f t="shared" ref="G32:L32" si="14">SUM(G11)</f>
        <v>176.875</v>
      </c>
      <c r="H32" s="8">
        <f t="shared" si="14"/>
        <v>283</v>
      </c>
      <c r="I32" s="8">
        <f t="shared" si="14"/>
        <v>424.5</v>
      </c>
      <c r="J32" s="8">
        <f t="shared" si="14"/>
        <v>613.16666666666663</v>
      </c>
      <c r="K32" s="8">
        <f t="shared" si="14"/>
        <v>558</v>
      </c>
      <c r="L32" s="8">
        <f t="shared" si="14"/>
        <v>837</v>
      </c>
    </row>
    <row r="33" spans="4:12" x14ac:dyDescent="0.25">
      <c r="D33" t="s">
        <v>118</v>
      </c>
      <c r="F33" s="8">
        <f>F7</f>
        <v>151.08333333333334</v>
      </c>
      <c r="G33" s="8">
        <f t="shared" ref="G33:L33" si="15">G7</f>
        <v>323.75</v>
      </c>
      <c r="H33" s="8">
        <f t="shared" si="15"/>
        <v>518</v>
      </c>
      <c r="I33" s="8">
        <f t="shared" si="15"/>
        <v>777</v>
      </c>
      <c r="J33" s="8">
        <f t="shared" si="15"/>
        <v>1122.3333333333333</v>
      </c>
      <c r="K33" s="8">
        <f t="shared" si="15"/>
        <v>1124</v>
      </c>
      <c r="L33" s="8">
        <f t="shared" si="15"/>
        <v>1686</v>
      </c>
    </row>
    <row r="34" spans="4:12" x14ac:dyDescent="0.25">
      <c r="D34" t="s">
        <v>120</v>
      </c>
      <c r="F34" s="36"/>
      <c r="G34" s="36"/>
      <c r="H34" s="36">
        <v>0.05</v>
      </c>
      <c r="I34" s="36"/>
      <c r="J34" s="36"/>
      <c r="K34" s="36">
        <v>0.02</v>
      </c>
      <c r="L34" s="36"/>
    </row>
    <row r="35" spans="4:12" x14ac:dyDescent="0.25">
      <c r="D35" t="s">
        <v>121</v>
      </c>
      <c r="F35" s="36"/>
      <c r="G35" s="36"/>
      <c r="H35" s="36">
        <v>0.17</v>
      </c>
      <c r="I35" s="36"/>
      <c r="J35" s="36"/>
      <c r="K35" s="36">
        <v>0.16</v>
      </c>
      <c r="L35" s="36"/>
    </row>
    <row r="36" spans="4:12" x14ac:dyDescent="0.25">
      <c r="D36" t="s">
        <v>122</v>
      </c>
      <c r="F36" s="36"/>
      <c r="G36" s="36"/>
      <c r="H36" s="36">
        <v>0.28000000000000003</v>
      </c>
      <c r="I36" s="36"/>
      <c r="J36" s="36"/>
      <c r="K36" s="36">
        <v>0.3</v>
      </c>
      <c r="L36" s="36"/>
    </row>
    <row r="38" spans="4:12" x14ac:dyDescent="0.25">
      <c r="D38" t="s">
        <v>123</v>
      </c>
      <c r="F38" s="37"/>
      <c r="G38" s="37"/>
      <c r="H38" s="37">
        <v>1.9</v>
      </c>
      <c r="I38" s="37"/>
      <c r="J38" s="37"/>
      <c r="K38" s="37">
        <v>1.3</v>
      </c>
      <c r="L38" s="37"/>
    </row>
    <row r="39" spans="4:12" x14ac:dyDescent="0.25">
      <c r="D39" t="s">
        <v>124</v>
      </c>
      <c r="F39" s="37"/>
      <c r="G39" s="37"/>
      <c r="H39" s="37">
        <v>5.2</v>
      </c>
      <c r="I39" s="37"/>
      <c r="J39" s="37"/>
      <c r="K39" s="37">
        <v>6.3</v>
      </c>
      <c r="L39" s="37"/>
    </row>
    <row r="40" spans="4:12" x14ac:dyDescent="0.25">
      <c r="D40" t="s">
        <v>125</v>
      </c>
      <c r="F40" s="37"/>
      <c r="G40" s="37"/>
      <c r="H40" s="37">
        <v>34.5</v>
      </c>
      <c r="I40" s="37"/>
      <c r="J40" s="37"/>
      <c r="K40" s="37">
        <v>39.9</v>
      </c>
      <c r="L40" s="37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</cols>
  <sheetData>
    <row r="1" spans="1:4" x14ac:dyDescent="0.25">
      <c r="A1" t="s">
        <v>148</v>
      </c>
    </row>
    <row r="5" spans="1:4" ht="15.75" x14ac:dyDescent="0.25">
      <c r="A5" s="42" t="s">
        <v>137</v>
      </c>
      <c r="B5" s="42" t="s">
        <v>138</v>
      </c>
      <c r="C5" s="42" t="s">
        <v>139</v>
      </c>
      <c r="D5" s="42" t="s">
        <v>140</v>
      </c>
    </row>
    <row r="6" spans="1:4" x14ac:dyDescent="0.25">
      <c r="A6" s="43" t="s">
        <v>141</v>
      </c>
      <c r="B6" s="44">
        <v>0.875</v>
      </c>
      <c r="C6" s="45">
        <v>0.16119654977038472</v>
      </c>
      <c r="D6" s="46">
        <v>1200.6405999999999</v>
      </c>
    </row>
    <row r="7" spans="1:4" x14ac:dyDescent="0.25">
      <c r="A7" s="47" t="s">
        <v>108</v>
      </c>
      <c r="B7" s="44">
        <v>1</v>
      </c>
      <c r="C7" s="48">
        <v>0.21481405812248527</v>
      </c>
      <c r="D7" s="49">
        <v>1600</v>
      </c>
    </row>
    <row r="8" spans="1:4" x14ac:dyDescent="0.25">
      <c r="A8" s="47" t="s">
        <v>142</v>
      </c>
      <c r="B8" s="44">
        <v>1</v>
      </c>
      <c r="C8" s="48">
        <v>0.18617397382330492</v>
      </c>
      <c r="D8" s="49">
        <v>1386.68</v>
      </c>
    </row>
    <row r="9" spans="1:4" x14ac:dyDescent="0.25">
      <c r="A9" s="47" t="s">
        <v>143</v>
      </c>
      <c r="B9" s="44">
        <v>1</v>
      </c>
      <c r="C9" s="48">
        <v>8.8449688431933307E-2</v>
      </c>
      <c r="D9" s="49">
        <v>658.8</v>
      </c>
    </row>
    <row r="10" spans="1:4" x14ac:dyDescent="0.25">
      <c r="A10" s="43" t="s">
        <v>144</v>
      </c>
      <c r="B10" s="44">
        <v>1</v>
      </c>
      <c r="C10" s="45">
        <v>7.4064726837246908E-2</v>
      </c>
      <c r="D10" s="46">
        <v>551.65646036082637</v>
      </c>
    </row>
    <row r="11" spans="1:4" x14ac:dyDescent="0.25">
      <c r="A11" s="43" t="s">
        <v>145</v>
      </c>
      <c r="B11" s="44">
        <v>1</v>
      </c>
      <c r="C11" s="45">
        <v>3.3957408700606762E-2</v>
      </c>
      <c r="D11" s="46">
        <v>252.9250385</v>
      </c>
    </row>
    <row r="12" spans="1:4" x14ac:dyDescent="0.25">
      <c r="A12" s="43" t="s">
        <v>146</v>
      </c>
      <c r="B12" s="44">
        <v>1</v>
      </c>
      <c r="C12" s="45">
        <v>1.100922047877737E-2</v>
      </c>
      <c r="D12" s="46">
        <v>82</v>
      </c>
    </row>
    <row r="13" spans="1:4" x14ac:dyDescent="0.25">
      <c r="A13" s="47" t="s">
        <v>107</v>
      </c>
      <c r="B13" s="44">
        <v>1</v>
      </c>
      <c r="C13" s="50">
        <v>0.11465700352287651</v>
      </c>
      <c r="D13" s="49">
        <v>854</v>
      </c>
    </row>
    <row r="14" spans="1:4" ht="15.75" thickBot="1" x14ac:dyDescent="0.3">
      <c r="A14" s="47" t="s">
        <v>100</v>
      </c>
      <c r="B14" s="44">
        <v>1</v>
      </c>
      <c r="C14" s="50">
        <v>0.11567737031238422</v>
      </c>
      <c r="D14" s="49">
        <v>861.60000010000022</v>
      </c>
    </row>
    <row r="15" spans="1:4" ht="15.75" thickBot="1" x14ac:dyDescent="0.3">
      <c r="A15" s="51" t="s">
        <v>147</v>
      </c>
      <c r="B15" s="52"/>
      <c r="C15" s="53">
        <f t="shared" ref="C15:D15" si="0">SUM(C6:C14)</f>
        <v>1</v>
      </c>
      <c r="D15" s="54">
        <f t="shared" si="0"/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5" x14ac:dyDescent="0.25"/>
  <sheetData>
    <row r="7" spans="5:24" x14ac:dyDescent="0.25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126</v>
      </c>
      <c r="R7" t="s">
        <v>126</v>
      </c>
      <c r="S7" t="s">
        <v>126</v>
      </c>
      <c r="T7" t="s">
        <v>126</v>
      </c>
      <c r="U7" t="s">
        <v>126</v>
      </c>
      <c r="V7" t="s">
        <v>126</v>
      </c>
      <c r="W7" t="s">
        <v>126</v>
      </c>
      <c r="X7" t="s">
        <v>126</v>
      </c>
    </row>
    <row r="8" spans="5:24" x14ac:dyDescent="0.25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25">
      <c r="E9" t="s">
        <v>165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25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25">
      <c r="E11" t="s">
        <v>166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25">
      <c r="F12" t="s">
        <v>2</v>
      </c>
    </row>
    <row r="13" spans="5:24" x14ac:dyDescent="0.25">
      <c r="F13" t="s">
        <v>1</v>
      </c>
    </row>
    <row r="22" spans="4:31" x14ac:dyDescent="0.25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25">
      <c r="D23" t="s">
        <v>167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25">
      <c r="D24" t="s">
        <v>168</v>
      </c>
      <c r="E24">
        <v>520</v>
      </c>
      <c r="F24">
        <v>800</v>
      </c>
      <c r="G24">
        <v>870</v>
      </c>
      <c r="H24">
        <v>1240</v>
      </c>
    </row>
    <row r="25" spans="4:31" x14ac:dyDescent="0.25">
      <c r="D25" t="s">
        <v>169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4" sqref="J14"/>
    </sheetView>
  </sheetViews>
  <sheetFormatPr defaultRowHeight="15" x14ac:dyDescent="0.25"/>
  <cols>
    <col min="1" max="1" width="10.85546875" bestFit="1" customWidth="1"/>
    <col min="2" max="2" width="11.28515625" bestFit="1" customWidth="1"/>
    <col min="3" max="3" width="21.140625" bestFit="1" customWidth="1"/>
    <col min="4" max="4" width="9.85546875" bestFit="1" customWidth="1"/>
    <col min="5" max="5" width="17" bestFit="1" customWidth="1"/>
    <col min="6" max="6" width="17.28515625" bestFit="1" customWidth="1"/>
    <col min="7" max="7" width="20.140625" bestFit="1" customWidth="1"/>
    <col min="8" max="8" width="10.42578125" bestFit="1" customWidth="1"/>
    <col min="9" max="9" width="19.85546875" bestFit="1" customWidth="1"/>
  </cols>
  <sheetData>
    <row r="1" spans="1:10" ht="15.75" thickBot="1" x14ac:dyDescent="0.3">
      <c r="A1" s="57" t="s">
        <v>170</v>
      </c>
      <c r="B1" s="57" t="s">
        <v>171</v>
      </c>
      <c r="C1" s="57" t="s">
        <v>202</v>
      </c>
      <c r="D1" s="57" t="s">
        <v>193</v>
      </c>
      <c r="E1" s="57" t="s">
        <v>194</v>
      </c>
      <c r="F1" s="57" t="s">
        <v>195</v>
      </c>
      <c r="G1" s="57" t="s">
        <v>196</v>
      </c>
      <c r="H1" s="57" t="s">
        <v>197</v>
      </c>
      <c r="I1" s="57" t="s">
        <v>198</v>
      </c>
      <c r="J1" s="57" t="s">
        <v>172</v>
      </c>
    </row>
    <row r="2" spans="1:10" ht="15.75" thickTop="1" x14ac:dyDescent="0.25">
      <c r="A2" t="s">
        <v>173</v>
      </c>
      <c r="B2" t="s">
        <v>174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56">
        <f t="shared" ref="I2:I12" si="0">G2/H2</f>
        <v>1.1875</v>
      </c>
      <c r="J2" s="33" t="s">
        <v>175</v>
      </c>
    </row>
    <row r="3" spans="1:10" x14ac:dyDescent="0.25">
      <c r="A3" t="s">
        <v>173</v>
      </c>
      <c r="B3" t="s">
        <v>176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56">
        <f t="shared" si="0"/>
        <v>0.85135135135135132</v>
      </c>
      <c r="J3" s="33" t="s">
        <v>177</v>
      </c>
    </row>
    <row r="4" spans="1:10" x14ac:dyDescent="0.25">
      <c r="A4" t="s">
        <v>178</v>
      </c>
      <c r="B4" t="s">
        <v>179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56">
        <f t="shared" si="0"/>
        <v>2.5</v>
      </c>
      <c r="J4" s="33" t="s">
        <v>180</v>
      </c>
    </row>
    <row r="5" spans="1:10" x14ac:dyDescent="0.25">
      <c r="A5" t="s">
        <v>178</v>
      </c>
      <c r="B5" t="s">
        <v>179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56">
        <f t="shared" si="0"/>
        <v>1.0676156583629892</v>
      </c>
      <c r="J5" s="33" t="s">
        <v>180</v>
      </c>
    </row>
    <row r="6" spans="1:10" x14ac:dyDescent="0.25">
      <c r="A6" t="s">
        <v>181</v>
      </c>
      <c r="B6" t="s">
        <v>182</v>
      </c>
      <c r="C6" t="str">
        <f t="shared" si="1"/>
        <v>Workhorse - C-650</v>
      </c>
      <c r="D6">
        <v>5.7</v>
      </c>
      <c r="G6">
        <v>70</v>
      </c>
      <c r="H6">
        <v>160</v>
      </c>
      <c r="I6" s="56">
        <f t="shared" si="0"/>
        <v>0.4375</v>
      </c>
      <c r="J6" s="33" t="s">
        <v>183</v>
      </c>
    </row>
    <row r="7" spans="1:10" x14ac:dyDescent="0.25">
      <c r="A7" t="s">
        <v>184</v>
      </c>
      <c r="B7" t="s">
        <v>185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56">
        <f t="shared" si="0"/>
        <v>1.0416666666666667</v>
      </c>
      <c r="J7" s="33" t="s">
        <v>203</v>
      </c>
    </row>
    <row r="8" spans="1:10" x14ac:dyDescent="0.25">
      <c r="A8" t="s">
        <v>184</v>
      </c>
      <c r="B8" t="s">
        <v>185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56">
        <f t="shared" si="0"/>
        <v>1.375</v>
      </c>
      <c r="J8" s="33" t="s">
        <v>203</v>
      </c>
    </row>
    <row r="9" spans="1:10" x14ac:dyDescent="0.25">
      <c r="A9" t="s">
        <v>186</v>
      </c>
      <c r="B9" t="s">
        <v>187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56">
        <f t="shared" si="0"/>
        <v>0.17199999999999999</v>
      </c>
      <c r="J9" s="33" t="s">
        <v>190</v>
      </c>
    </row>
    <row r="10" spans="1:10" x14ac:dyDescent="0.25">
      <c r="A10" t="s">
        <v>186</v>
      </c>
      <c r="B10" t="s">
        <v>188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56">
        <f t="shared" si="0"/>
        <v>0.6</v>
      </c>
      <c r="J10" s="33" t="s">
        <v>190</v>
      </c>
    </row>
    <row r="11" spans="1:10" x14ac:dyDescent="0.25">
      <c r="A11" t="s">
        <v>186</v>
      </c>
      <c r="B11" t="s">
        <v>189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56">
        <f t="shared" si="0"/>
        <v>0.875</v>
      </c>
      <c r="J11" s="33" t="s">
        <v>190</v>
      </c>
    </row>
    <row r="12" spans="1:10" x14ac:dyDescent="0.25">
      <c r="A12" t="s">
        <v>186</v>
      </c>
      <c r="B12" t="s">
        <v>191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56">
        <f t="shared" si="0"/>
        <v>1.75</v>
      </c>
      <c r="J12" s="33" t="s">
        <v>190</v>
      </c>
    </row>
    <row r="13" spans="1:10" x14ac:dyDescent="0.25">
      <c r="A13" t="s">
        <v>186</v>
      </c>
      <c r="B13" t="s">
        <v>192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56">
        <v>1.6</v>
      </c>
      <c r="J13" s="33" t="s">
        <v>190</v>
      </c>
    </row>
    <row r="14" spans="1:10" x14ac:dyDescent="0.25">
      <c r="A14" t="s">
        <v>199</v>
      </c>
      <c r="B14" t="s">
        <v>200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56">
        <f>G14/H14</f>
        <v>1.2</v>
      </c>
      <c r="J14" s="33" t="s">
        <v>201</v>
      </c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12" sqref="K12"/>
    </sheetView>
  </sheetViews>
  <sheetFormatPr defaultRowHeight="15" x14ac:dyDescent="0.25"/>
  <cols>
    <col min="1" max="1" width="5.85546875" bestFit="1" customWidth="1"/>
    <col min="4" max="4" width="9.7109375" bestFit="1" customWidth="1"/>
    <col min="5" max="6" width="16.85546875" bestFit="1" customWidth="1"/>
    <col min="7" max="7" width="27.140625" bestFit="1" customWidth="1"/>
    <col min="8" max="8" width="20" customWidth="1"/>
    <col min="9" max="9" width="20.140625" bestFit="1" customWidth="1"/>
    <col min="10" max="10" width="10.28515625" bestFit="1" customWidth="1"/>
    <col min="11" max="11" width="19.7109375" bestFit="1" customWidth="1"/>
    <col min="12" max="12" width="6.42578125" bestFit="1" customWidth="1"/>
  </cols>
  <sheetData>
    <row r="1" spans="1:12" ht="15.75" thickBot="1" x14ac:dyDescent="0.3">
      <c r="A1" s="57" t="s">
        <v>170</v>
      </c>
      <c r="B1" s="57" t="s">
        <v>171</v>
      </c>
      <c r="C1" s="57" t="s">
        <v>202</v>
      </c>
      <c r="D1" s="57" t="s">
        <v>193</v>
      </c>
      <c r="E1" s="57" t="s">
        <v>194</v>
      </c>
      <c r="F1" s="57" t="s">
        <v>195</v>
      </c>
      <c r="G1" s="57" t="s">
        <v>206</v>
      </c>
      <c r="H1" s="57" t="s">
        <v>207</v>
      </c>
      <c r="I1" s="57" t="s">
        <v>196</v>
      </c>
      <c r="J1" s="57" t="s">
        <v>197</v>
      </c>
      <c r="K1" s="57" t="s">
        <v>198</v>
      </c>
      <c r="L1" s="57" t="s">
        <v>172</v>
      </c>
    </row>
    <row r="2" spans="1:12" ht="15.75" thickTop="1" x14ac:dyDescent="0.25">
      <c r="A2" t="s">
        <v>204</v>
      </c>
      <c r="B2" t="s">
        <v>205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56">
        <f t="shared" ref="K2:K8" si="1">(G2/J2)*120/3.6</f>
        <v>2.7555555555555555</v>
      </c>
      <c r="L2" s="33" t="s">
        <v>208</v>
      </c>
    </row>
    <row r="3" spans="1:12" x14ac:dyDescent="0.25">
      <c r="A3" t="s">
        <v>209</v>
      </c>
      <c r="B3" t="s">
        <v>210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56">
        <f t="shared" si="1"/>
        <v>2.875</v>
      </c>
      <c r="L3" s="33" t="s">
        <v>213</v>
      </c>
    </row>
    <row r="4" spans="1:12" x14ac:dyDescent="0.25">
      <c r="A4" t="s">
        <v>211</v>
      </c>
      <c r="B4" t="s">
        <v>212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56">
        <f t="shared" si="1"/>
        <v>0.66666666666666663</v>
      </c>
      <c r="L4" s="33" t="s">
        <v>214</v>
      </c>
    </row>
    <row r="5" spans="1:12" x14ac:dyDescent="0.25">
      <c r="A5" t="s">
        <v>215</v>
      </c>
      <c r="B5" t="s">
        <v>216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56">
        <f t="shared" si="1"/>
        <v>2.5</v>
      </c>
      <c r="L5" s="33" t="s">
        <v>217</v>
      </c>
    </row>
    <row r="6" spans="1:12" x14ac:dyDescent="0.25">
      <c r="A6" t="s">
        <v>218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56">
        <f t="shared" si="1"/>
        <v>2.75</v>
      </c>
      <c r="L6" s="33" t="s">
        <v>219</v>
      </c>
    </row>
    <row r="7" spans="1:12" x14ac:dyDescent="0.25">
      <c r="A7" t="s">
        <v>220</v>
      </c>
      <c r="B7" t="s">
        <v>221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56">
        <f t="shared" si="1"/>
        <v>3.125</v>
      </c>
      <c r="L7" s="33" t="s">
        <v>222</v>
      </c>
    </row>
    <row r="8" spans="1:12" x14ac:dyDescent="0.25">
      <c r="A8" t="s">
        <v>223</v>
      </c>
      <c r="B8" t="s">
        <v>224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56">
        <f t="shared" si="1"/>
        <v>1.6666666666666665</v>
      </c>
      <c r="L8" s="33" t="s">
        <v>225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O18"/>
  <sheetViews>
    <sheetView tabSelected="1" workbookViewId="0">
      <selection activeCell="AE11" sqref="AE11"/>
    </sheetView>
  </sheetViews>
  <sheetFormatPr defaultRowHeight="15" x14ac:dyDescent="0.25"/>
  <cols>
    <col min="7" max="7" width="14.85546875" bestFit="1" customWidth="1"/>
    <col min="8" max="8" width="11.42578125" bestFit="1" customWidth="1"/>
    <col min="9" max="9" width="18.42578125" bestFit="1" customWidth="1"/>
    <col min="13" max="13" width="13.42578125" bestFit="1" customWidth="1"/>
    <col min="14" max="14" width="13.42578125" customWidth="1"/>
    <col min="15" max="15" width="12.5703125" bestFit="1" customWidth="1"/>
  </cols>
  <sheetData>
    <row r="5" spans="7:15" x14ac:dyDescent="0.25">
      <c r="G5" s="3" t="s">
        <v>226</v>
      </c>
      <c r="H5" s="3" t="s">
        <v>171</v>
      </c>
      <c r="I5" s="3" t="s">
        <v>161</v>
      </c>
      <c r="J5" s="3" t="s">
        <v>244</v>
      </c>
      <c r="K5" s="3" t="s">
        <v>245</v>
      </c>
      <c r="L5" s="3" t="s">
        <v>248</v>
      </c>
      <c r="M5" s="3" t="s">
        <v>246</v>
      </c>
      <c r="N5" s="3" t="s">
        <v>247</v>
      </c>
      <c r="O5" s="3" t="s">
        <v>119</v>
      </c>
    </row>
    <row r="6" spans="7:15" x14ac:dyDescent="0.25">
      <c r="G6" t="s">
        <v>227</v>
      </c>
      <c r="H6" t="s">
        <v>228</v>
      </c>
      <c r="I6" t="s">
        <v>231</v>
      </c>
      <c r="J6">
        <v>12135</v>
      </c>
      <c r="K6">
        <v>3130</v>
      </c>
      <c r="L6">
        <v>2550</v>
      </c>
      <c r="M6">
        <v>105</v>
      </c>
      <c r="O6">
        <v>19000</v>
      </c>
    </row>
    <row r="7" spans="7:15" x14ac:dyDescent="0.25">
      <c r="G7" t="s">
        <v>229</v>
      </c>
      <c r="H7" t="s">
        <v>251</v>
      </c>
      <c r="I7" t="s">
        <v>242</v>
      </c>
      <c r="J7">
        <v>13115</v>
      </c>
      <c r="K7">
        <v>3770</v>
      </c>
      <c r="L7">
        <v>2550</v>
      </c>
      <c r="M7">
        <v>55</v>
      </c>
    </row>
    <row r="8" spans="7:15" x14ac:dyDescent="0.25">
      <c r="G8" t="s">
        <v>227</v>
      </c>
      <c r="H8" t="s">
        <v>230</v>
      </c>
      <c r="I8" t="s">
        <v>231</v>
      </c>
      <c r="J8">
        <v>12134</v>
      </c>
      <c r="K8">
        <v>3120</v>
      </c>
      <c r="L8">
        <v>2550</v>
      </c>
      <c r="M8">
        <v>101</v>
      </c>
      <c r="O8">
        <v>19500</v>
      </c>
    </row>
    <row r="9" spans="7:15" x14ac:dyDescent="0.25">
      <c r="G9" t="s">
        <v>229</v>
      </c>
      <c r="H9" t="s">
        <v>232</v>
      </c>
      <c r="I9" t="s">
        <v>233</v>
      </c>
      <c r="J9">
        <v>14950</v>
      </c>
      <c r="K9">
        <v>3200</v>
      </c>
      <c r="L9">
        <v>2550</v>
      </c>
      <c r="M9">
        <v>59</v>
      </c>
      <c r="O9">
        <v>20000</v>
      </c>
    </row>
    <row r="10" spans="7:15" x14ac:dyDescent="0.25">
      <c r="G10" t="s">
        <v>234</v>
      </c>
      <c r="H10" t="s">
        <v>235</v>
      </c>
      <c r="I10" t="s">
        <v>240</v>
      </c>
      <c r="J10">
        <v>14000</v>
      </c>
      <c r="K10">
        <v>4000</v>
      </c>
      <c r="L10">
        <v>2550</v>
      </c>
      <c r="M10">
        <v>69</v>
      </c>
      <c r="O10">
        <v>26000</v>
      </c>
    </row>
    <row r="11" spans="7:15" x14ac:dyDescent="0.25">
      <c r="G11" t="s">
        <v>229</v>
      </c>
      <c r="H11" t="s">
        <v>236</v>
      </c>
      <c r="I11" t="s">
        <v>242</v>
      </c>
    </row>
    <row r="12" spans="7:15" x14ac:dyDescent="0.25">
      <c r="G12" t="s">
        <v>229</v>
      </c>
      <c r="H12" t="s">
        <v>237</v>
      </c>
      <c r="I12" t="s">
        <v>231</v>
      </c>
      <c r="J12">
        <v>13040</v>
      </c>
      <c r="K12">
        <v>3240</v>
      </c>
      <c r="L12">
        <v>2550</v>
      </c>
      <c r="M12">
        <v>57</v>
      </c>
      <c r="O12">
        <v>24000</v>
      </c>
    </row>
    <row r="13" spans="7:15" x14ac:dyDescent="0.25">
      <c r="G13" t="s">
        <v>229</v>
      </c>
      <c r="H13" t="s">
        <v>238</v>
      </c>
      <c r="I13" t="s">
        <v>231</v>
      </c>
      <c r="J13">
        <v>14050</v>
      </c>
      <c r="K13">
        <v>3175</v>
      </c>
      <c r="L13">
        <v>2550</v>
      </c>
      <c r="M13">
        <v>61</v>
      </c>
      <c r="O13">
        <v>19000</v>
      </c>
    </row>
    <row r="14" spans="7:15" x14ac:dyDescent="0.25">
      <c r="G14" t="s">
        <v>229</v>
      </c>
      <c r="H14" t="s">
        <v>239</v>
      </c>
      <c r="I14" t="s">
        <v>242</v>
      </c>
      <c r="J14">
        <v>12200</v>
      </c>
      <c r="K14">
        <v>3175</v>
      </c>
      <c r="L14">
        <v>2550</v>
      </c>
      <c r="M14">
        <v>53</v>
      </c>
      <c r="N14">
        <v>13025</v>
      </c>
      <c r="O14">
        <v>18000</v>
      </c>
    </row>
    <row r="15" spans="7:15" x14ac:dyDescent="0.25">
      <c r="G15" t="s">
        <v>229</v>
      </c>
      <c r="H15" t="s">
        <v>249</v>
      </c>
      <c r="I15" t="s">
        <v>242</v>
      </c>
      <c r="J15">
        <v>13115</v>
      </c>
      <c r="K15">
        <v>3770</v>
      </c>
      <c r="L15">
        <v>2550</v>
      </c>
      <c r="M15">
        <v>55</v>
      </c>
      <c r="N15">
        <v>13500</v>
      </c>
      <c r="O15">
        <v>18000</v>
      </c>
    </row>
    <row r="16" spans="7:15" x14ac:dyDescent="0.25">
      <c r="G16" t="s">
        <v>229</v>
      </c>
      <c r="H16" t="s">
        <v>250</v>
      </c>
      <c r="I16" t="s">
        <v>240</v>
      </c>
      <c r="J16">
        <v>13890</v>
      </c>
      <c r="K16">
        <v>4000</v>
      </c>
      <c r="L16">
        <v>2550</v>
      </c>
      <c r="M16">
        <v>78</v>
      </c>
      <c r="N16">
        <v>19000</v>
      </c>
      <c r="O16">
        <v>26000</v>
      </c>
    </row>
    <row r="17" spans="7:15" x14ac:dyDescent="0.25">
      <c r="G17" t="s">
        <v>227</v>
      </c>
      <c r="H17" t="s">
        <v>241</v>
      </c>
      <c r="I17" t="s">
        <v>242</v>
      </c>
      <c r="J17">
        <v>12925</v>
      </c>
      <c r="K17">
        <v>3680</v>
      </c>
      <c r="L17">
        <v>2550</v>
      </c>
      <c r="M17">
        <v>51</v>
      </c>
      <c r="O17">
        <v>19500</v>
      </c>
    </row>
    <row r="18" spans="7:15" x14ac:dyDescent="0.25">
      <c r="G18" t="s">
        <v>229</v>
      </c>
      <c r="H18" t="s">
        <v>243</v>
      </c>
      <c r="I18" t="s">
        <v>242</v>
      </c>
      <c r="J18">
        <v>13020</v>
      </c>
      <c r="K18">
        <v>3620</v>
      </c>
      <c r="L18">
        <v>2550</v>
      </c>
      <c r="M18">
        <v>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workbookViewId="0">
      <selection activeCell="A7" sqref="A7:F8"/>
    </sheetView>
  </sheetViews>
  <sheetFormatPr defaultRowHeight="15" x14ac:dyDescent="0.25"/>
  <cols>
    <col min="1" max="1" width="13.28515625" bestFit="1" customWidth="1"/>
  </cols>
  <sheetData>
    <row r="6" spans="1:6" x14ac:dyDescent="0.25">
      <c r="A6" t="s">
        <v>3</v>
      </c>
      <c r="B6" t="s">
        <v>129</v>
      </c>
      <c r="C6" t="s">
        <v>129</v>
      </c>
      <c r="D6" t="s">
        <v>129</v>
      </c>
      <c r="E6" t="s">
        <v>129</v>
      </c>
      <c r="F6" t="s">
        <v>130</v>
      </c>
    </row>
    <row r="7" spans="1:6" x14ac:dyDescent="0.25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25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5" x14ac:dyDescent="0.25"/>
  <sheetData>
    <row r="2" spans="1:3" x14ac:dyDescent="0.25">
      <c r="A2" t="s">
        <v>4</v>
      </c>
    </row>
    <row r="3" spans="1:3" x14ac:dyDescent="0.25">
      <c r="A3" t="s">
        <v>0</v>
      </c>
      <c r="B3">
        <v>100</v>
      </c>
      <c r="C3">
        <v>212</v>
      </c>
    </row>
    <row r="4" spans="1:3" x14ac:dyDescent="0.25">
      <c r="A4" t="s">
        <v>1</v>
      </c>
      <c r="B4">
        <v>9.5</v>
      </c>
      <c r="C4">
        <v>15.5</v>
      </c>
    </row>
    <row r="5" spans="1:3" x14ac:dyDescent="0.25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J47" sqref="J47"/>
    </sheetView>
  </sheetViews>
  <sheetFormatPr defaultRowHeight="15" x14ac:dyDescent="0.25"/>
  <cols>
    <col min="1" max="1" width="58.5703125" bestFit="1" customWidth="1"/>
    <col min="2" max="2" width="9.85546875" bestFit="1" customWidth="1"/>
  </cols>
  <sheetData>
    <row r="1" spans="1:9" x14ac:dyDescent="0.25">
      <c r="A1" t="s">
        <v>20</v>
      </c>
    </row>
    <row r="2" spans="1:9" x14ac:dyDescent="0.25">
      <c r="A2" s="6"/>
      <c r="B2" s="6">
        <v>2011</v>
      </c>
      <c r="C2" s="6">
        <v>2012</v>
      </c>
      <c r="D2" s="6">
        <v>2013</v>
      </c>
      <c r="E2" s="6">
        <v>2014</v>
      </c>
      <c r="F2" s="6">
        <v>2015</v>
      </c>
      <c r="G2" s="6">
        <v>2016</v>
      </c>
      <c r="H2" s="6">
        <v>2017</v>
      </c>
      <c r="I2" s="6">
        <v>2018</v>
      </c>
    </row>
    <row r="3" spans="1:9" x14ac:dyDescent="0.25">
      <c r="A3" t="s">
        <v>19</v>
      </c>
      <c r="B3" s="4">
        <v>19572</v>
      </c>
      <c r="C3" s="4">
        <v>18487</v>
      </c>
      <c r="D3" s="4">
        <v>17814</v>
      </c>
      <c r="E3" s="4">
        <v>17835</v>
      </c>
      <c r="F3" s="4">
        <v>19132</v>
      </c>
      <c r="G3" s="4">
        <v>20215</v>
      </c>
      <c r="H3" s="4">
        <v>19497</v>
      </c>
      <c r="I3" s="4">
        <v>18752</v>
      </c>
    </row>
    <row r="4" spans="1:9" x14ac:dyDescent="0.25">
      <c r="A4" t="s">
        <v>18</v>
      </c>
      <c r="B4" s="5">
        <f t="shared" ref="B4:I4" si="0">3.5*B3</f>
        <v>68502</v>
      </c>
      <c r="C4" s="5">
        <f t="shared" si="0"/>
        <v>64704.5</v>
      </c>
      <c r="D4" s="5">
        <f t="shared" si="0"/>
        <v>62349</v>
      </c>
      <c r="E4" s="5">
        <f t="shared" si="0"/>
        <v>62422.5</v>
      </c>
      <c r="F4" s="5">
        <f t="shared" si="0"/>
        <v>66962</v>
      </c>
      <c r="G4" s="5">
        <f t="shared" si="0"/>
        <v>70752.5</v>
      </c>
      <c r="H4" s="5">
        <f t="shared" si="0"/>
        <v>68239.5</v>
      </c>
      <c r="I4" s="5">
        <f t="shared" si="0"/>
        <v>65632</v>
      </c>
    </row>
    <row r="5" spans="1:9" x14ac:dyDescent="0.25">
      <c r="A5" t="s">
        <v>17</v>
      </c>
      <c r="B5" s="5">
        <f t="shared" ref="B5:I5" si="1">4.25*B3</f>
        <v>83181</v>
      </c>
      <c r="C5" s="5">
        <f t="shared" si="1"/>
        <v>78569.75</v>
      </c>
      <c r="D5" s="5">
        <f t="shared" si="1"/>
        <v>75709.5</v>
      </c>
      <c r="E5" s="5">
        <f t="shared" si="1"/>
        <v>75798.75</v>
      </c>
      <c r="F5" s="5">
        <f t="shared" si="1"/>
        <v>81311</v>
      </c>
      <c r="G5" s="5">
        <f t="shared" si="1"/>
        <v>85913.75</v>
      </c>
      <c r="H5" s="5">
        <f t="shared" si="1"/>
        <v>82862.25</v>
      </c>
      <c r="I5" s="5">
        <f t="shared" si="1"/>
        <v>79696</v>
      </c>
    </row>
    <row r="6" spans="1:9" x14ac:dyDescent="0.25">
      <c r="A6" t="s">
        <v>16</v>
      </c>
      <c r="B6" s="5">
        <f t="shared" ref="B6:I6" si="2">9.5*B3</f>
        <v>185934</v>
      </c>
      <c r="C6" s="5">
        <f t="shared" si="2"/>
        <v>175626.5</v>
      </c>
      <c r="D6" s="5">
        <f t="shared" si="2"/>
        <v>169233</v>
      </c>
      <c r="E6" s="5">
        <f t="shared" si="2"/>
        <v>169432.5</v>
      </c>
      <c r="F6" s="5">
        <f t="shared" si="2"/>
        <v>181754</v>
      </c>
      <c r="G6" s="5">
        <f t="shared" si="2"/>
        <v>192042.5</v>
      </c>
      <c r="H6" s="5">
        <f t="shared" si="2"/>
        <v>185221.5</v>
      </c>
      <c r="I6" s="5">
        <f t="shared" si="2"/>
        <v>178144</v>
      </c>
    </row>
    <row r="7" spans="1:9" x14ac:dyDescent="0.25">
      <c r="A7" t="s">
        <v>15</v>
      </c>
      <c r="B7" s="4">
        <v>56554</v>
      </c>
      <c r="C7" s="4">
        <v>52816</v>
      </c>
      <c r="D7" s="4">
        <v>51530</v>
      </c>
      <c r="E7" s="4">
        <v>51976</v>
      </c>
      <c r="F7" s="4">
        <v>63937</v>
      </c>
      <c r="G7" s="4">
        <v>73052</v>
      </c>
      <c r="H7" s="4">
        <v>66952</v>
      </c>
      <c r="I7" s="4">
        <v>66239</v>
      </c>
    </row>
    <row r="8" spans="1:9" x14ac:dyDescent="0.25">
      <c r="A8" s="3" t="s">
        <v>14</v>
      </c>
      <c r="B8" s="2">
        <f t="shared" ref="B8:I8" si="3">B7/B4</f>
        <v>0.82558173483985864</v>
      </c>
      <c r="C8" s="2">
        <f t="shared" si="3"/>
        <v>0.81626471110973731</v>
      </c>
      <c r="D8" s="2">
        <f t="shared" si="3"/>
        <v>0.82647676787117674</v>
      </c>
      <c r="E8" s="2">
        <f t="shared" si="3"/>
        <v>0.83264848412030923</v>
      </c>
      <c r="F8" s="2">
        <f t="shared" si="3"/>
        <v>0.95482512469758962</v>
      </c>
      <c r="G8" s="2">
        <f t="shared" si="3"/>
        <v>1.0325006183527083</v>
      </c>
      <c r="H8" s="2">
        <f t="shared" si="3"/>
        <v>0.98113262846298699</v>
      </c>
      <c r="I8" s="2">
        <f t="shared" si="3"/>
        <v>1.0092485372988786</v>
      </c>
    </row>
    <row r="9" spans="1:9" x14ac:dyDescent="0.25">
      <c r="A9" s="3" t="s">
        <v>13</v>
      </c>
      <c r="B9" s="2">
        <f t="shared" ref="B9:I9" si="4">B7/B5</f>
        <v>0.67989084045635417</v>
      </c>
      <c r="C9" s="2">
        <f t="shared" si="4"/>
        <v>0.67221799738448962</v>
      </c>
      <c r="D9" s="2">
        <f t="shared" si="4"/>
        <v>0.68062792648214554</v>
      </c>
      <c r="E9" s="2">
        <f t="shared" si="4"/>
        <v>0.6857105163343723</v>
      </c>
      <c r="F9" s="2">
        <f t="shared" si="4"/>
        <v>0.78632657328036792</v>
      </c>
      <c r="G9" s="2">
        <f t="shared" si="4"/>
        <v>0.85029462687870105</v>
      </c>
      <c r="H9" s="2">
        <f t="shared" si="4"/>
        <v>0.80799157638128338</v>
      </c>
      <c r="I9" s="2">
        <f t="shared" si="4"/>
        <v>0.8311458542461353</v>
      </c>
    </row>
    <row r="10" spans="1:9" x14ac:dyDescent="0.25">
      <c r="A10" s="3" t="s">
        <v>12</v>
      </c>
      <c r="B10" s="2">
        <f t="shared" ref="B10:I10" si="5">B7/B6</f>
        <v>0.30416169178310581</v>
      </c>
      <c r="C10" s="2">
        <f t="shared" si="5"/>
        <v>0.30072910409306114</v>
      </c>
      <c r="D10" s="2">
        <f t="shared" si="5"/>
        <v>0.30449144079464407</v>
      </c>
      <c r="E10" s="2">
        <f t="shared" si="5"/>
        <v>0.30676523099169284</v>
      </c>
      <c r="F10" s="2">
        <f t="shared" si="5"/>
        <v>0.35177767752016464</v>
      </c>
      <c r="G10" s="2">
        <f t="shared" si="5"/>
        <v>0.38039496465626099</v>
      </c>
      <c r="H10" s="2">
        <f t="shared" si="5"/>
        <v>0.36146991574952153</v>
      </c>
      <c r="I10" s="2">
        <f t="shared" si="5"/>
        <v>0.37182840847853421</v>
      </c>
    </row>
    <row r="11" spans="1:9" x14ac:dyDescent="0.25">
      <c r="A11" s="7" t="s">
        <v>21</v>
      </c>
      <c r="B11" s="4">
        <v>266864</v>
      </c>
      <c r="C11" s="4">
        <v>252646</v>
      </c>
      <c r="D11" s="4">
        <v>237611</v>
      </c>
      <c r="E11" s="4">
        <v>238514</v>
      </c>
      <c r="F11" s="4">
        <v>248065</v>
      </c>
      <c r="G11" s="4">
        <v>240412</v>
      </c>
      <c r="H11" s="4">
        <v>239623</v>
      </c>
      <c r="I11" s="4">
        <v>231049</v>
      </c>
    </row>
    <row r="12" spans="1:9" x14ac:dyDescent="0.25">
      <c r="A12" s="3" t="s">
        <v>22</v>
      </c>
      <c r="B12" s="8">
        <f>(B3*1000000)/(B11*1000)</f>
        <v>73.340727861382575</v>
      </c>
      <c r="C12" s="8">
        <f t="shared" ref="C12:I12" si="6">(C3*1000000)/(C11*1000)</f>
        <v>73.173531344252439</v>
      </c>
      <c r="D12" s="8">
        <f t="shared" si="6"/>
        <v>74.971276582313109</v>
      </c>
      <c r="E12" s="8">
        <f t="shared" si="6"/>
        <v>74.775484877197982</v>
      </c>
      <c r="F12" s="8">
        <f t="shared" si="6"/>
        <v>77.124947090480319</v>
      </c>
      <c r="G12" s="8">
        <f t="shared" si="6"/>
        <v>84.084821057185167</v>
      </c>
      <c r="H12" s="8">
        <f t="shared" si="6"/>
        <v>81.365311343234993</v>
      </c>
      <c r="I12" s="8">
        <f t="shared" si="6"/>
        <v>81.160273361927551</v>
      </c>
    </row>
    <row r="13" spans="1:9" x14ac:dyDescent="0.25">
      <c r="A13" s="3"/>
    </row>
    <row r="14" spans="1:9" x14ac:dyDescent="0.25">
      <c r="A14" t="s">
        <v>23</v>
      </c>
    </row>
    <row r="15" spans="1:9" x14ac:dyDescent="0.25">
      <c r="A15" s="6"/>
      <c r="B15" s="6">
        <v>2011</v>
      </c>
      <c r="C15" s="6">
        <v>2012</v>
      </c>
      <c r="D15" s="6">
        <v>2013</v>
      </c>
      <c r="E15" s="6">
        <v>2014</v>
      </c>
      <c r="F15" s="6">
        <v>2015</v>
      </c>
      <c r="G15" s="6">
        <v>2016</v>
      </c>
      <c r="H15" s="6">
        <v>2017</v>
      </c>
      <c r="I15" s="6"/>
    </row>
    <row r="16" spans="1:9" x14ac:dyDescent="0.25">
      <c r="A16" t="s">
        <v>19</v>
      </c>
      <c r="B16" s="4">
        <v>17575</v>
      </c>
      <c r="C16" s="4">
        <v>16461</v>
      </c>
      <c r="D16" s="4">
        <v>16681</v>
      </c>
      <c r="E16" s="4">
        <v>16395</v>
      </c>
      <c r="F16" s="4">
        <v>17383</v>
      </c>
      <c r="G16" s="4">
        <v>16942</v>
      </c>
      <c r="H16" s="4">
        <v>17799</v>
      </c>
      <c r="I16" s="4"/>
    </row>
    <row r="17" spans="1:9" x14ac:dyDescent="0.25">
      <c r="A17" t="s">
        <v>24</v>
      </c>
      <c r="B17" s="5">
        <f>9.6*B16</f>
        <v>168720</v>
      </c>
      <c r="C17" s="5">
        <f t="shared" ref="C17:H17" si="7">9.6*C16</f>
        <v>158025.60000000001</v>
      </c>
      <c r="D17" s="5">
        <f t="shared" si="7"/>
        <v>160137.60000000001</v>
      </c>
      <c r="E17" s="5">
        <f t="shared" si="7"/>
        <v>157392</v>
      </c>
      <c r="F17" s="5">
        <f t="shared" si="7"/>
        <v>166876.79999999999</v>
      </c>
      <c r="G17" s="5">
        <f t="shared" si="7"/>
        <v>162643.19999999998</v>
      </c>
      <c r="H17" s="5">
        <f t="shared" si="7"/>
        <v>170870.39999999999</v>
      </c>
      <c r="I17" s="5"/>
    </row>
    <row r="18" spans="1:9" x14ac:dyDescent="0.25">
      <c r="A18" t="s">
        <v>25</v>
      </c>
      <c r="B18" s="5">
        <f>12.5*B16</f>
        <v>219687.5</v>
      </c>
      <c r="C18" s="5">
        <f t="shared" ref="C18:H18" si="8">12.5*C16</f>
        <v>205762.5</v>
      </c>
      <c r="D18" s="5">
        <f t="shared" si="8"/>
        <v>208512.5</v>
      </c>
      <c r="E18" s="5">
        <f t="shared" si="8"/>
        <v>204937.5</v>
      </c>
      <c r="F18" s="5">
        <f t="shared" si="8"/>
        <v>217287.5</v>
      </c>
      <c r="G18" s="5">
        <f t="shared" si="8"/>
        <v>211775</v>
      </c>
      <c r="H18" s="5">
        <f t="shared" si="8"/>
        <v>222487.5</v>
      </c>
      <c r="I18" s="5"/>
    </row>
    <row r="19" spans="1:9" x14ac:dyDescent="0.25">
      <c r="A19" t="s">
        <v>26</v>
      </c>
      <c r="B19" s="5">
        <f>15.5*B16</f>
        <v>272412.5</v>
      </c>
      <c r="C19" s="5">
        <f t="shared" ref="C19:H19" si="9">15.5*C16</f>
        <v>255145.5</v>
      </c>
      <c r="D19" s="5">
        <f t="shared" si="9"/>
        <v>258555.5</v>
      </c>
      <c r="E19" s="5">
        <f t="shared" si="9"/>
        <v>254122.5</v>
      </c>
      <c r="F19" s="5">
        <f t="shared" si="9"/>
        <v>269436.5</v>
      </c>
      <c r="G19" s="5">
        <f t="shared" si="9"/>
        <v>262601</v>
      </c>
      <c r="H19" s="5">
        <f t="shared" si="9"/>
        <v>275884.5</v>
      </c>
      <c r="I19" s="5"/>
    </row>
    <row r="20" spans="1:9" x14ac:dyDescent="0.25">
      <c r="A20" t="s">
        <v>15</v>
      </c>
      <c r="B20" s="9">
        <v>197591</v>
      </c>
      <c r="C20" s="9">
        <v>178915</v>
      </c>
      <c r="D20" s="9">
        <v>181385</v>
      </c>
      <c r="E20" s="9">
        <v>170458</v>
      </c>
      <c r="F20" s="9">
        <v>190073</v>
      </c>
      <c r="G20" s="9">
        <v>179603</v>
      </c>
      <c r="H20" s="9">
        <v>192521</v>
      </c>
      <c r="I20" s="4"/>
    </row>
    <row r="21" spans="1:9" x14ac:dyDescent="0.25">
      <c r="A21" s="3" t="s">
        <v>14</v>
      </c>
      <c r="B21" s="2">
        <f t="shared" ref="B21:H21" si="10">B20/B17</f>
        <v>1.1711178283546704</v>
      </c>
      <c r="C21" s="2">
        <f t="shared" si="10"/>
        <v>1.1321899742826478</v>
      </c>
      <c r="D21" s="2">
        <f t="shared" si="10"/>
        <v>1.1326821433567131</v>
      </c>
      <c r="E21" s="2">
        <f t="shared" si="10"/>
        <v>1.0830156551794246</v>
      </c>
      <c r="F21" s="2">
        <f t="shared" si="10"/>
        <v>1.139001946346047</v>
      </c>
      <c r="G21" s="2">
        <f t="shared" si="10"/>
        <v>1.1042761086845316</v>
      </c>
      <c r="H21" s="2">
        <f t="shared" si="10"/>
        <v>1.126707727025863</v>
      </c>
      <c r="I21" s="2"/>
    </row>
    <row r="22" spans="1:9" x14ac:dyDescent="0.25">
      <c r="A22" s="3" t="s">
        <v>13</v>
      </c>
      <c r="B22" s="2">
        <f t="shared" ref="B22:H22" si="11">B20/B18</f>
        <v>0.89941849217638692</v>
      </c>
      <c r="C22" s="2">
        <f t="shared" si="11"/>
        <v>0.86952190024907361</v>
      </c>
      <c r="D22" s="2">
        <f t="shared" si="11"/>
        <v>0.86989988609795577</v>
      </c>
      <c r="E22" s="2">
        <f t="shared" si="11"/>
        <v>0.83175602317779807</v>
      </c>
      <c r="F22" s="2">
        <f t="shared" si="11"/>
        <v>0.87475349479376407</v>
      </c>
      <c r="G22" s="2">
        <f t="shared" si="11"/>
        <v>0.84808405146972021</v>
      </c>
      <c r="H22" s="2">
        <f t="shared" si="11"/>
        <v>0.86531153435586272</v>
      </c>
      <c r="I22" s="2"/>
    </row>
    <row r="23" spans="1:9" x14ac:dyDescent="0.25">
      <c r="A23" s="3" t="s">
        <v>12</v>
      </c>
      <c r="B23" s="2">
        <f t="shared" ref="B23:H23" si="12">B20/B19</f>
        <v>0.7253374936906346</v>
      </c>
      <c r="C23" s="2">
        <f t="shared" si="12"/>
        <v>0.70122733891054323</v>
      </c>
      <c r="D23" s="2">
        <f t="shared" si="12"/>
        <v>0.70153216620802883</v>
      </c>
      <c r="E23" s="2">
        <f t="shared" si="12"/>
        <v>0.67077098643370814</v>
      </c>
      <c r="F23" s="2">
        <f t="shared" si="12"/>
        <v>0.7054463667691645</v>
      </c>
      <c r="G23" s="2">
        <f t="shared" si="12"/>
        <v>0.68393875118525826</v>
      </c>
      <c r="H23" s="2">
        <f t="shared" si="12"/>
        <v>0.69783188254505057</v>
      </c>
      <c r="I23" s="2"/>
    </row>
    <row r="24" spans="1:9" x14ac:dyDescent="0.25">
      <c r="A24" s="7" t="s">
        <v>21</v>
      </c>
      <c r="B24" s="10">
        <v>235818</v>
      </c>
      <c r="C24" s="10">
        <v>210769</v>
      </c>
      <c r="D24" s="10">
        <v>205017</v>
      </c>
      <c r="E24" s="10">
        <v>209278</v>
      </c>
      <c r="F24" s="10">
        <v>207867</v>
      </c>
      <c r="G24" s="10">
        <v>197093</v>
      </c>
      <c r="H24" s="10">
        <v>203297</v>
      </c>
      <c r="I24" s="4"/>
    </row>
    <row r="25" spans="1:9" x14ac:dyDescent="0.25">
      <c r="A25" s="3" t="s">
        <v>22</v>
      </c>
      <c r="B25" s="8">
        <f>(B16*1000000)/(B24*1000)</f>
        <v>74.527813822524152</v>
      </c>
      <c r="C25" s="8">
        <f t="shared" ref="C25" si="13">(C16*1000000)/(C24*1000)</f>
        <v>78.099720547139285</v>
      </c>
      <c r="D25" s="8">
        <f t="shared" ref="D25" si="14">(D16*1000000)/(D24*1000)</f>
        <v>81.363984450069992</v>
      </c>
      <c r="E25" s="8">
        <f t="shared" ref="E25" si="15">(E16*1000000)/(E24*1000)</f>
        <v>78.340771605233229</v>
      </c>
      <c r="F25" s="8">
        <f t="shared" ref="F25" si="16">(F16*1000000)/(F24*1000)</f>
        <v>83.625587515093784</v>
      </c>
      <c r="G25" s="8">
        <f t="shared" ref="G25" si="17">(G16*1000000)/(G24*1000)</f>
        <v>85.959420172202968</v>
      </c>
      <c r="H25" s="8">
        <f t="shared" ref="H25" si="18">(H16*1000000)/(H24*1000)</f>
        <v>87.551710059666405</v>
      </c>
      <c r="I25" s="8"/>
    </row>
    <row r="27" spans="1:9" x14ac:dyDescent="0.25">
      <c r="A27" t="s">
        <v>27</v>
      </c>
    </row>
    <row r="28" spans="1:9" x14ac:dyDescent="0.25">
      <c r="A28" s="6"/>
      <c r="B28" s="6">
        <v>2011</v>
      </c>
      <c r="C28" s="6">
        <v>2012</v>
      </c>
      <c r="D28" s="6">
        <v>2013</v>
      </c>
      <c r="E28" s="6">
        <v>2014</v>
      </c>
      <c r="F28" s="6">
        <v>2015</v>
      </c>
      <c r="G28" s="6">
        <v>2016</v>
      </c>
      <c r="H28" s="6">
        <v>2017</v>
      </c>
      <c r="I28" s="6">
        <v>2018</v>
      </c>
    </row>
    <row r="29" spans="1:9" x14ac:dyDescent="0.25">
      <c r="A29" t="s">
        <v>19</v>
      </c>
      <c r="B29" s="12">
        <v>9064</v>
      </c>
      <c r="C29" s="12">
        <v>8810</v>
      </c>
      <c r="D29" s="12">
        <v>8462</v>
      </c>
      <c r="E29" s="12">
        <v>8152</v>
      </c>
      <c r="F29" s="12">
        <v>7957</v>
      </c>
      <c r="G29" s="12">
        <v>8475</v>
      </c>
      <c r="H29" s="12">
        <v>9234</v>
      </c>
      <c r="I29" s="12">
        <v>9498</v>
      </c>
    </row>
    <row r="30" spans="1:9" x14ac:dyDescent="0.25">
      <c r="A30" t="s">
        <v>28</v>
      </c>
      <c r="B30" s="5">
        <f>15.6*B29</f>
        <v>141398.39999999999</v>
      </c>
      <c r="C30" s="5">
        <f t="shared" ref="C30:I30" si="19">15.6*C29</f>
        <v>137436</v>
      </c>
      <c r="D30" s="5">
        <f t="shared" si="19"/>
        <v>132007.19999999998</v>
      </c>
      <c r="E30" s="5">
        <f t="shared" si="19"/>
        <v>127171.2</v>
      </c>
      <c r="F30" s="5">
        <f t="shared" si="19"/>
        <v>124129.2</v>
      </c>
      <c r="G30" s="5">
        <f t="shared" si="19"/>
        <v>132210</v>
      </c>
      <c r="H30" s="5">
        <f t="shared" si="19"/>
        <v>144050.4</v>
      </c>
      <c r="I30" s="5">
        <f t="shared" si="19"/>
        <v>148168.79999999999</v>
      </c>
    </row>
    <row r="31" spans="1:9" x14ac:dyDescent="0.25">
      <c r="A31" t="s">
        <v>29</v>
      </c>
      <c r="B31" s="5">
        <f>18*B29</f>
        <v>163152</v>
      </c>
      <c r="C31" s="5">
        <f t="shared" ref="C31:I31" si="20">18*C29</f>
        <v>158580</v>
      </c>
      <c r="D31" s="5">
        <f t="shared" si="20"/>
        <v>152316</v>
      </c>
      <c r="E31" s="5">
        <f t="shared" si="20"/>
        <v>146736</v>
      </c>
      <c r="F31" s="5">
        <f t="shared" si="20"/>
        <v>143226</v>
      </c>
      <c r="G31" s="5">
        <f t="shared" si="20"/>
        <v>152550</v>
      </c>
      <c r="H31" s="5">
        <f t="shared" si="20"/>
        <v>166212</v>
      </c>
      <c r="I31" s="5">
        <f t="shared" si="20"/>
        <v>170964</v>
      </c>
    </row>
    <row r="32" spans="1:9" x14ac:dyDescent="0.25">
      <c r="A32" t="s">
        <v>30</v>
      </c>
      <c r="B32" s="5">
        <f>20.5*B29</f>
        <v>185812</v>
      </c>
      <c r="C32" s="5">
        <f t="shared" ref="C32:I32" si="21">20.5*C29</f>
        <v>180605</v>
      </c>
      <c r="D32" s="5">
        <f t="shared" si="21"/>
        <v>173471</v>
      </c>
      <c r="E32" s="5">
        <f t="shared" si="21"/>
        <v>167116</v>
      </c>
      <c r="F32" s="5">
        <f t="shared" si="21"/>
        <v>163118.5</v>
      </c>
      <c r="G32" s="5">
        <f t="shared" si="21"/>
        <v>173737.5</v>
      </c>
      <c r="H32" s="5">
        <f t="shared" si="21"/>
        <v>189297</v>
      </c>
      <c r="I32" s="5">
        <f t="shared" si="21"/>
        <v>194709</v>
      </c>
    </row>
    <row r="33" spans="1:9" x14ac:dyDescent="0.25">
      <c r="A33" t="s">
        <v>15</v>
      </c>
      <c r="B33" s="11">
        <v>104533</v>
      </c>
      <c r="C33" s="11">
        <v>102210</v>
      </c>
      <c r="D33" s="11">
        <v>95123</v>
      </c>
      <c r="E33" s="11">
        <v>90883</v>
      </c>
      <c r="F33" s="11">
        <v>89793</v>
      </c>
      <c r="G33" s="11">
        <v>93677</v>
      </c>
      <c r="H33" s="11">
        <v>103727</v>
      </c>
      <c r="I33" s="11">
        <v>109066</v>
      </c>
    </row>
    <row r="34" spans="1:9" x14ac:dyDescent="0.25">
      <c r="A34" s="3" t="s">
        <v>14</v>
      </c>
      <c r="B34" s="2">
        <f t="shared" ref="B34:I34" si="22">B33/B30</f>
        <v>0.73927993527508096</v>
      </c>
      <c r="C34" s="2">
        <f t="shared" si="22"/>
        <v>0.74369160918536625</v>
      </c>
      <c r="D34" s="2">
        <f t="shared" si="22"/>
        <v>0.72058948299789716</v>
      </c>
      <c r="E34" s="2">
        <f t="shared" si="22"/>
        <v>0.71465080143931958</v>
      </c>
      <c r="F34" s="2">
        <f t="shared" si="22"/>
        <v>0.72338337796425012</v>
      </c>
      <c r="G34" s="2">
        <f t="shared" si="22"/>
        <v>0.70854700854700858</v>
      </c>
      <c r="H34" s="2">
        <f t="shared" si="22"/>
        <v>0.72007436286188731</v>
      </c>
      <c r="I34" s="2">
        <f t="shared" si="22"/>
        <v>0.73609288865132205</v>
      </c>
    </row>
    <row r="35" spans="1:9" x14ac:dyDescent="0.25">
      <c r="A35" s="3" t="s">
        <v>13</v>
      </c>
      <c r="B35" s="2">
        <f t="shared" ref="B35:I35" si="23">B33/B31</f>
        <v>0.64070927723840343</v>
      </c>
      <c r="C35" s="2">
        <f t="shared" si="23"/>
        <v>0.64453272796065075</v>
      </c>
      <c r="D35" s="2">
        <f t="shared" si="23"/>
        <v>0.62451088526484411</v>
      </c>
      <c r="E35" s="2">
        <f t="shared" si="23"/>
        <v>0.61936402791407696</v>
      </c>
      <c r="F35" s="2">
        <f t="shared" si="23"/>
        <v>0.6269322609023501</v>
      </c>
      <c r="G35" s="2">
        <f t="shared" si="23"/>
        <v>0.61407407407407411</v>
      </c>
      <c r="H35" s="2">
        <f t="shared" si="23"/>
        <v>0.62406444781363557</v>
      </c>
      <c r="I35" s="2">
        <f t="shared" si="23"/>
        <v>0.6379471701644791</v>
      </c>
    </row>
    <row r="36" spans="1:9" x14ac:dyDescent="0.25">
      <c r="A36" s="3" t="s">
        <v>12</v>
      </c>
      <c r="B36" s="2">
        <f t="shared" ref="B36:I36" si="24">B33/B32</f>
        <v>0.56257399952640308</v>
      </c>
      <c r="C36" s="2">
        <f t="shared" si="24"/>
        <v>0.56593117577032748</v>
      </c>
      <c r="D36" s="2">
        <f t="shared" si="24"/>
        <v>0.54835102120815582</v>
      </c>
      <c r="E36" s="2">
        <f t="shared" si="24"/>
        <v>0.54383182938797003</v>
      </c>
      <c r="F36" s="2">
        <f t="shared" si="24"/>
        <v>0.55047710713377085</v>
      </c>
      <c r="G36" s="2">
        <f t="shared" si="24"/>
        <v>0.5391869918699187</v>
      </c>
      <c r="H36" s="2">
        <f t="shared" si="24"/>
        <v>0.54795902734855806</v>
      </c>
      <c r="I36" s="2">
        <f t="shared" si="24"/>
        <v>0.56014873477856697</v>
      </c>
    </row>
    <row r="37" spans="1:9" x14ac:dyDescent="0.25">
      <c r="A37" s="7" t="s">
        <v>21</v>
      </c>
      <c r="B37" s="13">
        <v>145291</v>
      </c>
      <c r="C37" s="13">
        <v>128671</v>
      </c>
      <c r="D37" s="13">
        <v>124529</v>
      </c>
      <c r="E37" s="13">
        <v>121128</v>
      </c>
      <c r="F37" s="13">
        <v>119588</v>
      </c>
      <c r="G37" s="13">
        <v>113505</v>
      </c>
      <c r="H37" s="13">
        <v>114360</v>
      </c>
      <c r="I37" s="13">
        <v>116617</v>
      </c>
    </row>
    <row r="38" spans="1:9" x14ac:dyDescent="0.25">
      <c r="A38" s="3" t="s">
        <v>22</v>
      </c>
      <c r="B38" s="8">
        <f>(B29*1000000)/(B37*1000)</f>
        <v>62.385144296618513</v>
      </c>
      <c r="C38" s="8">
        <f t="shared" ref="C38" si="25">(C29*1000000)/(C37*1000)</f>
        <v>68.469196633274009</v>
      </c>
      <c r="D38" s="8">
        <f t="shared" ref="D38" si="26">(D29*1000000)/(D37*1000)</f>
        <v>67.9520432991512</v>
      </c>
      <c r="E38" s="8">
        <f t="shared" ref="E38" si="27">(E29*1000000)/(E37*1000)</f>
        <v>67.300706690443164</v>
      </c>
      <c r="F38" s="8">
        <f t="shared" ref="F38" si="28">(F29*1000000)/(F37*1000)</f>
        <v>66.53677626517711</v>
      </c>
      <c r="G38" s="8">
        <f t="shared" ref="G38" si="29">(G29*1000000)/(G37*1000)</f>
        <v>74.666314259283737</v>
      </c>
      <c r="H38" s="8">
        <f t="shared" ref="H38" si="30">(H29*1000000)/(H37*1000)</f>
        <v>80.745015739769144</v>
      </c>
      <c r="I38" s="8">
        <f t="shared" ref="I38" si="31">(I29*1000000)/(I37*1000)</f>
        <v>81.446101340284869</v>
      </c>
    </row>
    <row r="40" spans="1:9" x14ac:dyDescent="0.25">
      <c r="A40" t="s">
        <v>31</v>
      </c>
    </row>
    <row r="41" spans="1:9" x14ac:dyDescent="0.25">
      <c r="A41" s="6"/>
      <c r="B41" s="6">
        <v>2011</v>
      </c>
      <c r="C41" s="6">
        <v>2012</v>
      </c>
      <c r="D41" s="6">
        <v>2013</v>
      </c>
      <c r="E41" s="6">
        <v>2014</v>
      </c>
      <c r="F41" s="6">
        <v>2015</v>
      </c>
      <c r="G41" s="6">
        <v>2016</v>
      </c>
      <c r="H41" s="6">
        <v>2017</v>
      </c>
      <c r="I41" s="6">
        <v>2018</v>
      </c>
    </row>
    <row r="42" spans="1:9" x14ac:dyDescent="0.25">
      <c r="A42" t="s">
        <v>19</v>
      </c>
      <c r="B42" s="17">
        <v>28809</v>
      </c>
      <c r="C42" s="17">
        <v>29010</v>
      </c>
      <c r="D42" s="16"/>
      <c r="E42" s="17">
        <v>30373</v>
      </c>
      <c r="F42" s="16"/>
      <c r="G42" s="16"/>
      <c r="H42" s="16"/>
      <c r="I42" s="17">
        <v>37290</v>
      </c>
    </row>
    <row r="43" spans="1:9" x14ac:dyDescent="0.25">
      <c r="A43" t="s">
        <v>32</v>
      </c>
      <c r="B43" s="5">
        <f>20.6*B42</f>
        <v>593465.4</v>
      </c>
      <c r="C43" s="5">
        <f>20.6*C42</f>
        <v>597606</v>
      </c>
      <c r="D43" s="5"/>
      <c r="E43" s="5">
        <f>20.6*E42</f>
        <v>625683.80000000005</v>
      </c>
      <c r="F43" s="5"/>
      <c r="G43" s="5"/>
      <c r="H43" s="5"/>
      <c r="I43" s="5">
        <f>20.6*I42</f>
        <v>768174</v>
      </c>
    </row>
    <row r="44" spans="1:9" x14ac:dyDescent="0.25">
      <c r="A44" t="s">
        <v>34</v>
      </c>
      <c r="B44" s="5">
        <f>23*B42</f>
        <v>662607</v>
      </c>
      <c r="C44" s="5">
        <f>23*C42</f>
        <v>667230</v>
      </c>
      <c r="D44" s="5"/>
      <c r="E44" s="5">
        <f>23*E42</f>
        <v>698579</v>
      </c>
      <c r="F44" s="5"/>
      <c r="G44" s="5"/>
      <c r="H44" s="5"/>
      <c r="I44" s="5">
        <f>23*I42</f>
        <v>857670</v>
      </c>
    </row>
    <row r="45" spans="1:9" x14ac:dyDescent="0.25">
      <c r="A45" t="s">
        <v>33</v>
      </c>
      <c r="B45" s="5">
        <f>25.5*B42</f>
        <v>734629.5</v>
      </c>
      <c r="C45" s="5">
        <f>25.5*C42</f>
        <v>739755</v>
      </c>
      <c r="D45" s="5"/>
      <c r="E45" s="5">
        <f>25.5*E42</f>
        <v>774511.5</v>
      </c>
      <c r="F45" s="5"/>
      <c r="G45" s="5"/>
      <c r="H45" s="5"/>
      <c r="I45" s="5">
        <f>25.5*I42</f>
        <v>950895</v>
      </c>
    </row>
    <row r="46" spans="1:9" x14ac:dyDescent="0.25">
      <c r="A46" t="s">
        <v>15</v>
      </c>
      <c r="B46" s="15">
        <v>489124</v>
      </c>
      <c r="C46" s="15">
        <v>494552</v>
      </c>
      <c r="D46" s="14"/>
      <c r="E46" s="15">
        <v>512618</v>
      </c>
      <c r="F46" s="14"/>
      <c r="G46" s="14"/>
      <c r="H46" s="14"/>
      <c r="I46" s="15">
        <v>625507</v>
      </c>
    </row>
    <row r="47" spans="1:9" x14ac:dyDescent="0.25">
      <c r="A47" s="3" t="s">
        <v>14</v>
      </c>
      <c r="B47" s="2">
        <f>B46/B43</f>
        <v>0.82418284199887637</v>
      </c>
      <c r="C47" s="2">
        <f>C46/C43</f>
        <v>0.8275552788961289</v>
      </c>
      <c r="D47" s="2"/>
      <c r="E47" s="2">
        <f>E46/E43</f>
        <v>0.81929242853978312</v>
      </c>
      <c r="F47" s="2"/>
      <c r="G47" s="2"/>
      <c r="H47" s="2"/>
      <c r="I47" s="2">
        <f>I46/I43</f>
        <v>0.81427775477951614</v>
      </c>
    </row>
    <row r="48" spans="1:9" x14ac:dyDescent="0.25">
      <c r="A48" s="3" t="s">
        <v>13</v>
      </c>
      <c r="B48" s="2">
        <f>B46/B44</f>
        <v>0.73818115413812413</v>
      </c>
      <c r="C48" s="2">
        <f>C46/C44</f>
        <v>0.74120168457653279</v>
      </c>
      <c r="D48" s="2"/>
      <c r="E48" s="2">
        <f>E46/E44</f>
        <v>0.73380104469215368</v>
      </c>
      <c r="F48" s="2"/>
      <c r="G48" s="2"/>
      <c r="H48" s="2"/>
      <c r="I48" s="2">
        <f>I46/I44</f>
        <v>0.72930964123730568</v>
      </c>
    </row>
    <row r="49" spans="1:9" x14ac:dyDescent="0.25">
      <c r="A49" s="3" t="s">
        <v>12</v>
      </c>
      <c r="B49" s="2">
        <f>B46/B45</f>
        <v>0.66581045275203354</v>
      </c>
      <c r="C49" s="2">
        <f>C46/C45</f>
        <v>0.66853485275530411</v>
      </c>
      <c r="D49" s="2"/>
      <c r="E49" s="2">
        <f>E46/E45</f>
        <v>0.661859765800766</v>
      </c>
      <c r="F49" s="2"/>
      <c r="G49" s="2"/>
      <c r="H49" s="2"/>
      <c r="I49" s="2">
        <f>I46/I45</f>
        <v>0.65780869601796199</v>
      </c>
    </row>
    <row r="50" spans="1:9" x14ac:dyDescent="0.25">
      <c r="A50" s="7" t="s">
        <v>21</v>
      </c>
      <c r="B50" s="19">
        <v>139524</v>
      </c>
      <c r="C50" s="19">
        <v>135063</v>
      </c>
      <c r="D50" s="18"/>
      <c r="E50" s="19">
        <v>138968</v>
      </c>
      <c r="F50" s="18"/>
      <c r="G50" s="18"/>
      <c r="H50" s="18"/>
      <c r="I50" s="19">
        <v>168384</v>
      </c>
    </row>
    <row r="51" spans="1:9" x14ac:dyDescent="0.25">
      <c r="A51" s="3" t="s">
        <v>22</v>
      </c>
      <c r="B51" s="8">
        <f>(B42*1000000)/(B50*1000)</f>
        <v>206.48060548722799</v>
      </c>
      <c r="C51" s="8">
        <f t="shared" ref="C51" si="32">(C42*1000000)/(C50*1000)</f>
        <v>214.7886541836032</v>
      </c>
      <c r="D51" s="8"/>
      <c r="E51" s="8">
        <f t="shared" ref="E51" si="33">(E42*1000000)/(E50*1000)</f>
        <v>218.56110759311497</v>
      </c>
      <c r="F51" s="8"/>
      <c r="G51" s="8"/>
      <c r="H51" s="8"/>
      <c r="I51" s="8">
        <f t="shared" ref="I51" si="34">(I42*1000000)/(I50*1000)</f>
        <v>221.45809578107185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5" workbookViewId="0">
      <selection activeCell="C54" sqref="C54"/>
    </sheetView>
  </sheetViews>
  <sheetFormatPr defaultRowHeight="15" x14ac:dyDescent="0.25"/>
  <cols>
    <col min="1" max="1" width="36.85546875" bestFit="1" customWidth="1"/>
    <col min="2" max="2" width="8.85546875" bestFit="1" customWidth="1"/>
    <col min="3" max="3" width="11.5703125" bestFit="1" customWidth="1"/>
    <col min="4" max="6" width="11.42578125" bestFit="1" customWidth="1"/>
  </cols>
  <sheetData>
    <row r="1" spans="1:9" x14ac:dyDescent="0.25">
      <c r="B1" t="s">
        <v>37</v>
      </c>
      <c r="C1" s="21">
        <v>2020</v>
      </c>
      <c r="D1" s="21">
        <v>2030</v>
      </c>
      <c r="E1" s="21">
        <v>2040</v>
      </c>
      <c r="F1" s="21">
        <v>2050</v>
      </c>
    </row>
    <row r="2" spans="1:9" x14ac:dyDescent="0.25">
      <c r="A2" t="s">
        <v>35</v>
      </c>
      <c r="B2" t="s">
        <v>38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 x14ac:dyDescent="0.25">
      <c r="A3" t="s">
        <v>36</v>
      </c>
      <c r="B3" t="s">
        <v>39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 x14ac:dyDescent="0.25">
      <c r="C4" s="21"/>
      <c r="D4" s="21"/>
      <c r="E4" s="21"/>
      <c r="F4" s="21"/>
      <c r="H4" s="27"/>
      <c r="I4" s="26"/>
    </row>
    <row r="5" spans="1:9" x14ac:dyDescent="0.25">
      <c r="A5" t="s">
        <v>54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 x14ac:dyDescent="0.25">
      <c r="A6" t="s">
        <v>55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 x14ac:dyDescent="0.25">
      <c r="A7" t="s">
        <v>56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 x14ac:dyDescent="0.25">
      <c r="A8" t="s">
        <v>57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 x14ac:dyDescent="0.25">
      <c r="A9" t="s">
        <v>58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 x14ac:dyDescent="0.25">
      <c r="A10" t="s">
        <v>59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 x14ac:dyDescent="0.25">
      <c r="C11" s="21"/>
      <c r="D11" s="21"/>
      <c r="E11" s="21"/>
      <c r="F11" s="21"/>
    </row>
    <row r="12" spans="1:9" x14ac:dyDescent="0.25">
      <c r="A12" t="s">
        <v>73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 x14ac:dyDescent="0.25">
      <c r="A13" t="s">
        <v>74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 x14ac:dyDescent="0.25">
      <c r="A14" t="s">
        <v>75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 x14ac:dyDescent="0.25">
      <c r="A15" t="s">
        <v>76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 x14ac:dyDescent="0.25">
      <c r="A16" t="s">
        <v>77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 x14ac:dyDescent="0.25">
      <c r="A17" t="s">
        <v>78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 x14ac:dyDescent="0.25">
      <c r="C18" s="22"/>
      <c r="D18" s="22"/>
      <c r="E18" s="22"/>
      <c r="F18" s="22"/>
    </row>
    <row r="19" spans="1:6" x14ac:dyDescent="0.25">
      <c r="A19" t="s">
        <v>79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 x14ac:dyDescent="0.25">
      <c r="A20" t="s">
        <v>80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 x14ac:dyDescent="0.25">
      <c r="A21" t="s">
        <v>81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 x14ac:dyDescent="0.25">
      <c r="A22" t="s">
        <v>82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 x14ac:dyDescent="0.25">
      <c r="A23" t="s">
        <v>83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 x14ac:dyDescent="0.25">
      <c r="A24" t="s">
        <v>84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 x14ac:dyDescent="0.25">
      <c r="C25" s="22"/>
      <c r="D25" s="22"/>
      <c r="E25" s="22"/>
      <c r="F25" s="22"/>
    </row>
    <row r="26" spans="1:6" x14ac:dyDescent="0.25">
      <c r="A26" t="s">
        <v>67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 x14ac:dyDescent="0.25">
      <c r="A27" t="s">
        <v>68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 x14ac:dyDescent="0.25">
      <c r="A28" t="s">
        <v>69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 x14ac:dyDescent="0.25">
      <c r="A29" t="s">
        <v>72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 x14ac:dyDescent="0.25">
      <c r="A30" t="s">
        <v>70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 x14ac:dyDescent="0.25">
      <c r="A31" t="s">
        <v>71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 x14ac:dyDescent="0.25">
      <c r="C32" s="22"/>
      <c r="D32" s="22"/>
      <c r="E32" s="22"/>
      <c r="F32" s="22"/>
    </row>
    <row r="33" spans="1:8" x14ac:dyDescent="0.25">
      <c r="A33" t="s">
        <v>60</v>
      </c>
      <c r="B33" t="s">
        <v>66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 x14ac:dyDescent="0.25">
      <c r="A34" t="s">
        <v>61</v>
      </c>
      <c r="B34" t="s">
        <v>66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 x14ac:dyDescent="0.25">
      <c r="A35" t="s">
        <v>62</v>
      </c>
      <c r="B35" t="s">
        <v>66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 x14ac:dyDescent="0.25">
      <c r="A36" t="s">
        <v>63</v>
      </c>
      <c r="B36" t="s">
        <v>66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 x14ac:dyDescent="0.25">
      <c r="A37" t="s">
        <v>64</v>
      </c>
      <c r="B37" t="s">
        <v>66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 x14ac:dyDescent="0.25">
      <c r="A38" t="s">
        <v>65</v>
      </c>
      <c r="B38" t="s">
        <v>66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 x14ac:dyDescent="0.25">
      <c r="C39" s="21"/>
      <c r="D39" s="21"/>
      <c r="E39" s="21"/>
      <c r="F39" s="21"/>
    </row>
    <row r="40" spans="1:8" x14ac:dyDescent="0.25">
      <c r="A40" t="s">
        <v>85</v>
      </c>
      <c r="B40" t="s">
        <v>53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 x14ac:dyDescent="0.25">
      <c r="A41" t="s">
        <v>86</v>
      </c>
      <c r="B41" t="s">
        <v>53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 x14ac:dyDescent="0.25">
      <c r="A42" t="s">
        <v>87</v>
      </c>
      <c r="B42" t="s">
        <v>53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 x14ac:dyDescent="0.25">
      <c r="A43" t="s">
        <v>88</v>
      </c>
      <c r="B43" t="s">
        <v>53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 x14ac:dyDescent="0.25">
      <c r="A44" t="s">
        <v>89</v>
      </c>
      <c r="B44" t="s">
        <v>53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 x14ac:dyDescent="0.25">
      <c r="A45" t="s">
        <v>90</v>
      </c>
      <c r="B45" t="s">
        <v>53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 x14ac:dyDescent="0.25">
      <c r="C46" s="5"/>
      <c r="D46" s="5"/>
      <c r="E46" s="5"/>
      <c r="F46" s="5"/>
    </row>
    <row r="47" spans="1:8" x14ac:dyDescent="0.25">
      <c r="A47" t="s">
        <v>41</v>
      </c>
      <c r="B47" t="s">
        <v>40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 x14ac:dyDescent="0.25">
      <c r="A48" t="s">
        <v>42</v>
      </c>
      <c r="B48" t="s">
        <v>40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 x14ac:dyDescent="0.25">
      <c r="A49" t="s">
        <v>43</v>
      </c>
      <c r="B49" t="s">
        <v>40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 x14ac:dyDescent="0.25">
      <c r="A50" t="s">
        <v>44</v>
      </c>
      <c r="B50" t="s">
        <v>40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 x14ac:dyDescent="0.25">
      <c r="A51" t="s">
        <v>45</v>
      </c>
      <c r="B51" t="s">
        <v>40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 x14ac:dyDescent="0.25">
      <c r="A52" t="s">
        <v>46</v>
      </c>
      <c r="B52" t="s">
        <v>40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 x14ac:dyDescent="0.25">
      <c r="C53" s="29"/>
      <c r="D53" s="29"/>
      <c r="E53" s="29"/>
      <c r="F53" s="29"/>
    </row>
    <row r="54" spans="1:6" x14ac:dyDescent="0.25">
      <c r="A54" t="s">
        <v>47</v>
      </c>
      <c r="B54" t="s">
        <v>1</v>
      </c>
      <c r="C54" s="32">
        <f>C47/C$3/C$2</f>
        <v>379.77430555555554</v>
      </c>
      <c r="D54" s="32">
        <f t="shared" ref="D54:F54" si="3">D47/D$3/D$2</f>
        <v>253.18287037037038</v>
      </c>
      <c r="E54" s="32">
        <f t="shared" si="3"/>
        <v>189.88715277777777</v>
      </c>
      <c r="F54" s="32">
        <f t="shared" si="3"/>
        <v>151.90972222222223</v>
      </c>
    </row>
    <row r="55" spans="1:6" x14ac:dyDescent="0.25">
      <c r="A55" t="s">
        <v>48</v>
      </c>
      <c r="B55" t="s">
        <v>1</v>
      </c>
      <c r="C55" s="32">
        <f>C48/C$3/C$2</f>
        <v>813.80208333333326</v>
      </c>
      <c r="D55" s="32">
        <f t="shared" ref="D55:F57" si="4">D48/D$3/D$2</f>
        <v>542.53472222222217</v>
      </c>
      <c r="E55" s="32">
        <f t="shared" si="4"/>
        <v>406.90104166666663</v>
      </c>
      <c r="F55" s="32">
        <f t="shared" si="4"/>
        <v>325.52083333333331</v>
      </c>
    </row>
    <row r="56" spans="1:6" x14ac:dyDescent="0.25">
      <c r="A56" t="s">
        <v>49</v>
      </c>
      <c r="B56" t="s">
        <v>1</v>
      </c>
      <c r="C56" s="32">
        <f>C49/C$3/C$2</f>
        <v>1718.75</v>
      </c>
      <c r="D56" s="32">
        <f t="shared" si="4"/>
        <v>2083.3333333333335</v>
      </c>
      <c r="E56" s="32">
        <f t="shared" si="4"/>
        <v>1562.5</v>
      </c>
      <c r="F56" s="32">
        <f t="shared" si="4"/>
        <v>1250</v>
      </c>
    </row>
    <row r="57" spans="1:6" x14ac:dyDescent="0.25">
      <c r="A57" t="s">
        <v>50</v>
      </c>
      <c r="B57" t="s">
        <v>1</v>
      </c>
      <c r="C57" s="32">
        <f>C50/C$3/C$2</f>
        <v>9027.7777777777774</v>
      </c>
      <c r="D57" s="32">
        <f t="shared" si="4"/>
        <v>6018.5185185185182</v>
      </c>
      <c r="E57" s="32">
        <f t="shared" si="4"/>
        <v>4513.8888888888887</v>
      </c>
      <c r="F57" s="32">
        <f t="shared" si="4"/>
        <v>3611.1111111111109</v>
      </c>
    </row>
    <row r="58" spans="1:6" x14ac:dyDescent="0.25">
      <c r="A58" t="s">
        <v>51</v>
      </c>
      <c r="B58" t="s">
        <v>1</v>
      </c>
      <c r="C58" s="32">
        <f t="shared" ref="C58:F59" si="5">C51/C$3/C$2</f>
        <v>13888.888888888889</v>
      </c>
      <c r="D58" s="32">
        <f t="shared" si="5"/>
        <v>9259.2592592592591</v>
      </c>
      <c r="E58" s="32">
        <f t="shared" si="5"/>
        <v>6944.4444444444443</v>
      </c>
      <c r="F58" s="32">
        <f t="shared" si="5"/>
        <v>5555.5555555555557</v>
      </c>
    </row>
    <row r="59" spans="1:6" x14ac:dyDescent="0.25">
      <c r="A59" t="s">
        <v>52</v>
      </c>
      <c r="B59" t="s">
        <v>1</v>
      </c>
      <c r="C59" s="32">
        <f t="shared" si="5"/>
        <v>20833.333333333332</v>
      </c>
      <c r="D59" s="32">
        <f t="shared" si="5"/>
        <v>13888.888888888891</v>
      </c>
      <c r="E59" s="32">
        <f t="shared" si="5"/>
        <v>10416.666666666666</v>
      </c>
      <c r="F59" s="32">
        <f t="shared" si="5"/>
        <v>8333.3333333333339</v>
      </c>
    </row>
    <row r="60" spans="1:6" x14ac:dyDescent="0.25">
      <c r="C60" s="22"/>
      <c r="D60" s="22"/>
      <c r="E60" s="22"/>
      <c r="F60" s="22"/>
    </row>
    <row r="61" spans="1:6" x14ac:dyDescent="0.25">
      <c r="A61" t="s">
        <v>91</v>
      </c>
      <c r="B61" t="s">
        <v>1</v>
      </c>
      <c r="C61" s="32">
        <f t="shared" ref="C61:F66" si="6">C12-C54</f>
        <v>1195.2256944444443</v>
      </c>
      <c r="D61" s="32">
        <f t="shared" si="6"/>
        <v>1321.8171296296296</v>
      </c>
      <c r="E61" s="32">
        <f t="shared" si="6"/>
        <v>1385.1128472222222</v>
      </c>
      <c r="F61" s="32">
        <f t="shared" si="6"/>
        <v>1423.0902777777778</v>
      </c>
    </row>
    <row r="62" spans="1:6" x14ac:dyDescent="0.25">
      <c r="A62" t="s">
        <v>92</v>
      </c>
      <c r="B62" t="s">
        <v>1</v>
      </c>
      <c r="C62" s="32">
        <f t="shared" si="6"/>
        <v>2786.197916666667</v>
      </c>
      <c r="D62" s="32">
        <f t="shared" si="6"/>
        <v>3057.4652777777778</v>
      </c>
      <c r="E62" s="32">
        <f t="shared" si="6"/>
        <v>3193.0989583333335</v>
      </c>
      <c r="F62" s="32">
        <f t="shared" si="6"/>
        <v>3274.4791666666665</v>
      </c>
    </row>
    <row r="63" spans="1:6" x14ac:dyDescent="0.25">
      <c r="A63" t="s">
        <v>93</v>
      </c>
      <c r="B63" t="s">
        <v>1</v>
      </c>
      <c r="C63" s="32">
        <f t="shared" si="6"/>
        <v>7681.25</v>
      </c>
      <c r="D63" s="32">
        <f t="shared" si="6"/>
        <v>7316.6666666666661</v>
      </c>
      <c r="E63" s="32">
        <f t="shared" si="6"/>
        <v>7837.5</v>
      </c>
      <c r="F63" s="32">
        <f t="shared" si="6"/>
        <v>8150</v>
      </c>
    </row>
    <row r="64" spans="1:6" x14ac:dyDescent="0.25">
      <c r="A64" t="s">
        <v>94</v>
      </c>
      <c r="B64" t="s">
        <v>1</v>
      </c>
      <c r="C64" s="32">
        <f t="shared" si="6"/>
        <v>6372.2222222222226</v>
      </c>
      <c r="D64" s="32">
        <f t="shared" si="6"/>
        <v>9381.4814814814818</v>
      </c>
      <c r="E64" s="32">
        <f t="shared" si="6"/>
        <v>10886.111111111111</v>
      </c>
      <c r="F64" s="32">
        <f t="shared" si="6"/>
        <v>11788.888888888889</v>
      </c>
    </row>
    <row r="65" spans="1:6" x14ac:dyDescent="0.25">
      <c r="A65" t="s">
        <v>95</v>
      </c>
      <c r="B65" t="s">
        <v>1</v>
      </c>
      <c r="C65" s="32">
        <f t="shared" si="6"/>
        <v>11411.111111111111</v>
      </c>
      <c r="D65" s="32">
        <f t="shared" si="6"/>
        <v>16040.740740740741</v>
      </c>
      <c r="E65" s="32">
        <f t="shared" si="6"/>
        <v>18355.555555555555</v>
      </c>
      <c r="F65" s="32">
        <f t="shared" si="6"/>
        <v>19744.444444444445</v>
      </c>
    </row>
    <row r="66" spans="1:6" x14ac:dyDescent="0.25">
      <c r="A66" t="s">
        <v>96</v>
      </c>
      <c r="B66" t="s">
        <v>1</v>
      </c>
      <c r="C66" s="32">
        <f t="shared" si="6"/>
        <v>17166.666666666668</v>
      </c>
      <c r="D66" s="32">
        <f t="shared" si="6"/>
        <v>24111.111111111109</v>
      </c>
      <c r="E66" s="32">
        <f t="shared" si="6"/>
        <v>27583.333333333336</v>
      </c>
      <c r="F66" s="32">
        <f t="shared" si="6"/>
        <v>29666.666666666664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ICEV engines</vt:lpstr>
      <vt:lpstr>Engines mass</vt:lpstr>
      <vt:lpstr>Electric trucks</vt:lpstr>
      <vt:lpstr>Fuel cell trucks</vt:lpstr>
      <vt:lpstr>Swiss buses</vt:lpstr>
      <vt:lpstr>BEV motors</vt:lpstr>
      <vt:lpstr>BEV chargers</vt:lpstr>
      <vt:lpstr>Loading factors</vt:lpstr>
      <vt:lpstr>battery sizing</vt:lpstr>
      <vt:lpstr>weight composition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2020-10-05T17:13:24Z</dcterms:modified>
</cp:coreProperties>
</file>