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carculator_truck\dev\"/>
    </mc:Choice>
  </mc:AlternateContent>
  <bookViews>
    <workbookView xWindow="-108" yWindow="-108" windowWidth="25824" windowHeight="12540" firstSheet="4" activeTab="4"/>
  </bookViews>
  <sheets>
    <sheet name="ICEV engines" sheetId="4" r:id="rId1"/>
    <sheet name="Engines mass" sheetId="9" r:id="rId2"/>
    <sheet name="Electric trucks" sheetId="10" r:id="rId3"/>
    <sheet name="Costs" sheetId="15" r:id="rId4"/>
    <sheet name="Plugin hybrid trucks" sheetId="12" r:id="rId5"/>
    <sheet name="Fuel cell trucks" sheetId="11" r:id="rId6"/>
    <sheet name="BEV motors" sheetId="3" r:id="rId7"/>
    <sheet name="BEV chargers" sheetId="2" r:id="rId8"/>
    <sheet name="Loading factors" sheetId="5" r:id="rId9"/>
    <sheet name="weight composition" sheetId="7" r:id="rId10"/>
    <sheet name="CNG tank mass" sheetId="13" r:id="rId11"/>
    <sheet name="H2 tank mass" sheetId="14" r:id="rId12"/>
    <sheet name="weight composition of MAN TGX" sheetId="8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0" l="1"/>
  <c r="C21" i="10"/>
  <c r="I20" i="10"/>
  <c r="C20" i="10"/>
  <c r="I19" i="10"/>
  <c r="C19" i="10"/>
  <c r="I18" i="10"/>
  <c r="C18" i="10"/>
  <c r="I17" i="10"/>
  <c r="C17" i="10"/>
  <c r="I16" i="10"/>
  <c r="C16" i="10"/>
  <c r="I15" i="10"/>
  <c r="C15" i="10"/>
  <c r="K18" i="13" l="1"/>
  <c r="K21" i="13"/>
  <c r="K20" i="13"/>
  <c r="D3" i="13"/>
  <c r="D4" i="13"/>
  <c r="D5" i="13"/>
  <c r="D6" i="13"/>
  <c r="D7" i="13"/>
  <c r="D8" i="13"/>
  <c r="D9" i="13"/>
  <c r="D10" i="13"/>
  <c r="D11" i="13"/>
  <c r="D12" i="13"/>
  <c r="D13" i="13"/>
  <c r="D2" i="13"/>
  <c r="K33" i="7" l="1"/>
  <c r="K32" i="7"/>
  <c r="K31" i="7"/>
  <c r="K29" i="7"/>
  <c r="K25" i="7"/>
  <c r="K26" i="7"/>
  <c r="K27" i="7"/>
  <c r="K28" i="7"/>
  <c r="K24" i="7"/>
  <c r="K22" i="7"/>
  <c r="K23" i="7" s="1"/>
  <c r="K20" i="7"/>
  <c r="K21" i="7" s="1"/>
  <c r="K8" i="7"/>
  <c r="K9" i="7"/>
  <c r="K10" i="7"/>
  <c r="K11" i="7"/>
  <c r="K12" i="7"/>
  <c r="K13" i="7"/>
  <c r="K14" i="7"/>
  <c r="K15" i="7"/>
  <c r="K16" i="7"/>
  <c r="K17" i="7"/>
  <c r="K18" i="7"/>
  <c r="K19" i="7"/>
  <c r="K7" i="7"/>
  <c r="M16" i="15" l="1"/>
  <c r="Q7" i="15" l="1"/>
  <c r="Q8" i="15"/>
  <c r="Q9" i="15"/>
  <c r="Q10" i="15"/>
  <c r="Q6" i="15"/>
  <c r="AV17" i="15"/>
  <c r="AV16" i="15"/>
  <c r="AV15" i="15"/>
  <c r="AV14" i="15"/>
  <c r="AV13" i="15"/>
  <c r="AK37" i="15"/>
  <c r="AM37" i="15" s="1"/>
  <c r="AK36" i="15"/>
  <c r="AM36" i="15" s="1"/>
  <c r="AK35" i="15"/>
  <c r="AM35" i="15" s="1"/>
  <c r="AK34" i="15"/>
  <c r="AM34" i="15" s="1"/>
  <c r="AK33" i="15"/>
  <c r="AM33" i="15" s="1"/>
  <c r="AK32" i="15"/>
  <c r="AM32" i="15" s="1"/>
  <c r="AK31" i="15"/>
  <c r="AM31" i="15" s="1"/>
  <c r="AK30" i="15"/>
  <c r="AM30" i="15" s="1"/>
  <c r="AK29" i="15"/>
  <c r="AM29" i="15" s="1"/>
  <c r="AK28" i="15"/>
  <c r="AM28" i="15" s="1"/>
  <c r="AK27" i="15"/>
  <c r="AM27" i="15" s="1"/>
  <c r="AK26" i="15"/>
  <c r="AM26" i="15" s="1"/>
  <c r="AK25" i="15"/>
  <c r="AM25" i="15" s="1"/>
  <c r="AK24" i="15"/>
  <c r="AM24" i="15" s="1"/>
  <c r="AK23" i="15"/>
  <c r="AM23" i="15" s="1"/>
  <c r="AK22" i="15"/>
  <c r="AM22" i="15" s="1"/>
  <c r="AK21" i="15"/>
  <c r="AM21" i="15" s="1"/>
  <c r="AK20" i="15"/>
  <c r="AM20" i="15" s="1"/>
  <c r="AK19" i="15"/>
  <c r="AM19" i="15" s="1"/>
  <c r="AK18" i="15"/>
  <c r="AM18" i="15" s="1"/>
  <c r="AK17" i="15"/>
  <c r="AM17" i="15" s="1"/>
  <c r="AK16" i="15"/>
  <c r="AM16" i="15" s="1"/>
  <c r="AK15" i="15"/>
  <c r="AM15" i="15" s="1"/>
  <c r="AK14" i="15"/>
  <c r="AM14" i="15" s="1"/>
  <c r="AK13" i="15"/>
  <c r="AM13" i="15" s="1"/>
  <c r="Z14" i="15"/>
  <c r="AB14" i="15" s="1"/>
  <c r="Z15" i="15"/>
  <c r="AB15" i="15" s="1"/>
  <c r="Z16" i="15"/>
  <c r="AB16" i="15" s="1"/>
  <c r="Z17" i="15"/>
  <c r="AB17" i="15" s="1"/>
  <c r="Z18" i="15"/>
  <c r="AB18" i="15" s="1"/>
  <c r="Z19" i="15"/>
  <c r="AB19" i="15" s="1"/>
  <c r="Z20" i="15"/>
  <c r="AB20" i="15" s="1"/>
  <c r="Z21" i="15"/>
  <c r="AB21" i="15" s="1"/>
  <c r="Z22" i="15"/>
  <c r="AB22" i="15" s="1"/>
  <c r="Z23" i="15"/>
  <c r="AB23" i="15" s="1"/>
  <c r="Z24" i="15"/>
  <c r="AB24" i="15" s="1"/>
  <c r="Z25" i="15"/>
  <c r="AB25" i="15" s="1"/>
  <c r="Z26" i="15"/>
  <c r="AB26" i="15" s="1"/>
  <c r="Z27" i="15"/>
  <c r="AB27" i="15" s="1"/>
  <c r="Z28" i="15"/>
  <c r="AB28" i="15" s="1"/>
  <c r="Z29" i="15"/>
  <c r="AB29" i="15" s="1"/>
  <c r="Z30" i="15"/>
  <c r="AB30" i="15" s="1"/>
  <c r="Z31" i="15"/>
  <c r="AB31" i="15" s="1"/>
  <c r="Z32" i="15"/>
  <c r="AB32" i="15" s="1"/>
  <c r="Z33" i="15"/>
  <c r="AB33" i="15" s="1"/>
  <c r="Z34" i="15"/>
  <c r="AB34" i="15" s="1"/>
  <c r="Z35" i="15"/>
  <c r="AB35" i="15" s="1"/>
  <c r="Z36" i="15"/>
  <c r="AB36" i="15" s="1"/>
  <c r="Z37" i="15"/>
  <c r="AB37" i="15" s="1"/>
  <c r="Z13" i="15"/>
  <c r="AB13" i="15" s="1"/>
  <c r="C4" i="15"/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2" i="14"/>
  <c r="C12" i="13" l="1"/>
  <c r="E13" i="13"/>
  <c r="E12" i="13"/>
  <c r="E11" i="13"/>
  <c r="E10" i="13"/>
  <c r="E9" i="13"/>
  <c r="E8" i="13"/>
  <c r="E7" i="13"/>
  <c r="E6" i="13"/>
  <c r="C13" i="13"/>
  <c r="C11" i="13"/>
  <c r="C10" i="13"/>
  <c r="C9" i="13"/>
  <c r="C8" i="13"/>
  <c r="C7" i="13"/>
  <c r="C6" i="13"/>
  <c r="E5" i="13"/>
  <c r="E4" i="13"/>
  <c r="C5" i="13"/>
  <c r="C4" i="13"/>
  <c r="E3" i="13"/>
  <c r="E2" i="13"/>
  <c r="C3" i="13"/>
  <c r="C2" i="13"/>
  <c r="D15" i="8" l="1"/>
  <c r="C15" i="8"/>
  <c r="M33" i="7"/>
  <c r="L33" i="7"/>
  <c r="J33" i="7"/>
  <c r="I33" i="7"/>
  <c r="H33" i="7"/>
  <c r="G33" i="7"/>
  <c r="F33" i="7"/>
  <c r="M32" i="7"/>
  <c r="L32" i="7"/>
  <c r="J32" i="7"/>
  <c r="I32" i="7"/>
  <c r="H32" i="7"/>
  <c r="G32" i="7"/>
  <c r="F32" i="7"/>
  <c r="M31" i="7"/>
  <c r="L31" i="7"/>
  <c r="J31" i="7"/>
  <c r="I31" i="7"/>
  <c r="H31" i="7"/>
  <c r="G31" i="7"/>
  <c r="F31" i="7"/>
  <c r="M29" i="7"/>
  <c r="L29" i="7"/>
  <c r="G29" i="7"/>
  <c r="F29" i="7"/>
  <c r="M28" i="7"/>
  <c r="L28" i="7"/>
  <c r="J28" i="7"/>
  <c r="I28" i="7"/>
  <c r="H28" i="7"/>
  <c r="G28" i="7"/>
  <c r="F28" i="7"/>
  <c r="M27" i="7"/>
  <c r="L27" i="7"/>
  <c r="J27" i="7"/>
  <c r="I27" i="7"/>
  <c r="H27" i="7"/>
  <c r="G27" i="7"/>
  <c r="F27" i="7"/>
  <c r="M26" i="7"/>
  <c r="L26" i="7"/>
  <c r="J26" i="7"/>
  <c r="I26" i="7"/>
  <c r="H26" i="7"/>
  <c r="G26" i="7"/>
  <c r="F26" i="7"/>
  <c r="M25" i="7"/>
  <c r="L25" i="7"/>
  <c r="J25" i="7"/>
  <c r="I25" i="7"/>
  <c r="H25" i="7"/>
  <c r="G25" i="7"/>
  <c r="F25" i="7"/>
  <c r="M24" i="7"/>
  <c r="L24" i="7"/>
  <c r="J24" i="7"/>
  <c r="I24" i="7"/>
  <c r="H24" i="7"/>
  <c r="G24" i="7"/>
  <c r="F24" i="7"/>
  <c r="M23" i="7"/>
  <c r="L23" i="7"/>
  <c r="J23" i="7"/>
  <c r="I23" i="7"/>
  <c r="H23" i="7"/>
  <c r="G23" i="7"/>
  <c r="F23" i="7"/>
  <c r="M22" i="7"/>
  <c r="L22" i="7"/>
  <c r="J22" i="7"/>
  <c r="I22" i="7"/>
  <c r="H22" i="7"/>
  <c r="G22" i="7"/>
  <c r="F22" i="7"/>
  <c r="M21" i="7"/>
  <c r="L21" i="7"/>
  <c r="J21" i="7"/>
  <c r="I21" i="7"/>
  <c r="H21" i="7"/>
  <c r="G21" i="7"/>
  <c r="F21" i="7"/>
  <c r="M20" i="7"/>
  <c r="L20" i="7"/>
  <c r="J20" i="7"/>
  <c r="I20" i="7"/>
  <c r="H20" i="7"/>
  <c r="G20" i="7"/>
  <c r="F20" i="7"/>
  <c r="M19" i="7"/>
  <c r="G19" i="7"/>
  <c r="F19" i="7"/>
  <c r="M18" i="7"/>
  <c r="I18" i="7"/>
  <c r="G18" i="7"/>
  <c r="F18" i="7"/>
  <c r="M17" i="7"/>
  <c r="J17" i="7"/>
  <c r="I17" i="7"/>
  <c r="G17" i="7"/>
  <c r="F17" i="7"/>
  <c r="M16" i="7"/>
  <c r="I16" i="7"/>
  <c r="G16" i="7"/>
  <c r="F16" i="7"/>
  <c r="M15" i="7"/>
  <c r="J15" i="7"/>
  <c r="I15" i="7"/>
  <c r="G15" i="7"/>
  <c r="F15" i="7"/>
  <c r="M14" i="7"/>
  <c r="I14" i="7"/>
  <c r="G14" i="7"/>
  <c r="F14" i="7"/>
  <c r="M13" i="7"/>
  <c r="J13" i="7"/>
  <c r="I13" i="7"/>
  <c r="G13" i="7"/>
  <c r="F13" i="7"/>
  <c r="M12" i="7"/>
  <c r="J12" i="7"/>
  <c r="I12" i="7"/>
  <c r="G12" i="7"/>
  <c r="F12" i="7"/>
  <c r="M11" i="7"/>
  <c r="J11" i="7"/>
  <c r="I11" i="7"/>
  <c r="G11" i="7"/>
  <c r="F11" i="7"/>
  <c r="M10" i="7"/>
  <c r="J10" i="7"/>
  <c r="I10" i="7"/>
  <c r="G10" i="7"/>
  <c r="F10" i="7"/>
  <c r="M9" i="7"/>
  <c r="J9" i="7"/>
  <c r="I9" i="7"/>
  <c r="G9" i="7"/>
  <c r="F9" i="7"/>
  <c r="M8" i="7"/>
  <c r="J8" i="7"/>
  <c r="I8" i="7"/>
  <c r="G8" i="7"/>
  <c r="F8" i="7"/>
  <c r="M7" i="7"/>
  <c r="J7" i="7"/>
  <c r="I7" i="7"/>
  <c r="G7" i="7"/>
  <c r="F7" i="7"/>
  <c r="I52" i="5"/>
  <c r="E52" i="5"/>
  <c r="C52" i="5"/>
  <c r="B52" i="5"/>
  <c r="C50" i="5"/>
  <c r="B50" i="5"/>
  <c r="I49" i="5"/>
  <c r="E49" i="5"/>
  <c r="C48" i="5"/>
  <c r="B48" i="5"/>
  <c r="I46" i="5"/>
  <c r="I50" i="5" s="1"/>
  <c r="E46" i="5"/>
  <c r="E50" i="5" s="1"/>
  <c r="C46" i="5"/>
  <c r="B46" i="5"/>
  <c r="I45" i="5"/>
  <c r="E45" i="5"/>
  <c r="C45" i="5"/>
  <c r="C49" i="5" s="1"/>
  <c r="B45" i="5"/>
  <c r="B49" i="5" s="1"/>
  <c r="I44" i="5"/>
  <c r="I48" i="5" s="1"/>
  <c r="E44" i="5"/>
  <c r="E48" i="5" s="1"/>
  <c r="C44" i="5"/>
  <c r="B44" i="5"/>
  <c r="I39" i="5"/>
  <c r="H39" i="5"/>
  <c r="G39" i="5"/>
  <c r="F39" i="5"/>
  <c r="E39" i="5"/>
  <c r="D39" i="5"/>
  <c r="C39" i="5"/>
  <c r="B39" i="5"/>
  <c r="I33" i="5"/>
  <c r="I37" i="5" s="1"/>
  <c r="H33" i="5"/>
  <c r="H37" i="5" s="1"/>
  <c r="G33" i="5"/>
  <c r="G37" i="5" s="1"/>
  <c r="F33" i="5"/>
  <c r="F37" i="5" s="1"/>
  <c r="E33" i="5"/>
  <c r="E37" i="5" s="1"/>
  <c r="D33" i="5"/>
  <c r="D37" i="5" s="1"/>
  <c r="C33" i="5"/>
  <c r="C37" i="5" s="1"/>
  <c r="B33" i="5"/>
  <c r="B37" i="5" s="1"/>
  <c r="I32" i="5"/>
  <c r="I36" i="5" s="1"/>
  <c r="H32" i="5"/>
  <c r="H36" i="5" s="1"/>
  <c r="G32" i="5"/>
  <c r="G36" i="5" s="1"/>
  <c r="F32" i="5"/>
  <c r="F36" i="5" s="1"/>
  <c r="E32" i="5"/>
  <c r="E36" i="5" s="1"/>
  <c r="D32" i="5"/>
  <c r="D36" i="5" s="1"/>
  <c r="C32" i="5"/>
  <c r="C36" i="5" s="1"/>
  <c r="B32" i="5"/>
  <c r="B36" i="5" s="1"/>
  <c r="I31" i="5"/>
  <c r="I35" i="5" s="1"/>
  <c r="H31" i="5"/>
  <c r="H35" i="5" s="1"/>
  <c r="G31" i="5"/>
  <c r="G35" i="5" s="1"/>
  <c r="F31" i="5"/>
  <c r="F35" i="5" s="1"/>
  <c r="E31" i="5"/>
  <c r="E35" i="5" s="1"/>
  <c r="D31" i="5"/>
  <c r="D35" i="5" s="1"/>
  <c r="C31" i="5"/>
  <c r="C35" i="5" s="1"/>
  <c r="B31" i="5"/>
  <c r="B35" i="5" s="1"/>
  <c r="H26" i="5"/>
  <c r="G26" i="5"/>
  <c r="F26" i="5"/>
  <c r="E26" i="5"/>
  <c r="D26" i="5"/>
  <c r="C26" i="5"/>
  <c r="B26" i="5"/>
  <c r="E24" i="5"/>
  <c r="D24" i="5"/>
  <c r="B24" i="5"/>
  <c r="D23" i="5"/>
  <c r="C23" i="5"/>
  <c r="H22" i="5"/>
  <c r="C22" i="5"/>
  <c r="B22" i="5"/>
  <c r="H20" i="5"/>
  <c r="H24" i="5" s="1"/>
  <c r="G20" i="5"/>
  <c r="G24" i="5" s="1"/>
  <c r="F20" i="5"/>
  <c r="F24" i="5" s="1"/>
  <c r="E20" i="5"/>
  <c r="D20" i="5"/>
  <c r="C20" i="5"/>
  <c r="C24" i="5" s="1"/>
  <c r="B20" i="5"/>
  <c r="H19" i="5"/>
  <c r="H23" i="5" s="1"/>
  <c r="G19" i="5"/>
  <c r="G23" i="5" s="1"/>
  <c r="F19" i="5"/>
  <c r="F23" i="5" s="1"/>
  <c r="E19" i="5"/>
  <c r="E23" i="5" s="1"/>
  <c r="D19" i="5"/>
  <c r="C19" i="5"/>
  <c r="B19" i="5"/>
  <c r="B23" i="5" s="1"/>
  <c r="H18" i="5"/>
  <c r="G18" i="5"/>
  <c r="G22" i="5" s="1"/>
  <c r="F18" i="5"/>
  <c r="F22" i="5" s="1"/>
  <c r="E18" i="5"/>
  <c r="E22" i="5" s="1"/>
  <c r="D18" i="5"/>
  <c r="D22" i="5" s="1"/>
  <c r="C18" i="5"/>
  <c r="B18" i="5"/>
  <c r="I13" i="5"/>
  <c r="H13" i="5"/>
  <c r="G13" i="5"/>
  <c r="F13" i="5"/>
  <c r="E13" i="5"/>
  <c r="D13" i="5"/>
  <c r="C13" i="5"/>
  <c r="B13" i="5"/>
  <c r="I7" i="5"/>
  <c r="I11" i="5" s="1"/>
  <c r="H7" i="5"/>
  <c r="H11" i="5" s="1"/>
  <c r="G7" i="5"/>
  <c r="G11" i="5" s="1"/>
  <c r="F7" i="5"/>
  <c r="F11" i="5" s="1"/>
  <c r="E7" i="5"/>
  <c r="E11" i="5" s="1"/>
  <c r="D7" i="5"/>
  <c r="D11" i="5" s="1"/>
  <c r="C7" i="5"/>
  <c r="C11" i="5" s="1"/>
  <c r="B7" i="5"/>
  <c r="B11" i="5" s="1"/>
  <c r="I6" i="5"/>
  <c r="I10" i="5" s="1"/>
  <c r="H6" i="5"/>
  <c r="H10" i="5" s="1"/>
  <c r="G6" i="5"/>
  <c r="G10" i="5" s="1"/>
  <c r="F6" i="5"/>
  <c r="F10" i="5" s="1"/>
  <c r="E6" i="5"/>
  <c r="E10" i="5" s="1"/>
  <c r="D6" i="5"/>
  <c r="D10" i="5" s="1"/>
  <c r="C6" i="5"/>
  <c r="C10" i="5" s="1"/>
  <c r="B6" i="5"/>
  <c r="B10" i="5" s="1"/>
  <c r="I5" i="5"/>
  <c r="I9" i="5" s="1"/>
  <c r="H5" i="5"/>
  <c r="H9" i="5" s="1"/>
  <c r="G5" i="5"/>
  <c r="G9" i="5" s="1"/>
  <c r="F5" i="5"/>
  <c r="F9" i="5" s="1"/>
  <c r="E5" i="5"/>
  <c r="E9" i="5" s="1"/>
  <c r="D5" i="5"/>
  <c r="D9" i="5" s="1"/>
  <c r="C5" i="5"/>
  <c r="C9" i="5" s="1"/>
  <c r="B5" i="5"/>
  <c r="B9" i="5" s="1"/>
  <c r="C5" i="2"/>
  <c r="B5" i="2"/>
  <c r="K8" i="11"/>
  <c r="C8" i="11"/>
  <c r="K7" i="11"/>
  <c r="C7" i="11"/>
  <c r="K6" i="11"/>
  <c r="C6" i="11"/>
  <c r="K5" i="11"/>
  <c r="C5" i="11"/>
  <c r="K4" i="11"/>
  <c r="C4" i="11"/>
  <c r="K3" i="11"/>
  <c r="C3" i="11"/>
  <c r="K2" i="11"/>
  <c r="C2" i="11"/>
  <c r="J12" i="12"/>
  <c r="C12" i="12"/>
  <c r="J11" i="12"/>
  <c r="I11" i="12"/>
  <c r="C11" i="12"/>
  <c r="J10" i="12"/>
  <c r="C10" i="12"/>
  <c r="J9" i="12"/>
  <c r="I9" i="12"/>
  <c r="C9" i="12"/>
  <c r="J8" i="12"/>
  <c r="I8" i="12"/>
  <c r="C8" i="12"/>
  <c r="J7" i="12"/>
  <c r="I7" i="12"/>
  <c r="C7" i="12"/>
  <c r="J6" i="12"/>
  <c r="I6" i="12"/>
  <c r="C6" i="12"/>
  <c r="J5" i="12"/>
  <c r="I5" i="12"/>
  <c r="C5" i="12"/>
  <c r="J4" i="12"/>
  <c r="I4" i="12"/>
  <c r="C4" i="12"/>
  <c r="J3" i="12"/>
  <c r="I3" i="12"/>
  <c r="C3" i="12"/>
  <c r="J2" i="12"/>
  <c r="I2" i="12"/>
  <c r="C2" i="12"/>
  <c r="I14" i="10"/>
  <c r="C14" i="10"/>
  <c r="C13" i="10"/>
  <c r="I12" i="10"/>
  <c r="C12" i="10"/>
  <c r="I11" i="10"/>
  <c r="C11" i="10"/>
  <c r="I10" i="10"/>
  <c r="C10" i="10"/>
  <c r="I9" i="10"/>
  <c r="C9" i="10"/>
  <c r="I8" i="10"/>
  <c r="C8" i="10"/>
  <c r="I7" i="10"/>
  <c r="C7" i="10"/>
  <c r="I6" i="10"/>
  <c r="C6" i="10"/>
  <c r="I5" i="10"/>
  <c r="C5" i="10"/>
  <c r="C4" i="10"/>
  <c r="I3" i="10"/>
  <c r="C3" i="10"/>
  <c r="I2" i="10"/>
  <c r="C2" i="10"/>
</calcChain>
</file>

<file path=xl/sharedStrings.xml><?xml version="1.0" encoding="utf-8"?>
<sst xmlns="http://schemas.openxmlformats.org/spreadsheetml/2006/main" count="660" uniqueCount="315">
  <si>
    <t>kW</t>
  </si>
  <si>
    <t>kg</t>
  </si>
  <si>
    <t>kw</t>
  </si>
  <si>
    <t>Electric motors</t>
  </si>
  <si>
    <t>Onboard chargers</t>
  </si>
  <si>
    <t>hp to kW</t>
  </si>
  <si>
    <t>Manufacturer</t>
  </si>
  <si>
    <t>Cummins</t>
  </si>
  <si>
    <t>Isuzu</t>
  </si>
  <si>
    <t>Peterbilt</t>
  </si>
  <si>
    <t>Combustion engine</t>
  </si>
  <si>
    <t>kg/kW</t>
  </si>
  <si>
    <t>Capacity utilisation, worst</t>
  </si>
  <si>
    <t>Capacity utilisation, mean</t>
  </si>
  <si>
    <t>Capacity utilisation, best</t>
  </si>
  <si>
    <t>Actual load (million tkm)</t>
  </si>
  <si>
    <t>Distance driven (million vkm)</t>
  </si>
  <si>
    <t>Trucks, carrying cap. &lt;9.5t, EU28</t>
  </si>
  <si>
    <t>Number of journeys (thousands)</t>
  </si>
  <si>
    <t>Average length of journey (vkm/journey)</t>
  </si>
  <si>
    <t>Trucks, carrying cap. 9.6t-16.5t, EU28</t>
  </si>
  <si>
    <t>Theoretical max. Carrying capacity, min (@9.6t cap.) (million tkm)</t>
  </si>
  <si>
    <t>Theoretical max. Carrying capacity, mean (@12.5t cap.) (million tkm)</t>
  </si>
  <si>
    <t>Theoretical max. Carrying capacity, max (@15.5t cap.) (million tkm)</t>
  </si>
  <si>
    <t>Trucks, carrying cap. 15.6t-20.5t, EU28</t>
  </si>
  <si>
    <t>Theoretical max. Carrying capacity, min (@15.6t cap.) (million tkm)</t>
  </si>
  <si>
    <t>Theoretical max. Carrying capacity, mean (@18t cap.) (million tkm)</t>
  </si>
  <si>
    <t>Theoretical max. Carrying capacity, max (@20.5t cap.) (million tkm)</t>
  </si>
  <si>
    <t>Trucks, carrying cap. 20.6t-25.5t, EU28</t>
  </si>
  <si>
    <t>Theoretical max. Carrying capacity, min (@20.6t cap.) (million tkm)</t>
  </si>
  <si>
    <t>Theoretical max. Carrying capacity, max (@25.5t cap.) (million tkm)</t>
  </si>
  <si>
    <t>Theoretical max. Carrying capacity, mean (@23t cap.) (million tkm)</t>
  </si>
  <si>
    <t>Powertrain</t>
  </si>
  <si>
    <t>Electrical system</t>
  </si>
  <si>
    <t>Chassis system</t>
  </si>
  <si>
    <t>Other</t>
  </si>
  <si>
    <t>Cabin</t>
  </si>
  <si>
    <t>Engine system</t>
  </si>
  <si>
    <t>Coolant system</t>
  </si>
  <si>
    <t>Fuel system</t>
  </si>
  <si>
    <t>Exhaust system</t>
  </si>
  <si>
    <t>Transmission system</t>
  </si>
  <si>
    <t>Frame</t>
  </si>
  <si>
    <t>Suspension</t>
  </si>
  <si>
    <t>Braking system</t>
  </si>
  <si>
    <t>Wheels and tires</t>
  </si>
  <si>
    <t>Body system</t>
  </si>
  <si>
    <t>https://ec.europa.eu/clima/sites/clima/files/transport/vehicles/heavy/docs/hdv_lightweighting_en.pdf</t>
  </si>
  <si>
    <t>p.34</t>
  </si>
  <si>
    <t>in light green</t>
  </si>
  <si>
    <t>Payload</t>
  </si>
  <si>
    <t>Glider mass</t>
  </si>
  <si>
    <t>Drivetrain</t>
  </si>
  <si>
    <t>Engine</t>
  </si>
  <si>
    <t>Gross weight</t>
  </si>
  <si>
    <t>Lightweighting - 2020</t>
  </si>
  <si>
    <t>Lightweighting - 2030</t>
  </si>
  <si>
    <t>Lightweighting - 2050</t>
  </si>
  <si>
    <t>Lightweighting cost €/kg - 2020</t>
  </si>
  <si>
    <t>Lightweighting cost €/kg - 2030</t>
  </si>
  <si>
    <t>Lightweighting cost €/kg - 2050</t>
  </si>
  <si>
    <t>FPT</t>
  </si>
  <si>
    <t>Diesel</t>
  </si>
  <si>
    <t>CNG</t>
  </si>
  <si>
    <t>Brusa</t>
  </si>
  <si>
    <t>Toyota Prius</t>
  </si>
  <si>
    <t>Tractor</t>
  </si>
  <si>
    <t>of which, Frame</t>
  </si>
  <si>
    <t>of which, Suspension</t>
  </si>
  <si>
    <t>of which, Wheels and tires</t>
  </si>
  <si>
    <t>of which, Brakes</t>
  </si>
  <si>
    <t>of which, Others</t>
  </si>
  <si>
    <t xml:space="preserve">E.G., MAN TGX </t>
  </si>
  <si>
    <t>Scaling Factor</t>
  </si>
  <si>
    <t>Percentage</t>
  </si>
  <si>
    <t>Mass [kg]</t>
  </si>
  <si>
    <t>Engine &amp; Exhaust system*</t>
  </si>
  <si>
    <t>Cab</t>
  </si>
  <si>
    <t>Tires &amp; Wheels</t>
  </si>
  <si>
    <t>Diesel/Adbluetank</t>
  </si>
  <si>
    <t>Gearbox</t>
  </si>
  <si>
    <t>Retarder</t>
  </si>
  <si>
    <t>Total [kg]</t>
  </si>
  <si>
    <t>Wolff et al. 2020, Sustainability</t>
  </si>
  <si>
    <t>Articulated truck, 40t</t>
  </si>
  <si>
    <t>Articulated truck, 60t</t>
  </si>
  <si>
    <t>Rigid truck, 26t</t>
  </si>
  <si>
    <t>Rigid truck, 18t</t>
  </si>
  <si>
    <t>Rigid truck, 12t</t>
  </si>
  <si>
    <t>Rigid truck, 7.5t</t>
  </si>
  <si>
    <t>Rigid truck, 3.5t</t>
  </si>
  <si>
    <t>in kilograms</t>
  </si>
  <si>
    <t>rigid, 2 axles, box body</t>
  </si>
  <si>
    <t>rigid, 3 axles, box body</t>
  </si>
  <si>
    <t>semi-trailer, 2+4 axles, curtain-sider</t>
  </si>
  <si>
    <t>semi-trailer + trailer, 2+4+2 axles, curtain-sider</t>
  </si>
  <si>
    <t>Type</t>
  </si>
  <si>
    <t>Trailer/box</t>
  </si>
  <si>
    <t>Curb mass, incl. Trailer</t>
  </si>
  <si>
    <t>Trailer/box, % curb mass</t>
  </si>
  <si>
    <t>diesel</t>
  </si>
  <si>
    <t>cng</t>
  </si>
  <si>
    <t>Diesel engine</t>
  </si>
  <si>
    <t>CNG engine</t>
  </si>
  <si>
    <t>Electric motor</t>
  </si>
  <si>
    <t>Brand</t>
  </si>
  <si>
    <t>Model</t>
  </si>
  <si>
    <t>Source</t>
  </si>
  <si>
    <t>Freightliner</t>
  </si>
  <si>
    <t>eCascadia</t>
  </si>
  <si>
    <t>https://adsal.dtnaapps.com/AssetLibrary/4317-freightliner_ecascadia_sell_sh-2020-06-02.pdf</t>
  </si>
  <si>
    <t>eM2</t>
  </si>
  <si>
    <t>https://adsal.dtnaapps.com/AssetLibrary/4318-freightliner_em2_sell_sheet-2020-06-02.pdf</t>
  </si>
  <si>
    <t>Volvo</t>
  </si>
  <si>
    <t>VNR electric</t>
  </si>
  <si>
    <t>https://www.motor1.com/reviews/398699/volvo-vnr-electric-semi-first-drive-review-lights-on-the-road/</t>
  </si>
  <si>
    <t>Workhorse</t>
  </si>
  <si>
    <t>C-650</t>
  </si>
  <si>
    <t>https://workhorse.com/cseries.html</t>
  </si>
  <si>
    <t>Tesla</t>
  </si>
  <si>
    <t>Semi</t>
  </si>
  <si>
    <t>BYD</t>
  </si>
  <si>
    <t>T3</t>
  </si>
  <si>
    <t>T5</t>
  </si>
  <si>
    <t>T7</t>
  </si>
  <si>
    <t>https://theicct.org/sites/default/files/BYD%20EV%20SEDEMA.pdf</t>
  </si>
  <si>
    <t>J9D</t>
  </si>
  <si>
    <t>T9</t>
  </si>
  <si>
    <t>GVW [ton]</t>
  </si>
  <si>
    <t>Max. Payload [ton]</t>
  </si>
  <si>
    <t>Engine power [kW]</t>
  </si>
  <si>
    <t>Battery capacity [kWh]</t>
  </si>
  <si>
    <t>Range [km]</t>
  </si>
  <si>
    <t>TtW energy [kWh/km]</t>
  </si>
  <si>
    <t>Mercedes</t>
  </si>
  <si>
    <t>eActros</t>
  </si>
  <si>
    <t>https://insideevs.com/news/340380/mercedes-benz-delivers-first-10-eactros-electric-trucks/</t>
  </si>
  <si>
    <t>Full name</t>
  </si>
  <si>
    <t>https://www.trucks.com/2019/09/05/everything-we-know-about-the-tesla-semi-truck/ and 10.1021/acsenergylett.7b00432 for payload estimate</t>
  </si>
  <si>
    <t>MAN</t>
  </si>
  <si>
    <t>TGS 18.320</t>
  </si>
  <si>
    <t>Hydrogen tank capacity [kg H2]</t>
  </si>
  <si>
    <t>Fuel cell stack output [kW]</t>
  </si>
  <si>
    <t>https://h2energy.ch/wp-content/uploads/2017/06/Brochure-Truck.pdf</t>
  </si>
  <si>
    <t>Hyundai</t>
  </si>
  <si>
    <t>Xcient</t>
  </si>
  <si>
    <t>Renault</t>
  </si>
  <si>
    <t>Maxity H2</t>
  </si>
  <si>
    <t>https://h2energy.ch/en/worlds-first-fuel-cell-heavy-duty-truck-hyundai-xcient-fuel-cell-heads-to-europe-for-commercial-use/</t>
  </si>
  <si>
    <t>https://fuelcelltrucks.eu/project/symbio-renault-maxity-h2/</t>
  </si>
  <si>
    <t>VDL</t>
  </si>
  <si>
    <t>H2-Share</t>
  </si>
  <si>
    <t>https://fuelcelltrucks.eu/project/vdl-27-ton-hydrogen-truck/</t>
  </si>
  <si>
    <t>Scania</t>
  </si>
  <si>
    <t>https://fuelcelltrucks.eu/project/scania-four-hydrogen-gas-trucks-with-asko-in-norway/</t>
  </si>
  <si>
    <t>Kenworth</t>
  </si>
  <si>
    <t>T680</t>
  </si>
  <si>
    <t>https://www.hydrogencarsnow.com/index.php/kenworth-t680-fuel-cell-heavy-truck/</t>
  </si>
  <si>
    <t>UPS</t>
  </si>
  <si>
    <t>H2 truck</t>
  </si>
  <si>
    <t>https://fuelcelltrucks.eu/project/ups-fuel-cell-electric-class-6-delivery-truck/</t>
  </si>
  <si>
    <t>Theoretical max. Carrying capacity, min (@1.2t cap.) (million tkm)</t>
  </si>
  <si>
    <t>Theoretical max. Carrying capacity, max (@3.3t cap.) (million tkm)</t>
  </si>
  <si>
    <t>Theoretical max. Carrying capacity, mean (@2.25t cap.) (million tkm)</t>
  </si>
  <si>
    <t>PHEV-d</t>
  </si>
  <si>
    <t>https://mb.cision.com/Main/209/3193678/1306412.pdf</t>
  </si>
  <si>
    <t>Range all electric [km]</t>
  </si>
  <si>
    <t>Combustion engine power [kW]</t>
  </si>
  <si>
    <t>DayCab</t>
  </si>
  <si>
    <t>HEV-d</t>
  </si>
  <si>
    <t>Electric motor power [kW]</t>
  </si>
  <si>
    <t>https://www.mdpi.com/2032-6653/11/1/12/pdf</t>
  </si>
  <si>
    <t>Total power [kW]</t>
  </si>
  <si>
    <t>Class 8 Tractor</t>
  </si>
  <si>
    <t>Class 8 Aero</t>
  </si>
  <si>
    <t>Class 7 Aero</t>
  </si>
  <si>
    <t>Class 7 Tractor</t>
  </si>
  <si>
    <t>Medium</t>
  </si>
  <si>
    <t>Class 5 Utility</t>
  </si>
  <si>
    <t>Class 3 Van</t>
  </si>
  <si>
    <t>Light</t>
  </si>
  <si>
    <t>Class 2 Van</t>
  </si>
  <si>
    <t>Combustion power share</t>
  </si>
  <si>
    <t>Make</t>
  </si>
  <si>
    <t>Mass, empty [kg]</t>
  </si>
  <si>
    <t>Quantum Fuel Systems</t>
  </si>
  <si>
    <t>https://www.qtww.com/product/q-rail-cng-fuel-system/</t>
  </si>
  <si>
    <t>Q-Rail 41</t>
  </si>
  <si>
    <t>Q-Rail 46</t>
  </si>
  <si>
    <t>Gas mass [kg]</t>
  </si>
  <si>
    <t>Fuel energy [kWh]</t>
  </si>
  <si>
    <t>Cascadia</t>
  </si>
  <si>
    <t>https://metroenergy.org/wp-content/uploads/2016/08/cng-vehicles-e28093-freightliner.pdf</t>
  </si>
  <si>
    <t>75 DGE</t>
  </si>
  <si>
    <t>60 DGE</t>
  </si>
  <si>
    <t>274L</t>
  </si>
  <si>
    <t>352L</t>
  </si>
  <si>
    <t>368L</t>
  </si>
  <si>
    <t>234L</t>
  </si>
  <si>
    <t>392L</t>
  </si>
  <si>
    <t>534L</t>
  </si>
  <si>
    <t>603L</t>
  </si>
  <si>
    <t>800L</t>
  </si>
  <si>
    <t>https://www.qtww.com/product/q-lite-lightest-cng-tanks/</t>
  </si>
  <si>
    <t>https://www1.eere.energy.gov/hydrogenandfuelcells/pdfs/compressedtank_storage.pdf</t>
  </si>
  <si>
    <t>Unspecified</t>
  </si>
  <si>
    <t>26L</t>
  </si>
  <si>
    <t>34L</t>
  </si>
  <si>
    <t>38L</t>
  </si>
  <si>
    <t>40L</t>
  </si>
  <si>
    <t>51L</t>
  </si>
  <si>
    <t>58L</t>
  </si>
  <si>
    <t>76L</t>
  </si>
  <si>
    <t>118L</t>
  </si>
  <si>
    <t>120L</t>
  </si>
  <si>
    <t>129L</t>
  </si>
  <si>
    <t>160L</t>
  </si>
  <si>
    <t>445L</t>
  </si>
  <si>
    <t>650L</t>
  </si>
  <si>
    <t>594L</t>
  </si>
  <si>
    <t>791L</t>
  </si>
  <si>
    <t>936L</t>
  </si>
  <si>
    <t>http://www.qtww.com/wp-content/uploads/2019/06/H2-Tank-Specifications-June-2019-All-Tanks-1.pdf</t>
  </si>
  <si>
    <t>Wolff et al.</t>
  </si>
  <si>
    <t>Glider</t>
  </si>
  <si>
    <t>Gross vehicle weight [kg]</t>
  </si>
  <si>
    <t>Glider weight [kg]</t>
  </si>
  <si>
    <t>Glider cost [€]</t>
  </si>
  <si>
    <t>7.5t</t>
  </si>
  <si>
    <t>3.5t</t>
  </si>
  <si>
    <t>18t</t>
  </si>
  <si>
    <t>32t</t>
  </si>
  <si>
    <t>40t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</si>
  <si>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</si>
  <si>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Remark</t>
  </si>
  <si>
    <t>ASTAG Selbstkostentabelle 2017 Karosserie = 60%</t>
  </si>
  <si>
    <t>Purchase cost</t>
  </si>
  <si>
    <t>Mercedes Actros 1848 LS</t>
  </si>
  <si>
    <t>Name</t>
  </si>
  <si>
    <t>Tractor, 4x2</t>
  </si>
  <si>
    <t>Trailer, 36t, 13.65 m</t>
  </si>
  <si>
    <t>Maintenance cost</t>
  </si>
  <si>
    <t>Country</t>
  </si>
  <si>
    <t>Maintenance cost [€/km]</t>
  </si>
  <si>
    <t>Eastern EU</t>
  </si>
  <si>
    <t>Spain</t>
  </si>
  <si>
    <t>UK</t>
  </si>
  <si>
    <t>Germany</t>
  </si>
  <si>
    <t>France</t>
  </si>
  <si>
    <t>EU-average, 2016</t>
  </si>
  <si>
    <t>https://theicct.org/sites/default/files/publications/ICCT_EU-HDV-tech-2025-30_20180116.pdf</t>
  </si>
  <si>
    <t>https://traccs.emisia.com/download.php</t>
  </si>
  <si>
    <t>Gross vehicle weight, incl. trailer [kg]</t>
  </si>
  <si>
    <t>HDV, rigid, 3.5t</t>
  </si>
  <si>
    <t>HDV, rigid, 7.5t</t>
  </si>
  <si>
    <t>HDV, articulated, 40t</t>
  </si>
  <si>
    <t>HDV, rigid, 18t</t>
  </si>
  <si>
    <t>HDV, rigid, 26t</t>
  </si>
  <si>
    <t>Euro 2016</t>
  </si>
  <si>
    <t>Euro 2010</t>
  </si>
  <si>
    <t>Switzerland</t>
  </si>
  <si>
    <t>Age</t>
  </si>
  <si>
    <t>Maintenance cost [€ 2010/year]</t>
  </si>
  <si>
    <t>Maintenance cost [€ 2020/year]</t>
  </si>
  <si>
    <t>Yearly km [km/year]</t>
  </si>
  <si>
    <t>Maintenance cost [€ 2020/km]</t>
  </si>
  <si>
    <t>Insurance cost [€ 2010/year]</t>
  </si>
  <si>
    <t>Insurance cost [€ 2020/year]</t>
  </si>
  <si>
    <t>Insurance cost [€ 2020/km]</t>
  </si>
  <si>
    <t>Toll cost [€ 2020/km]</t>
  </si>
  <si>
    <t>Toll cost [€ 2010/km]</t>
  </si>
  <si>
    <r>
      <t xml:space="preserve">Eurostat, </t>
    </r>
    <r>
      <rPr>
        <b/>
        <sz val="11"/>
        <color theme="1"/>
        <rFont val="Calibri"/>
        <family val="2"/>
        <scheme val="minor"/>
      </rPr>
      <t>ladden</t>
    </r>
    <r>
      <rPr>
        <sz val="11"/>
        <color theme="1"/>
        <rFont val="Calibri"/>
        <family val="2"/>
        <scheme val="minor"/>
      </rPr>
      <t xml:space="preserve"> trips</t>
    </r>
  </si>
  <si>
    <t>Bulgaria</t>
  </si>
  <si>
    <t>Croatia</t>
  </si>
  <si>
    <t>Cyprus</t>
  </si>
  <si>
    <t>Czech Republic</t>
  </si>
  <si>
    <t>Denmark</t>
  </si>
  <si>
    <t>Estonia</t>
  </si>
  <si>
    <t>Finland</t>
  </si>
  <si>
    <t>Greece</t>
  </si>
  <si>
    <t>Hungary</t>
  </si>
  <si>
    <t>Iceland</t>
  </si>
  <si>
    <t>Italy</t>
  </si>
  <si>
    <t>Latvia</t>
  </si>
  <si>
    <t>Luxembourg</t>
  </si>
  <si>
    <t>Malta</t>
  </si>
  <si>
    <t>Netherlands</t>
  </si>
  <si>
    <t>Norway</t>
  </si>
  <si>
    <t>Poland</t>
  </si>
  <si>
    <t>Slovakia</t>
  </si>
  <si>
    <t>Slovenia</t>
  </si>
  <si>
    <t>Sweden</t>
  </si>
  <si>
    <t>United Kingdom</t>
  </si>
  <si>
    <t>EU-28</t>
  </si>
  <si>
    <t>Austria</t>
  </si>
  <si>
    <t>Belgium</t>
  </si>
  <si>
    <t>&gt;3,5 t</t>
  </si>
  <si>
    <t>Rigid &lt;=7,5 t</t>
  </si>
  <si>
    <t>Rigid 14 - 20 t</t>
  </si>
  <si>
    <t>Rigid 26 - 28 t</t>
  </si>
  <si>
    <t>Articulated 34 - 40 t</t>
  </si>
  <si>
    <t>TRACCS</t>
  </si>
  <si>
    <t>Purchase price [€ 2010]</t>
  </si>
  <si>
    <t>Purchase price [€ 2020]</t>
  </si>
  <si>
    <t>Articulated truck, 32t</t>
  </si>
  <si>
    <t>semi-trailer, 2+3 axles, curtain-sider</t>
  </si>
  <si>
    <t>Futuricum</t>
  </si>
  <si>
    <t>https://www.futuricum.com/wp-content/uploads/Futuricum_Factsheet_FM_Logistics_18E_4x2R_de_web-1.pdf</t>
  </si>
  <si>
    <t>Logistics 18E - 340</t>
  </si>
  <si>
    <t>Logistics 18E - 450</t>
  </si>
  <si>
    <t>Logistics 18E - 510</t>
  </si>
  <si>
    <t>Logistics 18E - 680</t>
  </si>
  <si>
    <t>Logistics 18E - 900</t>
  </si>
  <si>
    <t>FH Semi 40E - 680</t>
  </si>
  <si>
    <t>https://www.futuricum.com/wp-content/uploads/Factsheet_Futuricum_FH_SEMI_40E_6x2T_de_web-1.pdf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</si>
</sst>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0.000"/>
    <numFmt numFmtId="167" formatCode="_-* #,##0_-;\-* #,##0_-;_-* &quot;-&quot;??_-;_-@_-"/>
    <numFmt numFmtId="168" formatCode="_-[$€-2]\ * #,##0.00_-;\-[$€-2]\ * #,##0.00_-;_-[$€-2]\ * &quot;-&quot;??_-;_-@_-"/>
    <numFmt numFmtId="169" formatCode="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MS Sans Serif"/>
      <family val="2"/>
      <charset val="161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9">
    <xf numFmtId="0" fontId="0" fillId="0" borderId="0" xfId="0"/>
    <xf numFmtId="166" fontId="0" fillId="0" borderId="0" xfId="0" applyNumberFormat="1"/>
    <xf numFmtId="165" fontId="2" fillId="0" borderId="0" xfId="0" applyNumberFormat="1" applyFont="1"/>
    <xf numFmtId="0" fontId="2" fillId="0" borderId="0" xfId="0" applyFont="1"/>
    <xf numFmtId="3" fontId="0" fillId="0" borderId="0" xfId="0" applyNumberFormat="1"/>
    <xf numFmtId="167" fontId="0" fillId="0" borderId="0" xfId="1" applyNumberFormat="1" applyFont="1"/>
    <xf numFmtId="0" fontId="0" fillId="0" borderId="1" xfId="0" applyBorder="1"/>
    <xf numFmtId="0" fontId="0" fillId="0" borderId="0" xfId="0" applyFont="1"/>
    <xf numFmtId="1" fontId="0" fillId="0" borderId="0" xfId="0" applyNumberFormat="1"/>
    <xf numFmtId="3" fontId="3" fillId="0" borderId="0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5" fillId="0" borderId="0" xfId="0" applyFont="1" applyAlignment="1">
      <alignment horizontal="center" vertical="center" wrapText="1"/>
    </xf>
    <xf numFmtId="0" fontId="6" fillId="0" borderId="0" xfId="3"/>
    <xf numFmtId="0" fontId="0" fillId="4" borderId="0" xfId="0" applyFill="1"/>
    <xf numFmtId="1" fontId="0" fillId="4" borderId="0" xfId="0" applyNumberFormat="1" applyFill="1"/>
    <xf numFmtId="9" fontId="0" fillId="0" borderId="0" xfId="5" applyFont="1"/>
    <xf numFmtId="168" fontId="0" fillId="0" borderId="0" xfId="4" applyNumberFormat="1" applyFont="1"/>
    <xf numFmtId="9" fontId="0" fillId="0" borderId="0" xfId="5" applyFont="1" applyFill="1"/>
    <xf numFmtId="1" fontId="0" fillId="0" borderId="0" xfId="0" applyNumberFormat="1" applyFill="1"/>
    <xf numFmtId="0" fontId="7" fillId="0" borderId="0" xfId="0" applyFont="1" applyAlignment="1">
      <alignment horizontal="right" vertical="center" indent="1"/>
    </xf>
    <xf numFmtId="1" fontId="0" fillId="0" borderId="0" xfId="5" applyNumberFormat="1" applyFont="1" applyFill="1"/>
    <xf numFmtId="0" fontId="8" fillId="0" borderId="0" xfId="0" applyFont="1"/>
    <xf numFmtId="0" fontId="0" fillId="5" borderId="0" xfId="0" applyFill="1"/>
    <xf numFmtId="0" fontId="0" fillId="6" borderId="0" xfId="0" applyFill="1"/>
    <xf numFmtId="9" fontId="0" fillId="5" borderId="0" xfId="0" applyNumberFormat="1" applyFill="1"/>
    <xf numFmtId="1" fontId="0" fillId="5" borderId="0" xfId="0" applyNumberFormat="1" applyFill="1"/>
    <xf numFmtId="0" fontId="0" fillId="7" borderId="0" xfId="0" applyFill="1"/>
    <xf numFmtId="9" fontId="0" fillId="7" borderId="0" xfId="5" applyFont="1" applyFill="1"/>
    <xf numFmtId="1" fontId="0" fillId="7" borderId="0" xfId="0" applyNumberFormat="1" applyFill="1"/>
    <xf numFmtId="9" fontId="0" fillId="7" borderId="0" xfId="0" applyNumberFormat="1" applyFill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9" fontId="0" fillId="0" borderId="4" xfId="0" applyNumberFormat="1" applyBorder="1"/>
    <xf numFmtId="0" fontId="9" fillId="0" borderId="0" xfId="0" applyFont="1"/>
    <xf numFmtId="2" fontId="0" fillId="0" borderId="0" xfId="0" applyNumberFormat="1"/>
    <xf numFmtId="0" fontId="2" fillId="0" borderId="5" xfId="0" applyFont="1" applyBorder="1"/>
    <xf numFmtId="2" fontId="0" fillId="0" borderId="0" xfId="0" applyNumberFormat="1" applyFill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8" borderId="0" xfId="0" applyFill="1"/>
    <xf numFmtId="1" fontId="0" fillId="8" borderId="0" xfId="0" applyNumberFormat="1" applyFill="1"/>
    <xf numFmtId="2" fontId="0" fillId="8" borderId="0" xfId="0" applyNumberFormat="1" applyFill="1"/>
    <xf numFmtId="0" fontId="0" fillId="9" borderId="0" xfId="0" applyFill="1"/>
    <xf numFmtId="1" fontId="0" fillId="9" borderId="0" xfId="0" applyNumberFormat="1" applyFill="1"/>
    <xf numFmtId="2" fontId="0" fillId="9" borderId="0" xfId="0" applyNumberFormat="1" applyFill="1"/>
    <xf numFmtId="0" fontId="0" fillId="10" borderId="0" xfId="0" applyFill="1"/>
    <xf numFmtId="1" fontId="0" fillId="10" borderId="0" xfId="0" applyNumberFormat="1" applyFill="1"/>
    <xf numFmtId="2" fontId="0" fillId="10" borderId="0" xfId="0" applyNumberFormat="1" applyFill="1"/>
    <xf numFmtId="0" fontId="0" fillId="3" borderId="0" xfId="0" applyFill="1"/>
    <xf numFmtId="1" fontId="0" fillId="3" borderId="0" xfId="0" applyNumberFormat="1" applyFill="1"/>
    <xf numFmtId="2" fontId="0" fillId="3" borderId="0" xfId="0" applyNumberFormat="1" applyFill="1"/>
    <xf numFmtId="166" fontId="0" fillId="2" borderId="0" xfId="0" applyNumberFormat="1" applyFill="1"/>
    <xf numFmtId="166" fontId="0" fillId="8" borderId="0" xfId="0" applyNumberFormat="1" applyFill="1"/>
    <xf numFmtId="166" fontId="0" fillId="9" borderId="0" xfId="0" applyNumberFormat="1" applyFill="1"/>
    <xf numFmtId="166" fontId="0" fillId="10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0" fontId="0" fillId="0" borderId="0" xfId="0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0" fontId="10" fillId="0" borderId="6" xfId="0" applyFont="1" applyBorder="1"/>
    <xf numFmtId="0" fontId="10" fillId="0" borderId="6" xfId="0" applyFont="1" applyBorder="1"/>
    <xf numFmtId="0" fontId="10" fillId="0" borderId="6" xfId="0" applyFont="1" applyBorder="1"/>
    <xf numFmtId="0" fontId="10" fillId="0" borderId="6" xfId="0" applyFont="1" applyBorder="1"/>
    <xf numFmtId="0" fontId="10" fillId="0" borderId="6" xfId="0" applyFont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0" fontId="0" fillId="0" borderId="0" xfId="0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0" fontId="0" fillId="0" borderId="0" xfId="0" applyAlignment="1">
      <alignment horizontal="center"/>
    </xf>
  </cellXfs>
  <cellStyles count="6">
    <cellStyle name="Comma" xfId="1" builtinId="3"/>
    <cellStyle name="Currency" xfId="4" builtinId="4"/>
    <cellStyle name="Hyperlink" xfId="3" builtinId="8"/>
    <cellStyle name="Normal" xfId="0" builtinId="0"/>
    <cellStyle name="Normal 2" xfId="2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engines'!$A$7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engines'!$B$6:$S$6</c:f>
              <c:numCache>
                <c:formatCode>General</c:formatCode>
                <c:ptCount val="18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224</c:v>
                </c:pt>
                <c:pt idx="4">
                  <c:v>250</c:v>
                </c:pt>
                <c:pt idx="5">
                  <c:v>350</c:v>
                </c:pt>
                <c:pt idx="6">
                  <c:v>380</c:v>
                </c:pt>
                <c:pt idx="7">
                  <c:v>200</c:v>
                </c:pt>
                <c:pt idx="8">
                  <c:v>210</c:v>
                </c:pt>
                <c:pt idx="9">
                  <c:v>240</c:v>
                </c:pt>
                <c:pt idx="10">
                  <c:v>103</c:v>
                </c:pt>
                <c:pt idx="11">
                  <c:v>118</c:v>
                </c:pt>
                <c:pt idx="12">
                  <c:v>135</c:v>
                </c:pt>
                <c:pt idx="13">
                  <c:v>162</c:v>
                </c:pt>
                <c:pt idx="14">
                  <c:v>228</c:v>
                </c:pt>
                <c:pt idx="15">
                  <c:v>134</c:v>
                </c:pt>
                <c:pt idx="16">
                  <c:v>228</c:v>
                </c:pt>
                <c:pt idx="17">
                  <c:v>310</c:v>
                </c:pt>
              </c:numCache>
            </c:numRef>
          </c:xVal>
          <c:yVal>
            <c:numRef>
              <c:f>'ICEV engines'!$B$7:$S$7</c:f>
              <c:numCache>
                <c:formatCode>General</c:formatCode>
                <c:ptCount val="18"/>
                <c:pt idx="0">
                  <c:v>1343</c:v>
                </c:pt>
                <c:pt idx="1">
                  <c:v>1343</c:v>
                </c:pt>
                <c:pt idx="2">
                  <c:v>929</c:v>
                </c:pt>
                <c:pt idx="3">
                  <c:v>380</c:v>
                </c:pt>
                <c:pt idx="4">
                  <c:v>521</c:v>
                </c:pt>
                <c:pt idx="5">
                  <c:v>770</c:v>
                </c:pt>
                <c:pt idx="6">
                  <c:v>997</c:v>
                </c:pt>
                <c:pt idx="7">
                  <c:v>522</c:v>
                </c:pt>
                <c:pt idx="8">
                  <c:v>737</c:v>
                </c:pt>
                <c:pt idx="9">
                  <c:v>867</c:v>
                </c:pt>
                <c:pt idx="10">
                  <c:v>390</c:v>
                </c:pt>
                <c:pt idx="11">
                  <c:v>400</c:v>
                </c:pt>
                <c:pt idx="12">
                  <c:v>510</c:v>
                </c:pt>
                <c:pt idx="13">
                  <c:v>529</c:v>
                </c:pt>
                <c:pt idx="14">
                  <c:v>680</c:v>
                </c:pt>
                <c:pt idx="15">
                  <c:v>390</c:v>
                </c:pt>
                <c:pt idx="16">
                  <c:v>900</c:v>
                </c:pt>
                <c:pt idx="17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F-47C9-BD52-8FE248EA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chargers'!$B$3:$C$3</c:f>
              <c:numCache>
                <c:formatCode>General</c:formatCode>
                <c:ptCount val="2"/>
                <c:pt idx="0">
                  <c:v>100</c:v>
                </c:pt>
                <c:pt idx="1">
                  <c:v>212</c:v>
                </c:pt>
              </c:numCache>
            </c:numRef>
          </c:xVal>
          <c:yVal>
            <c:numRef>
              <c:f>'BEV chargers'!$B$4:$C$4</c:f>
              <c:numCache>
                <c:formatCode>General</c:formatCode>
                <c:ptCount val="2"/>
                <c:pt idx="0">
                  <c:v>9.5</c:v>
                </c:pt>
                <c:pt idx="1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6-45CC-8424-42117DA6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Loading factors, TRACCS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'Loading factors'!$L$4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factors'!$M$4:$R$4</c:f>
              <c:numCache>
                <c:formatCode>0.0</c:formatCode>
                <c:ptCount val="6"/>
                <c:pt idx="0">
                  <c:v>54.361859345101777</c:v>
                </c:pt>
                <c:pt idx="1">
                  <c:v>58.339086382379364</c:v>
                </c:pt>
                <c:pt idx="2">
                  <c:v>52.440124431958992</c:v>
                </c:pt>
                <c:pt idx="3">
                  <c:v>55.816343804554791</c:v>
                </c:pt>
                <c:pt idx="4">
                  <c:v>49.054567883744511</c:v>
                </c:pt>
                <c:pt idx="5">
                  <c:v>46.289594246342091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D-46EE-8522-108219460F15}"/>
            </c:ext>
          </c:extLst>
        </c:ser>
        <c:ser>
          <c:idx val="1"/>
          <c:order val="1"/>
          <c:tx>
            <c:strRef>
              <c:f>'Loading factors'!$L$5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factors'!$M$5:$R$5</c:f>
              <c:numCache>
                <c:formatCode>0.0</c:formatCode>
                <c:ptCount val="6"/>
                <c:pt idx="0">
                  <c:v>23.345819984617155</c:v>
                </c:pt>
                <c:pt idx="1">
                  <c:v>22.381276690324771</c:v>
                </c:pt>
                <c:pt idx="2">
                  <c:v>21.363926659992543</c:v>
                </c:pt>
                <c:pt idx="3">
                  <c:v>18.74224122379988</c:v>
                </c:pt>
                <c:pt idx="4">
                  <c:v>18.483520014620819</c:v>
                </c:pt>
                <c:pt idx="5">
                  <c:v>17.359586919929566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D-46EE-8522-108219460F15}"/>
            </c:ext>
          </c:extLst>
        </c:ser>
        <c:ser>
          <c:idx val="2"/>
          <c:order val="2"/>
          <c:tx>
            <c:strRef>
              <c:f>'Loading factors'!$L$6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factors'!$M$6:$R$6</c:f>
              <c:numCache>
                <c:formatCode>0.0</c:formatCode>
                <c:ptCount val="6"/>
                <c:pt idx="0">
                  <c:v>63.559231889036688</c:v>
                </c:pt>
                <c:pt idx="1">
                  <c:v>47.111219437843083</c:v>
                </c:pt>
                <c:pt idx="2">
                  <c:v>51.030707981389341</c:v>
                </c:pt>
                <c:pt idx="3">
                  <c:v>47.683810044446808</c:v>
                </c:pt>
                <c:pt idx="4">
                  <c:v>62.891937025091032</c:v>
                </c:pt>
                <c:pt idx="5">
                  <c:v>69.091122537736311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D-46EE-8522-108219460F15}"/>
            </c:ext>
          </c:extLst>
        </c:ser>
        <c:ser>
          <c:idx val="3"/>
          <c:order val="3"/>
          <c:tx>
            <c:strRef>
              <c:f>'Loading factors'!$L$7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factors'!$M$7:$R$7</c:f>
              <c:numCache>
                <c:formatCode>0.0</c:formatCode>
                <c:ptCount val="6"/>
                <c:pt idx="0">
                  <c:v>94.705983748266533</c:v>
                </c:pt>
                <c:pt idx="1">
                  <c:v>83.53901655791519</c:v>
                </c:pt>
                <c:pt idx="2">
                  <c:v>84.682270155055036</c:v>
                </c:pt>
                <c:pt idx="3">
                  <c:v>86.554170255633835</c:v>
                </c:pt>
                <c:pt idx="4">
                  <c:v>79.049016525090622</c:v>
                </c:pt>
                <c:pt idx="5">
                  <c:v>79.621629371501484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6D-46EE-8522-108219460F15}"/>
            </c:ext>
          </c:extLst>
        </c:ser>
        <c:ser>
          <c:idx val="4"/>
          <c:order val="4"/>
          <c:tx>
            <c:strRef>
              <c:f>'Loading factors'!$L$8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factors'!$M$8:$R$8</c:f>
              <c:numCache>
                <c:formatCode>0.0</c:formatCode>
                <c:ptCount val="6"/>
                <c:pt idx="0">
                  <c:v>43.611676784881958</c:v>
                </c:pt>
                <c:pt idx="1">
                  <c:v>35.990902623894442</c:v>
                </c:pt>
                <c:pt idx="2">
                  <c:v>34.07340015020246</c:v>
                </c:pt>
                <c:pt idx="3">
                  <c:v>35.203878313634597</c:v>
                </c:pt>
                <c:pt idx="4">
                  <c:v>25.715598461168252</c:v>
                </c:pt>
                <c:pt idx="5">
                  <c:v>27.959456255769883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6D-46EE-8522-108219460F15}"/>
            </c:ext>
          </c:extLst>
        </c:ser>
        <c:ser>
          <c:idx val="5"/>
          <c:order val="5"/>
          <c:tx>
            <c:strRef>
              <c:f>'Loading factors'!$L$9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factors'!$M$9:$R$9</c:f>
              <c:numCache>
                <c:formatCode>0.0</c:formatCode>
                <c:ptCount val="6"/>
                <c:pt idx="0">
                  <c:v>37.338130495946935</c:v>
                </c:pt>
                <c:pt idx="1">
                  <c:v>42.135467581322217</c:v>
                </c:pt>
                <c:pt idx="2">
                  <c:v>40.152459222464024</c:v>
                </c:pt>
                <c:pt idx="3">
                  <c:v>40.825658842998564</c:v>
                </c:pt>
                <c:pt idx="4">
                  <c:v>38.873147027266214</c:v>
                </c:pt>
                <c:pt idx="5">
                  <c:v>48.016980525454471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6D-46EE-8522-108219460F15}"/>
            </c:ext>
          </c:extLst>
        </c:ser>
        <c:ser>
          <c:idx val="6"/>
          <c:order val="6"/>
          <c:tx>
            <c:strRef>
              <c:f>'Loading factors'!$L$10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factors'!$M$10:$R$10</c:f>
              <c:numCache>
                <c:formatCode>0.0</c:formatCode>
                <c:ptCount val="6"/>
                <c:pt idx="0">
                  <c:v>30.236078682953718</c:v>
                </c:pt>
                <c:pt idx="1">
                  <c:v>26.034496706975052</c:v>
                </c:pt>
                <c:pt idx="2">
                  <c:v>24.434626422362012</c:v>
                </c:pt>
                <c:pt idx="3">
                  <c:v>23.552713843981579</c:v>
                </c:pt>
                <c:pt idx="4">
                  <c:v>23.867160094725868</c:v>
                </c:pt>
                <c:pt idx="5">
                  <c:v>20.401064868016576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6D-46EE-8522-108219460F15}"/>
            </c:ext>
          </c:extLst>
        </c:ser>
        <c:ser>
          <c:idx val="7"/>
          <c:order val="7"/>
          <c:tx>
            <c:strRef>
              <c:f>'Loading factors'!$L$11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factors'!$M$11:$R$11</c:f>
              <c:numCache>
                <c:formatCode>0.0</c:formatCode>
                <c:ptCount val="6"/>
                <c:pt idx="0">
                  <c:v>65.562015798622454</c:v>
                </c:pt>
                <c:pt idx="1">
                  <c:v>56.734372380849237</c:v>
                </c:pt>
                <c:pt idx="2">
                  <c:v>64.231854337192118</c:v>
                </c:pt>
                <c:pt idx="3">
                  <c:v>82.936325741577548</c:v>
                </c:pt>
                <c:pt idx="4">
                  <c:v>68.185739967667885</c:v>
                </c:pt>
                <c:pt idx="5">
                  <c:v>57.300667055227834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6D-46EE-8522-108219460F15}"/>
            </c:ext>
          </c:extLst>
        </c:ser>
        <c:ser>
          <c:idx val="8"/>
          <c:order val="8"/>
          <c:tx>
            <c:strRef>
              <c:f>'Loading factors'!$L$12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factors'!$M$12:$R$12</c:f>
              <c:numCache>
                <c:formatCode>0.0</c:formatCode>
                <c:ptCount val="6"/>
                <c:pt idx="0">
                  <c:v>57.187030837114278</c:v>
                </c:pt>
                <c:pt idx="1">
                  <c:v>51.52574734528018</c:v>
                </c:pt>
                <c:pt idx="2">
                  <c:v>47.877489102315394</c:v>
                </c:pt>
                <c:pt idx="3">
                  <c:v>50.364948405675179</c:v>
                </c:pt>
                <c:pt idx="4">
                  <c:v>49.912127331213348</c:v>
                </c:pt>
                <c:pt idx="5">
                  <c:v>48.050597037556678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6D-46EE-8522-108219460F15}"/>
            </c:ext>
          </c:extLst>
        </c:ser>
        <c:ser>
          <c:idx val="9"/>
          <c:order val="9"/>
          <c:tx>
            <c:strRef>
              <c:f>'Loading factors'!$L$13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factors'!$M$13:$R$13</c:f>
              <c:numCache>
                <c:formatCode>0.0</c:formatCode>
                <c:ptCount val="6"/>
                <c:pt idx="0">
                  <c:v>31.999923020517347</c:v>
                </c:pt>
                <c:pt idx="1">
                  <c:v>32.276340205216208</c:v>
                </c:pt>
                <c:pt idx="2">
                  <c:v>32.775568934693638</c:v>
                </c:pt>
                <c:pt idx="3">
                  <c:v>33.27249877747176</c:v>
                </c:pt>
                <c:pt idx="4">
                  <c:v>30.867008770745795</c:v>
                </c:pt>
                <c:pt idx="5">
                  <c:v>30.860341778599896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6D-46EE-8522-108219460F15}"/>
            </c:ext>
          </c:extLst>
        </c:ser>
        <c:ser>
          <c:idx val="10"/>
          <c:order val="10"/>
          <c:tx>
            <c:strRef>
              <c:f>'Loading factors'!$L$14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factors'!$M$14:$R$14</c:f>
              <c:numCache>
                <c:formatCode>0.0</c:formatCode>
                <c:ptCount val="6"/>
                <c:pt idx="0">
                  <c:v>41.570300005979398</c:v>
                </c:pt>
                <c:pt idx="1">
                  <c:v>41.269660779559956</c:v>
                </c:pt>
                <c:pt idx="2">
                  <c:v>41.77576738769605</c:v>
                </c:pt>
                <c:pt idx="3">
                  <c:v>41.208541345531721</c:v>
                </c:pt>
                <c:pt idx="4">
                  <c:v>39.634964116409598</c:v>
                </c:pt>
                <c:pt idx="5">
                  <c:v>37.884811669362726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6D-46EE-8522-108219460F15}"/>
            </c:ext>
          </c:extLst>
        </c:ser>
        <c:ser>
          <c:idx val="11"/>
          <c:order val="11"/>
          <c:tx>
            <c:strRef>
              <c:f>'Loading factors'!$L$15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factors'!$M$15:$R$15</c:f>
              <c:numCache>
                <c:formatCode>0.0</c:formatCode>
                <c:ptCount val="6"/>
                <c:pt idx="0">
                  <c:v>53.001672655780972</c:v>
                </c:pt>
                <c:pt idx="1">
                  <c:v>52.175933131601376</c:v>
                </c:pt>
                <c:pt idx="2">
                  <c:v>40.152819289812498</c:v>
                </c:pt>
                <c:pt idx="3">
                  <c:v>45.233344720328773</c:v>
                </c:pt>
                <c:pt idx="4">
                  <c:v>36.420055959471526</c:v>
                </c:pt>
                <c:pt idx="5">
                  <c:v>43.636435168042027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16D-46EE-8522-108219460F15}"/>
            </c:ext>
          </c:extLst>
        </c:ser>
        <c:ser>
          <c:idx val="12"/>
          <c:order val="12"/>
          <c:tx>
            <c:strRef>
              <c:f>'Loading factors'!$L$16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factors'!$M$16:$R$16</c:f>
              <c:numCache>
                <c:formatCode>0.0</c:formatCode>
                <c:ptCount val="6"/>
                <c:pt idx="0">
                  <c:v>38.975047076025319</c:v>
                </c:pt>
                <c:pt idx="1">
                  <c:v>44.610488654713507</c:v>
                </c:pt>
                <c:pt idx="2">
                  <c:v>53.184695937383815</c:v>
                </c:pt>
                <c:pt idx="3">
                  <c:v>46.32784389046013</c:v>
                </c:pt>
                <c:pt idx="4">
                  <c:v>47.340643641450882</c:v>
                </c:pt>
                <c:pt idx="5">
                  <c:v>49.018323233040576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6D-46EE-8522-108219460F15}"/>
            </c:ext>
          </c:extLst>
        </c:ser>
        <c:ser>
          <c:idx val="13"/>
          <c:order val="13"/>
          <c:tx>
            <c:strRef>
              <c:f>'Loading factors'!$L$17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factors'!$M$17:$R$17</c:f>
              <c:numCache>
                <c:formatCode>0.0</c:formatCode>
                <c:ptCount val="6"/>
                <c:pt idx="0">
                  <c:v>45.123310038399289</c:v>
                </c:pt>
                <c:pt idx="1">
                  <c:v>34.866723488743062</c:v>
                </c:pt>
                <c:pt idx="2">
                  <c:v>33.579190297921841</c:v>
                </c:pt>
                <c:pt idx="3">
                  <c:v>36.091346433160808</c:v>
                </c:pt>
                <c:pt idx="4">
                  <c:v>34.350837249415804</c:v>
                </c:pt>
                <c:pt idx="5">
                  <c:v>38.538132139879998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6D-46EE-8522-108219460F15}"/>
            </c:ext>
          </c:extLst>
        </c:ser>
        <c:ser>
          <c:idx val="14"/>
          <c:order val="14"/>
          <c:tx>
            <c:strRef>
              <c:f>'Loading factors'!$L$18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factors'!$M$18:$R$18</c:f>
              <c:numCache>
                <c:formatCode>0.0</c:formatCode>
                <c:ptCount val="6"/>
                <c:pt idx="0">
                  <c:v>45.290107592600954</c:v>
                </c:pt>
                <c:pt idx="1">
                  <c:v>39.986189913577896</c:v>
                </c:pt>
                <c:pt idx="2">
                  <c:v>35.751899088501411</c:v>
                </c:pt>
                <c:pt idx="3">
                  <c:v>35.463295811193625</c:v>
                </c:pt>
                <c:pt idx="4">
                  <c:v>32.973600286078401</c:v>
                </c:pt>
                <c:pt idx="5">
                  <c:v>38.784332730577113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6D-46EE-8522-108219460F15}"/>
            </c:ext>
          </c:extLst>
        </c:ser>
        <c:ser>
          <c:idx val="15"/>
          <c:order val="15"/>
          <c:tx>
            <c:strRef>
              <c:f>'Loading factors'!$L$19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factors'!$M$19:$R$19</c:f>
              <c:numCache>
                <c:formatCode>0.0</c:formatCode>
                <c:ptCount val="6"/>
                <c:pt idx="0">
                  <c:v>54.018846477198153</c:v>
                </c:pt>
                <c:pt idx="1">
                  <c:v>63.742528780997887</c:v>
                </c:pt>
                <c:pt idx="2">
                  <c:v>67.934702270847183</c:v>
                </c:pt>
                <c:pt idx="3">
                  <c:v>79.148958189272861</c:v>
                </c:pt>
                <c:pt idx="4">
                  <c:v>47.582403621130155</c:v>
                </c:pt>
                <c:pt idx="5">
                  <c:v>57.024527405409081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6D-46EE-8522-108219460F15}"/>
            </c:ext>
          </c:extLst>
        </c:ser>
        <c:ser>
          <c:idx val="16"/>
          <c:order val="16"/>
          <c:tx>
            <c:strRef>
              <c:f>'Loading factors'!$L$20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factors'!$M$20:$R$20</c:f>
              <c:numCache>
                <c:formatCode>0.0</c:formatCode>
                <c:ptCount val="6"/>
                <c:pt idx="0">
                  <c:v>17.581719314729956</c:v>
                </c:pt>
                <c:pt idx="1">
                  <c:v>18.792324465400156</c:v>
                </c:pt>
                <c:pt idx="2">
                  <c:v>20.522755584787507</c:v>
                </c:pt>
                <c:pt idx="3">
                  <c:v>20.897365828922325</c:v>
                </c:pt>
                <c:pt idx="4">
                  <c:v>25.222090520559838</c:v>
                </c:pt>
                <c:pt idx="5">
                  <c:v>24.52444658830807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16D-46EE-8522-108219460F15}"/>
            </c:ext>
          </c:extLst>
        </c:ser>
        <c:ser>
          <c:idx val="17"/>
          <c:order val="17"/>
          <c:tx>
            <c:strRef>
              <c:f>'Loading factors'!$L$21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factors'!$M$21:$R$21</c:f>
              <c:numCache>
                <c:formatCode>0.0</c:formatCode>
                <c:ptCount val="6"/>
                <c:pt idx="0">
                  <c:v>11.072412788518482</c:v>
                </c:pt>
                <c:pt idx="1">
                  <c:v>10.681265916997562</c:v>
                </c:pt>
                <c:pt idx="2">
                  <c:v>10.190995021845222</c:v>
                </c:pt>
                <c:pt idx="3">
                  <c:v>10.658066258593209</c:v>
                </c:pt>
                <c:pt idx="4">
                  <c:v>10.153938290867337</c:v>
                </c:pt>
                <c:pt idx="5">
                  <c:v>9.0071849992234352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16D-46EE-8522-108219460F15}"/>
            </c:ext>
          </c:extLst>
        </c:ser>
        <c:ser>
          <c:idx val="18"/>
          <c:order val="18"/>
          <c:tx>
            <c:strRef>
              <c:f>'Loading factors'!$L$22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factors'!$M$22:$R$22</c:f>
              <c:numCache>
                <c:formatCode>0.0</c:formatCode>
                <c:ptCount val="6"/>
                <c:pt idx="0">
                  <c:v>58.281808176355909</c:v>
                </c:pt>
                <c:pt idx="1">
                  <c:v>53.666158426282536</c:v>
                </c:pt>
                <c:pt idx="2">
                  <c:v>51.449310637005965</c:v>
                </c:pt>
                <c:pt idx="3">
                  <c:v>50.987258904956903</c:v>
                </c:pt>
                <c:pt idx="4">
                  <c:v>50.746540562102169</c:v>
                </c:pt>
                <c:pt idx="5">
                  <c:v>52.11466486831592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16D-46EE-8522-108219460F15}"/>
            </c:ext>
          </c:extLst>
        </c:ser>
        <c:ser>
          <c:idx val="19"/>
          <c:order val="19"/>
          <c:tx>
            <c:strRef>
              <c:f>'Loading factors'!$L$23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factors'!$M$23:$R$23</c:f>
              <c:numCache>
                <c:formatCode>0.0</c:formatCode>
                <c:ptCount val="6"/>
                <c:pt idx="0">
                  <c:v>79.686847492084013</c:v>
                </c:pt>
                <c:pt idx="1">
                  <c:v>82.739814658968839</c:v>
                </c:pt>
                <c:pt idx="2">
                  <c:v>81.943306803817634</c:v>
                </c:pt>
                <c:pt idx="3">
                  <c:v>87.681326584940109</c:v>
                </c:pt>
                <c:pt idx="4">
                  <c:v>79.864436890857903</c:v>
                </c:pt>
                <c:pt idx="5">
                  <c:v>82.150956412735667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16D-46EE-8522-108219460F15}"/>
            </c:ext>
          </c:extLst>
        </c:ser>
        <c:ser>
          <c:idx val="20"/>
          <c:order val="20"/>
          <c:tx>
            <c:strRef>
              <c:f>'Loading factors'!$L$24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factors'!$M$24:$R$24</c:f>
              <c:numCache>
                <c:formatCode>0.0</c:formatCode>
                <c:ptCount val="6"/>
                <c:pt idx="0">
                  <c:v>57.526093555397637</c:v>
                </c:pt>
                <c:pt idx="1">
                  <c:v>57.348984370447901</c:v>
                </c:pt>
                <c:pt idx="2">
                  <c:v>57.567723950717252</c:v>
                </c:pt>
                <c:pt idx="3">
                  <c:v>57.634555992309885</c:v>
                </c:pt>
                <c:pt idx="4">
                  <c:v>61.499945996043621</c:v>
                </c:pt>
                <c:pt idx="5">
                  <c:v>65.232177686667839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16D-46EE-8522-108219460F15}"/>
            </c:ext>
          </c:extLst>
        </c:ser>
        <c:ser>
          <c:idx val="21"/>
          <c:order val="21"/>
          <c:tx>
            <c:strRef>
              <c:f>'Loading factors'!#REF!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16D-46EE-8522-108219460F15}"/>
            </c:ext>
          </c:extLst>
        </c:ser>
        <c:ser>
          <c:idx val="22"/>
          <c:order val="22"/>
          <c:tx>
            <c:strRef>
              <c:f>'Loading factors'!$L$25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factors'!$M$25:$R$25</c:f>
              <c:numCache>
                <c:formatCode>0.0</c:formatCode>
                <c:ptCount val="6"/>
                <c:pt idx="0">
                  <c:v>57.545651736683837</c:v>
                </c:pt>
                <c:pt idx="1">
                  <c:v>56.450832359842259</c:v>
                </c:pt>
                <c:pt idx="2">
                  <c:v>57.504803732075857</c:v>
                </c:pt>
                <c:pt idx="3">
                  <c:v>61.880068382901555</c:v>
                </c:pt>
                <c:pt idx="4">
                  <c:v>65.976601232627644</c:v>
                </c:pt>
                <c:pt idx="5">
                  <c:v>57.746270015896954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16D-46EE-8522-108219460F15}"/>
            </c:ext>
          </c:extLst>
        </c:ser>
        <c:ser>
          <c:idx val="23"/>
          <c:order val="23"/>
          <c:tx>
            <c:strRef>
              <c:f>'Loading factors'!$L$26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factors'!$M$26:$R$26</c:f>
              <c:numCache>
                <c:formatCode>0.0</c:formatCode>
                <c:ptCount val="6"/>
                <c:pt idx="0">
                  <c:v>62.887109078927949</c:v>
                </c:pt>
                <c:pt idx="1">
                  <c:v>63.091595121857566</c:v>
                </c:pt>
                <c:pt idx="2">
                  <c:v>53.444924181412162</c:v>
                </c:pt>
                <c:pt idx="3">
                  <c:v>49.622674605350284</c:v>
                </c:pt>
                <c:pt idx="4">
                  <c:v>51.283986965294524</c:v>
                </c:pt>
                <c:pt idx="5">
                  <c:v>55.138204304914304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16D-46EE-8522-108219460F15}"/>
            </c:ext>
          </c:extLst>
        </c:ser>
        <c:ser>
          <c:idx val="24"/>
          <c:order val="24"/>
          <c:tx>
            <c:strRef>
              <c:f>'Loading factors'!$L$27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factors'!$M$27:$R$27</c:f>
              <c:numCache>
                <c:formatCode>0.0</c:formatCode>
                <c:ptCount val="6"/>
                <c:pt idx="0">
                  <c:v>29.098218207770955</c:v>
                </c:pt>
                <c:pt idx="1">
                  <c:v>28.900838775001251</c:v>
                </c:pt>
                <c:pt idx="2">
                  <c:v>27.764531502259562</c:v>
                </c:pt>
                <c:pt idx="3">
                  <c:v>26.069865020415516</c:v>
                </c:pt>
                <c:pt idx="4">
                  <c:v>23.298874685920875</c:v>
                </c:pt>
                <c:pt idx="5">
                  <c:v>25.593991824258421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16D-46EE-8522-108219460F15}"/>
            </c:ext>
          </c:extLst>
        </c:ser>
        <c:ser>
          <c:idx val="25"/>
          <c:order val="25"/>
          <c:tx>
            <c:strRef>
              <c:f>'Loading factors'!$L$28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factors'!$M$28:$R$28</c:f>
              <c:numCache>
                <c:formatCode>0.0</c:formatCode>
                <c:ptCount val="6"/>
                <c:pt idx="0">
                  <c:v>53.773326745661571</c:v>
                </c:pt>
                <c:pt idx="1">
                  <c:v>54.730820053258078</c:v>
                </c:pt>
                <c:pt idx="2">
                  <c:v>56.56329284494619</c:v>
                </c:pt>
                <c:pt idx="3">
                  <c:v>60.611986255302718</c:v>
                </c:pt>
                <c:pt idx="4">
                  <c:v>56.456056087211643</c:v>
                </c:pt>
                <c:pt idx="5">
                  <c:v>56.482706987552447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16D-46EE-8522-108219460F15}"/>
            </c:ext>
          </c:extLst>
        </c:ser>
        <c:ser>
          <c:idx val="26"/>
          <c:order val="26"/>
          <c:tx>
            <c:strRef>
              <c:f>'Loading factors'!$L$29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factors'!$M$29:$R$29</c:f>
              <c:numCache>
                <c:formatCode>0.0</c:formatCode>
                <c:ptCount val="6"/>
                <c:pt idx="0">
                  <c:v>24.945724141449759</c:v>
                </c:pt>
                <c:pt idx="1">
                  <c:v>23.528973248676671</c:v>
                </c:pt>
                <c:pt idx="2">
                  <c:v>24.784224713806495</c:v>
                </c:pt>
                <c:pt idx="3">
                  <c:v>26.909550391090036</c:v>
                </c:pt>
                <c:pt idx="4">
                  <c:v>28.840759977723749</c:v>
                </c:pt>
                <c:pt idx="5">
                  <c:v>26.350827257964447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16D-46EE-8522-108219460F15}"/>
            </c:ext>
          </c:extLst>
        </c:ser>
        <c:ser>
          <c:idx val="27"/>
          <c:order val="27"/>
          <c:tx>
            <c:strRef>
              <c:f>'Loading factors'!$L$30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factors'!$M$30:$R$30</c:f>
              <c:numCache>
                <c:formatCode>0.0</c:formatCode>
                <c:ptCount val="6"/>
                <c:pt idx="0">
                  <c:v>26.387698014486968</c:v>
                </c:pt>
                <c:pt idx="1">
                  <c:v>25.694948460400973</c:v>
                </c:pt>
                <c:pt idx="2">
                  <c:v>26.875695418435633</c:v>
                </c:pt>
                <c:pt idx="3">
                  <c:v>25.427809391630202</c:v>
                </c:pt>
                <c:pt idx="4">
                  <c:v>22.72306813677918</c:v>
                </c:pt>
                <c:pt idx="5">
                  <c:v>25.832172296906762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16D-46EE-8522-108219460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401384"/>
        <c:axId val="727404008"/>
      </c:lineChart>
      <c:catAx>
        <c:axId val="72740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404008"/>
        <c:crosses val="autoZero"/>
        <c:auto val="1"/>
        <c:lblAlgn val="ctr"/>
        <c:lblOffset val="100"/>
        <c:noMultiLvlLbl val="0"/>
      </c:catAx>
      <c:valAx>
        <c:axId val="7274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40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Loading factors, EU-28, TRACCS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'Loading factors'!$M$39</c:f>
              <c:strCache>
                <c:ptCount val="1"/>
                <c:pt idx="0">
                  <c:v>&gt;3,5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factors'!$N$39:$S$39</c:f>
              <c:numCache>
                <c:formatCode>0.0</c:formatCode>
                <c:ptCount val="6"/>
                <c:pt idx="0">
                  <c:v>54.619664282700491</c:v>
                </c:pt>
                <c:pt idx="1">
                  <c:v>55.330971927394046</c:v>
                </c:pt>
                <c:pt idx="2">
                  <c:v>54.501235583878191</c:v>
                </c:pt>
                <c:pt idx="3">
                  <c:v>55.08024306549833</c:v>
                </c:pt>
                <c:pt idx="4">
                  <c:v>56.358046853900667</c:v>
                </c:pt>
                <c:pt idx="5">
                  <c:v>60.184145743803249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5-4D48-BA0F-7E73D721ACE0}"/>
            </c:ext>
          </c:extLst>
        </c:ser>
        <c:ser>
          <c:idx val="1"/>
          <c:order val="1"/>
          <c:tx>
            <c:strRef>
              <c:f>'Loading factors'!$M$40</c:f>
              <c:strCache>
                <c:ptCount val="1"/>
                <c:pt idx="0">
                  <c:v>Rigid &lt;=7,5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factors'!$N$40:$S$40</c:f>
              <c:numCache>
                <c:formatCode>0.0</c:formatCode>
                <c:ptCount val="6"/>
                <c:pt idx="0">
                  <c:v>43.731263951503095</c:v>
                </c:pt>
                <c:pt idx="1">
                  <c:v>43.750782861386078</c:v>
                </c:pt>
                <c:pt idx="2">
                  <c:v>43.372456973643487</c:v>
                </c:pt>
                <c:pt idx="3">
                  <c:v>42.334101055822316</c:v>
                </c:pt>
                <c:pt idx="4">
                  <c:v>39.927569685344871</c:v>
                </c:pt>
                <c:pt idx="5">
                  <c:v>40.828797432551468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5-4D48-BA0F-7E73D721ACE0}"/>
            </c:ext>
          </c:extLst>
        </c:ser>
        <c:ser>
          <c:idx val="2"/>
          <c:order val="2"/>
          <c:tx>
            <c:strRef>
              <c:f>'Loading factors'!$M$41</c:f>
              <c:strCache>
                <c:ptCount val="1"/>
                <c:pt idx="0">
                  <c:v>Rigid 14 - 20 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factors'!$N$41:$S$41</c:f>
              <c:numCache>
                <c:formatCode>0.0</c:formatCode>
                <c:ptCount val="6"/>
                <c:pt idx="0">
                  <c:v>43.944619288242457</c:v>
                </c:pt>
                <c:pt idx="1">
                  <c:v>43.896460093077017</c:v>
                </c:pt>
                <c:pt idx="2">
                  <c:v>44.19755542249731</c:v>
                </c:pt>
                <c:pt idx="3">
                  <c:v>43.944254254949527</c:v>
                </c:pt>
                <c:pt idx="4">
                  <c:v>40.740815460558473</c:v>
                </c:pt>
                <c:pt idx="5">
                  <c:v>42.367339153617671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5-4D48-BA0F-7E73D721ACE0}"/>
            </c:ext>
          </c:extLst>
        </c:ser>
        <c:ser>
          <c:idx val="3"/>
          <c:order val="3"/>
          <c:tx>
            <c:strRef>
              <c:f>'Loading factors'!$M$42</c:f>
              <c:strCache>
                <c:ptCount val="1"/>
                <c:pt idx="0">
                  <c:v>Rigid 26 - 28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factors'!$N$42:$S$42</c:f>
              <c:numCache>
                <c:formatCode>0.0</c:formatCode>
                <c:ptCount val="6"/>
                <c:pt idx="0">
                  <c:v>37.30528934687181</c:v>
                </c:pt>
                <c:pt idx="1">
                  <c:v>36.438883369750471</c:v>
                </c:pt>
                <c:pt idx="2">
                  <c:v>36.567336311283718</c:v>
                </c:pt>
                <c:pt idx="3">
                  <c:v>36.659668267257821</c:v>
                </c:pt>
                <c:pt idx="4">
                  <c:v>35.697687286681401</c:v>
                </c:pt>
                <c:pt idx="5">
                  <c:v>38.146989757862862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25-4D48-BA0F-7E73D721ACE0}"/>
            </c:ext>
          </c:extLst>
        </c:ser>
        <c:ser>
          <c:idx val="4"/>
          <c:order val="4"/>
          <c:tx>
            <c:strRef>
              <c:f>'Loading factors'!$M$43</c:f>
              <c:strCache>
                <c:ptCount val="1"/>
                <c:pt idx="0">
                  <c:v>Articulated 34 - 40 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factors'!$N$43:$S$43</c:f>
              <c:numCache>
                <c:formatCode>0.0</c:formatCode>
                <c:ptCount val="6"/>
                <c:pt idx="0">
                  <c:v>36.845825943007043</c:v>
                </c:pt>
                <c:pt idx="1">
                  <c:v>37.177641750751349</c:v>
                </c:pt>
                <c:pt idx="2">
                  <c:v>36.787636105996626</c:v>
                </c:pt>
                <c:pt idx="3">
                  <c:v>36.538204811064745</c:v>
                </c:pt>
                <c:pt idx="4">
                  <c:v>35.501636953482972</c:v>
                </c:pt>
                <c:pt idx="5">
                  <c:v>35.84722172330838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25-4D48-BA0F-7E73D721A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096928"/>
        <c:axId val="719097584"/>
      </c:lineChart>
      <c:catAx>
        <c:axId val="7190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097584"/>
        <c:crosses val="autoZero"/>
        <c:auto val="1"/>
        <c:lblAlgn val="ctr"/>
        <c:lblOffset val="100"/>
        <c:noMultiLvlLbl val="0"/>
      </c:catAx>
      <c:valAx>
        <c:axId val="7190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0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Drivetrain mass vs. gross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'weight composition'!$F$6:$M$6</c:f>
              <c:numCache>
                <c:formatCode>General</c:formatCode>
                <c:ptCount val="8"/>
                <c:pt idx="0">
                  <c:v>3500</c:v>
                </c:pt>
                <c:pt idx="1">
                  <c:v>7500</c:v>
                </c:pt>
                <c:pt idx="2">
                  <c:v>12000</c:v>
                </c:pt>
                <c:pt idx="3">
                  <c:v>18000</c:v>
                </c:pt>
                <c:pt idx="4">
                  <c:v>26000</c:v>
                </c:pt>
                <c:pt idx="5">
                  <c:v>32000</c:v>
                </c:pt>
                <c:pt idx="6">
                  <c:v>40000</c:v>
                </c:pt>
                <c:pt idx="7">
                  <c:v>60000</c:v>
                </c:pt>
              </c:numCache>
            </c:numRef>
          </c:xVal>
          <c:yVal>
            <c:numRef>
              <c:f>'weight composition'!$F$32:$M$32</c:f>
              <c:numCache>
                <c:formatCode>0</c:formatCode>
                <c:ptCount val="8"/>
                <c:pt idx="0">
                  <c:v>82.541666666666671</c:v>
                </c:pt>
                <c:pt idx="1">
                  <c:v>176.875</c:v>
                </c:pt>
                <c:pt idx="2">
                  <c:v>283</c:v>
                </c:pt>
                <c:pt idx="3">
                  <c:v>424.5</c:v>
                </c:pt>
                <c:pt idx="4">
                  <c:v>613.16666666666663</c:v>
                </c:pt>
                <c:pt idx="5">
                  <c:v>446.4</c:v>
                </c:pt>
                <c:pt idx="6">
                  <c:v>558</c:v>
                </c:pt>
                <c:pt idx="7">
                  <c:v>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2-464F-A745-80475C1D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83024"/>
        <c:axId val="741568848"/>
      </c:scatterChart>
      <c:valAx>
        <c:axId val="7925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568848"/>
        <c:crosses val="autoZero"/>
        <c:crossBetween val="midCat"/>
      </c:valAx>
      <c:valAx>
        <c:axId val="741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25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'CNG tank mass'!$E$1</c:f>
              <c:strCache>
                <c:ptCount val="1"/>
                <c:pt idx="0">
                  <c:v>Mass, empty [kg]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'CNG tank mass'!$C$2:$C$13</c:f>
              <c:numCache>
                <c:formatCode>0</c:formatCode>
                <c:ptCount val="12"/>
                <c:pt idx="0">
                  <c:v>87.75</c:v>
                </c:pt>
                <c:pt idx="1">
                  <c:v>99.45</c:v>
                </c:pt>
                <c:pt idx="2">
                  <c:v>217.2</c:v>
                </c:pt>
                <c:pt idx="3">
                  <c:v>173.76</c:v>
                </c:pt>
                <c:pt idx="4" formatCode="General">
                  <c:v>45.45</c:v>
                </c:pt>
                <c:pt idx="5" formatCode="General">
                  <c:v>57.6</c:v>
                </c:pt>
                <c:pt idx="6" formatCode="General">
                  <c:v>62.1</c:v>
                </c:pt>
                <c:pt idx="7" formatCode="General">
                  <c:v>38.25</c:v>
                </c:pt>
                <c:pt idx="8" formatCode="General">
                  <c:v>64.8</c:v>
                </c:pt>
                <c:pt idx="9" formatCode="General">
                  <c:v>87.75</c:v>
                </c:pt>
                <c:pt idx="10" formatCode="General">
                  <c:v>99.9</c:v>
                </c:pt>
                <c:pt idx="11" formatCode="General">
                  <c:v>130.5</c:v>
                </c:pt>
              </c:numCache>
            </c:numRef>
          </c:xVal>
          <c:yVal>
            <c:numRef>
              <c:f>'CNG tank mass'!$E$2:$E$13</c:f>
              <c:numCache>
                <c:formatCode>0</c:formatCode>
                <c:ptCount val="12"/>
                <c:pt idx="0">
                  <c:v>234</c:v>
                </c:pt>
                <c:pt idx="1">
                  <c:v>257.40000000000003</c:v>
                </c:pt>
                <c:pt idx="2">
                  <c:v>750.3</c:v>
                </c:pt>
                <c:pt idx="3">
                  <c:v>568.74</c:v>
                </c:pt>
                <c:pt idx="4">
                  <c:v>60.75</c:v>
                </c:pt>
                <c:pt idx="5">
                  <c:v>73.350000000000009</c:v>
                </c:pt>
                <c:pt idx="6">
                  <c:v>78.3</c:v>
                </c:pt>
                <c:pt idx="7">
                  <c:v>54.9</c:v>
                </c:pt>
                <c:pt idx="8">
                  <c:v>75.150000000000006</c:v>
                </c:pt>
                <c:pt idx="9">
                  <c:v>99</c:v>
                </c:pt>
                <c:pt idx="10">
                  <c:v>113.85000000000001</c:v>
                </c:pt>
                <c:pt idx="11">
                  <c:v>163.35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9-42E0-B16F-495C17A15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48352"/>
        <c:axId val="720453928"/>
      </c:scatterChart>
      <c:valAx>
        <c:axId val="7204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Stored CNG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53928"/>
        <c:crosses val="autoZero"/>
        <c:crossBetween val="midCat"/>
      </c:valAx>
      <c:valAx>
        <c:axId val="7204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Cylinder</a:t>
                </a:r>
                <a:r>
                  <a:rPr lang="de-CH" baseline="0"/>
                  <a:t> mass [kg]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'H2 tank mass'!$C$2:$C$18</c:f>
              <c:numCache>
                <c:formatCode>General</c:formatCode>
                <c:ptCount val="17"/>
                <c:pt idx="0">
                  <c:v>5.6</c:v>
                </c:pt>
                <c:pt idx="1">
                  <c:v>1</c:v>
                </c:pt>
                <c:pt idx="2">
                  <c:v>0.8</c:v>
                </c:pt>
                <c:pt idx="3">
                  <c:v>1.5</c:v>
                </c:pt>
                <c:pt idx="4">
                  <c:v>0.9</c:v>
                </c:pt>
                <c:pt idx="5">
                  <c:v>2</c:v>
                </c:pt>
                <c:pt idx="6">
                  <c:v>2.2000000000000002</c:v>
                </c:pt>
                <c:pt idx="7">
                  <c:v>2.9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5</c:v>
                </c:pt>
                <c:pt idx="11">
                  <c:v>3.7</c:v>
                </c:pt>
                <c:pt idx="12">
                  <c:v>10</c:v>
                </c:pt>
                <c:pt idx="13">
                  <c:v>14.4</c:v>
                </c:pt>
                <c:pt idx="14">
                  <c:v>13.3</c:v>
                </c:pt>
                <c:pt idx="15">
                  <c:v>18.100000000000001</c:v>
                </c:pt>
                <c:pt idx="16">
                  <c:v>20.9</c:v>
                </c:pt>
              </c:numCache>
            </c:numRef>
          </c:xVal>
          <c:yVal>
            <c:numRef>
              <c:f>'H2 tank mass'!$E$2:$E$18</c:f>
              <c:numCache>
                <c:formatCode>General</c:formatCode>
                <c:ptCount val="17"/>
                <c:pt idx="0">
                  <c:v>101</c:v>
                </c:pt>
                <c:pt idx="1">
                  <c:v>24</c:v>
                </c:pt>
                <c:pt idx="2">
                  <c:v>16</c:v>
                </c:pt>
                <c:pt idx="3">
                  <c:v>35</c:v>
                </c:pt>
                <c:pt idx="4">
                  <c:v>18</c:v>
                </c:pt>
                <c:pt idx="5">
                  <c:v>43</c:v>
                </c:pt>
                <c:pt idx="6">
                  <c:v>41</c:v>
                </c:pt>
                <c:pt idx="7">
                  <c:v>51</c:v>
                </c:pt>
                <c:pt idx="8">
                  <c:v>73</c:v>
                </c:pt>
                <c:pt idx="9">
                  <c:v>80</c:v>
                </c:pt>
                <c:pt idx="10">
                  <c:v>92</c:v>
                </c:pt>
                <c:pt idx="11">
                  <c:v>49</c:v>
                </c:pt>
                <c:pt idx="12">
                  <c:v>141</c:v>
                </c:pt>
                <c:pt idx="13">
                  <c:v>178</c:v>
                </c:pt>
                <c:pt idx="14">
                  <c:v>153</c:v>
                </c:pt>
                <c:pt idx="15">
                  <c:v>211</c:v>
                </c:pt>
                <c:pt idx="16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3-453E-A480-35744F20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48352"/>
        <c:axId val="720453928"/>
      </c:scatterChart>
      <c:valAx>
        <c:axId val="7204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Stored H2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53928"/>
        <c:crosses val="autoZero"/>
        <c:crossBetween val="midCat"/>
      </c:valAx>
      <c:valAx>
        <c:axId val="7204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Cylinder</a:t>
                </a:r>
                <a:r>
                  <a:rPr lang="de-CH" baseline="0"/>
                  <a:t> mass [kg]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engines'!$A$12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engines'!$B$11:$E$11</c:f>
              <c:numCache>
                <c:formatCode>General</c:formatCode>
                <c:ptCount val="4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</c:numCache>
            </c:numRef>
          </c:xVal>
          <c:yVal>
            <c:numRef>
              <c:f>'ICEV engines'!$B$12:$E$12</c:f>
              <c:numCache>
                <c:formatCode>General</c:formatCode>
                <c:ptCount val="4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14-4460-A5BA-47F000CB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'Engines mass'!$D$23</c:f>
              <c:strCache>
                <c:ptCount val="1"/>
                <c:pt idx="0">
                  <c:v>Diesel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mass'!$E$23:$AE$23</c:f>
              <c:numCache>
                <c:formatCode>General</c:formatCode>
                <c:ptCount val="27"/>
                <c:pt idx="4">
                  <c:v>1343</c:v>
                </c:pt>
                <c:pt idx="5">
                  <c:v>1343</c:v>
                </c:pt>
                <c:pt idx="6">
                  <c:v>929</c:v>
                </c:pt>
                <c:pt idx="7">
                  <c:v>380</c:v>
                </c:pt>
                <c:pt idx="8">
                  <c:v>521</c:v>
                </c:pt>
                <c:pt idx="9">
                  <c:v>770</c:v>
                </c:pt>
                <c:pt idx="10">
                  <c:v>997</c:v>
                </c:pt>
                <c:pt idx="11">
                  <c:v>522</c:v>
                </c:pt>
                <c:pt idx="12">
                  <c:v>737</c:v>
                </c:pt>
                <c:pt idx="13">
                  <c:v>867</c:v>
                </c:pt>
                <c:pt idx="14">
                  <c:v>390</c:v>
                </c:pt>
                <c:pt idx="15">
                  <c:v>400</c:v>
                </c:pt>
                <c:pt idx="16">
                  <c:v>510</c:v>
                </c:pt>
                <c:pt idx="17">
                  <c:v>529</c:v>
                </c:pt>
                <c:pt idx="18">
                  <c:v>680</c:v>
                </c:pt>
                <c:pt idx="19">
                  <c:v>390</c:v>
                </c:pt>
                <c:pt idx="20">
                  <c:v>900</c:v>
                </c:pt>
                <c:pt idx="21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6-45A7-8A2D-9E2752925B6A}"/>
            </c:ext>
          </c:extLst>
        </c:ser>
        <c:ser>
          <c:idx val="1"/>
          <c:order val="1"/>
          <c:tx>
            <c:strRef>
              <c:f>'Engines mass'!$D$24</c:f>
              <c:strCache>
                <c:ptCount val="1"/>
                <c:pt idx="0">
                  <c:v>CNG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mass'!$E$24:$AE$24</c:f>
              <c:numCache>
                <c:formatCode>General</c:formatCode>
                <c:ptCount val="27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6-45A7-8A2D-9E2752925B6A}"/>
            </c:ext>
          </c:extLst>
        </c:ser>
        <c:ser>
          <c:idx val="2"/>
          <c:order val="2"/>
          <c:tx>
            <c:strRef>
              <c:f>'Engines mass'!$D$25</c:f>
              <c:strCache>
                <c:ptCount val="1"/>
                <c:pt idx="0">
                  <c:v>Electric motor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mass'!$E$25:$AE$25</c:f>
              <c:numCache>
                <c:formatCode>General</c:formatCode>
                <c:ptCount val="27"/>
                <c:pt idx="22">
                  <c:v>51</c:v>
                </c:pt>
                <c:pt idx="23">
                  <c:v>51</c:v>
                </c:pt>
                <c:pt idx="24">
                  <c:v>26</c:v>
                </c:pt>
                <c:pt idx="25">
                  <c:v>76</c:v>
                </c:pt>
                <c:pt idx="26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6-45A7-8A2D-9E275292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92911"/>
        <c:axId val="1081512687"/>
      </c:scatterChart>
      <c:valAx>
        <c:axId val="113249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81512687"/>
        <c:crosses val="autoZero"/>
        <c:crossBetween val="midCat"/>
      </c:valAx>
      <c:valAx>
        <c:axId val="10815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3249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Costs!$C$3</c:f>
              <c:strCache>
                <c:ptCount val="1"/>
                <c:pt idx="0">
                  <c:v>Glider cost [€]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2982502187226594E-2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Costs!$B$4:$B$8</c:f>
              <c:numCache>
                <c:formatCode>General</c:formatCode>
                <c:ptCount val="5"/>
                <c:pt idx="0">
                  <c:v>1600</c:v>
                </c:pt>
                <c:pt idx="1">
                  <c:v>4250</c:v>
                </c:pt>
                <c:pt idx="2">
                  <c:v>6400</c:v>
                </c:pt>
                <c:pt idx="3">
                  <c:v>9900</c:v>
                </c:pt>
                <c:pt idx="4">
                  <c:v>13600</c:v>
                </c:pt>
              </c:numCache>
            </c:numRef>
          </c:xVal>
          <c:yVal>
            <c:numRef>
              <c:f>Costs!$C$4:$C$8</c:f>
              <c:numCache>
                <c:formatCode>General</c:formatCode>
                <c:ptCount val="5"/>
                <c:pt idx="0">
                  <c:v>33480</c:v>
                </c:pt>
                <c:pt idx="1">
                  <c:v>70000</c:v>
                </c:pt>
                <c:pt idx="2">
                  <c:v>90000</c:v>
                </c:pt>
                <c:pt idx="3">
                  <c:v>105000</c:v>
                </c:pt>
                <c:pt idx="4">
                  <c:v>115000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D-4221-9ACF-1EB75D10E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99376"/>
        <c:axId val="502397080"/>
      </c:scatterChart>
      <c:valAx>
        <c:axId val="5023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397080"/>
        <c:crosses val="autoZero"/>
        <c:crossBetween val="midCat"/>
      </c:valAx>
      <c:valAx>
        <c:axId val="50239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3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power vs. gross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'Plugin hybrid trucks'!$I$1</c:f>
              <c:strCache>
                <c:ptCount val="1"/>
                <c:pt idx="0">
                  <c:v>Total power [kW]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'Plugin hybrid trucks'!$E$2:$E$20</c:f>
              <c:numCache>
                <c:formatCode>General</c:formatCode>
                <c:ptCount val="19"/>
                <c:pt idx="0">
                  <c:v>29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'Plugin hybrid trucks'!$I$2:$I$20</c:f>
              <c:numCache>
                <c:formatCode>General</c:formatCode>
                <c:ptCount val="19"/>
                <c:pt idx="0">
                  <c:v>410</c:v>
                </c:pt>
                <c:pt idx="1">
                  <c:v>180</c:v>
                </c:pt>
                <c:pt idx="2">
                  <c:v>280</c:v>
                </c:pt>
                <c:pt idx="3">
                  <c:v>210</c:v>
                </c:pt>
                <c:pt idx="4">
                  <c:v>335</c:v>
                </c:pt>
                <c:pt idx="5">
                  <c:v>335</c:v>
                </c:pt>
                <c:pt idx="6">
                  <c:v>385</c:v>
                </c:pt>
                <c:pt idx="7">
                  <c:v>300</c:v>
                </c:pt>
                <c:pt idx="8">
                  <c:v>480</c:v>
                </c:pt>
                <c:pt idx="9">
                  <c:v>400</c:v>
                </c:pt>
                <c:pt idx="1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B-4C7E-9C91-BA621020D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Engine power 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Payload vs. gross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'Plugin hybrid trucks'!$K$1</c:f>
              <c:strCache>
                <c:ptCount val="1"/>
                <c:pt idx="0">
                  <c:v>Battery capacity [kWh]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'Plugin hybrid trucks'!$E$2:$E$20</c:f>
              <c:numCache>
                <c:formatCode>General</c:formatCode>
                <c:ptCount val="19"/>
                <c:pt idx="0">
                  <c:v>29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'Plugin hybrid trucks'!$K$2:$K$20</c:f>
              <c:numCache>
                <c:formatCode>General</c:formatCode>
                <c:ptCount val="19"/>
                <c:pt idx="0">
                  <c:v>90</c:v>
                </c:pt>
                <c:pt idx="7">
                  <c:v>5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D-49AA-B3CE-378A3426A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Payload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capacity vs. gross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'Plugin hybrid trucks'!$K$1</c:f>
              <c:strCache>
                <c:ptCount val="1"/>
                <c:pt idx="0">
                  <c:v>Battery capacity [kWh]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'Plugin hybrid trucks'!$E$2:$E$20</c:f>
              <c:numCache>
                <c:formatCode>General</c:formatCode>
                <c:ptCount val="19"/>
                <c:pt idx="0">
                  <c:v>29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'Plugin hybrid trucks'!$K$2:$K$20</c:f>
              <c:numCache>
                <c:formatCode>General</c:formatCode>
                <c:ptCount val="19"/>
                <c:pt idx="0">
                  <c:v>90</c:v>
                </c:pt>
                <c:pt idx="7">
                  <c:v>5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2-41DC-A59A-B5803EDFF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Battery capacity [kWh]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Combustion power share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('Plugin hybrid trucks'!$E$3,'Plugin hybrid trucks'!$E$5,'Plugin hybrid trucks'!$E$7,'Plugin hybrid trucks'!$E$9,'Plugin hybrid trucks'!$E$11)</c:f>
              <c:numCache>
                <c:formatCode>General</c:formatCode>
                <c:ptCount val="5"/>
                <c:pt idx="0">
                  <c:v>3.5</c:v>
                </c:pt>
                <c:pt idx="1">
                  <c:v>5</c:v>
                </c:pt>
                <c:pt idx="2">
                  <c:v>8</c:v>
                </c:pt>
                <c:pt idx="3">
                  <c:v>26</c:v>
                </c:pt>
                <c:pt idx="4">
                  <c:v>40</c:v>
                </c:pt>
              </c:numCache>
            </c:numRef>
          </c:xVal>
          <c:yVal>
            <c:numRef>
              <c:f>('Plugin hybrid trucks'!$J$3,'Plugin hybrid trucks'!$J$5,'Plugin hybrid trucks'!$J$7,'Plugin hybrid trucks'!$J$9,'Plugin hybrid trucks'!$J$11)</c:f>
              <c:numCache>
                <c:formatCode>0%</c:formatCode>
                <c:ptCount val="5"/>
                <c:pt idx="0">
                  <c:v>0.72222222222222221</c:v>
                </c:pt>
                <c:pt idx="1">
                  <c:v>0.66666666666666663</c:v>
                </c:pt>
                <c:pt idx="2">
                  <c:v>0.68656716417910446</c:v>
                </c:pt>
                <c:pt idx="3">
                  <c:v>0.8</c:v>
                </c:pt>
                <c:pt idx="4">
                  <c:v>0.77500000000000002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C-4629-8159-E17516D2B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Combusiton power share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motors'!$B$2:$G$2</c:f>
              <c:numCache>
                <c:formatCode>General</c:formatCode>
                <c:ptCount val="6"/>
                <c:pt idx="0">
                  <c:v>93</c:v>
                </c:pt>
                <c:pt idx="1">
                  <c:v>70</c:v>
                </c:pt>
                <c:pt idx="2">
                  <c:v>28</c:v>
                </c:pt>
                <c:pt idx="3">
                  <c:v>145</c:v>
                </c:pt>
                <c:pt idx="4">
                  <c:v>50</c:v>
                </c:pt>
                <c:pt idx="5">
                  <c:v>400</c:v>
                </c:pt>
              </c:numCache>
            </c:numRef>
          </c:xVal>
          <c:yVal>
            <c:numRef>
              <c:f>'BEV motors'!$B$3:$G$3</c:f>
              <c:numCache>
                <c:formatCode>General</c:formatCode>
                <c:ptCount val="6"/>
                <c:pt idx="0">
                  <c:v>51</c:v>
                </c:pt>
                <c:pt idx="1">
                  <c:v>51</c:v>
                </c:pt>
                <c:pt idx="2">
                  <c:v>26</c:v>
                </c:pt>
                <c:pt idx="3">
                  <c:v>76</c:v>
                </c:pt>
                <c:pt idx="4">
                  <c:v>36.299999999999997</c:v>
                </c:pt>
                <c:pt idx="5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B-48FF-B0A2-CB247534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13</xdr:row>
      <xdr:rowOff>57150</xdr:rowOff>
    </xdr:from>
    <xdr:to>
      <xdr:col>12</xdr:col>
      <xdr:colOff>482600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8A0C9-570E-4D1F-B76C-96E341C39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13</xdr:row>
      <xdr:rowOff>69850</xdr:rowOff>
    </xdr:from>
    <xdr:to>
      <xdr:col>20</xdr:col>
      <xdr:colOff>330200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64ED7-6092-4836-88DA-CA3FF60CC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7</xdr:row>
      <xdr:rowOff>76200</xdr:rowOff>
    </xdr:from>
    <xdr:to>
      <xdr:col>14</xdr:col>
      <xdr:colOff>502920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130175</xdr:colOff>
      <xdr:row>9</xdr:row>
      <xdr:rowOff>79375</xdr:rowOff>
    </xdr:from>
    <xdr:to>
      <xdr:col>22</xdr:col>
      <xdr:colOff>434975</xdr:colOff>
      <xdr:row>24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DBFEA-B62A-40BE-9BE4-56260E494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8</xdr:row>
      <xdr:rowOff>133350</xdr:rowOff>
    </xdr:from>
    <xdr:to>
      <xdr:col>7</xdr:col>
      <xdr:colOff>449580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23</xdr:row>
      <xdr:rowOff>20637</xdr:rowOff>
    </xdr:from>
    <xdr:to>
      <xdr:col>5</xdr:col>
      <xdr:colOff>1120775</xdr:colOff>
      <xdr:row>38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A76B8-635F-4C21-A2E4-6BC7A008B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12</xdr:col>
      <xdr:colOff>1219200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0CF5F-3D00-4073-8083-195BDF716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23</xdr:row>
      <xdr:rowOff>19050</xdr:rowOff>
    </xdr:from>
    <xdr:to>
      <xdr:col>20</xdr:col>
      <xdr:colOff>323850</xdr:colOff>
      <xdr:row>38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34F376-A476-4610-BDCB-350825D1C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6</xdr:col>
      <xdr:colOff>438150</xdr:colOff>
      <xdr:row>55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3A76B8-635F-4C21-A2E4-6BC7A008B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9</xdr:row>
      <xdr:rowOff>76200</xdr:rowOff>
    </xdr:from>
    <xdr:to>
      <xdr:col>13</xdr:col>
      <xdr:colOff>495300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C19C1-03B6-4BA7-BFA2-BCDC52132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2</xdr:row>
      <xdr:rowOff>79375</xdr:rowOff>
    </xdr:from>
    <xdr:to>
      <xdr:col>11</xdr:col>
      <xdr:colOff>434975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354FE-C245-430C-8E82-2CBB529D8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1775460</xdr:colOff>
      <xdr:row>1</xdr:row>
      <xdr:rowOff>68580</xdr:rowOff>
    </xdr:from>
    <xdr:to>
      <xdr:col>9</xdr:col>
      <xdr:colOff>510540</xdr:colOff>
      <xdr:row>31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502920</xdr:colOff>
      <xdr:row>45</xdr:row>
      <xdr:rowOff>121920</xdr:rowOff>
    </xdr:from>
    <xdr:to>
      <xdr:col>20</xdr:col>
      <xdr:colOff>297180</xdr:colOff>
      <xdr:row>67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454025</xdr:colOff>
      <xdr:row>40</xdr:row>
      <xdr:rowOff>122237</xdr:rowOff>
    </xdr:from>
    <xdr:to>
      <xdr:col>6</xdr:col>
      <xdr:colOff>473075</xdr:colOff>
      <xdr:row>55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7E4CB-2BD3-49C0-A8F4-0A3628A02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1341120</xdr:colOff>
      <xdr:row>13</xdr:row>
      <xdr:rowOff>163830</xdr:rowOff>
    </xdr:from>
    <xdr:to>
      <xdr:col>6</xdr:col>
      <xdr:colOff>502920</xdr:colOff>
      <xdr:row>28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c.europa.eu/clima/sites/clima/files/transport/vehicles/heavy/docs/hdv_lightweighting_en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qtww.com/product/q-lite-lightest-cng-tanks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heicct.org/sites/default/files/BYD%20EV%20SEDEMA.pdf" TargetMode="External"/><Relationship Id="rId13" Type="http://schemas.openxmlformats.org/officeDocument/2006/relationships/hyperlink" Target="https://insideevs.com/news/340380/mercedes-benz-delivers-first-10-eactros-electric-trucks/" TargetMode="External"/><Relationship Id="rId3" Type="http://schemas.openxmlformats.org/officeDocument/2006/relationships/hyperlink" Target="https://www.motor1.com/reviews/398699/volvo-vnr-electric-semi-first-drive-review-lights-on-the-road/" TargetMode="External"/><Relationship Id="rId7" Type="http://schemas.openxmlformats.org/officeDocument/2006/relationships/hyperlink" Target="https://www.trucks.com/2019/09/05/everything-we-know-about-the-tesla-semi-truck/%20and%2010.1021/acsenergylett.7b00432%20for%20payload%20estimate" TargetMode="External"/><Relationship Id="rId12" Type="http://schemas.openxmlformats.org/officeDocument/2006/relationships/hyperlink" Target="https://theicct.org/sites/default/files/BYD%20EV%20SEDEMA.pdf" TargetMode="External"/><Relationship Id="rId2" Type="http://schemas.openxmlformats.org/officeDocument/2006/relationships/hyperlink" Target="https://adsal.dtnaapps.com/AssetLibrary/4317-freightliner_ecascadia_sell_sh-2020-06-02.pdf" TargetMode="External"/><Relationship Id="rId1" Type="http://schemas.openxmlformats.org/officeDocument/2006/relationships/hyperlink" Target="https://adsal.dtnaapps.com/AssetLibrary/4318-freightliner_em2_sell_sheet-2020-06-02.pdf" TargetMode="External"/><Relationship Id="rId6" Type="http://schemas.openxmlformats.org/officeDocument/2006/relationships/hyperlink" Target="https://www.trucks.com/2019/09/05/everything-we-know-about-the-tesla-semi-truck/%20and%2010.1021/acsenergylett.7b00432%20for%20payload%20estimate" TargetMode="External"/><Relationship Id="rId11" Type="http://schemas.openxmlformats.org/officeDocument/2006/relationships/hyperlink" Target="https://theicct.org/sites/default/files/BYD%20EV%20SEDEMA.pdf" TargetMode="External"/><Relationship Id="rId5" Type="http://schemas.openxmlformats.org/officeDocument/2006/relationships/hyperlink" Target="https://workhorse.com/cseries.html" TargetMode="External"/><Relationship Id="rId10" Type="http://schemas.openxmlformats.org/officeDocument/2006/relationships/hyperlink" Target="https://theicct.org/sites/default/files/BYD%20EV%20SEDEMA.pdf" TargetMode="External"/><Relationship Id="rId4" Type="http://schemas.openxmlformats.org/officeDocument/2006/relationships/hyperlink" Target="https://www.motor1.com/reviews/398699/volvo-vnr-electric-semi-first-drive-review-lights-on-the-road/" TargetMode="External"/><Relationship Id="rId9" Type="http://schemas.openxmlformats.org/officeDocument/2006/relationships/hyperlink" Target="https://theicct.org/sites/default/files/BYD%20EV%20SEDEMA.pdf" TargetMode="External"/><Relationship Id="rId1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theicct.org/sites/default/files/publications/ICCT_EU-HDV-tech-2025-30_20180116.pdf" TargetMode="External"/><Relationship Id="rId1" Type="http://schemas.openxmlformats.org/officeDocument/2006/relationships/hyperlink" Target="https://theicct.org/sites/default/files/publications/ICCT_EU-HDV-tech-2025-30_20180116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dpi.com/2032-6653/11/1/12/pdf" TargetMode="External"/><Relationship Id="rId2" Type="http://schemas.openxmlformats.org/officeDocument/2006/relationships/hyperlink" Target="https://www.mdpi.com/2032-6653/11/1/12/pdf" TargetMode="External"/><Relationship Id="rId1" Type="http://schemas.openxmlformats.org/officeDocument/2006/relationships/hyperlink" Target="https://mb.cision.com/Main/209/3193678/1306412.pdf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uelcelltrucks.eu/project/symbio-renault-maxity-h2/" TargetMode="External"/><Relationship Id="rId7" Type="http://schemas.openxmlformats.org/officeDocument/2006/relationships/hyperlink" Target="https://fuelcelltrucks.eu/project/ups-fuel-cell-electric-class-6-delivery-truck/" TargetMode="External"/><Relationship Id="rId2" Type="http://schemas.openxmlformats.org/officeDocument/2006/relationships/hyperlink" Target="https://h2energy.ch/en/worlds-first-fuel-cell-heavy-duty-truck-hyundai-xcient-fuel-cell-heads-to-europe-for-commercial-use/" TargetMode="External"/><Relationship Id="rId1" Type="http://schemas.openxmlformats.org/officeDocument/2006/relationships/hyperlink" Target="https://h2energy.ch/wp-content/uploads/2017/06/Brochure-Truck.pdf" TargetMode="External"/><Relationship Id="rId6" Type="http://schemas.openxmlformats.org/officeDocument/2006/relationships/hyperlink" Target="https://www.hydrogencarsnow.com/index.php/kenworth-t680-fuel-cell-heavy-truck/" TargetMode="External"/><Relationship Id="rId5" Type="http://schemas.openxmlformats.org/officeDocument/2006/relationships/hyperlink" Target="https://fuelcelltrucks.eu/project/scania-four-hydrogen-gas-trucks-with-asko-in-norway/" TargetMode="External"/><Relationship Id="rId4" Type="http://schemas.openxmlformats.org/officeDocument/2006/relationships/hyperlink" Target="https://fuelcelltrucks.eu/project/vdl-27-ton-hydrogen-truck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"/>
  <sheetViews>
    <sheetView workbookViewId="0">
      <selection activeCell="D25" sqref="D25"/>
    </sheetView>
  </sheetViews>
  <sheetFormatPr defaultRowHeight="14.4"/>
  <sheetData>
    <row r="2" spans="1:19">
      <c r="A2" t="s">
        <v>10</v>
      </c>
    </row>
    <row r="3" spans="1:19">
      <c r="A3" t="s">
        <v>5</v>
      </c>
      <c r="B3">
        <v>0.74570000000000003</v>
      </c>
    </row>
    <row r="4" spans="1:19">
      <c r="A4" t="s">
        <v>62</v>
      </c>
    </row>
    <row r="5" spans="1:19">
      <c r="A5" t="s">
        <v>6</v>
      </c>
      <c r="B5" t="s">
        <v>7</v>
      </c>
      <c r="C5" t="s">
        <v>7</v>
      </c>
      <c r="D5" t="s">
        <v>7</v>
      </c>
      <c r="E5" t="s">
        <v>8</v>
      </c>
      <c r="F5" t="s">
        <v>9</v>
      </c>
      <c r="G5" t="s">
        <v>9</v>
      </c>
      <c r="H5" t="s">
        <v>9</v>
      </c>
      <c r="I5" t="s">
        <v>7</v>
      </c>
      <c r="J5" t="s">
        <v>7</v>
      </c>
      <c r="K5" t="s">
        <v>7</v>
      </c>
      <c r="L5" t="s">
        <v>61</v>
      </c>
      <c r="M5" t="s">
        <v>61</v>
      </c>
      <c r="N5" t="s">
        <v>61</v>
      </c>
      <c r="O5" t="s">
        <v>61</v>
      </c>
      <c r="P5" t="s">
        <v>61</v>
      </c>
      <c r="Q5" t="s">
        <v>61</v>
      </c>
      <c r="R5" t="s">
        <v>61</v>
      </c>
      <c r="S5" t="s">
        <v>61</v>
      </c>
    </row>
    <row r="6" spans="1:19">
      <c r="A6" t="s">
        <v>0</v>
      </c>
      <c r="B6">
        <v>400</v>
      </c>
      <c r="C6">
        <v>350</v>
      </c>
      <c r="D6">
        <v>300</v>
      </c>
      <c r="E6">
        <v>224</v>
      </c>
      <c r="F6">
        <v>250</v>
      </c>
      <c r="G6">
        <v>350</v>
      </c>
      <c r="H6">
        <v>380</v>
      </c>
      <c r="I6">
        <v>200</v>
      </c>
      <c r="J6">
        <v>210</v>
      </c>
      <c r="K6">
        <v>240</v>
      </c>
      <c r="L6">
        <v>103</v>
      </c>
      <c r="M6">
        <v>118</v>
      </c>
      <c r="N6">
        <v>135</v>
      </c>
      <c r="O6">
        <v>162</v>
      </c>
      <c r="P6">
        <v>228</v>
      </c>
      <c r="Q6">
        <v>134</v>
      </c>
      <c r="R6">
        <v>228</v>
      </c>
      <c r="S6">
        <v>310</v>
      </c>
    </row>
    <row r="7" spans="1:19">
      <c r="A7" t="s">
        <v>1</v>
      </c>
      <c r="B7">
        <v>1343</v>
      </c>
      <c r="C7">
        <v>1343</v>
      </c>
      <c r="D7">
        <v>929</v>
      </c>
      <c r="E7">
        <v>380</v>
      </c>
      <c r="F7">
        <v>521</v>
      </c>
      <c r="G7">
        <v>770</v>
      </c>
      <c r="H7">
        <v>997</v>
      </c>
      <c r="I7">
        <v>522</v>
      </c>
      <c r="J7">
        <v>737</v>
      </c>
      <c r="K7">
        <v>867</v>
      </c>
      <c r="L7">
        <v>390</v>
      </c>
      <c r="M7">
        <v>400</v>
      </c>
      <c r="N7">
        <v>510</v>
      </c>
      <c r="O7">
        <v>529</v>
      </c>
      <c r="P7">
        <v>680</v>
      </c>
      <c r="Q7">
        <v>390</v>
      </c>
      <c r="R7">
        <v>900</v>
      </c>
      <c r="S7">
        <v>930</v>
      </c>
    </row>
    <row r="9" spans="1:19">
      <c r="A9" t="s">
        <v>63</v>
      </c>
    </row>
    <row r="10" spans="1:19">
      <c r="A10" t="s">
        <v>6</v>
      </c>
      <c r="B10" t="s">
        <v>61</v>
      </c>
      <c r="C10" t="s">
        <v>61</v>
      </c>
      <c r="D10" t="s">
        <v>61</v>
      </c>
      <c r="E10" t="s">
        <v>61</v>
      </c>
    </row>
    <row r="11" spans="1:19">
      <c r="A11" t="s">
        <v>0</v>
      </c>
      <c r="B11">
        <v>147</v>
      </c>
      <c r="C11">
        <v>180</v>
      </c>
      <c r="D11">
        <v>294</v>
      </c>
      <c r="E11">
        <v>343</v>
      </c>
    </row>
    <row r="12" spans="1:19">
      <c r="A12" t="s">
        <v>1</v>
      </c>
      <c r="B12">
        <v>520</v>
      </c>
      <c r="C12">
        <v>800</v>
      </c>
      <c r="D12">
        <v>870</v>
      </c>
      <c r="E12">
        <v>1240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C1" workbookViewId="0">
      <selection activeCell="G25" sqref="G25"/>
    </sheetView>
  </sheetViews>
  <sheetFormatPr defaultRowHeight="14.4"/>
  <cols>
    <col min="4" max="4" width="26.5546875" bestFit="1" customWidth="1"/>
    <col min="5" max="5" width="18.6640625" bestFit="1" customWidth="1"/>
    <col min="6" max="10" width="18.6640625" customWidth="1"/>
    <col min="11" max="11" width="18.6640625" style="164" customWidth="1"/>
    <col min="12" max="13" width="18.21875" bestFit="1" customWidth="1"/>
  </cols>
  <sheetData>
    <row r="1" spans="1:13">
      <c r="A1" s="21" t="s">
        <v>47</v>
      </c>
    </row>
    <row r="2" spans="1:13">
      <c r="A2" t="s">
        <v>48</v>
      </c>
      <c r="B2" t="s">
        <v>49</v>
      </c>
    </row>
    <row r="4" spans="1:13">
      <c r="F4" t="s">
        <v>90</v>
      </c>
      <c r="G4" t="s">
        <v>89</v>
      </c>
      <c r="H4" s="22" t="s">
        <v>88</v>
      </c>
      <c r="I4" t="s">
        <v>87</v>
      </c>
      <c r="J4" t="s">
        <v>86</v>
      </c>
      <c r="K4" s="164" t="s">
        <v>304</v>
      </c>
      <c r="L4" s="22" t="s">
        <v>84</v>
      </c>
      <c r="M4" t="s">
        <v>85</v>
      </c>
    </row>
    <row r="5" spans="1:13" ht="41.4">
      <c r="E5" t="s">
        <v>96</v>
      </c>
      <c r="F5" s="20" t="s">
        <v>92</v>
      </c>
      <c r="G5" s="20" t="s">
        <v>92</v>
      </c>
      <c r="H5" s="20" t="s">
        <v>92</v>
      </c>
      <c r="I5" s="20" t="s">
        <v>92</v>
      </c>
      <c r="J5" s="20" t="s">
        <v>93</v>
      </c>
      <c r="K5" s="20" t="s">
        <v>305</v>
      </c>
      <c r="L5" s="20" t="s">
        <v>94</v>
      </c>
      <c r="M5" s="20" t="s">
        <v>95</v>
      </c>
    </row>
    <row r="6" spans="1:13">
      <c r="D6" s="43" t="s">
        <v>91</v>
      </c>
      <c r="E6" t="s">
        <v>54</v>
      </c>
      <c r="F6">
        <v>3500</v>
      </c>
      <c r="G6">
        <v>7500</v>
      </c>
      <c r="H6" s="22">
        <v>12000</v>
      </c>
      <c r="I6">
        <v>18000</v>
      </c>
      <c r="J6">
        <v>26000</v>
      </c>
      <c r="K6" s="164">
        <v>32000</v>
      </c>
      <c r="L6" s="22">
        <v>40000</v>
      </c>
      <c r="M6">
        <v>60000</v>
      </c>
    </row>
    <row r="7" spans="1:13">
      <c r="D7" t="s">
        <v>32</v>
      </c>
      <c r="E7" t="s">
        <v>37</v>
      </c>
      <c r="F7" s="8">
        <f>H7*$F$6/$H$6</f>
        <v>151.08333333333334</v>
      </c>
      <c r="G7" s="8">
        <f>H7*$G$6/$H$6</f>
        <v>323.75</v>
      </c>
      <c r="H7" s="23">
        <v>518</v>
      </c>
      <c r="I7" s="8">
        <f>H7*$I$6/$H$6</f>
        <v>777</v>
      </c>
      <c r="J7" s="8">
        <f>H7*$J$6/$H$6</f>
        <v>1122.3333333333333</v>
      </c>
      <c r="K7" s="8">
        <f>L7*$K$6/$L$6</f>
        <v>899.2</v>
      </c>
      <c r="L7" s="23">
        <v>1124</v>
      </c>
      <c r="M7" s="8">
        <f>L7*$M$6/$L$6</f>
        <v>1686</v>
      </c>
    </row>
    <row r="8" spans="1:13">
      <c r="E8" t="s">
        <v>38</v>
      </c>
      <c r="F8" s="8">
        <f t="shared" ref="F8:F19" si="0">H8*$F$6/$H$6</f>
        <v>10.791666666666666</v>
      </c>
      <c r="G8" s="8">
        <f t="shared" ref="G8:G19" si="1">H8*$G$6/$H$6</f>
        <v>23.125</v>
      </c>
      <c r="H8" s="23">
        <v>37</v>
      </c>
      <c r="I8" s="8">
        <f t="shared" ref="I8:I18" si="2">H8*$I$6/$H$6</f>
        <v>55.5</v>
      </c>
      <c r="J8" s="8">
        <f t="shared" ref="J8:J17" si="3">H8*$J$6/$H$6</f>
        <v>80.166666666666671</v>
      </c>
      <c r="K8" s="8">
        <f t="shared" ref="K8:K19" si="4">L8*$K$6/$L$6</f>
        <v>112</v>
      </c>
      <c r="L8" s="23">
        <v>140</v>
      </c>
      <c r="M8" s="8">
        <f t="shared" ref="M8:M19" si="5">L8*$M$6/$L$6</f>
        <v>210</v>
      </c>
    </row>
    <row r="9" spans="1:13">
      <c r="E9" t="s">
        <v>39</v>
      </c>
      <c r="F9" s="8">
        <f t="shared" si="0"/>
        <v>13.708333333333334</v>
      </c>
      <c r="G9" s="8">
        <f t="shared" si="1"/>
        <v>29.375</v>
      </c>
      <c r="H9" s="23">
        <v>47</v>
      </c>
      <c r="I9" s="8">
        <f t="shared" si="2"/>
        <v>70.5</v>
      </c>
      <c r="J9" s="8">
        <f t="shared" si="3"/>
        <v>101.83333333333333</v>
      </c>
      <c r="K9" s="8">
        <f t="shared" si="4"/>
        <v>64</v>
      </c>
      <c r="L9" s="23">
        <v>80</v>
      </c>
      <c r="M9" s="8">
        <f t="shared" si="5"/>
        <v>120</v>
      </c>
    </row>
    <row r="10" spans="1:13">
      <c r="E10" t="s">
        <v>40</v>
      </c>
      <c r="F10" s="8">
        <f t="shared" si="0"/>
        <v>43.75</v>
      </c>
      <c r="G10" s="8">
        <f t="shared" si="1"/>
        <v>93.75</v>
      </c>
      <c r="H10" s="23">
        <v>150</v>
      </c>
      <c r="I10" s="8">
        <f t="shared" si="2"/>
        <v>225</v>
      </c>
      <c r="J10" s="8">
        <f t="shared" si="3"/>
        <v>325</v>
      </c>
      <c r="K10" s="8">
        <f t="shared" si="4"/>
        <v>176</v>
      </c>
      <c r="L10" s="23">
        <v>220</v>
      </c>
      <c r="M10" s="8">
        <f t="shared" si="5"/>
        <v>330</v>
      </c>
    </row>
    <row r="11" spans="1:13">
      <c r="E11" t="s">
        <v>41</v>
      </c>
      <c r="F11" s="8">
        <f t="shared" si="0"/>
        <v>82.541666666666671</v>
      </c>
      <c r="G11" s="8">
        <f t="shared" si="1"/>
        <v>176.875</v>
      </c>
      <c r="H11" s="23">
        <v>283</v>
      </c>
      <c r="I11" s="8">
        <f t="shared" si="2"/>
        <v>424.5</v>
      </c>
      <c r="J11" s="8">
        <f t="shared" si="3"/>
        <v>613.16666666666663</v>
      </c>
      <c r="K11" s="8">
        <f t="shared" si="4"/>
        <v>446.4</v>
      </c>
      <c r="L11" s="23">
        <v>558</v>
      </c>
      <c r="M11" s="8">
        <f t="shared" si="5"/>
        <v>837</v>
      </c>
    </row>
    <row r="12" spans="1:13">
      <c r="D12" t="s">
        <v>33</v>
      </c>
      <c r="F12" s="8">
        <f t="shared" si="0"/>
        <v>24.208333333333332</v>
      </c>
      <c r="G12" s="8">
        <f t="shared" si="1"/>
        <v>51.875</v>
      </c>
      <c r="H12" s="23">
        <v>83</v>
      </c>
      <c r="I12" s="8">
        <f t="shared" si="2"/>
        <v>124.5</v>
      </c>
      <c r="J12" s="8">
        <f t="shared" si="3"/>
        <v>179.83333333333334</v>
      </c>
      <c r="K12" s="8">
        <f t="shared" si="4"/>
        <v>212</v>
      </c>
      <c r="L12" s="23">
        <v>265</v>
      </c>
      <c r="M12" s="8">
        <f t="shared" si="5"/>
        <v>397.5</v>
      </c>
    </row>
    <row r="13" spans="1:13">
      <c r="D13" t="s">
        <v>34</v>
      </c>
      <c r="E13" t="s">
        <v>42</v>
      </c>
      <c r="F13" s="8">
        <f t="shared" si="0"/>
        <v>119.58333333333333</v>
      </c>
      <c r="G13" s="8">
        <f t="shared" si="1"/>
        <v>256.25</v>
      </c>
      <c r="H13" s="23">
        <v>410</v>
      </c>
      <c r="I13" s="8">
        <f t="shared" si="2"/>
        <v>615</v>
      </c>
      <c r="J13" s="8">
        <f t="shared" si="3"/>
        <v>888.33333333333337</v>
      </c>
      <c r="K13" s="8">
        <f t="shared" si="4"/>
        <v>2751.2</v>
      </c>
      <c r="L13" s="23">
        <v>3439</v>
      </c>
      <c r="M13" s="8">
        <f t="shared" si="5"/>
        <v>5158.5</v>
      </c>
    </row>
    <row r="14" spans="1:13">
      <c r="E14" t="s">
        <v>43</v>
      </c>
      <c r="F14" s="8">
        <f t="shared" si="0"/>
        <v>310.33333333333331</v>
      </c>
      <c r="G14" s="8">
        <f t="shared" si="1"/>
        <v>665</v>
      </c>
      <c r="H14" s="23">
        <v>1064</v>
      </c>
      <c r="I14" s="8">
        <f t="shared" si="2"/>
        <v>1596</v>
      </c>
      <c r="J14" s="8">
        <v>2000</v>
      </c>
      <c r="K14" s="8">
        <f t="shared" si="4"/>
        <v>2124.8000000000002</v>
      </c>
      <c r="L14" s="23">
        <v>2656</v>
      </c>
      <c r="M14" s="8">
        <f t="shared" si="5"/>
        <v>3984</v>
      </c>
    </row>
    <row r="15" spans="1:13">
      <c r="E15" t="s">
        <v>44</v>
      </c>
      <c r="F15" s="8">
        <f t="shared" si="0"/>
        <v>24.208333333333332</v>
      </c>
      <c r="G15" s="8">
        <f t="shared" si="1"/>
        <v>51.875</v>
      </c>
      <c r="H15" s="23">
        <v>83</v>
      </c>
      <c r="I15" s="8">
        <f t="shared" si="2"/>
        <v>124.5</v>
      </c>
      <c r="J15" s="8">
        <f t="shared" si="3"/>
        <v>179.83333333333334</v>
      </c>
      <c r="K15" s="8">
        <f t="shared" si="4"/>
        <v>627.20000000000005</v>
      </c>
      <c r="L15" s="23">
        <v>784</v>
      </c>
      <c r="M15" s="8">
        <f t="shared" si="5"/>
        <v>1176</v>
      </c>
    </row>
    <row r="16" spans="1:13">
      <c r="E16" t="s">
        <v>45</v>
      </c>
      <c r="F16" s="8">
        <f t="shared" si="0"/>
        <v>193.95833333333334</v>
      </c>
      <c r="G16" s="8">
        <f t="shared" si="1"/>
        <v>415.625</v>
      </c>
      <c r="H16" s="23">
        <v>665</v>
      </c>
      <c r="I16" s="8">
        <f t="shared" si="2"/>
        <v>997.5</v>
      </c>
      <c r="J16" s="8">
        <v>1100</v>
      </c>
      <c r="K16" s="8">
        <f t="shared" si="4"/>
        <v>1137.5999999999999</v>
      </c>
      <c r="L16" s="23">
        <v>1422</v>
      </c>
      <c r="M16" s="8">
        <f t="shared" si="5"/>
        <v>2133</v>
      </c>
    </row>
    <row r="17" spans="4:13">
      <c r="D17" t="s">
        <v>36</v>
      </c>
      <c r="E17" t="s">
        <v>36</v>
      </c>
      <c r="F17" s="8">
        <f t="shared" si="0"/>
        <v>0</v>
      </c>
      <c r="G17" s="8">
        <f t="shared" si="1"/>
        <v>0</v>
      </c>
      <c r="H17" s="23">
        <v>0</v>
      </c>
      <c r="I17" s="8">
        <f t="shared" si="2"/>
        <v>0</v>
      </c>
      <c r="J17" s="8">
        <f t="shared" si="3"/>
        <v>0</v>
      </c>
      <c r="K17" s="8">
        <f t="shared" si="4"/>
        <v>0</v>
      </c>
      <c r="L17" s="23">
        <v>0</v>
      </c>
      <c r="M17" s="8">
        <f t="shared" si="5"/>
        <v>0</v>
      </c>
    </row>
    <row r="18" spans="4:13">
      <c r="E18" t="s">
        <v>46</v>
      </c>
      <c r="F18" s="8">
        <f t="shared" si="0"/>
        <v>175</v>
      </c>
      <c r="G18" s="8">
        <f t="shared" si="1"/>
        <v>375</v>
      </c>
      <c r="H18" s="23">
        <v>600</v>
      </c>
      <c r="I18" s="8">
        <f t="shared" si="2"/>
        <v>900</v>
      </c>
      <c r="J18" s="8">
        <v>1000</v>
      </c>
      <c r="K18" s="8">
        <f t="shared" si="4"/>
        <v>922.4</v>
      </c>
      <c r="L18" s="23">
        <v>1153</v>
      </c>
      <c r="M18" s="8">
        <f t="shared" si="5"/>
        <v>1729.5</v>
      </c>
    </row>
    <row r="19" spans="4:13">
      <c r="D19" t="s">
        <v>35</v>
      </c>
      <c r="F19" s="8">
        <f t="shared" si="0"/>
        <v>659.16666666666663</v>
      </c>
      <c r="G19" s="8">
        <f t="shared" si="1"/>
        <v>1412.5</v>
      </c>
      <c r="H19" s="23">
        <v>2260</v>
      </c>
      <c r="I19" s="8">
        <v>2300</v>
      </c>
      <c r="J19" s="8">
        <v>2500</v>
      </c>
      <c r="K19" s="8">
        <f t="shared" si="4"/>
        <v>2160</v>
      </c>
      <c r="L19" s="23">
        <v>2700</v>
      </c>
      <c r="M19" s="8">
        <f t="shared" si="5"/>
        <v>4050</v>
      </c>
    </row>
    <row r="20" spans="4:13">
      <c r="D20" t="s">
        <v>98</v>
      </c>
      <c r="F20" s="8">
        <f t="shared" ref="F20:M20" si="6">SUM(F7:F19)</f>
        <v>1808.3333333333335</v>
      </c>
      <c r="G20" s="8">
        <f t="shared" si="6"/>
        <v>3875</v>
      </c>
      <c r="H20" s="23">
        <f t="shared" si="6"/>
        <v>6200</v>
      </c>
      <c r="I20" s="8">
        <f t="shared" si="6"/>
        <v>8210</v>
      </c>
      <c r="J20" s="8">
        <f t="shared" si="6"/>
        <v>10090.5</v>
      </c>
      <c r="K20" s="8">
        <f t="shared" ref="K20" si="7">SUM(K7:K19)</f>
        <v>11632.8</v>
      </c>
      <c r="L20" s="23">
        <f t="shared" si="6"/>
        <v>14541</v>
      </c>
      <c r="M20" s="8">
        <f t="shared" si="6"/>
        <v>21811.5</v>
      </c>
    </row>
    <row r="21" spans="4:13">
      <c r="D21" t="s">
        <v>50</v>
      </c>
      <c r="F21" s="8">
        <f t="shared" ref="F21:M21" si="8">F6-F20</f>
        <v>1691.6666666666665</v>
      </c>
      <c r="G21" s="8">
        <f t="shared" si="8"/>
        <v>3625</v>
      </c>
      <c r="H21" s="8">
        <f t="shared" si="8"/>
        <v>5800</v>
      </c>
      <c r="I21" s="8">
        <f t="shared" si="8"/>
        <v>9790</v>
      </c>
      <c r="J21" s="8">
        <f t="shared" si="8"/>
        <v>15909.5</v>
      </c>
      <c r="K21" s="8">
        <f t="shared" ref="K21" si="9">K6-K20</f>
        <v>20367.2</v>
      </c>
      <c r="L21" s="8">
        <f t="shared" si="8"/>
        <v>25459</v>
      </c>
      <c r="M21" s="8">
        <f t="shared" si="8"/>
        <v>38188.5</v>
      </c>
    </row>
    <row r="22" spans="4:13">
      <c r="D22" t="s">
        <v>97</v>
      </c>
      <c r="F22" s="8">
        <f>F20-F29</f>
        <v>495.83333333333348</v>
      </c>
      <c r="G22" s="8">
        <f>G20-G29</f>
        <v>1062.5</v>
      </c>
      <c r="H22" s="8">
        <f>H20-H29</f>
        <v>1700</v>
      </c>
      <c r="I22" s="8">
        <f>I20-I29</f>
        <v>3210</v>
      </c>
      <c r="J22" s="8">
        <f>J20-J29</f>
        <v>4090.5</v>
      </c>
      <c r="K22" s="27">
        <f>K20-7050</f>
        <v>4582.7999999999993</v>
      </c>
      <c r="L22" s="23">
        <f>L20-7050</f>
        <v>7491</v>
      </c>
      <c r="M22" s="27">
        <f>M20-7050</f>
        <v>14761.5</v>
      </c>
    </row>
    <row r="23" spans="4:13">
      <c r="D23" t="s">
        <v>99</v>
      </c>
      <c r="F23" s="26">
        <f t="shared" ref="F23:L23" si="10">F22/F20</f>
        <v>0.27419354838709681</v>
      </c>
      <c r="G23" s="26">
        <f t="shared" si="10"/>
        <v>0.27419354838709675</v>
      </c>
      <c r="H23" s="26">
        <f t="shared" si="10"/>
        <v>0.27419354838709675</v>
      </c>
      <c r="I23" s="26">
        <f t="shared" si="10"/>
        <v>0.39098660170523752</v>
      </c>
      <c r="J23" s="26">
        <f t="shared" si="10"/>
        <v>0.40538129924186117</v>
      </c>
      <c r="K23" s="26">
        <f>K22/K20</f>
        <v>0.39395502372601604</v>
      </c>
      <c r="L23" s="26">
        <f t="shared" si="10"/>
        <v>0.51516401898081288</v>
      </c>
      <c r="M23" s="26">
        <f>M22/M20</f>
        <v>0.67677601265387521</v>
      </c>
    </row>
    <row r="24" spans="4:13">
      <c r="D24" s="28" t="s">
        <v>67</v>
      </c>
      <c r="F24" s="29">
        <f t="shared" ref="F24:H28" si="11">$L24*F$22/$L$22</f>
        <v>171.10254527655414</v>
      </c>
      <c r="G24" s="29">
        <f t="shared" si="11"/>
        <v>366.64831130690163</v>
      </c>
      <c r="H24" s="29">
        <f t="shared" si="11"/>
        <v>586.63729809104257</v>
      </c>
      <c r="I24" s="29">
        <f t="shared" ref="I24:J28" si="12">$L24*I$22/$L$22</f>
        <v>1107.7092511013216</v>
      </c>
      <c r="J24" s="29">
        <f t="shared" si="12"/>
        <v>1411.5528634361233</v>
      </c>
      <c r="K24" s="8">
        <f t="shared" ref="K24:K28" si="13">L24*$K$6/$L$6</f>
        <v>2068</v>
      </c>
      <c r="L24" s="29">
        <f>L13-854</f>
        <v>2585</v>
      </c>
      <c r="M24" s="29">
        <f>L24*$M$22/$L$22</f>
        <v>5093.9096916299559</v>
      </c>
    </row>
    <row r="25" spans="4:13">
      <c r="D25" s="28" t="s">
        <v>68</v>
      </c>
      <c r="F25" s="29">
        <f t="shared" si="11"/>
        <v>69.89720998531574</v>
      </c>
      <c r="G25" s="29">
        <f t="shared" si="11"/>
        <v>149.77973568281939</v>
      </c>
      <c r="H25" s="29">
        <f t="shared" si="11"/>
        <v>239.647577092511</v>
      </c>
      <c r="I25" s="29">
        <f t="shared" si="12"/>
        <v>452.51101321585901</v>
      </c>
      <c r="J25" s="29">
        <f t="shared" si="12"/>
        <v>576.63436123348015</v>
      </c>
      <c r="K25" s="8">
        <f t="shared" si="13"/>
        <v>844.8</v>
      </c>
      <c r="L25" s="29">
        <f>L14-1600</f>
        <v>1056</v>
      </c>
      <c r="M25" s="29">
        <f>L25*$M$22/$L$22</f>
        <v>2080.9162995594716</v>
      </c>
    </row>
    <row r="26" spans="4:13">
      <c r="D26" s="28" t="s">
        <v>69</v>
      </c>
      <c r="F26" s="29">
        <f t="shared" si="11"/>
        <v>50.503381835980967</v>
      </c>
      <c r="G26" s="29">
        <f t="shared" si="11"/>
        <v>108.22153250567348</v>
      </c>
      <c r="H26" s="29">
        <f t="shared" si="11"/>
        <v>173.15445200907757</v>
      </c>
      <c r="I26" s="29">
        <f t="shared" si="12"/>
        <v>326.95634761714058</v>
      </c>
      <c r="J26" s="29">
        <f t="shared" si="12"/>
        <v>416.64016820184219</v>
      </c>
      <c r="K26" s="8">
        <f t="shared" si="13"/>
        <v>610.4</v>
      </c>
      <c r="L26" s="29">
        <f>L16-659</f>
        <v>763</v>
      </c>
      <c r="M26" s="29">
        <f>L26*$M$22/$L$22</f>
        <v>1503.5408490188227</v>
      </c>
    </row>
    <row r="27" spans="4:13">
      <c r="D27" s="28" t="s">
        <v>70</v>
      </c>
      <c r="F27" s="29">
        <f t="shared" si="11"/>
        <v>26.733603832840483</v>
      </c>
      <c r="G27" s="29">
        <f t="shared" si="11"/>
        <v>57.286293927515295</v>
      </c>
      <c r="H27" s="29">
        <f t="shared" si="11"/>
        <v>91.658070284024475</v>
      </c>
      <c r="I27" s="29">
        <f t="shared" si="12"/>
        <v>173.07200330101091</v>
      </c>
      <c r="J27" s="29">
        <f t="shared" si="12"/>
        <v>220.54549205694244</v>
      </c>
      <c r="K27" s="8">
        <f t="shared" si="13"/>
        <v>323.11087270476582</v>
      </c>
      <c r="L27" s="29">
        <f>L15*L23</f>
        <v>403.88859088095728</v>
      </c>
      <c r="M27" s="29">
        <f>L27*$M$22/$L$22</f>
        <v>795.88859088095717</v>
      </c>
    </row>
    <row r="28" spans="4:13">
      <c r="D28" s="28" t="s">
        <v>71</v>
      </c>
      <c r="F28" s="29">
        <f t="shared" si="11"/>
        <v>178.71445734881866</v>
      </c>
      <c r="G28" s="29">
        <f t="shared" si="11"/>
        <v>382.95955146175413</v>
      </c>
      <c r="H28" s="29">
        <f t="shared" si="11"/>
        <v>612.73528233880654</v>
      </c>
      <c r="I28" s="29">
        <f t="shared" si="12"/>
        <v>1156.988386063276</v>
      </c>
      <c r="J28" s="29">
        <f t="shared" si="12"/>
        <v>1474.3492190628754</v>
      </c>
      <c r="K28" s="8">
        <f t="shared" si="13"/>
        <v>2160</v>
      </c>
      <c r="L28" s="29">
        <f>L19</f>
        <v>2700</v>
      </c>
      <c r="M28" s="29">
        <f>L28*$M$22/$L$22</f>
        <v>5320.5246295554662</v>
      </c>
    </row>
    <row r="29" spans="4:13">
      <c r="D29" t="s">
        <v>66</v>
      </c>
      <c r="F29" s="8">
        <f>H29*$F$6/$H$6</f>
        <v>1312.5</v>
      </c>
      <c r="G29" s="8">
        <f>H29*$G$6/$H$6</f>
        <v>2812.5</v>
      </c>
      <c r="H29" s="22">
        <v>4500</v>
      </c>
      <c r="I29" s="8">
        <v>5000</v>
      </c>
      <c r="J29" s="8">
        <v>6000</v>
      </c>
      <c r="K29" s="27">
        <f>K20-K22</f>
        <v>7050</v>
      </c>
      <c r="L29" s="23">
        <f>L20-L22</f>
        <v>7050</v>
      </c>
      <c r="M29" s="27">
        <f>M20-M22</f>
        <v>7050</v>
      </c>
    </row>
    <row r="31" spans="4:13">
      <c r="D31" t="s">
        <v>51</v>
      </c>
      <c r="F31" s="8">
        <f>SUM(F12:F19)</f>
        <v>1506.4583333333333</v>
      </c>
      <c r="G31" s="8">
        <f t="shared" ref="G31:M31" si="14">SUM(G12:G19)</f>
        <v>3228.125</v>
      </c>
      <c r="H31" s="8">
        <f t="shared" si="14"/>
        <v>5165</v>
      </c>
      <c r="I31" s="8">
        <f t="shared" si="14"/>
        <v>6657.5</v>
      </c>
      <c r="J31" s="8">
        <f t="shared" si="14"/>
        <v>7848</v>
      </c>
      <c r="K31" s="8">
        <f t="shared" si="14"/>
        <v>9935.1999999999989</v>
      </c>
      <c r="L31" s="8">
        <f t="shared" si="14"/>
        <v>12419</v>
      </c>
      <c r="M31" s="8">
        <f t="shared" si="14"/>
        <v>18628.5</v>
      </c>
    </row>
    <row r="32" spans="4:13">
      <c r="D32" t="s">
        <v>52</v>
      </c>
      <c r="F32" s="8">
        <f>SUM(F11)</f>
        <v>82.541666666666671</v>
      </c>
      <c r="G32" s="8">
        <f t="shared" ref="G32:M32" si="15">SUM(G11)</f>
        <v>176.875</v>
      </c>
      <c r="H32" s="8">
        <f t="shared" si="15"/>
        <v>283</v>
      </c>
      <c r="I32" s="8">
        <f t="shared" si="15"/>
        <v>424.5</v>
      </c>
      <c r="J32" s="8">
        <f t="shared" si="15"/>
        <v>613.16666666666663</v>
      </c>
      <c r="K32" s="8">
        <f t="shared" ref="K32" si="16">SUM(K11)</f>
        <v>446.4</v>
      </c>
      <c r="L32" s="8">
        <f t="shared" si="15"/>
        <v>558</v>
      </c>
      <c r="M32" s="8">
        <f t="shared" si="15"/>
        <v>837</v>
      </c>
    </row>
    <row r="33" spans="4:13">
      <c r="D33" t="s">
        <v>53</v>
      </c>
      <c r="F33" s="8">
        <f>F7</f>
        <v>151.08333333333334</v>
      </c>
      <c r="G33" s="8">
        <f t="shared" ref="G33:M33" si="17">G7</f>
        <v>323.75</v>
      </c>
      <c r="H33" s="8">
        <f t="shared" si="17"/>
        <v>518</v>
      </c>
      <c r="I33" s="8">
        <f t="shared" si="17"/>
        <v>777</v>
      </c>
      <c r="J33" s="8">
        <f t="shared" si="17"/>
        <v>1122.3333333333333</v>
      </c>
      <c r="K33" s="8">
        <f t="shared" ref="K33" si="18">K7</f>
        <v>899.2</v>
      </c>
      <c r="L33" s="8">
        <f t="shared" si="17"/>
        <v>1124</v>
      </c>
      <c r="M33" s="8">
        <f t="shared" si="17"/>
        <v>1686</v>
      </c>
    </row>
    <row r="34" spans="4:13">
      <c r="D34" t="s">
        <v>55</v>
      </c>
      <c r="F34" s="24"/>
      <c r="G34" s="24"/>
      <c r="H34" s="24">
        <v>0.05</v>
      </c>
      <c r="I34" s="24"/>
      <c r="J34" s="24"/>
      <c r="K34" s="24"/>
      <c r="L34" s="24">
        <v>0.02</v>
      </c>
      <c r="M34" s="24"/>
    </row>
    <row r="35" spans="4:13">
      <c r="D35" t="s">
        <v>56</v>
      </c>
      <c r="F35" s="24"/>
      <c r="G35" s="24"/>
      <c r="H35" s="24">
        <v>0.17</v>
      </c>
      <c r="I35" s="24"/>
      <c r="J35" s="24"/>
      <c r="K35" s="24"/>
      <c r="L35" s="24">
        <v>0.16</v>
      </c>
      <c r="M35" s="24"/>
    </row>
    <row r="36" spans="4:13">
      <c r="D36" t="s">
        <v>57</v>
      </c>
      <c r="F36" s="24"/>
      <c r="G36" s="24"/>
      <c r="H36" s="24">
        <v>0.28000000000000003</v>
      </c>
      <c r="I36" s="24"/>
      <c r="J36" s="24"/>
      <c r="K36" s="24"/>
      <c r="L36" s="24">
        <v>0.3</v>
      </c>
      <c r="M36" s="24"/>
    </row>
    <row r="38" spans="4:13">
      <c r="D38" t="s">
        <v>58</v>
      </c>
      <c r="F38" s="25"/>
      <c r="G38" s="25"/>
      <c r="H38" s="25">
        <v>1.9</v>
      </c>
      <c r="I38" s="25"/>
      <c r="J38" s="25"/>
      <c r="K38" s="25"/>
      <c r="L38" s="25">
        <v>1.3</v>
      </c>
      <c r="M38" s="25"/>
    </row>
    <row r="39" spans="4:13">
      <c r="D39" t="s">
        <v>59</v>
      </c>
      <c r="F39" s="25"/>
      <c r="G39" s="25"/>
      <c r="H39" s="25">
        <v>5.2</v>
      </c>
      <c r="I39" s="25"/>
      <c r="J39" s="25"/>
      <c r="K39" s="25"/>
      <c r="L39" s="25">
        <v>6.3</v>
      </c>
      <c r="M39" s="25"/>
    </row>
    <row r="40" spans="4:13">
      <c r="D40" t="s">
        <v>60</v>
      </c>
      <c r="F40" s="25"/>
      <c r="G40" s="25"/>
      <c r="H40" s="25">
        <v>34.5</v>
      </c>
      <c r="I40" s="25"/>
      <c r="J40" s="25"/>
      <c r="K40" s="25"/>
      <c r="L40" s="25">
        <v>39.9</v>
      </c>
      <c r="M40" s="25"/>
    </row>
  </sheetData>
  <hyperlinks>
    <hyperlink ref="A1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19" sqref="K19"/>
    </sheetView>
  </sheetViews>
  <sheetFormatPr defaultRowHeight="14.4"/>
  <cols>
    <col min="1" max="1" width="19.77734375" customWidth="1"/>
    <col min="3" max="3" width="10.6640625" bestFit="1" customWidth="1"/>
    <col min="4" max="4" width="15.77734375" bestFit="1" customWidth="1"/>
    <col min="5" max="5" width="14.88671875" bestFit="1" customWidth="1"/>
  </cols>
  <sheetData>
    <row r="1" spans="1:6">
      <c r="A1" t="s">
        <v>183</v>
      </c>
      <c r="B1" t="s">
        <v>106</v>
      </c>
      <c r="C1" t="s">
        <v>189</v>
      </c>
      <c r="D1" t="s">
        <v>190</v>
      </c>
      <c r="E1" t="s">
        <v>184</v>
      </c>
      <c r="F1" t="s">
        <v>107</v>
      </c>
    </row>
    <row r="2" spans="1:6">
      <c r="A2" t="s">
        <v>185</v>
      </c>
      <c r="B2" t="s">
        <v>187</v>
      </c>
      <c r="C2" s="8">
        <f>195*0.45</f>
        <v>87.75</v>
      </c>
      <c r="D2" s="8">
        <f>C2*50/3.6</f>
        <v>1218.75</v>
      </c>
      <c r="E2" s="8">
        <f>520*0.45</f>
        <v>234</v>
      </c>
      <c r="F2" t="s">
        <v>186</v>
      </c>
    </row>
    <row r="3" spans="1:6">
      <c r="A3" t="s">
        <v>185</v>
      </c>
      <c r="B3" t="s">
        <v>188</v>
      </c>
      <c r="C3" s="8">
        <f>221*0.45</f>
        <v>99.45</v>
      </c>
      <c r="D3" s="8">
        <f t="shared" ref="D3:D13" si="0">C3*50/3.6</f>
        <v>1381.25</v>
      </c>
      <c r="E3" s="8">
        <f>572*0.45</f>
        <v>257.40000000000003</v>
      </c>
      <c r="F3" t="s">
        <v>186</v>
      </c>
    </row>
    <row r="4" spans="1:6">
      <c r="A4" t="s">
        <v>191</v>
      </c>
      <c r="B4" t="s">
        <v>193</v>
      </c>
      <c r="C4" s="8">
        <f>75*2.896</f>
        <v>217.2</v>
      </c>
      <c r="D4" s="8">
        <f t="shared" si="0"/>
        <v>3016.6666666666665</v>
      </c>
      <c r="E4" s="8">
        <f>(2150*0.45)-C4</f>
        <v>750.3</v>
      </c>
      <c r="F4" t="s">
        <v>192</v>
      </c>
    </row>
    <row r="5" spans="1:6">
      <c r="A5" t="s">
        <v>191</v>
      </c>
      <c r="B5" t="s">
        <v>194</v>
      </c>
      <c r="C5" s="8">
        <f>60*2.896</f>
        <v>173.76</v>
      </c>
      <c r="D5" s="8">
        <f t="shared" si="0"/>
        <v>2413.3333333333335</v>
      </c>
      <c r="E5" s="8">
        <f>(1650*0.45)-C5</f>
        <v>568.74</v>
      </c>
      <c r="F5" t="s">
        <v>192</v>
      </c>
    </row>
    <row r="6" spans="1:6">
      <c r="A6" t="s">
        <v>185</v>
      </c>
      <c r="B6" t="s">
        <v>195</v>
      </c>
      <c r="C6">
        <f>101*0.45</f>
        <v>45.45</v>
      </c>
      <c r="D6" s="8">
        <f t="shared" si="0"/>
        <v>631.25</v>
      </c>
      <c r="E6" s="8">
        <f>135*0.45</f>
        <v>60.75</v>
      </c>
      <c r="F6" t="s">
        <v>203</v>
      </c>
    </row>
    <row r="7" spans="1:6">
      <c r="A7" t="s">
        <v>185</v>
      </c>
      <c r="B7" t="s">
        <v>196</v>
      </c>
      <c r="C7">
        <f>128*0.45</f>
        <v>57.6</v>
      </c>
      <c r="D7" s="8">
        <f t="shared" si="0"/>
        <v>800</v>
      </c>
      <c r="E7" s="8">
        <f>163*0.45</f>
        <v>73.350000000000009</v>
      </c>
      <c r="F7" t="s">
        <v>203</v>
      </c>
    </row>
    <row r="8" spans="1:6">
      <c r="A8" t="s">
        <v>185</v>
      </c>
      <c r="B8" t="s">
        <v>197</v>
      </c>
      <c r="C8">
        <f>138*0.45</f>
        <v>62.1</v>
      </c>
      <c r="D8" s="8">
        <f t="shared" si="0"/>
        <v>862.5</v>
      </c>
      <c r="E8" s="8">
        <f>174*0.45</f>
        <v>78.3</v>
      </c>
      <c r="F8" s="21" t="s">
        <v>203</v>
      </c>
    </row>
    <row r="9" spans="1:6">
      <c r="A9" t="s">
        <v>185</v>
      </c>
      <c r="B9" t="s">
        <v>198</v>
      </c>
      <c r="C9">
        <f>85*0.45</f>
        <v>38.25</v>
      </c>
      <c r="D9" s="8">
        <f t="shared" si="0"/>
        <v>531.25</v>
      </c>
      <c r="E9" s="8">
        <f>122*0.45</f>
        <v>54.9</v>
      </c>
      <c r="F9" t="s">
        <v>203</v>
      </c>
    </row>
    <row r="10" spans="1:6">
      <c r="A10" t="s">
        <v>185</v>
      </c>
      <c r="B10" t="s">
        <v>199</v>
      </c>
      <c r="C10">
        <f>144*0.45</f>
        <v>64.8</v>
      </c>
      <c r="D10" s="8">
        <f t="shared" si="0"/>
        <v>900</v>
      </c>
      <c r="E10" s="8">
        <f>167*0.45</f>
        <v>75.150000000000006</v>
      </c>
      <c r="F10" t="s">
        <v>203</v>
      </c>
    </row>
    <row r="11" spans="1:6">
      <c r="A11" t="s">
        <v>185</v>
      </c>
      <c r="B11" t="s">
        <v>200</v>
      </c>
      <c r="C11">
        <f>195*0.45</f>
        <v>87.75</v>
      </c>
      <c r="D11" s="8">
        <f t="shared" si="0"/>
        <v>1218.75</v>
      </c>
      <c r="E11" s="8">
        <f>220*0.45</f>
        <v>99</v>
      </c>
      <c r="F11" t="s">
        <v>203</v>
      </c>
    </row>
    <row r="12" spans="1:6">
      <c r="A12" t="s">
        <v>185</v>
      </c>
      <c r="B12" t="s">
        <v>201</v>
      </c>
      <c r="C12">
        <f>222*0.45</f>
        <v>99.9</v>
      </c>
      <c r="D12" s="8">
        <f t="shared" si="0"/>
        <v>1387.5</v>
      </c>
      <c r="E12" s="8">
        <f>253*0.45</f>
        <v>113.85000000000001</v>
      </c>
      <c r="F12" t="s">
        <v>203</v>
      </c>
    </row>
    <row r="13" spans="1:6">
      <c r="A13" t="s">
        <v>185</v>
      </c>
      <c r="B13" t="s">
        <v>202</v>
      </c>
      <c r="C13">
        <f>290*0.45</f>
        <v>130.5</v>
      </c>
      <c r="D13" s="8">
        <f t="shared" si="0"/>
        <v>1812.5</v>
      </c>
      <c r="E13" s="8">
        <f>363*0.45</f>
        <v>163.35</v>
      </c>
      <c r="F13" t="s">
        <v>203</v>
      </c>
    </row>
    <row r="18" spans="11:11">
      <c r="K18">
        <f>(0.018*POWER(57.6,2))-(0.6011*57.6)+52.235</f>
        <v>77.331320000000005</v>
      </c>
    </row>
    <row r="20" spans="11:11">
      <c r="K20">
        <f>57.6^2</f>
        <v>3317.76</v>
      </c>
    </row>
    <row r="21" spans="11:11">
      <c r="K21">
        <f>0.018*K20</f>
        <v>59.719679999999997</v>
      </c>
    </row>
  </sheetData>
  <hyperlinks>
    <hyperlink ref="F8" r:id="rId1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27" sqref="F27"/>
    </sheetView>
  </sheetViews>
  <sheetFormatPr defaultRowHeight="14.4"/>
  <cols>
    <col min="1" max="1" width="5.77734375" bestFit="1" customWidth="1"/>
    <col min="2" max="2" width="6.21875" bestFit="1" customWidth="1"/>
    <col min="3" max="3" width="12.109375" bestFit="1" customWidth="1"/>
    <col min="4" max="4" width="15.77734375" bestFit="1" customWidth="1"/>
    <col min="5" max="5" width="14.88671875" bestFit="1" customWidth="1"/>
    <col min="6" max="6" width="6.5546875" bestFit="1" customWidth="1"/>
  </cols>
  <sheetData>
    <row r="1" spans="1:6">
      <c r="A1" t="s">
        <v>105</v>
      </c>
      <c r="B1" t="s">
        <v>106</v>
      </c>
      <c r="C1" t="s">
        <v>189</v>
      </c>
      <c r="D1" t="s">
        <v>190</v>
      </c>
      <c r="E1" t="s">
        <v>184</v>
      </c>
      <c r="F1" t="s">
        <v>107</v>
      </c>
    </row>
    <row r="2" spans="1:6">
      <c r="A2" t="s">
        <v>205</v>
      </c>
      <c r="B2" t="s">
        <v>205</v>
      </c>
      <c r="C2">
        <v>5.6</v>
      </c>
      <c r="D2" s="8">
        <f>C2*120/3.6</f>
        <v>186.66666666666666</v>
      </c>
      <c r="E2">
        <v>101</v>
      </c>
      <c r="F2" t="s">
        <v>204</v>
      </c>
    </row>
    <row r="3" spans="1:6">
      <c r="B3" t="s">
        <v>206</v>
      </c>
      <c r="C3">
        <v>1</v>
      </c>
      <c r="D3" s="8">
        <f t="shared" ref="D3:D18" si="0">C3*120/3.6</f>
        <v>33.333333333333336</v>
      </c>
      <c r="E3">
        <v>24</v>
      </c>
      <c r="F3" t="s">
        <v>222</v>
      </c>
    </row>
    <row r="4" spans="1:6">
      <c r="B4" t="s">
        <v>207</v>
      </c>
      <c r="C4">
        <v>0.8</v>
      </c>
      <c r="D4" s="8">
        <f t="shared" si="0"/>
        <v>26.666666666666664</v>
      </c>
      <c r="E4">
        <v>16</v>
      </c>
      <c r="F4" t="s">
        <v>222</v>
      </c>
    </row>
    <row r="5" spans="1:6">
      <c r="B5" t="s">
        <v>208</v>
      </c>
      <c r="C5">
        <v>1.5</v>
      </c>
      <c r="D5" s="8">
        <f t="shared" si="0"/>
        <v>50</v>
      </c>
      <c r="E5">
        <v>35</v>
      </c>
      <c r="F5" t="s">
        <v>222</v>
      </c>
    </row>
    <row r="6" spans="1:6">
      <c r="B6" t="s">
        <v>209</v>
      </c>
      <c r="C6">
        <v>0.9</v>
      </c>
      <c r="D6" s="8">
        <f t="shared" si="0"/>
        <v>30</v>
      </c>
      <c r="E6">
        <v>18</v>
      </c>
      <c r="F6" t="s">
        <v>222</v>
      </c>
    </row>
    <row r="7" spans="1:6">
      <c r="B7" t="s">
        <v>210</v>
      </c>
      <c r="C7">
        <v>2</v>
      </c>
      <c r="D7" s="8">
        <f t="shared" si="0"/>
        <v>66.666666666666671</v>
      </c>
      <c r="E7">
        <v>43</v>
      </c>
      <c r="F7" t="s">
        <v>222</v>
      </c>
    </row>
    <row r="8" spans="1:6">
      <c r="B8" t="s">
        <v>211</v>
      </c>
      <c r="C8">
        <v>2.2000000000000002</v>
      </c>
      <c r="D8" s="8">
        <f t="shared" si="0"/>
        <v>73.333333333333329</v>
      </c>
      <c r="E8">
        <v>41</v>
      </c>
      <c r="F8" t="s">
        <v>222</v>
      </c>
    </row>
    <row r="9" spans="1:6">
      <c r="B9" t="s">
        <v>212</v>
      </c>
      <c r="C9">
        <v>2.9</v>
      </c>
      <c r="D9" s="8">
        <f t="shared" si="0"/>
        <v>96.666666666666657</v>
      </c>
      <c r="E9">
        <v>51</v>
      </c>
      <c r="F9" t="s">
        <v>222</v>
      </c>
    </row>
    <row r="10" spans="1:6">
      <c r="B10" t="s">
        <v>213</v>
      </c>
      <c r="C10">
        <v>4.5999999999999996</v>
      </c>
      <c r="D10" s="8">
        <f t="shared" si="0"/>
        <v>153.33333333333334</v>
      </c>
      <c r="E10">
        <v>73</v>
      </c>
      <c r="F10" t="s">
        <v>222</v>
      </c>
    </row>
    <row r="11" spans="1:6">
      <c r="B11" t="s">
        <v>214</v>
      </c>
      <c r="C11">
        <v>4.5999999999999996</v>
      </c>
      <c r="D11" s="8">
        <f t="shared" si="0"/>
        <v>153.33333333333334</v>
      </c>
      <c r="E11">
        <v>80</v>
      </c>
      <c r="F11" t="s">
        <v>222</v>
      </c>
    </row>
    <row r="12" spans="1:6">
      <c r="B12" t="s">
        <v>215</v>
      </c>
      <c r="C12">
        <v>5</v>
      </c>
      <c r="D12" s="8">
        <f t="shared" si="0"/>
        <v>166.66666666666666</v>
      </c>
      <c r="E12">
        <v>92</v>
      </c>
      <c r="F12" t="s">
        <v>222</v>
      </c>
    </row>
    <row r="13" spans="1:6">
      <c r="B13" t="s">
        <v>216</v>
      </c>
      <c r="C13">
        <v>3.7</v>
      </c>
      <c r="D13" s="8">
        <f t="shared" si="0"/>
        <v>123.33333333333333</v>
      </c>
      <c r="E13">
        <v>49</v>
      </c>
      <c r="F13" t="s">
        <v>222</v>
      </c>
    </row>
    <row r="14" spans="1:6">
      <c r="B14" t="s">
        <v>217</v>
      </c>
      <c r="C14">
        <v>10</v>
      </c>
      <c r="D14" s="8">
        <f t="shared" si="0"/>
        <v>333.33333333333331</v>
      </c>
      <c r="E14">
        <v>141</v>
      </c>
      <c r="F14" t="s">
        <v>222</v>
      </c>
    </row>
    <row r="15" spans="1:6">
      <c r="B15" t="s">
        <v>218</v>
      </c>
      <c r="C15">
        <v>14.4</v>
      </c>
      <c r="D15" s="8">
        <f t="shared" si="0"/>
        <v>480</v>
      </c>
      <c r="E15">
        <v>178</v>
      </c>
      <c r="F15" t="s">
        <v>222</v>
      </c>
    </row>
    <row r="16" spans="1:6">
      <c r="B16" t="s">
        <v>219</v>
      </c>
      <c r="C16">
        <v>13.3</v>
      </c>
      <c r="D16" s="8">
        <f t="shared" si="0"/>
        <v>443.33333333333331</v>
      </c>
      <c r="E16">
        <v>153</v>
      </c>
      <c r="F16" t="s">
        <v>222</v>
      </c>
    </row>
    <row r="17" spans="2:6">
      <c r="B17" t="s">
        <v>220</v>
      </c>
      <c r="C17">
        <v>18.100000000000001</v>
      </c>
      <c r="D17" s="8">
        <f t="shared" si="0"/>
        <v>603.33333333333337</v>
      </c>
      <c r="E17">
        <v>211</v>
      </c>
      <c r="F17" t="s">
        <v>222</v>
      </c>
    </row>
    <row r="18" spans="2:6">
      <c r="B18" t="s">
        <v>221</v>
      </c>
      <c r="C18">
        <v>20.9</v>
      </c>
      <c r="D18" s="8">
        <f t="shared" si="0"/>
        <v>696.66666666666663</v>
      </c>
      <c r="E18">
        <v>239</v>
      </c>
      <c r="F18" t="s">
        <v>222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2" sqref="A2"/>
    </sheetView>
  </sheetViews>
  <sheetFormatPr defaultRowHeight="14.4"/>
  <cols>
    <col min="1" max="1" width="22.77734375" bestFit="1" customWidth="1"/>
  </cols>
  <sheetData>
    <row r="1" spans="1:4">
      <c r="A1" t="s">
        <v>83</v>
      </c>
    </row>
    <row r="5" spans="1:4" ht="15.6">
      <c r="A5" s="30" t="s">
        <v>72</v>
      </c>
      <c r="B5" s="30" t="s">
        <v>73</v>
      </c>
      <c r="C5" s="30" t="s">
        <v>74</v>
      </c>
      <c r="D5" s="30" t="s">
        <v>75</v>
      </c>
    </row>
    <row r="6" spans="1:4">
      <c r="A6" s="31" t="s">
        <v>76</v>
      </c>
      <c r="B6" s="32">
        <v>0.875</v>
      </c>
      <c r="C6" s="33">
        <v>0.16119654977038472</v>
      </c>
      <c r="D6" s="34">
        <v>1200.6405999999999</v>
      </c>
    </row>
    <row r="7" spans="1:4">
      <c r="A7" s="35" t="s">
        <v>43</v>
      </c>
      <c r="B7" s="32">
        <v>1</v>
      </c>
      <c r="C7" s="36">
        <v>0.21481405812248527</v>
      </c>
      <c r="D7" s="37">
        <v>1600</v>
      </c>
    </row>
    <row r="8" spans="1:4">
      <c r="A8" s="35" t="s">
        <v>77</v>
      </c>
      <c r="B8" s="32">
        <v>1</v>
      </c>
      <c r="C8" s="36">
        <v>0.18617397382330492</v>
      </c>
      <c r="D8" s="37">
        <v>1386.68</v>
      </c>
    </row>
    <row r="9" spans="1:4">
      <c r="A9" s="35" t="s">
        <v>78</v>
      </c>
      <c r="B9" s="32">
        <v>1</v>
      </c>
      <c r="C9" s="36">
        <v>8.8449688431933307E-2</v>
      </c>
      <c r="D9" s="37">
        <v>658.8</v>
      </c>
    </row>
    <row r="10" spans="1:4">
      <c r="A10" s="31" t="s">
        <v>79</v>
      </c>
      <c r="B10" s="32">
        <v>1</v>
      </c>
      <c r="C10" s="33">
        <v>7.4064726837246908E-2</v>
      </c>
      <c r="D10" s="34">
        <v>551.65646036082637</v>
      </c>
    </row>
    <row r="11" spans="1:4">
      <c r="A11" s="31" t="s">
        <v>80</v>
      </c>
      <c r="B11" s="32">
        <v>1</v>
      </c>
      <c r="C11" s="33">
        <v>3.3957408700606762E-2</v>
      </c>
      <c r="D11" s="34">
        <v>252.9250385</v>
      </c>
    </row>
    <row r="12" spans="1:4">
      <c r="A12" s="31" t="s">
        <v>81</v>
      </c>
      <c r="B12" s="32">
        <v>1</v>
      </c>
      <c r="C12" s="33">
        <v>1.100922047877737E-2</v>
      </c>
      <c r="D12" s="34">
        <v>82</v>
      </c>
    </row>
    <row r="13" spans="1:4">
      <c r="A13" s="35" t="s">
        <v>42</v>
      </c>
      <c r="B13" s="32">
        <v>1</v>
      </c>
      <c r="C13" s="38">
        <v>0.11465700352287651</v>
      </c>
      <c r="D13" s="37">
        <v>854</v>
      </c>
    </row>
    <row r="14" spans="1:4" ht="15" thickBot="1">
      <c r="A14" s="35" t="s">
        <v>35</v>
      </c>
      <c r="B14" s="32">
        <v>1</v>
      </c>
      <c r="C14" s="38">
        <v>0.11567737031238422</v>
      </c>
      <c r="D14" s="37">
        <v>861.60000010000022</v>
      </c>
    </row>
    <row r="15" spans="1:4" ht="15" thickBot="1">
      <c r="A15" s="39" t="s">
        <v>82</v>
      </c>
      <c r="B15" s="40"/>
      <c r="C15" s="41">
        <f>SUM(C6:C14)</f>
        <v>1</v>
      </c>
      <c r="D15" s="42">
        <f>SUM(D6:D14)</f>
        <v>7448.3020989608267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AE25"/>
  <sheetViews>
    <sheetView workbookViewId="0">
      <selection activeCell="L28" sqref="L28"/>
    </sheetView>
  </sheetViews>
  <sheetFormatPr defaultRowHeight="14.4"/>
  <sheetData>
    <row r="7" spans="5:24">
      <c r="F7" t="s">
        <v>6</v>
      </c>
      <c r="G7" t="s">
        <v>7</v>
      </c>
      <c r="H7" t="s">
        <v>7</v>
      </c>
      <c r="I7" t="s">
        <v>7</v>
      </c>
      <c r="J7" t="s">
        <v>8</v>
      </c>
      <c r="K7" t="s">
        <v>9</v>
      </c>
      <c r="L7" t="s">
        <v>9</v>
      </c>
      <c r="M7" t="s">
        <v>9</v>
      </c>
      <c r="N7" t="s">
        <v>7</v>
      </c>
      <c r="O7" t="s">
        <v>7</v>
      </c>
      <c r="P7" t="s">
        <v>7</v>
      </c>
      <c r="Q7" t="s">
        <v>61</v>
      </c>
      <c r="R7" t="s">
        <v>61</v>
      </c>
      <c r="S7" t="s">
        <v>61</v>
      </c>
      <c r="T7" t="s">
        <v>61</v>
      </c>
      <c r="U7" t="s">
        <v>61</v>
      </c>
      <c r="V7" t="s">
        <v>61</v>
      </c>
      <c r="W7" t="s">
        <v>61</v>
      </c>
      <c r="X7" t="s">
        <v>61</v>
      </c>
    </row>
    <row r="8" spans="5:24">
      <c r="F8" t="s">
        <v>0</v>
      </c>
      <c r="G8">
        <v>400</v>
      </c>
      <c r="H8">
        <v>350</v>
      </c>
      <c r="I8">
        <v>300</v>
      </c>
      <c r="J8">
        <v>224</v>
      </c>
      <c r="K8">
        <v>250</v>
      </c>
      <c r="L8">
        <v>350</v>
      </c>
      <c r="M8">
        <v>380</v>
      </c>
      <c r="N8">
        <v>200</v>
      </c>
      <c r="O8">
        <v>210</v>
      </c>
      <c r="P8">
        <v>240</v>
      </c>
      <c r="Q8">
        <v>103</v>
      </c>
      <c r="R8">
        <v>118</v>
      </c>
      <c r="S8">
        <v>135</v>
      </c>
      <c r="T8">
        <v>162</v>
      </c>
      <c r="U8">
        <v>228</v>
      </c>
      <c r="V8">
        <v>134</v>
      </c>
      <c r="W8">
        <v>228</v>
      </c>
      <c r="X8">
        <v>310</v>
      </c>
    </row>
    <row r="9" spans="5:24">
      <c r="E9" t="s">
        <v>100</v>
      </c>
      <c r="F9" t="s">
        <v>1</v>
      </c>
      <c r="G9">
        <v>1343</v>
      </c>
      <c r="H9">
        <v>1343</v>
      </c>
      <c r="I9">
        <v>929</v>
      </c>
      <c r="J9">
        <v>380</v>
      </c>
      <c r="K9">
        <v>521</v>
      </c>
      <c r="L9">
        <v>770</v>
      </c>
      <c r="M9">
        <v>997</v>
      </c>
      <c r="N9">
        <v>522</v>
      </c>
      <c r="O9">
        <v>737</v>
      </c>
      <c r="P9">
        <v>867</v>
      </c>
      <c r="Q9">
        <v>390</v>
      </c>
      <c r="R9">
        <v>400</v>
      </c>
      <c r="S9">
        <v>510</v>
      </c>
      <c r="T9">
        <v>529</v>
      </c>
      <c r="U9">
        <v>680</v>
      </c>
      <c r="V9">
        <v>390</v>
      </c>
      <c r="W9">
        <v>900</v>
      </c>
      <c r="X9">
        <v>930</v>
      </c>
    </row>
    <row r="10" spans="5:24">
      <c r="F10" t="s">
        <v>0</v>
      </c>
      <c r="G10">
        <v>147</v>
      </c>
      <c r="H10">
        <v>180</v>
      </c>
      <c r="I10">
        <v>294</v>
      </c>
      <c r="J10">
        <v>343</v>
      </c>
    </row>
    <row r="11" spans="5:24">
      <c r="E11" t="s">
        <v>101</v>
      </c>
      <c r="F11" t="s">
        <v>1</v>
      </c>
      <c r="G11">
        <v>520</v>
      </c>
      <c r="H11">
        <v>800</v>
      </c>
      <c r="I11">
        <v>870</v>
      </c>
      <c r="J11">
        <v>1240</v>
      </c>
    </row>
    <row r="12" spans="5:24">
      <c r="F12" t="s">
        <v>2</v>
      </c>
    </row>
    <row r="13" spans="5:24">
      <c r="F13" t="s">
        <v>1</v>
      </c>
    </row>
    <row r="22" spans="4:31">
      <c r="D22" t="s">
        <v>0</v>
      </c>
      <c r="E22">
        <v>147</v>
      </c>
      <c r="F22">
        <v>180</v>
      </c>
      <c r="G22">
        <v>294</v>
      </c>
      <c r="H22">
        <v>343</v>
      </c>
      <c r="I22">
        <v>400</v>
      </c>
      <c r="J22">
        <v>350</v>
      </c>
      <c r="K22">
        <v>300</v>
      </c>
      <c r="L22">
        <v>224</v>
      </c>
      <c r="M22">
        <v>250</v>
      </c>
      <c r="N22">
        <v>350</v>
      </c>
      <c r="O22">
        <v>380</v>
      </c>
      <c r="P22">
        <v>200</v>
      </c>
      <c r="Q22">
        <v>210</v>
      </c>
      <c r="R22">
        <v>240</v>
      </c>
      <c r="S22">
        <v>103</v>
      </c>
      <c r="T22">
        <v>118</v>
      </c>
      <c r="U22">
        <v>135</v>
      </c>
      <c r="V22">
        <v>162</v>
      </c>
      <c r="W22">
        <v>228</v>
      </c>
      <c r="X22">
        <v>134</v>
      </c>
      <c r="Y22">
        <v>228</v>
      </c>
      <c r="Z22">
        <v>310</v>
      </c>
      <c r="AA22">
        <v>93</v>
      </c>
      <c r="AB22">
        <v>70</v>
      </c>
      <c r="AC22">
        <v>28</v>
      </c>
      <c r="AD22">
        <v>145</v>
      </c>
      <c r="AE22">
        <v>50</v>
      </c>
    </row>
    <row r="23" spans="4:31">
      <c r="D23" t="s">
        <v>102</v>
      </c>
      <c r="I23">
        <v>1343</v>
      </c>
      <c r="J23">
        <v>1343</v>
      </c>
      <c r="K23">
        <v>929</v>
      </c>
      <c r="L23">
        <v>380</v>
      </c>
      <c r="M23">
        <v>521</v>
      </c>
      <c r="N23">
        <v>770</v>
      </c>
      <c r="O23">
        <v>997</v>
      </c>
      <c r="P23">
        <v>522</v>
      </c>
      <c r="Q23">
        <v>737</v>
      </c>
      <c r="R23">
        <v>867</v>
      </c>
      <c r="S23">
        <v>390</v>
      </c>
      <c r="T23">
        <v>400</v>
      </c>
      <c r="U23">
        <v>510</v>
      </c>
      <c r="V23">
        <v>529</v>
      </c>
      <c r="W23">
        <v>680</v>
      </c>
      <c r="X23">
        <v>390</v>
      </c>
      <c r="Y23">
        <v>900</v>
      </c>
      <c r="Z23">
        <v>930</v>
      </c>
    </row>
    <row r="24" spans="4:31">
      <c r="D24" t="s">
        <v>103</v>
      </c>
      <c r="E24">
        <v>520</v>
      </c>
      <c r="F24">
        <v>800</v>
      </c>
      <c r="G24">
        <v>870</v>
      </c>
      <c r="H24">
        <v>1240</v>
      </c>
    </row>
    <row r="25" spans="4:31">
      <c r="D25" t="s">
        <v>104</v>
      </c>
      <c r="AA25">
        <v>51</v>
      </c>
      <c r="AB25">
        <v>51</v>
      </c>
      <c r="AC25">
        <v>26</v>
      </c>
      <c r="AD25">
        <v>76</v>
      </c>
      <c r="AE25">
        <v>36.299999999999997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sqref="A1:I21"/>
    </sheetView>
  </sheetViews>
  <sheetFormatPr defaultRowHeight="14.4"/>
  <cols>
    <col min="1" max="1" width="10.88671875" bestFit="1" customWidth="1"/>
    <col min="2" max="2" width="11.21875" bestFit="1" customWidth="1"/>
    <col min="3" max="3" width="26" bestFit="1" customWidth="1"/>
    <col min="4" max="4" width="9.77734375" bestFit="1" customWidth="1"/>
    <col min="5" max="5" width="17" bestFit="1" customWidth="1"/>
    <col min="6" max="6" width="17.21875" bestFit="1" customWidth="1"/>
    <col min="7" max="7" width="20.21875" bestFit="1" customWidth="1"/>
    <col min="8" max="8" width="10.44140625" bestFit="1" customWidth="1"/>
    <col min="9" max="9" width="19.88671875" bestFit="1" customWidth="1"/>
  </cols>
  <sheetData>
    <row r="1" spans="1:10" ht="15" thickBot="1">
      <c r="A1" s="45" t="s">
        <v>105</v>
      </c>
      <c r="B1" s="45" t="s">
        <v>106</v>
      </c>
      <c r="C1" s="45" t="s">
        <v>137</v>
      </c>
      <c r="D1" s="45" t="s">
        <v>128</v>
      </c>
      <c r="E1" s="45" t="s">
        <v>129</v>
      </c>
      <c r="F1" s="45" t="s">
        <v>130</v>
      </c>
      <c r="G1" s="45" t="s">
        <v>131</v>
      </c>
      <c r="H1" s="45" t="s">
        <v>132</v>
      </c>
      <c r="I1" s="45" t="s">
        <v>133</v>
      </c>
      <c r="J1" s="45" t="s">
        <v>107</v>
      </c>
    </row>
    <row r="2" spans="1:10" ht="15" thickTop="1">
      <c r="A2" t="s">
        <v>108</v>
      </c>
      <c r="B2" t="s">
        <v>109</v>
      </c>
      <c r="C2" t="str">
        <f>A2&amp;" - "&amp;B2</f>
        <v>Freightliner - eCascadia</v>
      </c>
      <c r="D2">
        <v>36.200000000000003</v>
      </c>
      <c r="F2">
        <v>391</v>
      </c>
      <c r="G2">
        <v>475</v>
      </c>
      <c r="H2">
        <v>400</v>
      </c>
      <c r="I2" s="44">
        <f t="shared" ref="I2:I12" si="0">G2/H2</f>
        <v>1.1875</v>
      </c>
      <c r="J2" s="21" t="s">
        <v>110</v>
      </c>
    </row>
    <row r="3" spans="1:10">
      <c r="A3" t="s">
        <v>108</v>
      </c>
      <c r="B3" t="s">
        <v>111</v>
      </c>
      <c r="C3" t="str">
        <f t="shared" ref="C3:C15" si="1">A3&amp;" - "&amp;B3</f>
        <v>Freightliner - eM2</v>
      </c>
      <c r="D3">
        <v>11.8</v>
      </c>
      <c r="F3">
        <v>224</v>
      </c>
      <c r="G3">
        <v>315</v>
      </c>
      <c r="H3">
        <v>370</v>
      </c>
      <c r="I3" s="44">
        <f t="shared" si="0"/>
        <v>0.85135135135135132</v>
      </c>
      <c r="J3" s="21" t="s">
        <v>112</v>
      </c>
    </row>
    <row r="4" spans="1:10">
      <c r="A4" t="s">
        <v>113</v>
      </c>
      <c r="B4" t="s">
        <v>114</v>
      </c>
      <c r="C4" t="str">
        <f t="shared" si="1"/>
        <v>Volvo - VNR electric</v>
      </c>
      <c r="D4">
        <v>29.9</v>
      </c>
      <c r="E4">
        <v>19.2</v>
      </c>
      <c r="F4">
        <v>400</v>
      </c>
      <c r="G4">
        <v>300</v>
      </c>
      <c r="H4">
        <v>120</v>
      </c>
      <c r="I4" s="44"/>
      <c r="J4" s="21" t="s">
        <v>115</v>
      </c>
    </row>
    <row r="5" spans="1:10">
      <c r="A5" t="s">
        <v>113</v>
      </c>
      <c r="B5" t="s">
        <v>114</v>
      </c>
      <c r="C5" t="str">
        <f t="shared" si="1"/>
        <v>Volvo - VNR electric</v>
      </c>
      <c r="D5">
        <v>29.9</v>
      </c>
      <c r="E5">
        <v>19.2</v>
      </c>
      <c r="F5">
        <v>400</v>
      </c>
      <c r="G5">
        <v>300</v>
      </c>
      <c r="H5">
        <v>281</v>
      </c>
      <c r="I5" s="44">
        <f t="shared" si="0"/>
        <v>1.0676156583629892</v>
      </c>
      <c r="J5" s="21" t="s">
        <v>115</v>
      </c>
    </row>
    <row r="6" spans="1:10">
      <c r="A6" t="s">
        <v>116</v>
      </c>
      <c r="B6" t="s">
        <v>117</v>
      </c>
      <c r="C6" t="str">
        <f t="shared" si="1"/>
        <v>Workhorse - C-650</v>
      </c>
      <c r="D6">
        <v>5.7</v>
      </c>
      <c r="G6">
        <v>70</v>
      </c>
      <c r="H6">
        <v>160</v>
      </c>
      <c r="I6" s="44">
        <f t="shared" si="0"/>
        <v>0.4375</v>
      </c>
      <c r="J6" s="21" t="s">
        <v>118</v>
      </c>
    </row>
    <row r="7" spans="1:10">
      <c r="A7" t="s">
        <v>119</v>
      </c>
      <c r="B7" t="s">
        <v>120</v>
      </c>
      <c r="C7" t="str">
        <f t="shared" si="1"/>
        <v>Tesla - Semi</v>
      </c>
      <c r="D7">
        <v>36.200000000000003</v>
      </c>
      <c r="E7">
        <v>22</v>
      </c>
      <c r="F7">
        <v>745</v>
      </c>
      <c r="G7">
        <v>500</v>
      </c>
      <c r="H7">
        <v>480</v>
      </c>
      <c r="I7" s="44">
        <f t="shared" si="0"/>
        <v>1.0416666666666667</v>
      </c>
      <c r="J7" s="21" t="s">
        <v>138</v>
      </c>
    </row>
    <row r="8" spans="1:10">
      <c r="A8" t="s">
        <v>119</v>
      </c>
      <c r="B8" t="s">
        <v>120</v>
      </c>
      <c r="C8" t="str">
        <f t="shared" si="1"/>
        <v>Tesla - Semi</v>
      </c>
      <c r="D8">
        <v>36.200000000000003</v>
      </c>
      <c r="E8">
        <v>12</v>
      </c>
      <c r="F8">
        <v>745</v>
      </c>
      <c r="G8">
        <v>1100</v>
      </c>
      <c r="H8">
        <v>800</v>
      </c>
      <c r="I8" s="44">
        <f t="shared" si="0"/>
        <v>1.375</v>
      </c>
      <c r="J8" s="21" t="s">
        <v>138</v>
      </c>
    </row>
    <row r="9" spans="1:10">
      <c r="A9" t="s">
        <v>121</v>
      </c>
      <c r="B9" t="s">
        <v>122</v>
      </c>
      <c r="C9" t="str">
        <f t="shared" si="1"/>
        <v>BYD - T3</v>
      </c>
      <c r="D9">
        <v>2.8</v>
      </c>
      <c r="E9">
        <v>0.8</v>
      </c>
      <c r="G9">
        <v>43</v>
      </c>
      <c r="H9">
        <v>250</v>
      </c>
      <c r="I9" s="44">
        <f t="shared" si="0"/>
        <v>0.17199999999999999</v>
      </c>
      <c r="J9" s="21" t="s">
        <v>125</v>
      </c>
    </row>
    <row r="10" spans="1:10">
      <c r="A10" t="s">
        <v>121</v>
      </c>
      <c r="B10" t="s">
        <v>123</v>
      </c>
      <c r="C10" t="str">
        <f t="shared" si="1"/>
        <v>BYD - T5</v>
      </c>
      <c r="D10">
        <v>7.3</v>
      </c>
      <c r="E10">
        <v>2.6</v>
      </c>
      <c r="G10">
        <v>150</v>
      </c>
      <c r="H10">
        <v>250</v>
      </c>
      <c r="I10" s="44">
        <f t="shared" si="0"/>
        <v>0.6</v>
      </c>
      <c r="J10" s="21" t="s">
        <v>125</v>
      </c>
    </row>
    <row r="11" spans="1:10">
      <c r="A11" t="s">
        <v>121</v>
      </c>
      <c r="B11" t="s">
        <v>124</v>
      </c>
      <c r="C11" t="str">
        <f t="shared" si="1"/>
        <v>BYD - T7</v>
      </c>
      <c r="D11">
        <v>10.8</v>
      </c>
      <c r="E11">
        <v>5</v>
      </c>
      <c r="G11">
        <v>175</v>
      </c>
      <c r="H11">
        <v>200</v>
      </c>
      <c r="I11" s="44">
        <f t="shared" si="0"/>
        <v>0.875</v>
      </c>
      <c r="J11" s="21" t="s">
        <v>125</v>
      </c>
    </row>
    <row r="12" spans="1:10">
      <c r="A12" t="s">
        <v>121</v>
      </c>
      <c r="B12" t="s">
        <v>126</v>
      </c>
      <c r="C12" t="str">
        <f t="shared" si="1"/>
        <v>BYD - J9D</v>
      </c>
      <c r="D12">
        <v>36.200000000000003</v>
      </c>
      <c r="G12">
        <v>175</v>
      </c>
      <c r="H12">
        <v>100</v>
      </c>
      <c r="I12" s="44">
        <f t="shared" si="0"/>
        <v>1.75</v>
      </c>
      <c r="J12" s="21" t="s">
        <v>125</v>
      </c>
    </row>
    <row r="13" spans="1:10">
      <c r="A13" t="s">
        <v>121</v>
      </c>
      <c r="B13" t="s">
        <v>127</v>
      </c>
      <c r="C13" t="str">
        <f t="shared" si="1"/>
        <v>BYD - T9</v>
      </c>
      <c r="D13">
        <v>36.200000000000003</v>
      </c>
      <c r="G13">
        <v>350</v>
      </c>
      <c r="H13">
        <v>200</v>
      </c>
      <c r="I13" s="44">
        <v>1.6</v>
      </c>
      <c r="J13" s="21" t="s">
        <v>125</v>
      </c>
    </row>
    <row r="14" spans="1:10">
      <c r="A14" t="s">
        <v>134</v>
      </c>
      <c r="B14" t="s">
        <v>135</v>
      </c>
      <c r="C14" t="str">
        <f t="shared" si="1"/>
        <v>Mercedes - eActros</v>
      </c>
      <c r="D14">
        <v>25</v>
      </c>
      <c r="E14">
        <v>5</v>
      </c>
      <c r="F14">
        <v>250</v>
      </c>
      <c r="G14">
        <v>240</v>
      </c>
      <c r="H14">
        <v>200</v>
      </c>
      <c r="I14" s="44">
        <f t="shared" ref="I14:I21" si="2">G14/H14</f>
        <v>1.2</v>
      </c>
      <c r="J14" s="21" t="s">
        <v>136</v>
      </c>
    </row>
    <row r="15" spans="1:10">
      <c r="A15" t="s">
        <v>306</v>
      </c>
      <c r="B15" t="s">
        <v>308</v>
      </c>
      <c r="C15" t="str">
        <f t="shared" si="1"/>
        <v>Futuricum - Logistics 18E - 340</v>
      </c>
      <c r="D15">
        <v>19</v>
      </c>
      <c r="E15">
        <v>11</v>
      </c>
      <c r="F15">
        <v>500</v>
      </c>
      <c r="G15">
        <v>289</v>
      </c>
      <c r="H15">
        <v>200</v>
      </c>
      <c r="I15" s="46">
        <f t="shared" si="2"/>
        <v>1.4450000000000001</v>
      </c>
      <c r="J15" t="s">
        <v>307</v>
      </c>
    </row>
    <row r="16" spans="1:10">
      <c r="A16" s="164" t="s">
        <v>306</v>
      </c>
      <c r="B16" s="164" t="s">
        <v>309</v>
      </c>
      <c r="C16" s="164" t="str">
        <f t="shared" ref="C16" si="3">A16&amp;" - "&amp;B16</f>
        <v>Futuricum - Logistics 18E - 450</v>
      </c>
      <c r="D16" s="164">
        <v>19</v>
      </c>
      <c r="E16" s="164">
        <v>10.6</v>
      </c>
      <c r="F16" s="164">
        <v>500</v>
      </c>
      <c r="G16" s="164">
        <v>383</v>
      </c>
      <c r="H16" s="164">
        <v>250</v>
      </c>
      <c r="I16" s="46">
        <f t="shared" si="2"/>
        <v>1.532</v>
      </c>
      <c r="J16" s="164" t="s">
        <v>307</v>
      </c>
    </row>
    <row r="17" spans="1:10">
      <c r="A17" s="164" t="s">
        <v>306</v>
      </c>
      <c r="B17" s="164" t="s">
        <v>310</v>
      </c>
      <c r="C17" s="164" t="str">
        <f t="shared" ref="C17" si="4">A17&amp;" - "&amp;B17</f>
        <v>Futuricum - Logistics 18E - 510</v>
      </c>
      <c r="D17" s="164">
        <v>19</v>
      </c>
      <c r="E17" s="164">
        <v>9.8000000000000007</v>
      </c>
      <c r="F17" s="164">
        <v>500</v>
      </c>
      <c r="G17" s="164">
        <v>434</v>
      </c>
      <c r="H17" s="164">
        <v>300</v>
      </c>
      <c r="I17" s="46">
        <f t="shared" si="2"/>
        <v>1.4466666666666668</v>
      </c>
      <c r="J17" s="164" t="s">
        <v>307</v>
      </c>
    </row>
    <row r="18" spans="1:10">
      <c r="A18" s="164" t="s">
        <v>306</v>
      </c>
      <c r="B18" s="164" t="s">
        <v>311</v>
      </c>
      <c r="C18" s="164" t="str">
        <f t="shared" ref="C18" si="5">A18&amp;" - "&amp;B18</f>
        <v>Futuricum - Logistics 18E - 680</v>
      </c>
      <c r="D18" s="164">
        <v>19</v>
      </c>
      <c r="E18" s="164">
        <v>6.4</v>
      </c>
      <c r="F18" s="164">
        <v>500</v>
      </c>
      <c r="G18" s="164">
        <v>578</v>
      </c>
      <c r="H18" s="164">
        <v>400</v>
      </c>
      <c r="I18" s="46">
        <f t="shared" si="2"/>
        <v>1.4450000000000001</v>
      </c>
      <c r="J18" s="164" t="s">
        <v>307</v>
      </c>
    </row>
    <row r="19" spans="1:10">
      <c r="A19" s="164" t="s">
        <v>306</v>
      </c>
      <c r="B19" s="164" t="s">
        <v>312</v>
      </c>
      <c r="C19" s="164" t="str">
        <f t="shared" ref="C19:C20" si="6">A19&amp;" - "&amp;B19</f>
        <v>Futuricum - Logistics 18E - 900</v>
      </c>
      <c r="D19" s="164">
        <v>19</v>
      </c>
      <c r="E19" s="164">
        <v>5.6</v>
      </c>
      <c r="F19" s="164">
        <v>500</v>
      </c>
      <c r="G19" s="164">
        <v>765</v>
      </c>
      <c r="H19" s="164">
        <v>500</v>
      </c>
      <c r="I19" s="46">
        <f t="shared" si="2"/>
        <v>1.53</v>
      </c>
      <c r="J19" s="164" t="s">
        <v>307</v>
      </c>
    </row>
    <row r="20" spans="1:10">
      <c r="A20" s="164" t="s">
        <v>306</v>
      </c>
      <c r="B20" t="s">
        <v>313</v>
      </c>
      <c r="C20" t="str">
        <f t="shared" si="6"/>
        <v>Futuricum - FH Semi 40E - 680</v>
      </c>
      <c r="D20">
        <v>44</v>
      </c>
      <c r="E20">
        <v>32</v>
      </c>
      <c r="F20">
        <v>500</v>
      </c>
      <c r="G20">
        <v>578</v>
      </c>
      <c r="H20">
        <v>400</v>
      </c>
      <c r="I20" s="46">
        <f t="shared" si="2"/>
        <v>1.4450000000000001</v>
      </c>
      <c r="J20" t="s">
        <v>314</v>
      </c>
    </row>
    <row r="21" spans="1:10">
      <c r="A21" s="164" t="s">
        <v>306</v>
      </c>
      <c r="B21" s="164" t="s">
        <v>313</v>
      </c>
      <c r="C21" s="164" t="str">
        <f t="shared" ref="C21" si="7">A21&amp;" - "&amp;B21</f>
        <v>Futuricum - FH Semi 40E - 680</v>
      </c>
      <c r="D21" s="164">
        <v>44</v>
      </c>
      <c r="E21" s="164">
        <v>31.2</v>
      </c>
      <c r="F21" s="164">
        <v>500</v>
      </c>
      <c r="G21" s="164">
        <v>765</v>
      </c>
      <c r="H21" s="164">
        <v>500</v>
      </c>
      <c r="I21" s="46">
        <f t="shared" si="2"/>
        <v>1.53</v>
      </c>
      <c r="J21" s="164" t="s">
        <v>314</v>
      </c>
    </row>
    <row r="22" spans="1:10">
      <c r="A22" s="164"/>
    </row>
  </sheetData>
  <hyperlinks>
    <hyperlink ref="J3" r:id="rId1"/>
    <hyperlink ref="J2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</hyperlinks>
  <pageMargins left="0.7" right="0.7" top="0.75" bottom="0.75" header="0.3" footer="0.3"/>
  <pageSetup paperSize="9"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7"/>
  <sheetViews>
    <sheetView workbookViewId="0">
      <selection activeCell="M16" sqref="M16"/>
    </sheetView>
  </sheetViews>
  <sheetFormatPr defaultRowHeight="14.4"/>
  <cols>
    <col min="13" max="13" width="21.6640625" bestFit="1" customWidth="1"/>
    <col min="14" max="14" width="17.44140625" bestFit="1" customWidth="1"/>
    <col min="15" max="15" width="17.44140625" customWidth="1"/>
    <col min="16" max="16" width="15.6640625" bestFit="1" customWidth="1"/>
    <col min="17" max="17" width="15.6640625" style="164" customWidth="1"/>
    <col min="21" max="21" width="15.6640625" bestFit="1" customWidth="1"/>
    <col min="26" max="26" width="27.5546875" bestFit="1" customWidth="1"/>
  </cols>
  <sheetData>
    <row r="1" spans="1:48">
      <c r="A1" t="s">
        <v>224</v>
      </c>
      <c r="M1" t="s">
        <v>236</v>
      </c>
      <c r="U1" t="s">
        <v>241</v>
      </c>
    </row>
    <row r="3" spans="1:48">
      <c r="A3" t="s">
        <v>225</v>
      </c>
      <c r="B3" t="s">
        <v>226</v>
      </c>
      <c r="C3" t="s">
        <v>227</v>
      </c>
      <c r="D3" t="s">
        <v>107</v>
      </c>
      <c r="E3" t="s">
        <v>234</v>
      </c>
      <c r="M3" t="s">
        <v>238</v>
      </c>
      <c r="N3" t="s">
        <v>96</v>
      </c>
      <c r="O3" t="s">
        <v>252</v>
      </c>
      <c r="P3" t="s">
        <v>302</v>
      </c>
      <c r="Q3" s="164" t="s">
        <v>303</v>
      </c>
      <c r="R3" t="s">
        <v>107</v>
      </c>
      <c r="S3" t="s">
        <v>234</v>
      </c>
      <c r="U3" t="s">
        <v>242</v>
      </c>
      <c r="V3" t="s">
        <v>243</v>
      </c>
    </row>
    <row r="4" spans="1:48">
      <c r="A4" t="s">
        <v>229</v>
      </c>
      <c r="B4">
        <v>1600</v>
      </c>
      <c r="C4">
        <f>36000*0.93</f>
        <v>33480</v>
      </c>
      <c r="D4" t="s">
        <v>233</v>
      </c>
      <c r="E4" t="s">
        <v>235</v>
      </c>
      <c r="M4" t="s">
        <v>237</v>
      </c>
      <c r="N4" t="s">
        <v>239</v>
      </c>
      <c r="O4">
        <v>36000</v>
      </c>
      <c r="P4">
        <v>101000</v>
      </c>
      <c r="R4" s="21" t="s">
        <v>250</v>
      </c>
      <c r="S4" s="21" t="s">
        <v>258</v>
      </c>
      <c r="U4" t="s">
        <v>244</v>
      </c>
      <c r="V4">
        <v>0.05</v>
      </c>
      <c r="W4" t="s">
        <v>250</v>
      </c>
    </row>
    <row r="5" spans="1:48">
      <c r="A5" t="s">
        <v>228</v>
      </c>
      <c r="B5">
        <v>4250</v>
      </c>
      <c r="C5">
        <v>70000</v>
      </c>
      <c r="D5" t="s">
        <v>233</v>
      </c>
      <c r="E5" t="s">
        <v>235</v>
      </c>
      <c r="N5" t="s">
        <v>240</v>
      </c>
      <c r="P5">
        <v>27500</v>
      </c>
      <c r="R5" s="21" t="s">
        <v>250</v>
      </c>
      <c r="S5" s="21" t="s">
        <v>258</v>
      </c>
      <c r="U5" t="s">
        <v>245</v>
      </c>
      <c r="V5">
        <v>0.04</v>
      </c>
      <c r="W5" t="s">
        <v>250</v>
      </c>
    </row>
    <row r="6" spans="1:48">
      <c r="A6" t="s">
        <v>230</v>
      </c>
      <c r="B6">
        <v>6400</v>
      </c>
      <c r="C6">
        <v>90000</v>
      </c>
      <c r="D6" t="s">
        <v>233</v>
      </c>
      <c r="E6" t="s">
        <v>235</v>
      </c>
      <c r="N6" t="s">
        <v>253</v>
      </c>
      <c r="O6">
        <v>3500</v>
      </c>
      <c r="P6">
        <v>43096</v>
      </c>
      <c r="Q6" s="8">
        <f>P6*1.13</f>
        <v>48698.479999999996</v>
      </c>
      <c r="R6" t="s">
        <v>251</v>
      </c>
      <c r="S6" t="s">
        <v>259</v>
      </c>
      <c r="U6" t="s">
        <v>246</v>
      </c>
      <c r="V6">
        <v>0.08</v>
      </c>
      <c r="W6" t="s">
        <v>250</v>
      </c>
    </row>
    <row r="7" spans="1:48">
      <c r="A7" t="s">
        <v>231</v>
      </c>
      <c r="B7">
        <v>9900</v>
      </c>
      <c r="C7">
        <v>105000</v>
      </c>
      <c r="D7" t="s">
        <v>233</v>
      </c>
      <c r="E7" t="s">
        <v>235</v>
      </c>
      <c r="N7" t="s">
        <v>254</v>
      </c>
      <c r="O7">
        <v>7500</v>
      </c>
      <c r="P7">
        <v>55571</v>
      </c>
      <c r="Q7" s="8">
        <f t="shared" ref="Q7:Q10" si="0">P7*1.13</f>
        <v>62795.229999999996</v>
      </c>
      <c r="R7" t="s">
        <v>251</v>
      </c>
      <c r="S7" t="s">
        <v>259</v>
      </c>
      <c r="U7" t="s">
        <v>247</v>
      </c>
      <c r="V7">
        <v>0.08</v>
      </c>
      <c r="W7" t="s">
        <v>250</v>
      </c>
    </row>
    <row r="8" spans="1:48">
      <c r="A8" t="s">
        <v>232</v>
      </c>
      <c r="B8">
        <v>13600</v>
      </c>
      <c r="C8">
        <v>115000</v>
      </c>
      <c r="D8" t="s">
        <v>233</v>
      </c>
      <c r="E8" t="s">
        <v>235</v>
      </c>
      <c r="N8" t="s">
        <v>256</v>
      </c>
      <c r="O8">
        <v>18000</v>
      </c>
      <c r="P8">
        <v>78961</v>
      </c>
      <c r="Q8" s="8">
        <f t="shared" si="0"/>
        <v>89225.93</v>
      </c>
      <c r="R8" t="s">
        <v>251</v>
      </c>
      <c r="S8" t="s">
        <v>259</v>
      </c>
      <c r="U8" t="s">
        <v>248</v>
      </c>
      <c r="V8">
        <v>0.15</v>
      </c>
      <c r="W8" t="s">
        <v>250</v>
      </c>
    </row>
    <row r="9" spans="1:48">
      <c r="N9" t="s">
        <v>257</v>
      </c>
      <c r="O9">
        <v>26000</v>
      </c>
      <c r="P9">
        <v>110148</v>
      </c>
      <c r="Q9" s="8">
        <f t="shared" si="0"/>
        <v>124467.23999999999</v>
      </c>
      <c r="R9" t="s">
        <v>251</v>
      </c>
      <c r="S9" t="s">
        <v>259</v>
      </c>
      <c r="U9" t="s">
        <v>249</v>
      </c>
      <c r="V9">
        <v>9.8000000000000004E-2</v>
      </c>
      <c r="W9" t="s">
        <v>250</v>
      </c>
    </row>
    <row r="10" spans="1:48">
      <c r="N10" t="s">
        <v>255</v>
      </c>
      <c r="O10">
        <v>40000</v>
      </c>
      <c r="P10">
        <v>103679</v>
      </c>
      <c r="Q10" s="8">
        <f t="shared" si="0"/>
        <v>117157.26999999999</v>
      </c>
      <c r="R10" t="s">
        <v>251</v>
      </c>
      <c r="S10" t="s">
        <v>259</v>
      </c>
    </row>
    <row r="12" spans="1:48">
      <c r="V12" t="s">
        <v>261</v>
      </c>
      <c r="W12" t="s">
        <v>252</v>
      </c>
      <c r="X12" t="s">
        <v>262</v>
      </c>
      <c r="Y12" t="s">
        <v>107</v>
      </c>
      <c r="Z12" t="s">
        <v>263</v>
      </c>
      <c r="AA12" t="s">
        <v>264</v>
      </c>
      <c r="AB12" t="s">
        <v>265</v>
      </c>
      <c r="AG12" t="s">
        <v>261</v>
      </c>
      <c r="AH12" t="s">
        <v>252</v>
      </c>
      <c r="AI12" t="s">
        <v>266</v>
      </c>
      <c r="AJ12" t="s">
        <v>107</v>
      </c>
      <c r="AK12" t="s">
        <v>267</v>
      </c>
      <c r="AL12" t="s">
        <v>264</v>
      </c>
      <c r="AM12" t="s">
        <v>268</v>
      </c>
      <c r="AR12" t="s">
        <v>261</v>
      </c>
      <c r="AS12" t="s">
        <v>252</v>
      </c>
      <c r="AT12" t="s">
        <v>270</v>
      </c>
      <c r="AU12" t="s">
        <v>107</v>
      </c>
      <c r="AV12" t="s">
        <v>269</v>
      </c>
    </row>
    <row r="13" spans="1:48">
      <c r="U13" t="s">
        <v>260</v>
      </c>
      <c r="V13" s="47">
        <v>1</v>
      </c>
      <c r="W13" s="47">
        <v>3500</v>
      </c>
      <c r="X13" s="47">
        <v>2142</v>
      </c>
      <c r="Y13" s="47" t="s">
        <v>251</v>
      </c>
      <c r="Z13" s="48">
        <f>X13*1.13</f>
        <v>2420.4599999999996</v>
      </c>
      <c r="AA13" s="47">
        <v>18333</v>
      </c>
      <c r="AB13" s="49">
        <f>Z13/AA13</f>
        <v>0.13202749140893469</v>
      </c>
      <c r="AF13" t="s">
        <v>260</v>
      </c>
      <c r="AG13" s="47">
        <v>1</v>
      </c>
      <c r="AH13" s="47">
        <v>3500</v>
      </c>
      <c r="AI13" s="47">
        <v>2673</v>
      </c>
      <c r="AJ13" s="47" t="s">
        <v>251</v>
      </c>
      <c r="AK13" s="48">
        <f>AI13*1.13</f>
        <v>3020.49</v>
      </c>
      <c r="AL13" s="47">
        <v>18333</v>
      </c>
      <c r="AM13" s="49">
        <f>AK13/AL13</f>
        <v>0.16475699558173784</v>
      </c>
      <c r="AQ13" t="s">
        <v>260</v>
      </c>
      <c r="AR13" s="47">
        <v>1</v>
      </c>
      <c r="AS13" s="47">
        <v>3500</v>
      </c>
      <c r="AT13" s="47">
        <v>4.8500000000000001E-3</v>
      </c>
      <c r="AU13" s="47" t="s">
        <v>251</v>
      </c>
      <c r="AV13" s="62">
        <f>AT13*1.13</f>
        <v>5.4804999999999993E-3</v>
      </c>
    </row>
    <row r="14" spans="1:48">
      <c r="U14" t="s">
        <v>260</v>
      </c>
      <c r="V14" s="47">
        <v>5</v>
      </c>
      <c r="W14" s="47">
        <v>3500</v>
      </c>
      <c r="X14" s="47">
        <v>2784</v>
      </c>
      <c r="Y14" s="47" t="s">
        <v>251</v>
      </c>
      <c r="Z14" s="48">
        <f t="shared" ref="Z14:Z37" si="1">X14*1.13</f>
        <v>3145.9199999999996</v>
      </c>
      <c r="AA14" s="47">
        <v>18333</v>
      </c>
      <c r="AB14" s="49">
        <f t="shared" ref="AB14:AB37" si="2">Z14/AA14</f>
        <v>0.17159875634102437</v>
      </c>
      <c r="AF14" t="s">
        <v>260</v>
      </c>
      <c r="AG14" s="47">
        <v>5</v>
      </c>
      <c r="AH14" s="47">
        <v>3500</v>
      </c>
      <c r="AI14" s="47">
        <v>2429</v>
      </c>
      <c r="AJ14" s="47" t="s">
        <v>251</v>
      </c>
      <c r="AK14" s="48">
        <f t="shared" ref="AK14:AK37" si="3">AI14*1.13</f>
        <v>2744.7699999999995</v>
      </c>
      <c r="AL14" s="47">
        <v>18333</v>
      </c>
      <c r="AM14" s="49">
        <f t="shared" ref="AM14:AM37" si="4">AK14/AL14</f>
        <v>0.14971744940817103</v>
      </c>
      <c r="AQ14" t="s">
        <v>260</v>
      </c>
      <c r="AR14" s="50">
        <v>1</v>
      </c>
      <c r="AS14" s="50">
        <v>7500</v>
      </c>
      <c r="AT14" s="50">
        <v>5.5599999999999998E-3</v>
      </c>
      <c r="AU14" s="50" t="s">
        <v>251</v>
      </c>
      <c r="AV14" s="63">
        <f t="shared" ref="AV14:AV17" si="5">AT14*1.13</f>
        <v>6.282799999999999E-3</v>
      </c>
    </row>
    <row r="15" spans="1:48">
      <c r="U15" t="s">
        <v>260</v>
      </c>
      <c r="V15" s="47">
        <v>10</v>
      </c>
      <c r="W15" s="47">
        <v>3500</v>
      </c>
      <c r="X15" s="47">
        <v>3122</v>
      </c>
      <c r="Y15" s="47" t="s">
        <v>251</v>
      </c>
      <c r="Z15" s="48">
        <f t="shared" si="1"/>
        <v>3527.8599999999997</v>
      </c>
      <c r="AA15" s="47">
        <v>18333</v>
      </c>
      <c r="AB15" s="49">
        <f t="shared" si="2"/>
        <v>0.19243222604047344</v>
      </c>
      <c r="AF15" t="s">
        <v>260</v>
      </c>
      <c r="AG15" s="47">
        <v>10</v>
      </c>
      <c r="AH15" s="47">
        <v>3500</v>
      </c>
      <c r="AI15" s="47">
        <v>2154</v>
      </c>
      <c r="AJ15" s="47" t="s">
        <v>251</v>
      </c>
      <c r="AK15" s="48">
        <f t="shared" si="3"/>
        <v>2434.02</v>
      </c>
      <c r="AL15" s="47">
        <v>18333</v>
      </c>
      <c r="AM15" s="49">
        <f t="shared" si="4"/>
        <v>0.13276714122074948</v>
      </c>
      <c r="AQ15" t="s">
        <v>260</v>
      </c>
      <c r="AR15" s="53">
        <v>1</v>
      </c>
      <c r="AS15" s="53">
        <v>18000</v>
      </c>
      <c r="AT15" s="53">
        <v>1.5779999999999999E-2</v>
      </c>
      <c r="AU15" s="53" t="s">
        <v>251</v>
      </c>
      <c r="AV15" s="64">
        <f t="shared" si="5"/>
        <v>1.7831399999999997E-2</v>
      </c>
    </row>
    <row r="16" spans="1:48">
      <c r="M16">
        <f>3.15E+66*EXP(-0.0735*2020)+23.8</f>
        <v>128.1779650512899</v>
      </c>
      <c r="U16" t="s">
        <v>260</v>
      </c>
      <c r="V16" s="47">
        <v>15</v>
      </c>
      <c r="W16" s="47">
        <v>3500</v>
      </c>
      <c r="X16" s="47">
        <v>3217</v>
      </c>
      <c r="Y16" s="47" t="s">
        <v>251</v>
      </c>
      <c r="Z16" s="48">
        <f t="shared" si="1"/>
        <v>3635.2099999999996</v>
      </c>
      <c r="AA16" s="47">
        <v>18333</v>
      </c>
      <c r="AB16" s="49">
        <f t="shared" si="2"/>
        <v>0.19828778705067363</v>
      </c>
      <c r="AF16" t="s">
        <v>260</v>
      </c>
      <c r="AG16" s="47">
        <v>15</v>
      </c>
      <c r="AH16" s="47">
        <v>3500</v>
      </c>
      <c r="AI16" s="47">
        <v>1911</v>
      </c>
      <c r="AJ16" s="47" t="s">
        <v>251</v>
      </c>
      <c r="AK16" s="48">
        <f t="shared" si="3"/>
        <v>2159.4299999999998</v>
      </c>
      <c r="AL16" s="47">
        <v>18333</v>
      </c>
      <c r="AM16" s="49">
        <f t="shared" si="4"/>
        <v>0.11778923253150056</v>
      </c>
      <c r="AQ16" t="s">
        <v>260</v>
      </c>
      <c r="AR16" s="56">
        <v>1</v>
      </c>
      <c r="AS16" s="56">
        <v>26000</v>
      </c>
      <c r="AT16" s="56">
        <v>4.5530000000000001E-2</v>
      </c>
      <c r="AU16" s="56" t="s">
        <v>251</v>
      </c>
      <c r="AV16" s="65">
        <f t="shared" si="5"/>
        <v>5.1448899999999999E-2</v>
      </c>
    </row>
    <row r="17" spans="21:48">
      <c r="U17" t="s">
        <v>260</v>
      </c>
      <c r="V17" s="47">
        <v>20</v>
      </c>
      <c r="W17" s="47">
        <v>3500</v>
      </c>
      <c r="X17" s="47">
        <v>3191</v>
      </c>
      <c r="Y17" s="47" t="s">
        <v>251</v>
      </c>
      <c r="Z17" s="48">
        <f t="shared" si="1"/>
        <v>3605.8299999999995</v>
      </c>
      <c r="AA17" s="47">
        <v>18333</v>
      </c>
      <c r="AB17" s="49">
        <f t="shared" si="2"/>
        <v>0.19668521245840831</v>
      </c>
      <c r="AF17" t="s">
        <v>260</v>
      </c>
      <c r="AG17" s="47">
        <v>20</v>
      </c>
      <c r="AH17" s="47">
        <v>3500</v>
      </c>
      <c r="AI17" s="47">
        <v>1694</v>
      </c>
      <c r="AJ17" s="47" t="s">
        <v>251</v>
      </c>
      <c r="AK17" s="48">
        <f t="shared" si="3"/>
        <v>1914.2199999999998</v>
      </c>
      <c r="AL17" s="47">
        <v>18333</v>
      </c>
      <c r="AM17" s="49">
        <f t="shared" si="4"/>
        <v>0.10441389843451698</v>
      </c>
      <c r="AQ17" t="s">
        <v>260</v>
      </c>
      <c r="AR17" s="59">
        <v>1</v>
      </c>
      <c r="AS17" s="59">
        <v>40000</v>
      </c>
      <c r="AT17" s="59">
        <v>2.8129999999999999E-2</v>
      </c>
      <c r="AU17" s="59" t="s">
        <v>251</v>
      </c>
      <c r="AV17" s="66">
        <f t="shared" si="5"/>
        <v>3.1786899999999993E-2</v>
      </c>
    </row>
    <row r="18" spans="21:48">
      <c r="U18" t="s">
        <v>260</v>
      </c>
      <c r="V18" s="50">
        <v>1</v>
      </c>
      <c r="W18" s="50">
        <v>7500</v>
      </c>
      <c r="X18" s="50">
        <v>2142</v>
      </c>
      <c r="Y18" s="50" t="s">
        <v>251</v>
      </c>
      <c r="Z18" s="51">
        <f t="shared" si="1"/>
        <v>2420.4599999999996</v>
      </c>
      <c r="AA18" s="50">
        <v>54167</v>
      </c>
      <c r="AB18" s="52">
        <f t="shared" si="2"/>
        <v>4.4685140399136E-2</v>
      </c>
      <c r="AF18" t="s">
        <v>260</v>
      </c>
      <c r="AG18" s="50">
        <v>1</v>
      </c>
      <c r="AH18" s="50">
        <v>7500</v>
      </c>
      <c r="AI18" s="50">
        <v>2673</v>
      </c>
      <c r="AJ18" s="50" t="s">
        <v>251</v>
      </c>
      <c r="AK18" s="51">
        <f t="shared" si="3"/>
        <v>3020.49</v>
      </c>
      <c r="AL18" s="50">
        <v>54167</v>
      </c>
      <c r="AM18" s="52">
        <f t="shared" si="4"/>
        <v>5.5762549153543665E-2</v>
      </c>
    </row>
    <row r="19" spans="21:48">
      <c r="U19" t="s">
        <v>260</v>
      </c>
      <c r="V19" s="50">
        <v>5</v>
      </c>
      <c r="W19" s="50">
        <v>7500</v>
      </c>
      <c r="X19" s="50">
        <v>2784</v>
      </c>
      <c r="Y19" s="50" t="s">
        <v>251</v>
      </c>
      <c r="Z19" s="51">
        <f t="shared" si="1"/>
        <v>3145.9199999999996</v>
      </c>
      <c r="AA19" s="50">
        <v>54167</v>
      </c>
      <c r="AB19" s="52">
        <f t="shared" si="2"/>
        <v>5.8078165672826622E-2</v>
      </c>
      <c r="AF19" t="s">
        <v>260</v>
      </c>
      <c r="AG19" s="50">
        <v>5</v>
      </c>
      <c r="AH19" s="50">
        <v>7500</v>
      </c>
      <c r="AI19" s="50">
        <v>2429</v>
      </c>
      <c r="AJ19" s="50" t="s">
        <v>251</v>
      </c>
      <c r="AK19" s="51">
        <f t="shared" si="3"/>
        <v>2744.7699999999995</v>
      </c>
      <c r="AL19" s="50">
        <v>54167</v>
      </c>
      <c r="AM19" s="52">
        <f t="shared" si="4"/>
        <v>5.0672365093137876E-2</v>
      </c>
    </row>
    <row r="20" spans="21:48">
      <c r="U20" t="s">
        <v>260</v>
      </c>
      <c r="V20" s="50">
        <v>10</v>
      </c>
      <c r="W20" s="50">
        <v>7500</v>
      </c>
      <c r="X20" s="50">
        <v>3122</v>
      </c>
      <c r="Y20" s="50" t="s">
        <v>251</v>
      </c>
      <c r="Z20" s="51">
        <f t="shared" si="1"/>
        <v>3527.8599999999997</v>
      </c>
      <c r="AA20" s="50">
        <v>54167</v>
      </c>
      <c r="AB20" s="52">
        <f t="shared" si="2"/>
        <v>6.5129322281093652E-2</v>
      </c>
      <c r="AF20" t="s">
        <v>260</v>
      </c>
      <c r="AG20" s="50">
        <v>10</v>
      </c>
      <c r="AH20" s="50">
        <v>7500</v>
      </c>
      <c r="AI20" s="50">
        <v>2154</v>
      </c>
      <c r="AJ20" s="50" t="s">
        <v>251</v>
      </c>
      <c r="AK20" s="51">
        <f t="shared" si="3"/>
        <v>2434.02</v>
      </c>
      <c r="AL20" s="50">
        <v>54167</v>
      </c>
      <c r="AM20" s="52">
        <f t="shared" si="4"/>
        <v>4.4935477320139569E-2</v>
      </c>
    </row>
    <row r="21" spans="21:48">
      <c r="U21" t="s">
        <v>260</v>
      </c>
      <c r="V21" s="50">
        <v>15</v>
      </c>
      <c r="W21" s="50">
        <v>7500</v>
      </c>
      <c r="X21" s="50">
        <v>3217</v>
      </c>
      <c r="Y21" s="50" t="s">
        <v>251</v>
      </c>
      <c r="Z21" s="51">
        <f t="shared" si="1"/>
        <v>3635.2099999999996</v>
      </c>
      <c r="AA21" s="50">
        <v>54167</v>
      </c>
      <c r="AB21" s="52">
        <f t="shared" si="2"/>
        <v>6.7111156239038516E-2</v>
      </c>
      <c r="AF21" t="s">
        <v>260</v>
      </c>
      <c r="AG21" s="50">
        <v>15</v>
      </c>
      <c r="AH21" s="50">
        <v>7500</v>
      </c>
      <c r="AI21" s="50">
        <v>1911</v>
      </c>
      <c r="AJ21" s="50" t="s">
        <v>251</v>
      </c>
      <c r="AK21" s="51">
        <f t="shared" si="3"/>
        <v>2159.4299999999998</v>
      </c>
      <c r="AL21" s="50">
        <v>54167</v>
      </c>
      <c r="AM21" s="52">
        <f t="shared" si="4"/>
        <v>3.9866154669817411E-2</v>
      </c>
    </row>
    <row r="22" spans="21:48">
      <c r="U22" t="s">
        <v>260</v>
      </c>
      <c r="V22" s="50">
        <v>20</v>
      </c>
      <c r="W22" s="50">
        <v>7500</v>
      </c>
      <c r="X22" s="50">
        <v>3191</v>
      </c>
      <c r="Y22" s="50" t="s">
        <v>251</v>
      </c>
      <c r="Z22" s="51">
        <f t="shared" si="1"/>
        <v>3605.8299999999995</v>
      </c>
      <c r="AA22" s="50">
        <v>54167</v>
      </c>
      <c r="AB22" s="52">
        <f t="shared" si="2"/>
        <v>6.6568759576864131E-2</v>
      </c>
      <c r="AF22" t="s">
        <v>260</v>
      </c>
      <c r="AG22" s="50">
        <v>20</v>
      </c>
      <c r="AH22" s="50">
        <v>7500</v>
      </c>
      <c r="AI22" s="50">
        <v>1694</v>
      </c>
      <c r="AJ22" s="50" t="s">
        <v>251</v>
      </c>
      <c r="AK22" s="51">
        <f t="shared" si="3"/>
        <v>1914.2199999999998</v>
      </c>
      <c r="AL22" s="50">
        <v>54167</v>
      </c>
      <c r="AM22" s="52">
        <f t="shared" si="4"/>
        <v>3.5339228681669645E-2</v>
      </c>
    </row>
    <row r="23" spans="21:48">
      <c r="U23" t="s">
        <v>260</v>
      </c>
      <c r="V23" s="53">
        <v>1</v>
      </c>
      <c r="W23" s="53">
        <v>18000</v>
      </c>
      <c r="X23" s="53">
        <v>2929</v>
      </c>
      <c r="Y23" s="53" t="s">
        <v>251</v>
      </c>
      <c r="Z23" s="54">
        <f t="shared" si="1"/>
        <v>3309.7699999999995</v>
      </c>
      <c r="AA23" s="53">
        <v>33333</v>
      </c>
      <c r="AB23" s="55">
        <f t="shared" si="2"/>
        <v>9.929409294092939E-2</v>
      </c>
      <c r="AF23" t="s">
        <v>260</v>
      </c>
      <c r="AG23" s="53">
        <v>1</v>
      </c>
      <c r="AH23" s="53">
        <v>18000</v>
      </c>
      <c r="AI23" s="53">
        <v>3905</v>
      </c>
      <c r="AJ23" s="53" t="s">
        <v>251</v>
      </c>
      <c r="AK23" s="54">
        <f t="shared" si="3"/>
        <v>4412.6499999999996</v>
      </c>
      <c r="AL23" s="53">
        <v>33333</v>
      </c>
      <c r="AM23" s="55">
        <f t="shared" si="4"/>
        <v>0.13238082380823807</v>
      </c>
    </row>
    <row r="24" spans="21:48">
      <c r="U24" t="s">
        <v>260</v>
      </c>
      <c r="V24" s="53">
        <v>5</v>
      </c>
      <c r="W24" s="53">
        <v>18000</v>
      </c>
      <c r="X24" s="53">
        <v>3808</v>
      </c>
      <c r="Y24" s="53" t="s">
        <v>251</v>
      </c>
      <c r="Z24" s="54">
        <f t="shared" si="1"/>
        <v>4303.04</v>
      </c>
      <c r="AA24" s="53">
        <v>33333</v>
      </c>
      <c r="AB24" s="55">
        <f t="shared" si="2"/>
        <v>0.12909249092490924</v>
      </c>
      <c r="AF24" t="s">
        <v>260</v>
      </c>
      <c r="AG24" s="53">
        <v>5</v>
      </c>
      <c r="AH24" s="53">
        <v>18000</v>
      </c>
      <c r="AI24" s="53">
        <v>3548</v>
      </c>
      <c r="AJ24" s="53" t="s">
        <v>251</v>
      </c>
      <c r="AK24" s="54">
        <f t="shared" si="3"/>
        <v>4009.24</v>
      </c>
      <c r="AL24" s="53">
        <v>33333</v>
      </c>
      <c r="AM24" s="55">
        <f t="shared" si="4"/>
        <v>0.12027840278402784</v>
      </c>
    </row>
    <row r="25" spans="21:48">
      <c r="U25" t="s">
        <v>260</v>
      </c>
      <c r="V25" s="53">
        <v>10</v>
      </c>
      <c r="W25" s="53">
        <v>18000</v>
      </c>
      <c r="X25" s="53">
        <v>4270</v>
      </c>
      <c r="Y25" s="53" t="s">
        <v>251</v>
      </c>
      <c r="Z25" s="54">
        <f t="shared" si="1"/>
        <v>4825.0999999999995</v>
      </c>
      <c r="AA25" s="53">
        <v>33333</v>
      </c>
      <c r="AB25" s="55">
        <f t="shared" si="2"/>
        <v>0.14475444754447542</v>
      </c>
      <c r="AF25" t="s">
        <v>260</v>
      </c>
      <c r="AG25" s="53">
        <v>10</v>
      </c>
      <c r="AH25" s="53">
        <v>18000</v>
      </c>
      <c r="AI25" s="53">
        <v>3146</v>
      </c>
      <c r="AJ25" s="53" t="s">
        <v>251</v>
      </c>
      <c r="AK25" s="54">
        <f t="shared" si="3"/>
        <v>3554.9799999999996</v>
      </c>
      <c r="AL25" s="53">
        <v>33333</v>
      </c>
      <c r="AM25" s="55">
        <f t="shared" si="4"/>
        <v>0.10665046650466503</v>
      </c>
    </row>
    <row r="26" spans="21:48">
      <c r="U26" t="s">
        <v>260</v>
      </c>
      <c r="V26" s="53">
        <v>15</v>
      </c>
      <c r="W26" s="53">
        <v>18000</v>
      </c>
      <c r="X26" s="53">
        <v>4400</v>
      </c>
      <c r="Y26" s="53" t="s">
        <v>251</v>
      </c>
      <c r="Z26" s="54">
        <f t="shared" si="1"/>
        <v>4971.9999999999991</v>
      </c>
      <c r="AA26" s="53">
        <v>33333</v>
      </c>
      <c r="AB26" s="55">
        <f t="shared" si="2"/>
        <v>0.14916149161491613</v>
      </c>
      <c r="AF26" t="s">
        <v>260</v>
      </c>
      <c r="AG26" s="53">
        <v>15</v>
      </c>
      <c r="AH26" s="53">
        <v>18000</v>
      </c>
      <c r="AI26" s="53">
        <v>2791</v>
      </c>
      <c r="AJ26" s="53" t="s">
        <v>251</v>
      </c>
      <c r="AK26" s="54">
        <f t="shared" si="3"/>
        <v>3153.83</v>
      </c>
      <c r="AL26" s="53">
        <v>33333</v>
      </c>
      <c r="AM26" s="55">
        <f t="shared" si="4"/>
        <v>9.4615846158461581E-2</v>
      </c>
    </row>
    <row r="27" spans="21:48">
      <c r="U27" t="s">
        <v>260</v>
      </c>
      <c r="V27" s="53">
        <v>20</v>
      </c>
      <c r="W27" s="53">
        <v>18000</v>
      </c>
      <c r="X27" s="53">
        <v>4365</v>
      </c>
      <c r="Y27" s="53" t="s">
        <v>251</v>
      </c>
      <c r="Z27" s="54">
        <f t="shared" si="1"/>
        <v>4932.45</v>
      </c>
      <c r="AA27" s="53">
        <v>33333</v>
      </c>
      <c r="AB27" s="55">
        <f t="shared" si="2"/>
        <v>0.14797497974979748</v>
      </c>
      <c r="AF27" t="s">
        <v>260</v>
      </c>
      <c r="AG27" s="53">
        <v>20</v>
      </c>
      <c r="AH27" s="53">
        <v>18000</v>
      </c>
      <c r="AI27" s="53">
        <v>2475</v>
      </c>
      <c r="AJ27" s="53" t="s">
        <v>251</v>
      </c>
      <c r="AK27" s="54">
        <f t="shared" si="3"/>
        <v>2796.7499999999995</v>
      </c>
      <c r="AL27" s="53">
        <v>33333</v>
      </c>
      <c r="AM27" s="55">
        <f t="shared" si="4"/>
        <v>8.3903339033390326E-2</v>
      </c>
    </row>
    <row r="28" spans="21:48">
      <c r="U28" t="s">
        <v>260</v>
      </c>
      <c r="V28" s="56">
        <v>1</v>
      </c>
      <c r="W28" s="56">
        <v>26000</v>
      </c>
      <c r="X28" s="56">
        <v>3609</v>
      </c>
      <c r="Y28" s="56" t="s">
        <v>251</v>
      </c>
      <c r="Z28" s="57">
        <f t="shared" si="1"/>
        <v>4078.1699999999996</v>
      </c>
      <c r="AA28" s="56">
        <v>46667</v>
      </c>
      <c r="AB28" s="58">
        <f t="shared" si="2"/>
        <v>8.7388732937621866E-2</v>
      </c>
      <c r="AF28" t="s">
        <v>260</v>
      </c>
      <c r="AG28" s="56">
        <v>1</v>
      </c>
      <c r="AH28" s="56">
        <v>26000</v>
      </c>
      <c r="AI28" s="56">
        <v>5137</v>
      </c>
      <c r="AJ28" s="56" t="s">
        <v>251</v>
      </c>
      <c r="AK28" s="57">
        <f t="shared" si="3"/>
        <v>5804.8099999999995</v>
      </c>
      <c r="AL28" s="56">
        <v>46667</v>
      </c>
      <c r="AM28" s="58">
        <f t="shared" si="4"/>
        <v>0.12438789722930549</v>
      </c>
    </row>
    <row r="29" spans="21:48">
      <c r="U29" t="s">
        <v>260</v>
      </c>
      <c r="V29" s="56">
        <v>5</v>
      </c>
      <c r="W29" s="56">
        <v>26000</v>
      </c>
      <c r="X29" s="56">
        <v>4227</v>
      </c>
      <c r="Y29" s="56" t="s">
        <v>251</v>
      </c>
      <c r="Z29" s="57">
        <f t="shared" si="1"/>
        <v>4776.5099999999993</v>
      </c>
      <c r="AA29" s="56">
        <v>46667</v>
      </c>
      <c r="AB29" s="58">
        <f t="shared" si="2"/>
        <v>0.1023530546210384</v>
      </c>
      <c r="AF29" t="s">
        <v>260</v>
      </c>
      <c r="AG29" s="56">
        <v>5</v>
      </c>
      <c r="AH29" s="56">
        <v>26000</v>
      </c>
      <c r="AI29" s="56">
        <v>4666</v>
      </c>
      <c r="AJ29" s="56" t="s">
        <v>251</v>
      </c>
      <c r="AK29" s="57">
        <f t="shared" si="3"/>
        <v>5272.58</v>
      </c>
      <c r="AL29" s="56">
        <v>46667</v>
      </c>
      <c r="AM29" s="58">
        <f t="shared" si="4"/>
        <v>0.11298305012107056</v>
      </c>
    </row>
    <row r="30" spans="21:48">
      <c r="U30" t="s">
        <v>260</v>
      </c>
      <c r="V30" s="56">
        <v>10</v>
      </c>
      <c r="W30" s="56">
        <v>26000</v>
      </c>
      <c r="X30" s="56">
        <v>4739</v>
      </c>
      <c r="Y30" s="56" t="s">
        <v>251</v>
      </c>
      <c r="Z30" s="57">
        <f t="shared" si="1"/>
        <v>5355.07</v>
      </c>
      <c r="AA30" s="56">
        <v>46667</v>
      </c>
      <c r="AB30" s="58">
        <f t="shared" si="2"/>
        <v>0.1147506803522832</v>
      </c>
      <c r="AF30" t="s">
        <v>260</v>
      </c>
      <c r="AG30" s="56">
        <v>10</v>
      </c>
      <c r="AH30" s="56">
        <v>26000</v>
      </c>
      <c r="AI30" s="56">
        <v>4139</v>
      </c>
      <c r="AJ30" s="56" t="s">
        <v>251</v>
      </c>
      <c r="AK30" s="57">
        <f t="shared" si="3"/>
        <v>4677.07</v>
      </c>
      <c r="AL30" s="56">
        <v>46667</v>
      </c>
      <c r="AM30" s="58">
        <f t="shared" si="4"/>
        <v>0.10022221269848072</v>
      </c>
    </row>
    <row r="31" spans="21:48">
      <c r="U31" t="s">
        <v>260</v>
      </c>
      <c r="V31" s="56">
        <v>15</v>
      </c>
      <c r="W31" s="56">
        <v>26000</v>
      </c>
      <c r="X31" s="56">
        <v>4884</v>
      </c>
      <c r="Y31" s="56" t="s">
        <v>251</v>
      </c>
      <c r="Z31" s="57">
        <f t="shared" si="1"/>
        <v>5518.9199999999992</v>
      </c>
      <c r="AA31" s="56">
        <v>46667</v>
      </c>
      <c r="AB31" s="58">
        <f t="shared" si="2"/>
        <v>0.11826172670195211</v>
      </c>
      <c r="AF31" t="s">
        <v>260</v>
      </c>
      <c r="AG31" s="56">
        <v>15</v>
      </c>
      <c r="AH31" s="56">
        <v>26000</v>
      </c>
      <c r="AI31" s="56">
        <v>3671</v>
      </c>
      <c r="AJ31" s="56" t="s">
        <v>251</v>
      </c>
      <c r="AK31" s="57">
        <f t="shared" si="3"/>
        <v>4148.2299999999996</v>
      </c>
      <c r="AL31" s="56">
        <v>46667</v>
      </c>
      <c r="AM31" s="58">
        <f t="shared" si="4"/>
        <v>8.8890007928514786E-2</v>
      </c>
    </row>
    <row r="32" spans="21:48">
      <c r="U32" t="s">
        <v>260</v>
      </c>
      <c r="V32" s="56">
        <v>20</v>
      </c>
      <c r="W32" s="56">
        <v>26000</v>
      </c>
      <c r="X32" s="56">
        <v>5378</v>
      </c>
      <c r="Y32" s="56" t="s">
        <v>251</v>
      </c>
      <c r="Z32" s="57">
        <f t="shared" si="1"/>
        <v>6077.1399999999994</v>
      </c>
      <c r="AA32" s="56">
        <v>46667</v>
      </c>
      <c r="AB32" s="58">
        <f t="shared" si="2"/>
        <v>0.13022349840358283</v>
      </c>
      <c r="AF32" t="s">
        <v>260</v>
      </c>
      <c r="AG32" s="56">
        <v>20</v>
      </c>
      <c r="AH32" s="56">
        <v>26000</v>
      </c>
      <c r="AI32" s="56">
        <v>3256</v>
      </c>
      <c r="AJ32" s="56" t="s">
        <v>251</v>
      </c>
      <c r="AK32" s="57">
        <f t="shared" si="3"/>
        <v>3679.2799999999997</v>
      </c>
      <c r="AL32" s="56">
        <v>46667</v>
      </c>
      <c r="AM32" s="58">
        <f t="shared" si="4"/>
        <v>7.8841151134634746E-2</v>
      </c>
    </row>
    <row r="33" spans="21:39">
      <c r="U33" t="s">
        <v>260</v>
      </c>
      <c r="V33" s="59">
        <v>1</v>
      </c>
      <c r="W33" s="59">
        <v>40000</v>
      </c>
      <c r="X33" s="59">
        <v>4687</v>
      </c>
      <c r="Y33" s="59" t="s">
        <v>251</v>
      </c>
      <c r="Z33" s="60">
        <f t="shared" si="1"/>
        <v>5296.3099999999995</v>
      </c>
      <c r="AA33" s="59">
        <v>83333</v>
      </c>
      <c r="AB33" s="61">
        <f t="shared" si="2"/>
        <v>6.3555974223896888E-2</v>
      </c>
      <c r="AF33" t="s">
        <v>260</v>
      </c>
      <c r="AG33" s="59">
        <v>1</v>
      </c>
      <c r="AH33" s="59">
        <v>40000</v>
      </c>
      <c r="AI33" s="59">
        <v>6368</v>
      </c>
      <c r="AJ33" s="59" t="s">
        <v>251</v>
      </c>
      <c r="AK33" s="60">
        <f t="shared" si="3"/>
        <v>7195.8399999999992</v>
      </c>
      <c r="AL33" s="59">
        <v>83333</v>
      </c>
      <c r="AM33" s="61">
        <f t="shared" si="4"/>
        <v>8.6350425401701597E-2</v>
      </c>
    </row>
    <row r="34" spans="21:39">
      <c r="U34" t="s">
        <v>260</v>
      </c>
      <c r="V34" s="59">
        <v>5</v>
      </c>
      <c r="W34" s="59">
        <v>40000</v>
      </c>
      <c r="X34" s="59">
        <v>6094</v>
      </c>
      <c r="Y34" s="59" t="s">
        <v>251</v>
      </c>
      <c r="Z34" s="60">
        <f t="shared" si="1"/>
        <v>6886.2199999999993</v>
      </c>
      <c r="AA34" s="59">
        <v>83333</v>
      </c>
      <c r="AB34" s="61">
        <f t="shared" si="2"/>
        <v>8.2634970539882155E-2</v>
      </c>
      <c r="AF34" t="s">
        <v>260</v>
      </c>
      <c r="AG34" s="59">
        <v>5</v>
      </c>
      <c r="AH34" s="59">
        <v>40000</v>
      </c>
      <c r="AI34" s="59">
        <v>5785</v>
      </c>
      <c r="AJ34" s="59" t="s">
        <v>251</v>
      </c>
      <c r="AK34" s="60">
        <f t="shared" si="3"/>
        <v>6537.0499999999993</v>
      </c>
      <c r="AL34" s="59">
        <v>83333</v>
      </c>
      <c r="AM34" s="61">
        <f t="shared" si="4"/>
        <v>7.8444913779655109E-2</v>
      </c>
    </row>
    <row r="35" spans="21:39">
      <c r="U35" t="s">
        <v>260</v>
      </c>
      <c r="V35" s="59">
        <v>10</v>
      </c>
      <c r="W35" s="59">
        <v>40000</v>
      </c>
      <c r="X35" s="59">
        <v>6832</v>
      </c>
      <c r="Y35" s="59" t="s">
        <v>251</v>
      </c>
      <c r="Z35" s="60">
        <f t="shared" si="1"/>
        <v>7720.1599999999989</v>
      </c>
      <c r="AA35" s="59">
        <v>83333</v>
      </c>
      <c r="AB35" s="61">
        <f t="shared" si="2"/>
        <v>9.2642290569162261E-2</v>
      </c>
      <c r="AF35" t="s">
        <v>260</v>
      </c>
      <c r="AG35" s="59">
        <v>10</v>
      </c>
      <c r="AH35" s="59">
        <v>40000</v>
      </c>
      <c r="AI35" s="59">
        <v>5131</v>
      </c>
      <c r="AJ35" s="59" t="s">
        <v>251</v>
      </c>
      <c r="AK35" s="60">
        <f t="shared" si="3"/>
        <v>5798.03</v>
      </c>
      <c r="AL35" s="59">
        <v>83333</v>
      </c>
      <c r="AM35" s="61">
        <f t="shared" si="4"/>
        <v>6.9576638306553223E-2</v>
      </c>
    </row>
    <row r="36" spans="21:39">
      <c r="U36" t="s">
        <v>260</v>
      </c>
      <c r="V36" s="59">
        <v>15</v>
      </c>
      <c r="W36" s="59">
        <v>40000</v>
      </c>
      <c r="X36" s="59">
        <v>7041</v>
      </c>
      <c r="Y36" s="59" t="s">
        <v>251</v>
      </c>
      <c r="Z36" s="60">
        <f t="shared" si="1"/>
        <v>7956.329999999999</v>
      </c>
      <c r="AA36" s="59">
        <v>83333</v>
      </c>
      <c r="AB36" s="61">
        <f t="shared" si="2"/>
        <v>9.5476341905367607E-2</v>
      </c>
      <c r="AF36" t="s">
        <v>260</v>
      </c>
      <c r="AG36" s="59">
        <v>15</v>
      </c>
      <c r="AH36" s="59">
        <v>40000</v>
      </c>
      <c r="AI36" s="59">
        <v>4551</v>
      </c>
      <c r="AJ36" s="59" t="s">
        <v>251</v>
      </c>
      <c r="AK36" s="60">
        <f t="shared" si="3"/>
        <v>5142.6299999999992</v>
      </c>
      <c r="AL36" s="59">
        <v>83333</v>
      </c>
      <c r="AM36" s="61">
        <f t="shared" si="4"/>
        <v>6.171180684722738E-2</v>
      </c>
    </row>
    <row r="37" spans="21:39">
      <c r="U37" t="s">
        <v>260</v>
      </c>
      <c r="V37" s="59">
        <v>20</v>
      </c>
      <c r="W37" s="59">
        <v>40000</v>
      </c>
      <c r="X37" s="59">
        <v>6984</v>
      </c>
      <c r="Y37" s="59" t="s">
        <v>251</v>
      </c>
      <c r="Z37" s="60">
        <f t="shared" si="1"/>
        <v>7891.9199999999992</v>
      </c>
      <c r="AA37" s="59">
        <v>83333</v>
      </c>
      <c r="AB37" s="61">
        <f t="shared" si="2"/>
        <v>9.470341881367525E-2</v>
      </c>
      <c r="AF37" t="s">
        <v>260</v>
      </c>
      <c r="AG37" s="59">
        <v>20</v>
      </c>
      <c r="AH37" s="59">
        <v>40000</v>
      </c>
      <c r="AI37" s="59">
        <v>4036</v>
      </c>
      <c r="AJ37" s="59" t="s">
        <v>251</v>
      </c>
      <c r="AK37" s="60">
        <f t="shared" si="3"/>
        <v>4560.6799999999994</v>
      </c>
      <c r="AL37" s="59">
        <v>83333</v>
      </c>
      <c r="AM37" s="61">
        <f t="shared" si="4"/>
        <v>5.4728378913515646E-2</v>
      </c>
    </row>
  </sheetData>
  <hyperlinks>
    <hyperlink ref="R4" r:id="rId1"/>
    <hyperlink ref="R5" r:id="rId2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C1" workbookViewId="0">
      <selection sqref="A1:L12"/>
    </sheetView>
  </sheetViews>
  <sheetFormatPr defaultRowHeight="14.4"/>
  <cols>
    <col min="1" max="1" width="10.88671875" bestFit="1" customWidth="1"/>
    <col min="2" max="2" width="11.21875" bestFit="1" customWidth="1"/>
    <col min="3" max="3" width="21.109375" bestFit="1" customWidth="1"/>
    <col min="4" max="4" width="21.109375" customWidth="1"/>
    <col min="5" max="5" width="9.77734375" bestFit="1" customWidth="1"/>
    <col min="6" max="6" width="17" bestFit="1" customWidth="1"/>
    <col min="7" max="7" width="17.21875" bestFit="1" customWidth="1"/>
    <col min="8" max="10" width="17.21875" customWidth="1"/>
    <col min="11" max="11" width="20.21875" bestFit="1" customWidth="1"/>
    <col min="12" max="12" width="19.6640625" bestFit="1" customWidth="1"/>
    <col min="13" max="13" width="19.88671875" bestFit="1" customWidth="1"/>
  </cols>
  <sheetData>
    <row r="1" spans="1:14" ht="15" thickBot="1">
      <c r="A1" s="45" t="s">
        <v>105</v>
      </c>
      <c r="B1" s="45" t="s">
        <v>106</v>
      </c>
      <c r="C1" s="45" t="s">
        <v>137</v>
      </c>
      <c r="D1" s="45" t="s">
        <v>96</v>
      </c>
      <c r="E1" s="45" t="s">
        <v>128</v>
      </c>
      <c r="F1" s="45" t="s">
        <v>129</v>
      </c>
      <c r="G1" s="45" t="s">
        <v>170</v>
      </c>
      <c r="H1" s="45" t="s">
        <v>167</v>
      </c>
      <c r="I1" s="45" t="s">
        <v>172</v>
      </c>
      <c r="J1" s="45" t="s">
        <v>182</v>
      </c>
      <c r="K1" s="45" t="s">
        <v>131</v>
      </c>
      <c r="L1" s="45" t="s">
        <v>166</v>
      </c>
      <c r="M1" s="45" t="s">
        <v>133</v>
      </c>
      <c r="N1" s="45" t="s">
        <v>107</v>
      </c>
    </row>
    <row r="2" spans="1:14" ht="15" thickTop="1">
      <c r="A2" t="s">
        <v>153</v>
      </c>
      <c r="B2" t="s">
        <v>164</v>
      </c>
      <c r="C2" t="str">
        <f t="shared" ref="C2:C8" si="0">A2&amp;" - "&amp;B2</f>
        <v>Scania - PHEV-d</v>
      </c>
      <c r="D2" t="s">
        <v>164</v>
      </c>
      <c r="E2">
        <v>29</v>
      </c>
      <c r="G2">
        <v>130</v>
      </c>
      <c r="H2">
        <v>280</v>
      </c>
      <c r="I2">
        <f>SUM(G2:H2)</f>
        <v>410</v>
      </c>
      <c r="J2" s="24">
        <f>H2/I2</f>
        <v>0.68292682926829273</v>
      </c>
      <c r="K2">
        <v>90</v>
      </c>
      <c r="L2">
        <v>60</v>
      </c>
      <c r="M2" s="44"/>
      <c r="N2" s="21" t="s">
        <v>165</v>
      </c>
    </row>
    <row r="3" spans="1:14">
      <c r="A3" t="s">
        <v>181</v>
      </c>
      <c r="B3" t="s">
        <v>180</v>
      </c>
      <c r="C3" t="str">
        <f t="shared" si="0"/>
        <v>Class 2 Van - Light</v>
      </c>
      <c r="D3" t="s">
        <v>169</v>
      </c>
      <c r="E3">
        <v>3.5</v>
      </c>
      <c r="G3">
        <v>50</v>
      </c>
      <c r="H3">
        <v>130</v>
      </c>
      <c r="I3">
        <f t="shared" ref="I3:I8" si="1">SUM(G3:H3)</f>
        <v>180</v>
      </c>
      <c r="J3" s="24">
        <f t="shared" ref="J3:J12" si="2">H3/I3</f>
        <v>0.72222222222222221</v>
      </c>
      <c r="M3" s="44"/>
      <c r="N3" s="21"/>
    </row>
    <row r="4" spans="1:14">
      <c r="A4" t="s">
        <v>181</v>
      </c>
      <c r="B4" t="s">
        <v>180</v>
      </c>
      <c r="C4" t="str">
        <f t="shared" si="0"/>
        <v>Class 2 Van - Light</v>
      </c>
      <c r="D4" t="s">
        <v>164</v>
      </c>
      <c r="E4">
        <v>4</v>
      </c>
      <c r="G4">
        <v>180</v>
      </c>
      <c r="H4">
        <v>100</v>
      </c>
      <c r="I4">
        <f t="shared" si="1"/>
        <v>280</v>
      </c>
      <c r="J4" s="24">
        <f t="shared" si="2"/>
        <v>0.35714285714285715</v>
      </c>
      <c r="M4" s="44"/>
      <c r="N4" s="21"/>
    </row>
    <row r="5" spans="1:14">
      <c r="A5" t="s">
        <v>179</v>
      </c>
      <c r="B5" t="s">
        <v>180</v>
      </c>
      <c r="C5" t="str">
        <f t="shared" si="0"/>
        <v>Class 3 Van - Light</v>
      </c>
      <c r="D5" t="s">
        <v>169</v>
      </c>
      <c r="E5">
        <v>5</v>
      </c>
      <c r="G5">
        <v>70</v>
      </c>
      <c r="H5">
        <v>140</v>
      </c>
      <c r="I5">
        <f t="shared" si="1"/>
        <v>210</v>
      </c>
      <c r="J5" s="24">
        <f t="shared" si="2"/>
        <v>0.66666666666666663</v>
      </c>
      <c r="M5" s="44"/>
      <c r="N5" s="21"/>
    </row>
    <row r="6" spans="1:14">
      <c r="A6" t="s">
        <v>179</v>
      </c>
      <c r="B6" t="s">
        <v>180</v>
      </c>
      <c r="C6" t="str">
        <f t="shared" si="0"/>
        <v>Class 3 Van - Light</v>
      </c>
      <c r="D6" t="s">
        <v>164</v>
      </c>
      <c r="E6">
        <v>6</v>
      </c>
      <c r="G6">
        <v>200</v>
      </c>
      <c r="H6">
        <v>135</v>
      </c>
      <c r="I6">
        <f t="shared" si="1"/>
        <v>335</v>
      </c>
      <c r="J6" s="24">
        <f t="shared" si="2"/>
        <v>0.40298507462686567</v>
      </c>
      <c r="M6" s="44"/>
      <c r="N6" s="21"/>
    </row>
    <row r="7" spans="1:14">
      <c r="A7" t="s">
        <v>178</v>
      </c>
      <c r="B7" t="s">
        <v>177</v>
      </c>
      <c r="C7" t="str">
        <f t="shared" si="0"/>
        <v>Class 5 Utility - Medium</v>
      </c>
      <c r="D7" t="s">
        <v>169</v>
      </c>
      <c r="E7">
        <v>8</v>
      </c>
      <c r="G7">
        <v>105</v>
      </c>
      <c r="H7">
        <v>230</v>
      </c>
      <c r="I7">
        <f t="shared" si="1"/>
        <v>335</v>
      </c>
      <c r="J7" s="24">
        <f t="shared" si="2"/>
        <v>0.68656716417910446</v>
      </c>
      <c r="M7" s="44"/>
      <c r="N7" s="21"/>
    </row>
    <row r="8" spans="1:14">
      <c r="A8" t="s">
        <v>178</v>
      </c>
      <c r="B8" t="s">
        <v>177</v>
      </c>
      <c r="C8" t="str">
        <f t="shared" si="0"/>
        <v>Class 5 Utility - Medium</v>
      </c>
      <c r="D8" t="s">
        <v>164</v>
      </c>
      <c r="E8">
        <v>8</v>
      </c>
      <c r="G8">
        <v>280</v>
      </c>
      <c r="H8">
        <v>105</v>
      </c>
      <c r="I8">
        <f t="shared" si="1"/>
        <v>385</v>
      </c>
      <c r="J8" s="24">
        <f t="shared" si="2"/>
        <v>0.27272727272727271</v>
      </c>
      <c r="M8" s="44"/>
      <c r="N8" s="21"/>
    </row>
    <row r="9" spans="1:14">
      <c r="A9" t="s">
        <v>176</v>
      </c>
      <c r="B9" t="s">
        <v>168</v>
      </c>
      <c r="C9" t="str">
        <f t="shared" ref="C9:C12" si="3">A9&amp;" - "&amp;B9</f>
        <v>Class 7 Tractor - DayCab</v>
      </c>
      <c r="D9" t="s">
        <v>169</v>
      </c>
      <c r="E9">
        <v>26</v>
      </c>
      <c r="G9">
        <v>60</v>
      </c>
      <c r="H9">
        <v>240</v>
      </c>
      <c r="I9">
        <f>SUM(G9:H9)</f>
        <v>300</v>
      </c>
      <c r="J9" s="24">
        <f t="shared" si="2"/>
        <v>0.8</v>
      </c>
      <c r="K9">
        <v>5</v>
      </c>
      <c r="M9" s="44"/>
      <c r="N9" s="21" t="s">
        <v>171</v>
      </c>
    </row>
    <row r="10" spans="1:14">
      <c r="A10" t="s">
        <v>175</v>
      </c>
      <c r="B10" t="s">
        <v>168</v>
      </c>
      <c r="C10" t="str">
        <f t="shared" si="3"/>
        <v>Class 7 Aero - DayCab</v>
      </c>
      <c r="D10" t="s">
        <v>164</v>
      </c>
      <c r="E10">
        <v>26</v>
      </c>
      <c r="G10">
        <v>480</v>
      </c>
      <c r="H10">
        <v>260</v>
      </c>
      <c r="I10">
        <v>480</v>
      </c>
      <c r="J10" s="24">
        <f t="shared" si="2"/>
        <v>0.54166666666666663</v>
      </c>
      <c r="M10" s="44"/>
      <c r="N10" s="21" t="s">
        <v>171</v>
      </c>
    </row>
    <row r="11" spans="1:14">
      <c r="A11" t="s">
        <v>173</v>
      </c>
      <c r="B11" t="s">
        <v>168</v>
      </c>
      <c r="C11" t="str">
        <f t="shared" si="3"/>
        <v>Class 8 Tractor - DayCab</v>
      </c>
      <c r="D11" t="s">
        <v>169</v>
      </c>
      <c r="E11">
        <v>40</v>
      </c>
      <c r="G11">
        <v>90</v>
      </c>
      <c r="H11">
        <v>310</v>
      </c>
      <c r="I11">
        <f>SUM(G11:H11)</f>
        <v>400</v>
      </c>
      <c r="J11" s="24">
        <f t="shared" si="2"/>
        <v>0.77500000000000002</v>
      </c>
      <c r="K11">
        <v>8</v>
      </c>
      <c r="M11" s="44"/>
      <c r="N11" s="21" t="s">
        <v>171</v>
      </c>
    </row>
    <row r="12" spans="1:14">
      <c r="A12" t="s">
        <v>174</v>
      </c>
      <c r="B12" t="s">
        <v>168</v>
      </c>
      <c r="C12" t="str">
        <f t="shared" si="3"/>
        <v>Class 8 Aero - DayCab</v>
      </c>
      <c r="D12" t="s">
        <v>164</v>
      </c>
      <c r="E12">
        <v>40</v>
      </c>
      <c r="G12">
        <v>510</v>
      </c>
      <c r="H12">
        <v>280</v>
      </c>
      <c r="I12">
        <v>510</v>
      </c>
      <c r="J12" s="24">
        <f t="shared" si="2"/>
        <v>0.5490196078431373</v>
      </c>
      <c r="M12" s="44"/>
      <c r="N12" s="21" t="s">
        <v>171</v>
      </c>
    </row>
    <row r="13" spans="1:14">
      <c r="M13" s="44"/>
      <c r="N13" s="21"/>
    </row>
    <row r="14" spans="1:14">
      <c r="M14" s="44"/>
      <c r="N14" s="21"/>
    </row>
    <row r="15" spans="1:14">
      <c r="M15" s="44"/>
      <c r="N15" s="21"/>
    </row>
    <row r="16" spans="1:14">
      <c r="M16" s="44"/>
      <c r="N16" s="21"/>
    </row>
    <row r="17" spans="13:14">
      <c r="M17" s="44"/>
      <c r="N17" s="21"/>
    </row>
    <row r="18" spans="13:14">
      <c r="M18" s="44"/>
      <c r="N18" s="21"/>
    </row>
    <row r="19" spans="13:14">
      <c r="M19" s="44"/>
      <c r="N19" s="21"/>
    </row>
    <row r="20" spans="13:14">
      <c r="M20" s="44"/>
      <c r="N20" s="21"/>
    </row>
  </sheetData>
  <hyperlinks>
    <hyperlink ref="N2" r:id="rId1"/>
    <hyperlink ref="N9" r:id="rId2"/>
    <hyperlink ref="N10:N12" r:id="rId3" display="https://www.mdpi.com/2032-6653/11/1/12/pdf"/>
  </hyperlinks>
  <pageMargins left="0.7" right="0.7" top="0.75" bottom="0.75" header="0.3" footer="0.3"/>
  <pageSetup paperSize="9" orientation="portrait" horizontalDpi="300" verticalDpi="300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sqref="A1:K8"/>
    </sheetView>
  </sheetViews>
  <sheetFormatPr defaultRowHeight="14.4"/>
  <cols>
    <col min="1" max="1" width="5.77734375" bestFit="1" customWidth="1"/>
    <col min="4" max="4" width="9.77734375" bestFit="1" customWidth="1"/>
    <col min="5" max="6" width="16.77734375" bestFit="1" customWidth="1"/>
    <col min="7" max="7" width="27.21875" bestFit="1" customWidth="1"/>
    <col min="8" max="8" width="20" customWidth="1"/>
    <col min="9" max="9" width="20.109375" bestFit="1" customWidth="1"/>
    <col min="10" max="10" width="10.21875" bestFit="1" customWidth="1"/>
    <col min="11" max="11" width="19.77734375" bestFit="1" customWidth="1"/>
    <col min="12" max="12" width="6.44140625" bestFit="1" customWidth="1"/>
  </cols>
  <sheetData>
    <row r="1" spans="1:12" ht="15" thickBot="1">
      <c r="A1" s="45" t="s">
        <v>105</v>
      </c>
      <c r="B1" s="45" t="s">
        <v>106</v>
      </c>
      <c r="C1" s="45" t="s">
        <v>137</v>
      </c>
      <c r="D1" s="45" t="s">
        <v>128</v>
      </c>
      <c r="E1" s="45" t="s">
        <v>129</v>
      </c>
      <c r="F1" s="45" t="s">
        <v>130</v>
      </c>
      <c r="G1" s="45" t="s">
        <v>141</v>
      </c>
      <c r="H1" s="45" t="s">
        <v>142</v>
      </c>
      <c r="I1" s="45" t="s">
        <v>131</v>
      </c>
      <c r="J1" s="45" t="s">
        <v>132</v>
      </c>
      <c r="K1" s="45" t="s">
        <v>133</v>
      </c>
      <c r="L1" s="45" t="s">
        <v>107</v>
      </c>
    </row>
    <row r="2" spans="1:12" ht="15" thickTop="1">
      <c r="A2" t="s">
        <v>139</v>
      </c>
      <c r="B2" t="s">
        <v>140</v>
      </c>
      <c r="C2" t="str">
        <f t="shared" ref="C2:C8" si="0">A2&amp;" - "&amp;B2</f>
        <v>MAN - TGS 18.320</v>
      </c>
      <c r="D2">
        <v>34</v>
      </c>
      <c r="F2">
        <v>250</v>
      </c>
      <c r="G2">
        <v>31</v>
      </c>
      <c r="H2">
        <v>100</v>
      </c>
      <c r="I2">
        <v>120</v>
      </c>
      <c r="J2">
        <v>375</v>
      </c>
      <c r="K2" s="44">
        <f t="shared" ref="K2:K8" si="1">(G2/J2)*120/3.6</f>
        <v>2.7555555555555555</v>
      </c>
      <c r="L2" s="21" t="s">
        <v>143</v>
      </c>
    </row>
    <row r="3" spans="1:12">
      <c r="A3" t="s">
        <v>144</v>
      </c>
      <c r="B3" t="s">
        <v>145</v>
      </c>
      <c r="C3" t="str">
        <f t="shared" si="0"/>
        <v>Hyundai - Xcient</v>
      </c>
      <c r="D3">
        <v>36</v>
      </c>
      <c r="F3">
        <v>350</v>
      </c>
      <c r="G3">
        <v>34.5</v>
      </c>
      <c r="H3">
        <v>190</v>
      </c>
      <c r="I3">
        <v>73</v>
      </c>
      <c r="J3">
        <v>400</v>
      </c>
      <c r="K3" s="44">
        <f t="shared" si="1"/>
        <v>2.875</v>
      </c>
      <c r="L3" s="21" t="s">
        <v>148</v>
      </c>
    </row>
    <row r="4" spans="1:12">
      <c r="A4" t="s">
        <v>146</v>
      </c>
      <c r="B4" t="s">
        <v>147</v>
      </c>
      <c r="C4" t="str">
        <f t="shared" si="0"/>
        <v>Renault - Maxity H2</v>
      </c>
      <c r="D4">
        <v>4.5</v>
      </c>
      <c r="F4">
        <v>47</v>
      </c>
      <c r="G4">
        <v>4</v>
      </c>
      <c r="H4">
        <v>20</v>
      </c>
      <c r="I4">
        <v>42</v>
      </c>
      <c r="J4">
        <v>200</v>
      </c>
      <c r="K4" s="44">
        <f t="shared" si="1"/>
        <v>0.66666666666666663</v>
      </c>
      <c r="L4" s="21" t="s">
        <v>149</v>
      </c>
    </row>
    <row r="5" spans="1:12">
      <c r="A5" t="s">
        <v>150</v>
      </c>
      <c r="B5" t="s">
        <v>151</v>
      </c>
      <c r="C5" t="str">
        <f t="shared" si="0"/>
        <v>VDL - H2-Share</v>
      </c>
      <c r="D5">
        <v>27</v>
      </c>
      <c r="F5">
        <v>210</v>
      </c>
      <c r="G5">
        <v>30</v>
      </c>
      <c r="H5">
        <v>88</v>
      </c>
      <c r="I5">
        <v>84</v>
      </c>
      <c r="J5">
        <v>400</v>
      </c>
      <c r="K5" s="44">
        <f t="shared" si="1"/>
        <v>2.5</v>
      </c>
      <c r="L5" s="21" t="s">
        <v>152</v>
      </c>
    </row>
    <row r="6" spans="1:12">
      <c r="A6" t="s">
        <v>153</v>
      </c>
      <c r="C6" t="str">
        <f t="shared" si="0"/>
        <v xml:space="preserve">Scania - </v>
      </c>
      <c r="D6">
        <v>27</v>
      </c>
      <c r="F6">
        <v>290</v>
      </c>
      <c r="G6">
        <v>33</v>
      </c>
      <c r="H6">
        <v>90</v>
      </c>
      <c r="I6">
        <v>56</v>
      </c>
      <c r="J6">
        <v>400</v>
      </c>
      <c r="K6" s="44">
        <f t="shared" si="1"/>
        <v>2.75</v>
      </c>
      <c r="L6" s="21" t="s">
        <v>154</v>
      </c>
    </row>
    <row r="7" spans="1:12">
      <c r="A7" t="s">
        <v>155</v>
      </c>
      <c r="B7" t="s">
        <v>156</v>
      </c>
      <c r="C7" t="str">
        <f t="shared" si="0"/>
        <v>Kenworth - T680</v>
      </c>
      <c r="D7">
        <v>36</v>
      </c>
      <c r="F7">
        <v>360</v>
      </c>
      <c r="G7">
        <v>30</v>
      </c>
      <c r="H7">
        <v>85</v>
      </c>
      <c r="I7">
        <v>100</v>
      </c>
      <c r="J7">
        <v>320</v>
      </c>
      <c r="K7" s="44">
        <f t="shared" si="1"/>
        <v>3.125</v>
      </c>
      <c r="L7" s="21" t="s">
        <v>157</v>
      </c>
    </row>
    <row r="8" spans="1:12">
      <c r="A8" t="s">
        <v>158</v>
      </c>
      <c r="B8" t="s">
        <v>159</v>
      </c>
      <c r="C8" t="str">
        <f t="shared" si="0"/>
        <v>UPS - H2 truck</v>
      </c>
      <c r="D8">
        <v>12</v>
      </c>
      <c r="G8">
        <v>10</v>
      </c>
      <c r="H8">
        <v>31</v>
      </c>
      <c r="I8">
        <v>45</v>
      </c>
      <c r="J8">
        <v>200</v>
      </c>
      <c r="K8" s="44">
        <f t="shared" si="1"/>
        <v>1.6666666666666665</v>
      </c>
      <c r="L8" s="21" t="s">
        <v>160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15" sqref="B15"/>
    </sheetView>
  </sheetViews>
  <sheetFormatPr defaultRowHeight="14.4"/>
  <cols>
    <col min="1" max="1" width="13.21875" bestFit="1" customWidth="1"/>
  </cols>
  <sheetData>
    <row r="1" spans="1:7">
      <c r="A1" t="s">
        <v>3</v>
      </c>
      <c r="B1" t="s">
        <v>64</v>
      </c>
      <c r="C1" t="s">
        <v>64</v>
      </c>
      <c r="D1" t="s">
        <v>64</v>
      </c>
      <c r="E1" t="s">
        <v>64</v>
      </c>
      <c r="F1" t="s">
        <v>65</v>
      </c>
      <c r="G1" t="s">
        <v>223</v>
      </c>
    </row>
    <row r="2" spans="1:7">
      <c r="A2" t="s">
        <v>2</v>
      </c>
      <c r="B2">
        <v>93</v>
      </c>
      <c r="C2">
        <v>70</v>
      </c>
      <c r="D2">
        <v>28</v>
      </c>
      <c r="E2">
        <v>145</v>
      </c>
      <c r="F2">
        <v>50</v>
      </c>
      <c r="G2">
        <v>400</v>
      </c>
    </row>
    <row r="3" spans="1:7">
      <c r="A3" t="s">
        <v>1</v>
      </c>
      <c r="B3">
        <v>51</v>
      </c>
      <c r="C3">
        <v>51</v>
      </c>
      <c r="D3">
        <v>26</v>
      </c>
      <c r="E3">
        <v>76</v>
      </c>
      <c r="F3">
        <v>36.299999999999997</v>
      </c>
      <c r="G3">
        <v>550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H24" sqref="H24"/>
    </sheetView>
  </sheetViews>
  <sheetFormatPr defaultRowHeight="14.4"/>
  <sheetData>
    <row r="2" spans="1:3">
      <c r="A2" t="s">
        <v>4</v>
      </c>
    </row>
    <row r="3" spans="1:3">
      <c r="A3" t="s">
        <v>0</v>
      </c>
      <c r="B3">
        <v>100</v>
      </c>
      <c r="C3">
        <v>212</v>
      </c>
    </row>
    <row r="4" spans="1:3">
      <c r="A4" t="s">
        <v>1</v>
      </c>
      <c r="B4">
        <v>9.5</v>
      </c>
      <c r="C4">
        <v>15.5</v>
      </c>
    </row>
    <row r="5" spans="1:3">
      <c r="A5" t="s">
        <v>11</v>
      </c>
      <c r="B5">
        <f>B4/B3</f>
        <v>9.5000000000000001E-2</v>
      </c>
      <c r="C5" s="1">
        <f>C4/C3</f>
        <v>7.3113207547169809E-2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F55" sqref="F55"/>
    </sheetView>
  </sheetViews>
  <sheetFormatPr defaultRowHeight="14.4"/>
  <cols>
    <col min="1" max="1" width="58.5546875" bestFit="1" customWidth="1"/>
    <col min="2" max="2" width="9.77734375" bestFit="1" customWidth="1"/>
  </cols>
  <sheetData>
    <row r="1" spans="1:18">
      <c r="A1" s="168" t="s">
        <v>271</v>
      </c>
      <c r="B1" s="168"/>
      <c r="C1" s="168"/>
      <c r="D1" s="168"/>
      <c r="E1" s="168"/>
      <c r="F1" s="168"/>
      <c r="G1" s="168"/>
      <c r="H1" s="168"/>
      <c r="I1" s="168"/>
    </row>
    <row r="2" spans="1:18">
      <c r="A2" t="s">
        <v>17</v>
      </c>
      <c r="M2" s="168" t="s">
        <v>301</v>
      </c>
      <c r="N2" s="168"/>
      <c r="O2" s="168"/>
      <c r="P2" s="168"/>
      <c r="Q2" s="168"/>
      <c r="R2" s="168"/>
    </row>
    <row r="3" spans="1:18">
      <c r="A3" s="6"/>
      <c r="B3" s="6">
        <v>2011</v>
      </c>
      <c r="C3" s="6">
        <v>2012</v>
      </c>
      <c r="D3" s="6">
        <v>2013</v>
      </c>
      <c r="E3" s="6">
        <v>2014</v>
      </c>
      <c r="F3" s="6">
        <v>2015</v>
      </c>
      <c r="G3" s="6">
        <v>2016</v>
      </c>
      <c r="H3" s="6">
        <v>2017</v>
      </c>
      <c r="I3" s="6">
        <v>2018</v>
      </c>
      <c r="M3">
        <v>2005</v>
      </c>
      <c r="N3">
        <v>2006</v>
      </c>
      <c r="O3">
        <v>2007</v>
      </c>
      <c r="P3">
        <v>2008</v>
      </c>
      <c r="Q3">
        <v>2009</v>
      </c>
      <c r="R3">
        <v>2010</v>
      </c>
    </row>
    <row r="4" spans="1:18">
      <c r="A4" t="s">
        <v>16</v>
      </c>
      <c r="B4" s="4">
        <v>19572</v>
      </c>
      <c r="C4" s="4">
        <v>18487</v>
      </c>
      <c r="D4" s="4">
        <v>17814</v>
      </c>
      <c r="E4" s="4">
        <v>17835</v>
      </c>
      <c r="F4" s="4">
        <v>19132</v>
      </c>
      <c r="G4" s="4">
        <v>20215</v>
      </c>
      <c r="H4" s="4">
        <v>19497</v>
      </c>
      <c r="I4" s="4">
        <v>18752</v>
      </c>
      <c r="L4" t="s">
        <v>294</v>
      </c>
      <c r="M4" s="95">
        <v>54.361859345101777</v>
      </c>
      <c r="N4" s="96">
        <v>58.339086382379364</v>
      </c>
      <c r="O4" s="96">
        <v>52.440124431958992</v>
      </c>
      <c r="P4" s="96">
        <v>55.816343804554791</v>
      </c>
      <c r="Q4" s="96">
        <v>49.054567883744511</v>
      </c>
      <c r="R4" s="97">
        <v>46.289594246342091</v>
      </c>
    </row>
    <row r="5" spans="1:18">
      <c r="A5" t="s">
        <v>161</v>
      </c>
      <c r="B5" s="5">
        <f t="shared" ref="B5:I5" si="0">3.5*B4</f>
        <v>68502</v>
      </c>
      <c r="C5" s="5">
        <f t="shared" si="0"/>
        <v>64704.5</v>
      </c>
      <c r="D5" s="5">
        <f t="shared" si="0"/>
        <v>62349</v>
      </c>
      <c r="E5" s="5">
        <f t="shared" si="0"/>
        <v>62422.5</v>
      </c>
      <c r="F5" s="5">
        <f t="shared" si="0"/>
        <v>66962</v>
      </c>
      <c r="G5" s="5">
        <f t="shared" si="0"/>
        <v>70752.5</v>
      </c>
      <c r="H5" s="5">
        <f t="shared" si="0"/>
        <v>68239.5</v>
      </c>
      <c r="I5" s="5">
        <f t="shared" si="0"/>
        <v>65632</v>
      </c>
      <c r="L5" t="s">
        <v>295</v>
      </c>
      <c r="M5" s="98">
        <v>23.345819984617155</v>
      </c>
      <c r="N5" s="99">
        <v>22.381276690324771</v>
      </c>
      <c r="O5" s="99">
        <v>21.363926659992543</v>
      </c>
      <c r="P5" s="99">
        <v>18.74224122379988</v>
      </c>
      <c r="Q5" s="99">
        <v>18.483520014620819</v>
      </c>
      <c r="R5" s="100">
        <v>17.359586919929566</v>
      </c>
    </row>
    <row r="6" spans="1:18">
      <c r="A6" t="s">
        <v>163</v>
      </c>
      <c r="B6" s="5">
        <f t="shared" ref="B6:I6" si="1">4.25*B4</f>
        <v>83181</v>
      </c>
      <c r="C6" s="5">
        <f t="shared" si="1"/>
        <v>78569.75</v>
      </c>
      <c r="D6" s="5">
        <f t="shared" si="1"/>
        <v>75709.5</v>
      </c>
      <c r="E6" s="5">
        <f t="shared" si="1"/>
        <v>75798.75</v>
      </c>
      <c r="F6" s="5">
        <f t="shared" si="1"/>
        <v>81311</v>
      </c>
      <c r="G6" s="5">
        <f t="shared" si="1"/>
        <v>85913.75</v>
      </c>
      <c r="H6" s="5">
        <f t="shared" si="1"/>
        <v>82862.25</v>
      </c>
      <c r="I6" s="5">
        <f t="shared" si="1"/>
        <v>79696</v>
      </c>
      <c r="L6" t="s">
        <v>272</v>
      </c>
      <c r="M6" s="68">
        <v>63.559231889036688</v>
      </c>
      <c r="N6" s="69">
        <v>47.111219437843083</v>
      </c>
      <c r="O6" s="69">
        <v>51.030707981389341</v>
      </c>
      <c r="P6" s="69">
        <v>47.683810044446808</v>
      </c>
      <c r="Q6" s="69">
        <v>62.891937025091032</v>
      </c>
      <c r="R6" s="70">
        <v>69.091122537736311</v>
      </c>
    </row>
    <row r="7" spans="1:18">
      <c r="A7" t="s">
        <v>162</v>
      </c>
      <c r="B7" s="5">
        <f t="shared" ref="B7:I7" si="2">9.5*B4</f>
        <v>185934</v>
      </c>
      <c r="C7" s="5">
        <f t="shared" si="2"/>
        <v>175626.5</v>
      </c>
      <c r="D7" s="5">
        <f t="shared" si="2"/>
        <v>169233</v>
      </c>
      <c r="E7" s="5">
        <f t="shared" si="2"/>
        <v>169432.5</v>
      </c>
      <c r="F7" s="5">
        <f t="shared" si="2"/>
        <v>181754</v>
      </c>
      <c r="G7" s="5">
        <f t="shared" si="2"/>
        <v>192042.5</v>
      </c>
      <c r="H7" s="5">
        <f t="shared" si="2"/>
        <v>185221.5</v>
      </c>
      <c r="I7" s="5">
        <f t="shared" si="2"/>
        <v>178144</v>
      </c>
      <c r="L7" t="s">
        <v>273</v>
      </c>
      <c r="M7" s="71">
        <v>94.705983748266533</v>
      </c>
      <c r="N7" s="72">
        <v>83.53901655791519</v>
      </c>
      <c r="O7" s="72">
        <v>84.682270155055036</v>
      </c>
      <c r="P7" s="72">
        <v>86.554170255633835</v>
      </c>
      <c r="Q7" s="72">
        <v>79.049016525090622</v>
      </c>
      <c r="R7" s="73">
        <v>79.621629371501484</v>
      </c>
    </row>
    <row r="8" spans="1:18">
      <c r="A8" t="s">
        <v>15</v>
      </c>
      <c r="B8" s="4">
        <v>56554</v>
      </c>
      <c r="C8" s="4">
        <v>52816</v>
      </c>
      <c r="D8" s="4">
        <v>51530</v>
      </c>
      <c r="E8" s="4">
        <v>51976</v>
      </c>
      <c r="F8" s="4">
        <v>63937</v>
      </c>
      <c r="G8" s="4">
        <v>73052</v>
      </c>
      <c r="H8" s="4">
        <v>66952</v>
      </c>
      <c r="I8" s="4">
        <v>66239</v>
      </c>
      <c r="L8" t="s">
        <v>274</v>
      </c>
      <c r="M8" s="74">
        <v>43.611676784881958</v>
      </c>
      <c r="N8" s="75">
        <v>35.990902623894442</v>
      </c>
      <c r="O8" s="75">
        <v>34.07340015020246</v>
      </c>
      <c r="P8" s="75">
        <v>35.203878313634597</v>
      </c>
      <c r="Q8" s="75">
        <v>25.715598461168252</v>
      </c>
      <c r="R8" s="76">
        <v>27.959456255769883</v>
      </c>
    </row>
    <row r="9" spans="1:18">
      <c r="A9" s="3" t="s">
        <v>14</v>
      </c>
      <c r="B9" s="2">
        <f t="shared" ref="B9:I9" si="3">B8/B5</f>
        <v>0.82558173483985864</v>
      </c>
      <c r="C9" s="2">
        <f t="shared" si="3"/>
        <v>0.81626471110973731</v>
      </c>
      <c r="D9" s="2">
        <f t="shared" si="3"/>
        <v>0.82647676787117674</v>
      </c>
      <c r="E9" s="2">
        <f t="shared" si="3"/>
        <v>0.83264848412030923</v>
      </c>
      <c r="F9" s="2">
        <f t="shared" si="3"/>
        <v>0.95482512469758962</v>
      </c>
      <c r="G9" s="2">
        <f t="shared" si="3"/>
        <v>1.0325006183527083</v>
      </c>
      <c r="H9" s="2">
        <f t="shared" si="3"/>
        <v>0.98113262846298699</v>
      </c>
      <c r="I9" s="2">
        <f t="shared" si="3"/>
        <v>1.0092485372988786</v>
      </c>
      <c r="L9" t="s">
        <v>275</v>
      </c>
      <c r="M9" s="77">
        <v>37.338130495946935</v>
      </c>
      <c r="N9" s="78">
        <v>42.135467581322217</v>
      </c>
      <c r="O9" s="78">
        <v>40.152459222464024</v>
      </c>
      <c r="P9" s="78">
        <v>40.825658842998564</v>
      </c>
      <c r="Q9" s="78">
        <v>38.873147027266214</v>
      </c>
      <c r="R9" s="79">
        <v>48.016980525454471</v>
      </c>
    </row>
    <row r="10" spans="1:18">
      <c r="A10" s="3" t="s">
        <v>13</v>
      </c>
      <c r="B10" s="2">
        <f t="shared" ref="B10:I10" si="4">B8/B6</f>
        <v>0.67989084045635417</v>
      </c>
      <c r="C10" s="2">
        <f t="shared" si="4"/>
        <v>0.67221799738448962</v>
      </c>
      <c r="D10" s="2">
        <f t="shared" si="4"/>
        <v>0.68062792648214554</v>
      </c>
      <c r="E10" s="2">
        <f t="shared" si="4"/>
        <v>0.6857105163343723</v>
      </c>
      <c r="F10" s="2">
        <f t="shared" si="4"/>
        <v>0.78632657328036792</v>
      </c>
      <c r="G10" s="2">
        <f t="shared" si="4"/>
        <v>0.85029462687870105</v>
      </c>
      <c r="H10" s="2">
        <f t="shared" si="4"/>
        <v>0.80799157638128338</v>
      </c>
      <c r="I10" s="2">
        <f t="shared" si="4"/>
        <v>0.8311458542461353</v>
      </c>
      <c r="L10" t="s">
        <v>276</v>
      </c>
      <c r="M10" s="80">
        <v>30.236078682953718</v>
      </c>
      <c r="N10" s="81">
        <v>26.034496706975052</v>
      </c>
      <c r="O10" s="81">
        <v>24.434626422362012</v>
      </c>
      <c r="P10" s="81">
        <v>23.552713843981579</v>
      </c>
      <c r="Q10" s="81">
        <v>23.867160094725868</v>
      </c>
      <c r="R10" s="82">
        <v>20.401064868016576</v>
      </c>
    </row>
    <row r="11" spans="1:18">
      <c r="A11" s="3" t="s">
        <v>12</v>
      </c>
      <c r="B11" s="2">
        <f t="shared" ref="B11:I11" si="5">B8/B7</f>
        <v>0.30416169178310581</v>
      </c>
      <c r="C11" s="2">
        <f t="shared" si="5"/>
        <v>0.30072910409306114</v>
      </c>
      <c r="D11" s="2">
        <f t="shared" si="5"/>
        <v>0.30449144079464407</v>
      </c>
      <c r="E11" s="2">
        <f t="shared" si="5"/>
        <v>0.30676523099169284</v>
      </c>
      <c r="F11" s="2">
        <f t="shared" si="5"/>
        <v>0.35177767752016464</v>
      </c>
      <c r="G11" s="2">
        <f t="shared" si="5"/>
        <v>0.38039496465626099</v>
      </c>
      <c r="H11" s="2">
        <f t="shared" si="5"/>
        <v>0.36146991574952153</v>
      </c>
      <c r="I11" s="2">
        <f t="shared" si="5"/>
        <v>0.37182840847853421</v>
      </c>
      <c r="L11" t="s">
        <v>277</v>
      </c>
      <c r="M11" s="83">
        <v>65.562015798622454</v>
      </c>
      <c r="N11" s="84">
        <v>56.734372380849237</v>
      </c>
      <c r="O11" s="84">
        <v>64.231854337192118</v>
      </c>
      <c r="P11" s="84">
        <v>82.936325741577548</v>
      </c>
      <c r="Q11" s="84">
        <v>68.185739967667885</v>
      </c>
      <c r="R11" s="85">
        <v>57.300667055227834</v>
      </c>
    </row>
    <row r="12" spans="1:18">
      <c r="A12" s="7" t="s">
        <v>18</v>
      </c>
      <c r="B12" s="4">
        <v>266864</v>
      </c>
      <c r="C12" s="4">
        <v>252646</v>
      </c>
      <c r="D12" s="4">
        <v>237611</v>
      </c>
      <c r="E12" s="4">
        <v>238514</v>
      </c>
      <c r="F12" s="4">
        <v>248065</v>
      </c>
      <c r="G12" s="4">
        <v>240412</v>
      </c>
      <c r="H12" s="4">
        <v>239623</v>
      </c>
      <c r="I12" s="4">
        <v>231049</v>
      </c>
      <c r="L12" t="s">
        <v>278</v>
      </c>
      <c r="M12" s="86">
        <v>57.187030837114278</v>
      </c>
      <c r="N12" s="87">
        <v>51.52574734528018</v>
      </c>
      <c r="O12" s="87">
        <v>47.877489102315394</v>
      </c>
      <c r="P12" s="87">
        <v>50.364948405675179</v>
      </c>
      <c r="Q12" s="87">
        <v>49.912127331213348</v>
      </c>
      <c r="R12" s="88">
        <v>48.050597037556678</v>
      </c>
    </row>
    <row r="13" spans="1:18">
      <c r="A13" s="3" t="s">
        <v>19</v>
      </c>
      <c r="B13" s="8">
        <f>(B4*1000000)/(B12*1000)</f>
        <v>73.340727861382575</v>
      </c>
      <c r="C13" s="8">
        <f t="shared" ref="C13:I13" si="6">(C4*1000000)/(C12*1000)</f>
        <v>73.173531344252439</v>
      </c>
      <c r="D13" s="8">
        <f t="shared" si="6"/>
        <v>74.971276582313109</v>
      </c>
      <c r="E13" s="8">
        <f t="shared" si="6"/>
        <v>74.775484877197982</v>
      </c>
      <c r="F13" s="8">
        <f t="shared" si="6"/>
        <v>77.124947090480319</v>
      </c>
      <c r="G13" s="8">
        <f t="shared" si="6"/>
        <v>84.084821057185167</v>
      </c>
      <c r="H13" s="8">
        <f t="shared" si="6"/>
        <v>81.365311343234993</v>
      </c>
      <c r="I13" s="8">
        <f t="shared" si="6"/>
        <v>81.160273361927551</v>
      </c>
      <c r="L13" t="s">
        <v>248</v>
      </c>
      <c r="M13" s="89">
        <v>31.999923020517347</v>
      </c>
      <c r="N13" s="90">
        <v>32.276340205216208</v>
      </c>
      <c r="O13" s="90">
        <v>32.775568934693638</v>
      </c>
      <c r="P13" s="90">
        <v>33.27249877747176</v>
      </c>
      <c r="Q13" s="90">
        <v>30.867008770745795</v>
      </c>
      <c r="R13" s="91">
        <v>30.860341778599896</v>
      </c>
    </row>
    <row r="14" spans="1:18">
      <c r="A14" s="3"/>
      <c r="L14" t="s">
        <v>247</v>
      </c>
      <c r="M14" s="92">
        <v>41.570300005979398</v>
      </c>
      <c r="N14" s="93">
        <v>41.269660779559956</v>
      </c>
      <c r="O14" s="93">
        <v>41.77576738769605</v>
      </c>
      <c r="P14" s="93">
        <v>41.208541345531721</v>
      </c>
      <c r="Q14" s="93">
        <v>39.634964116409598</v>
      </c>
      <c r="R14" s="94">
        <v>37.884811669362726</v>
      </c>
    </row>
    <row r="15" spans="1:18">
      <c r="A15" t="s">
        <v>20</v>
      </c>
      <c r="L15" t="s">
        <v>279</v>
      </c>
      <c r="M15" s="101">
        <v>53.001672655780972</v>
      </c>
      <c r="N15" s="102">
        <v>52.175933131601376</v>
      </c>
      <c r="O15" s="102">
        <v>40.152819289812498</v>
      </c>
      <c r="P15" s="102">
        <v>45.233344720328773</v>
      </c>
      <c r="Q15" s="102">
        <v>36.420055959471526</v>
      </c>
      <c r="R15" s="103">
        <v>43.636435168042027</v>
      </c>
    </row>
    <row r="16" spans="1:18">
      <c r="A16" s="6"/>
      <c r="B16" s="6">
        <v>2011</v>
      </c>
      <c r="C16" s="6">
        <v>2012</v>
      </c>
      <c r="D16" s="6">
        <v>2013</v>
      </c>
      <c r="E16" s="6">
        <v>2014</v>
      </c>
      <c r="F16" s="6">
        <v>2015</v>
      </c>
      <c r="G16" s="6">
        <v>2016</v>
      </c>
      <c r="H16" s="6">
        <v>2017</v>
      </c>
      <c r="I16" s="6"/>
      <c r="L16" t="s">
        <v>280</v>
      </c>
      <c r="M16" s="104">
        <v>38.975047076025319</v>
      </c>
      <c r="N16" s="105">
        <v>44.610488654713507</v>
      </c>
      <c r="O16" s="105">
        <v>53.184695937383815</v>
      </c>
      <c r="P16" s="105">
        <v>46.32784389046013</v>
      </c>
      <c r="Q16" s="105">
        <v>47.340643641450882</v>
      </c>
      <c r="R16" s="106">
        <v>49.018323233040576</v>
      </c>
    </row>
    <row r="17" spans="1:18">
      <c r="A17" t="s">
        <v>16</v>
      </c>
      <c r="B17" s="4">
        <v>17575</v>
      </c>
      <c r="C17" s="4">
        <v>16461</v>
      </c>
      <c r="D17" s="4">
        <v>16681</v>
      </c>
      <c r="E17" s="4">
        <v>16395</v>
      </c>
      <c r="F17" s="4">
        <v>17383</v>
      </c>
      <c r="G17" s="4">
        <v>16942</v>
      </c>
      <c r="H17" s="4">
        <v>17799</v>
      </c>
      <c r="I17" s="4"/>
      <c r="L17" t="s">
        <v>281</v>
      </c>
      <c r="M17" s="107">
        <v>45.123310038399289</v>
      </c>
      <c r="N17" s="108">
        <v>34.866723488743062</v>
      </c>
      <c r="O17" s="108">
        <v>33.579190297921841</v>
      </c>
      <c r="P17" s="108">
        <v>36.091346433160808</v>
      </c>
      <c r="Q17" s="108">
        <v>34.350837249415804</v>
      </c>
      <c r="R17" s="109">
        <v>38.538132139879998</v>
      </c>
    </row>
    <row r="18" spans="1:18">
      <c r="A18" t="s">
        <v>21</v>
      </c>
      <c r="B18" s="5">
        <f>9.6*B17</f>
        <v>168720</v>
      </c>
      <c r="C18" s="5">
        <f t="shared" ref="C18:H18" si="7">9.6*C17</f>
        <v>158025.60000000001</v>
      </c>
      <c r="D18" s="5">
        <f t="shared" si="7"/>
        <v>160137.60000000001</v>
      </c>
      <c r="E18" s="5">
        <f t="shared" si="7"/>
        <v>157392</v>
      </c>
      <c r="F18" s="5">
        <f t="shared" si="7"/>
        <v>166876.79999999999</v>
      </c>
      <c r="G18" s="5">
        <f t="shared" si="7"/>
        <v>162643.19999999998</v>
      </c>
      <c r="H18" s="5">
        <f t="shared" si="7"/>
        <v>170870.39999999999</v>
      </c>
      <c r="I18" s="5"/>
      <c r="L18" t="s">
        <v>282</v>
      </c>
      <c r="M18" s="110">
        <v>45.290107592600954</v>
      </c>
      <c r="N18" s="111">
        <v>39.986189913577896</v>
      </c>
      <c r="O18" s="111">
        <v>35.751899088501411</v>
      </c>
      <c r="P18" s="111">
        <v>35.463295811193625</v>
      </c>
      <c r="Q18" s="111">
        <v>32.973600286078401</v>
      </c>
      <c r="R18" s="112">
        <v>38.784332730577113</v>
      </c>
    </row>
    <row r="19" spans="1:18">
      <c r="A19" t="s">
        <v>22</v>
      </c>
      <c r="B19" s="5">
        <f>12.5*B17</f>
        <v>219687.5</v>
      </c>
      <c r="C19" s="5">
        <f t="shared" ref="C19:H19" si="8">12.5*C17</f>
        <v>205762.5</v>
      </c>
      <c r="D19" s="5">
        <f t="shared" si="8"/>
        <v>208512.5</v>
      </c>
      <c r="E19" s="5">
        <f t="shared" si="8"/>
        <v>204937.5</v>
      </c>
      <c r="F19" s="5">
        <f t="shared" si="8"/>
        <v>217287.5</v>
      </c>
      <c r="G19" s="5">
        <f t="shared" si="8"/>
        <v>211775</v>
      </c>
      <c r="H19" s="5">
        <f t="shared" si="8"/>
        <v>222487.5</v>
      </c>
      <c r="I19" s="5"/>
      <c r="L19" t="s">
        <v>283</v>
      </c>
      <c r="M19" s="113">
        <v>54.018846477198153</v>
      </c>
      <c r="N19" s="114">
        <v>63.742528780997887</v>
      </c>
      <c r="O19" s="114">
        <v>67.934702270847183</v>
      </c>
      <c r="P19" s="114">
        <v>79.148958189272861</v>
      </c>
      <c r="Q19" s="114">
        <v>47.582403621130155</v>
      </c>
      <c r="R19" s="115">
        <v>57.024527405409081</v>
      </c>
    </row>
    <row r="20" spans="1:18">
      <c r="A20" t="s">
        <v>23</v>
      </c>
      <c r="B20" s="5">
        <f>15.5*B17</f>
        <v>272412.5</v>
      </c>
      <c r="C20" s="5">
        <f t="shared" ref="C20:H20" si="9">15.5*C17</f>
        <v>255145.5</v>
      </c>
      <c r="D20" s="5">
        <f t="shared" si="9"/>
        <v>258555.5</v>
      </c>
      <c r="E20" s="5">
        <f t="shared" si="9"/>
        <v>254122.5</v>
      </c>
      <c r="F20" s="5">
        <f t="shared" si="9"/>
        <v>269436.5</v>
      </c>
      <c r="G20" s="5">
        <f t="shared" si="9"/>
        <v>262601</v>
      </c>
      <c r="H20" s="5">
        <f t="shared" si="9"/>
        <v>275884.5</v>
      </c>
      <c r="I20" s="5"/>
      <c r="L20" t="s">
        <v>284</v>
      </c>
      <c r="M20" s="116">
        <v>17.581719314729956</v>
      </c>
      <c r="N20" s="117">
        <v>18.792324465400156</v>
      </c>
      <c r="O20" s="117">
        <v>20.522755584787507</v>
      </c>
      <c r="P20" s="117">
        <v>20.897365828922325</v>
      </c>
      <c r="Q20" s="117">
        <v>25.222090520559838</v>
      </c>
      <c r="R20" s="118">
        <v>24.52444658830807</v>
      </c>
    </row>
    <row r="21" spans="1:18">
      <c r="A21" t="s">
        <v>15</v>
      </c>
      <c r="B21" s="9">
        <v>197591</v>
      </c>
      <c r="C21" s="9">
        <v>178915</v>
      </c>
      <c r="D21" s="9">
        <v>181385</v>
      </c>
      <c r="E21" s="9">
        <v>170458</v>
      </c>
      <c r="F21" s="9">
        <v>190073</v>
      </c>
      <c r="G21" s="9">
        <v>179603</v>
      </c>
      <c r="H21" s="9">
        <v>192521</v>
      </c>
      <c r="I21" s="4"/>
      <c r="L21" t="s">
        <v>285</v>
      </c>
      <c r="M21" s="119">
        <v>11.072412788518482</v>
      </c>
      <c r="N21" s="120">
        <v>10.681265916997562</v>
      </c>
      <c r="O21" s="120">
        <v>10.190995021845222</v>
      </c>
      <c r="P21" s="120">
        <v>10.658066258593209</v>
      </c>
      <c r="Q21" s="120">
        <v>10.153938290867337</v>
      </c>
      <c r="R21" s="121">
        <v>9.0071849992234352</v>
      </c>
    </row>
    <row r="22" spans="1:18">
      <c r="A22" s="3" t="s">
        <v>14</v>
      </c>
      <c r="B22" s="2">
        <f t="shared" ref="B22:H22" si="10">B21/B18</f>
        <v>1.1711178283546704</v>
      </c>
      <c r="C22" s="2">
        <f t="shared" si="10"/>
        <v>1.1321899742826478</v>
      </c>
      <c r="D22" s="2">
        <f t="shared" si="10"/>
        <v>1.1326821433567131</v>
      </c>
      <c r="E22" s="2">
        <f t="shared" si="10"/>
        <v>1.0830156551794246</v>
      </c>
      <c r="F22" s="2">
        <f t="shared" si="10"/>
        <v>1.139001946346047</v>
      </c>
      <c r="G22" s="2">
        <f t="shared" si="10"/>
        <v>1.1042761086845316</v>
      </c>
      <c r="H22" s="2">
        <f t="shared" si="10"/>
        <v>1.126707727025863</v>
      </c>
      <c r="I22" s="2"/>
      <c r="L22" t="s">
        <v>286</v>
      </c>
      <c r="M22" s="122">
        <v>58.281808176355909</v>
      </c>
      <c r="N22" s="123">
        <v>53.666158426282536</v>
      </c>
      <c r="O22" s="123">
        <v>51.449310637005965</v>
      </c>
      <c r="P22" s="123">
        <v>50.987258904956903</v>
      </c>
      <c r="Q22" s="123">
        <v>50.746540562102169</v>
      </c>
      <c r="R22" s="124">
        <v>52.11466486831592</v>
      </c>
    </row>
    <row r="23" spans="1:18">
      <c r="A23" s="3" t="s">
        <v>13</v>
      </c>
      <c r="B23" s="2">
        <f t="shared" ref="B23:H23" si="11">B21/B19</f>
        <v>0.89941849217638692</v>
      </c>
      <c r="C23" s="2">
        <f t="shared" si="11"/>
        <v>0.86952190024907361</v>
      </c>
      <c r="D23" s="2">
        <f t="shared" si="11"/>
        <v>0.86989988609795577</v>
      </c>
      <c r="E23" s="2">
        <f t="shared" si="11"/>
        <v>0.83175602317779807</v>
      </c>
      <c r="F23" s="2">
        <f t="shared" si="11"/>
        <v>0.87475349479376407</v>
      </c>
      <c r="G23" s="2">
        <f t="shared" si="11"/>
        <v>0.84808405146972021</v>
      </c>
      <c r="H23" s="2">
        <f t="shared" si="11"/>
        <v>0.86531153435586272</v>
      </c>
      <c r="I23" s="2"/>
      <c r="L23" t="s">
        <v>287</v>
      </c>
      <c r="M23" s="125">
        <v>79.686847492084013</v>
      </c>
      <c r="N23" s="126">
        <v>82.739814658968839</v>
      </c>
      <c r="O23" s="126">
        <v>81.943306803817634</v>
      </c>
      <c r="P23" s="126">
        <v>87.681326584940109</v>
      </c>
      <c r="Q23" s="126">
        <v>79.864436890857903</v>
      </c>
      <c r="R23" s="127">
        <v>82.150956412735667</v>
      </c>
    </row>
    <row r="24" spans="1:18">
      <c r="A24" s="3" t="s">
        <v>12</v>
      </c>
      <c r="B24" s="2">
        <f t="shared" ref="B24:H24" si="12">B21/B20</f>
        <v>0.7253374936906346</v>
      </c>
      <c r="C24" s="2">
        <f t="shared" si="12"/>
        <v>0.70122733891054323</v>
      </c>
      <c r="D24" s="2">
        <f t="shared" si="12"/>
        <v>0.70153216620802883</v>
      </c>
      <c r="E24" s="2">
        <f t="shared" si="12"/>
        <v>0.67077098643370814</v>
      </c>
      <c r="F24" s="2">
        <f t="shared" si="12"/>
        <v>0.7054463667691645</v>
      </c>
      <c r="G24" s="2">
        <f t="shared" si="12"/>
        <v>0.68393875118525826</v>
      </c>
      <c r="H24" s="2">
        <f t="shared" si="12"/>
        <v>0.69783188254505057</v>
      </c>
      <c r="I24" s="2"/>
      <c r="L24" t="s">
        <v>288</v>
      </c>
      <c r="M24" s="128">
        <v>57.526093555397637</v>
      </c>
      <c r="N24" s="129">
        <v>57.348984370447901</v>
      </c>
      <c r="O24" s="129">
        <v>57.567723950717252</v>
      </c>
      <c r="P24" s="129">
        <v>57.634555992309885</v>
      </c>
      <c r="Q24" s="129">
        <v>61.499945996043621</v>
      </c>
      <c r="R24" s="130">
        <v>65.232177686667839</v>
      </c>
    </row>
    <row r="25" spans="1:18">
      <c r="A25" s="7" t="s">
        <v>18</v>
      </c>
      <c r="B25" s="10">
        <v>235818</v>
      </c>
      <c r="C25" s="10">
        <v>210769</v>
      </c>
      <c r="D25" s="10">
        <v>205017</v>
      </c>
      <c r="E25" s="10">
        <v>209278</v>
      </c>
      <c r="F25" s="10">
        <v>207867</v>
      </c>
      <c r="G25" s="10">
        <v>197093</v>
      </c>
      <c r="H25" s="10">
        <v>203297</v>
      </c>
      <c r="I25" s="4"/>
      <c r="L25" t="s">
        <v>289</v>
      </c>
      <c r="M25" s="131">
        <v>57.545651736683837</v>
      </c>
      <c r="N25" s="132">
        <v>56.450832359842259</v>
      </c>
      <c r="O25" s="132">
        <v>57.504803732075857</v>
      </c>
      <c r="P25" s="132">
        <v>61.880068382901555</v>
      </c>
      <c r="Q25" s="132">
        <v>65.976601232627644</v>
      </c>
      <c r="R25" s="133">
        <v>57.746270015896954</v>
      </c>
    </row>
    <row r="26" spans="1:18">
      <c r="A26" s="3" t="s">
        <v>19</v>
      </c>
      <c r="B26" s="8">
        <f t="shared" ref="B26:H26" si="13">(B17*1000000)/(B25*1000)</f>
        <v>74.527813822524152</v>
      </c>
      <c r="C26" s="8">
        <f t="shared" si="13"/>
        <v>78.099720547139285</v>
      </c>
      <c r="D26" s="8">
        <f t="shared" si="13"/>
        <v>81.363984450069992</v>
      </c>
      <c r="E26" s="8">
        <f t="shared" si="13"/>
        <v>78.340771605233229</v>
      </c>
      <c r="F26" s="8">
        <f t="shared" si="13"/>
        <v>83.625587515093784</v>
      </c>
      <c r="G26" s="8">
        <f t="shared" si="13"/>
        <v>85.959420172202968</v>
      </c>
      <c r="H26" s="8">
        <f t="shared" si="13"/>
        <v>87.551710059666405</v>
      </c>
      <c r="I26" s="8"/>
      <c r="L26" t="s">
        <v>290</v>
      </c>
      <c r="M26" s="134">
        <v>62.887109078927949</v>
      </c>
      <c r="N26" s="135">
        <v>63.091595121857566</v>
      </c>
      <c r="O26" s="135">
        <v>53.444924181412162</v>
      </c>
      <c r="P26" s="135">
        <v>49.622674605350284</v>
      </c>
      <c r="Q26" s="135">
        <v>51.283986965294524</v>
      </c>
      <c r="R26" s="136">
        <v>55.138204304914304</v>
      </c>
    </row>
    <row r="27" spans="1:18">
      <c r="L27" t="s">
        <v>245</v>
      </c>
      <c r="M27" s="137">
        <v>29.098218207770955</v>
      </c>
      <c r="N27" s="138">
        <v>28.900838775001251</v>
      </c>
      <c r="O27" s="138">
        <v>27.764531502259562</v>
      </c>
      <c r="P27" s="138">
        <v>26.069865020415516</v>
      </c>
      <c r="Q27" s="138">
        <v>23.298874685920875</v>
      </c>
      <c r="R27" s="139">
        <v>25.593991824258421</v>
      </c>
    </row>
    <row r="28" spans="1:18">
      <c r="A28" t="s">
        <v>24</v>
      </c>
      <c r="L28" t="s">
        <v>291</v>
      </c>
      <c r="M28" s="140">
        <v>53.773326745661571</v>
      </c>
      <c r="N28" s="141">
        <v>54.730820053258078</v>
      </c>
      <c r="O28" s="141">
        <v>56.56329284494619</v>
      </c>
      <c r="P28" s="141">
        <v>60.611986255302718</v>
      </c>
      <c r="Q28" s="141">
        <v>56.456056087211643</v>
      </c>
      <c r="R28" s="142">
        <v>56.482706987552447</v>
      </c>
    </row>
    <row r="29" spans="1:18">
      <c r="A29" s="6"/>
      <c r="B29" s="6">
        <v>2011</v>
      </c>
      <c r="C29" s="6">
        <v>2012</v>
      </c>
      <c r="D29" s="6">
        <v>2013</v>
      </c>
      <c r="E29" s="6">
        <v>2014</v>
      </c>
      <c r="F29" s="6">
        <v>2015</v>
      </c>
      <c r="G29" s="6">
        <v>2016</v>
      </c>
      <c r="H29" s="6">
        <v>2017</v>
      </c>
      <c r="I29" s="6">
        <v>2018</v>
      </c>
      <c r="L29" t="s">
        <v>260</v>
      </c>
      <c r="M29" s="140">
        <v>24.945724141449759</v>
      </c>
      <c r="N29" s="141">
        <v>23.528973248676671</v>
      </c>
      <c r="O29" s="141">
        <v>24.784224713806495</v>
      </c>
      <c r="P29" s="141">
        <v>26.909550391090036</v>
      </c>
      <c r="Q29" s="141">
        <v>28.840759977723749</v>
      </c>
      <c r="R29" s="142">
        <v>26.350827257964447</v>
      </c>
    </row>
    <row r="30" spans="1:18">
      <c r="A30" t="s">
        <v>16</v>
      </c>
      <c r="B30" s="12">
        <v>9064</v>
      </c>
      <c r="C30" s="12">
        <v>8810</v>
      </c>
      <c r="D30" s="12">
        <v>8462</v>
      </c>
      <c r="E30" s="12">
        <v>8152</v>
      </c>
      <c r="F30" s="12">
        <v>7957</v>
      </c>
      <c r="G30" s="12">
        <v>8475</v>
      </c>
      <c r="H30" s="12">
        <v>9234</v>
      </c>
      <c r="I30" s="12">
        <v>9498</v>
      </c>
      <c r="L30" t="s">
        <v>292</v>
      </c>
      <c r="M30" s="144">
        <v>26.387698014486968</v>
      </c>
      <c r="N30" s="145">
        <v>25.694948460400973</v>
      </c>
      <c r="O30" s="145">
        <v>26.875695418435633</v>
      </c>
      <c r="P30" s="145">
        <v>25.427809391630202</v>
      </c>
      <c r="Q30" s="145">
        <v>22.72306813677918</v>
      </c>
      <c r="R30" s="146">
        <v>25.832172296906762</v>
      </c>
    </row>
    <row r="31" spans="1:18">
      <c r="A31" t="s">
        <v>25</v>
      </c>
      <c r="B31" s="5">
        <f>15.6*B30</f>
        <v>141398.39999999999</v>
      </c>
      <c r="C31" s="5">
        <f t="shared" ref="C31:I31" si="14">15.6*C30</f>
        <v>137436</v>
      </c>
      <c r="D31" s="5">
        <f t="shared" si="14"/>
        <v>132007.19999999998</v>
      </c>
      <c r="E31" s="5">
        <f t="shared" si="14"/>
        <v>127171.2</v>
      </c>
      <c r="F31" s="5">
        <f t="shared" si="14"/>
        <v>124129.2</v>
      </c>
      <c r="G31" s="5">
        <f t="shared" si="14"/>
        <v>132210</v>
      </c>
      <c r="H31" s="5">
        <f t="shared" si="14"/>
        <v>144050.4</v>
      </c>
      <c r="I31" s="5">
        <f t="shared" si="14"/>
        <v>148168.79999999999</v>
      </c>
    </row>
    <row r="32" spans="1:18">
      <c r="A32" t="s">
        <v>26</v>
      </c>
      <c r="B32" s="5">
        <f>18*B30</f>
        <v>163152</v>
      </c>
      <c r="C32" s="5">
        <f t="shared" ref="C32:I32" si="15">18*C30</f>
        <v>158580</v>
      </c>
      <c r="D32" s="5">
        <f t="shared" si="15"/>
        <v>152316</v>
      </c>
      <c r="E32" s="5">
        <f t="shared" si="15"/>
        <v>146736</v>
      </c>
      <c r="F32" s="5">
        <f t="shared" si="15"/>
        <v>143226</v>
      </c>
      <c r="G32" s="5">
        <f t="shared" si="15"/>
        <v>152550</v>
      </c>
      <c r="H32" s="5">
        <f t="shared" si="15"/>
        <v>166212</v>
      </c>
      <c r="I32" s="5">
        <f t="shared" si="15"/>
        <v>170964</v>
      </c>
    </row>
    <row r="33" spans="1:19">
      <c r="A33" t="s">
        <v>27</v>
      </c>
      <c r="B33" s="5">
        <f>20.5*B30</f>
        <v>185812</v>
      </c>
      <c r="C33" s="5">
        <f t="shared" ref="C33:I33" si="16">20.5*C30</f>
        <v>180605</v>
      </c>
      <c r="D33" s="5">
        <f t="shared" si="16"/>
        <v>173471</v>
      </c>
      <c r="E33" s="5">
        <f t="shared" si="16"/>
        <v>167116</v>
      </c>
      <c r="F33" s="5">
        <f t="shared" si="16"/>
        <v>163118.5</v>
      </c>
      <c r="G33" s="5">
        <f t="shared" si="16"/>
        <v>173737.5</v>
      </c>
      <c r="H33" s="5">
        <f t="shared" si="16"/>
        <v>189297</v>
      </c>
      <c r="I33" s="5">
        <f t="shared" si="16"/>
        <v>194709</v>
      </c>
    </row>
    <row r="34" spans="1:19">
      <c r="A34" t="s">
        <v>15</v>
      </c>
      <c r="B34" s="11">
        <v>104533</v>
      </c>
      <c r="C34" s="11">
        <v>102210</v>
      </c>
      <c r="D34" s="11">
        <v>95123</v>
      </c>
      <c r="E34" s="11">
        <v>90883</v>
      </c>
      <c r="F34" s="11">
        <v>89793</v>
      </c>
      <c r="G34" s="11">
        <v>93677</v>
      </c>
      <c r="H34" s="11">
        <v>103727</v>
      </c>
      <c r="I34" s="11">
        <v>109066</v>
      </c>
    </row>
    <row r="35" spans="1:19">
      <c r="A35" s="3" t="s">
        <v>14</v>
      </c>
      <c r="B35" s="2">
        <f t="shared" ref="B35:I35" si="17">B34/B31</f>
        <v>0.73927993527508096</v>
      </c>
      <c r="C35" s="2">
        <f t="shared" si="17"/>
        <v>0.74369160918536625</v>
      </c>
      <c r="D35" s="2">
        <f t="shared" si="17"/>
        <v>0.72058948299789716</v>
      </c>
      <c r="E35" s="2">
        <f t="shared" si="17"/>
        <v>0.71465080143931958</v>
      </c>
      <c r="F35" s="2">
        <f t="shared" si="17"/>
        <v>0.72338337796425012</v>
      </c>
      <c r="G35" s="2">
        <f t="shared" si="17"/>
        <v>0.70854700854700858</v>
      </c>
      <c r="H35" s="2">
        <f t="shared" si="17"/>
        <v>0.72007436286188731</v>
      </c>
      <c r="I35" s="2">
        <f t="shared" si="17"/>
        <v>0.73609288865132205</v>
      </c>
    </row>
    <row r="36" spans="1:19">
      <c r="A36" s="3" t="s">
        <v>13</v>
      </c>
      <c r="B36" s="2">
        <f t="shared" ref="B36:I36" si="18">B34/B32</f>
        <v>0.64070927723840343</v>
      </c>
      <c r="C36" s="2">
        <f t="shared" si="18"/>
        <v>0.64453272796065075</v>
      </c>
      <c r="D36" s="2">
        <f t="shared" si="18"/>
        <v>0.62451088526484411</v>
      </c>
      <c r="E36" s="2">
        <f t="shared" si="18"/>
        <v>0.61936402791407696</v>
      </c>
      <c r="F36" s="2">
        <f t="shared" si="18"/>
        <v>0.6269322609023501</v>
      </c>
      <c r="G36" s="2">
        <f t="shared" si="18"/>
        <v>0.61407407407407411</v>
      </c>
      <c r="H36" s="2">
        <f t="shared" si="18"/>
        <v>0.62406444781363557</v>
      </c>
      <c r="I36" s="2">
        <f t="shared" si="18"/>
        <v>0.6379471701644791</v>
      </c>
    </row>
    <row r="37" spans="1:19">
      <c r="A37" s="3" t="s">
        <v>12</v>
      </c>
      <c r="B37" s="2">
        <f t="shared" ref="B37:I37" si="19">B34/B33</f>
        <v>0.56257399952640308</v>
      </c>
      <c r="C37" s="2">
        <f t="shared" si="19"/>
        <v>0.56593117577032748</v>
      </c>
      <c r="D37" s="2">
        <f t="shared" si="19"/>
        <v>0.54835102120815582</v>
      </c>
      <c r="E37" s="2">
        <f t="shared" si="19"/>
        <v>0.54383182938797003</v>
      </c>
      <c r="F37" s="2">
        <f t="shared" si="19"/>
        <v>0.55047710713377085</v>
      </c>
      <c r="G37" s="2">
        <f t="shared" si="19"/>
        <v>0.5391869918699187</v>
      </c>
      <c r="H37" s="2">
        <f t="shared" si="19"/>
        <v>0.54795902734855806</v>
      </c>
      <c r="I37" s="2">
        <f t="shared" si="19"/>
        <v>0.56014873477856697</v>
      </c>
      <c r="M37" s="67" t="s">
        <v>301</v>
      </c>
      <c r="N37" s="67"/>
      <c r="O37" s="67"/>
      <c r="P37" s="67"/>
      <c r="Q37" s="67"/>
      <c r="R37" s="67"/>
    </row>
    <row r="38" spans="1:19">
      <c r="A38" s="7" t="s">
        <v>18</v>
      </c>
      <c r="B38" s="13">
        <v>145291</v>
      </c>
      <c r="C38" s="13">
        <v>128671</v>
      </c>
      <c r="D38" s="13">
        <v>124529</v>
      </c>
      <c r="E38" s="13">
        <v>121128</v>
      </c>
      <c r="F38" s="13">
        <v>119588</v>
      </c>
      <c r="G38" s="13">
        <v>113505</v>
      </c>
      <c r="H38" s="13">
        <v>114360</v>
      </c>
      <c r="I38" s="13">
        <v>116617</v>
      </c>
      <c r="N38" s="143">
        <v>2005</v>
      </c>
      <c r="O38" s="143">
        <v>2006</v>
      </c>
      <c r="P38" s="143">
        <v>2007</v>
      </c>
      <c r="Q38" s="143">
        <v>2008</v>
      </c>
      <c r="R38" s="143">
        <v>2009</v>
      </c>
      <c r="S38" s="143">
        <v>2010</v>
      </c>
    </row>
    <row r="39" spans="1:19">
      <c r="A39" s="3" t="s">
        <v>19</v>
      </c>
      <c r="B39" s="8">
        <f t="shared" ref="B39:I39" si="20">(B30*1000000)/(B38*1000)</f>
        <v>62.385144296618513</v>
      </c>
      <c r="C39" s="8">
        <f t="shared" si="20"/>
        <v>68.469196633274009</v>
      </c>
      <c r="D39" s="8">
        <f t="shared" si="20"/>
        <v>67.9520432991512</v>
      </c>
      <c r="E39" s="8">
        <f t="shared" si="20"/>
        <v>67.300706690443164</v>
      </c>
      <c r="F39" s="8">
        <f t="shared" si="20"/>
        <v>66.53677626517711</v>
      </c>
      <c r="G39" s="8">
        <f t="shared" si="20"/>
        <v>74.666314259283737</v>
      </c>
      <c r="H39" s="8">
        <f t="shared" si="20"/>
        <v>80.745015739769144</v>
      </c>
      <c r="I39" s="8">
        <f t="shared" si="20"/>
        <v>81.446101340284869</v>
      </c>
      <c r="L39" t="s">
        <v>293</v>
      </c>
      <c r="M39" s="147" t="s">
        <v>296</v>
      </c>
      <c r="N39" s="152">
        <v>54.619664282700491</v>
      </c>
      <c r="O39" s="153">
        <v>55.330971927394046</v>
      </c>
      <c r="P39" s="153">
        <v>54.501235583878191</v>
      </c>
      <c r="Q39" s="153">
        <v>55.08024306549833</v>
      </c>
      <c r="R39" s="153">
        <v>56.358046853900667</v>
      </c>
      <c r="S39" s="154">
        <v>60.184145743803249</v>
      </c>
    </row>
    <row r="40" spans="1:19">
      <c r="M40" s="148" t="s">
        <v>297</v>
      </c>
      <c r="N40" s="155">
        <v>43.731263951503095</v>
      </c>
      <c r="O40" s="156">
        <v>43.750782861386078</v>
      </c>
      <c r="P40" s="156">
        <v>43.372456973643487</v>
      </c>
      <c r="Q40" s="156">
        <v>42.334101055822316</v>
      </c>
      <c r="R40" s="156">
        <v>39.927569685344871</v>
      </c>
      <c r="S40" s="157">
        <v>40.828797432551468</v>
      </c>
    </row>
    <row r="41" spans="1:19">
      <c r="A41" t="s">
        <v>28</v>
      </c>
      <c r="M41" s="149" t="s">
        <v>298</v>
      </c>
      <c r="N41" s="158">
        <v>43.944619288242457</v>
      </c>
      <c r="O41" s="159">
        <v>43.896460093077017</v>
      </c>
      <c r="P41" s="159">
        <v>44.19755542249731</v>
      </c>
      <c r="Q41" s="159">
        <v>43.944254254949527</v>
      </c>
      <c r="R41" s="159">
        <v>40.740815460558473</v>
      </c>
      <c r="S41" s="160">
        <v>42.367339153617671</v>
      </c>
    </row>
    <row r="42" spans="1:19">
      <c r="A42" s="6"/>
      <c r="B42" s="6">
        <v>2011</v>
      </c>
      <c r="C42" s="6">
        <v>2012</v>
      </c>
      <c r="D42" s="6">
        <v>2013</v>
      </c>
      <c r="E42" s="6">
        <v>2014</v>
      </c>
      <c r="F42" s="6">
        <v>2015</v>
      </c>
      <c r="G42" s="6">
        <v>2016</v>
      </c>
      <c r="H42" s="6">
        <v>2017</v>
      </c>
      <c r="I42" s="6">
        <v>2018</v>
      </c>
      <c r="M42" s="150" t="s">
        <v>299</v>
      </c>
      <c r="N42" s="161">
        <v>37.30528934687181</v>
      </c>
      <c r="O42" s="162">
        <v>36.438883369750471</v>
      </c>
      <c r="P42" s="162">
        <v>36.567336311283718</v>
      </c>
      <c r="Q42" s="162">
        <v>36.659668267257821</v>
      </c>
      <c r="R42" s="162">
        <v>35.697687286681401</v>
      </c>
      <c r="S42" s="163">
        <v>38.146989757862862</v>
      </c>
    </row>
    <row r="43" spans="1:19">
      <c r="A43" t="s">
        <v>16</v>
      </c>
      <c r="B43" s="17">
        <v>28809</v>
      </c>
      <c r="C43" s="17">
        <v>29010</v>
      </c>
      <c r="D43" s="16"/>
      <c r="E43" s="17">
        <v>30373</v>
      </c>
      <c r="F43" s="16"/>
      <c r="G43" s="16"/>
      <c r="H43" s="16"/>
      <c r="I43" s="17">
        <v>37290</v>
      </c>
      <c r="M43" s="151" t="s">
        <v>300</v>
      </c>
      <c r="N43" s="165">
        <v>36.845825943007043</v>
      </c>
      <c r="O43" s="166">
        <v>37.177641750751349</v>
      </c>
      <c r="P43" s="166">
        <v>36.787636105996626</v>
      </c>
      <c r="Q43" s="166">
        <v>36.538204811064745</v>
      </c>
      <c r="R43" s="166">
        <v>35.501636953482972</v>
      </c>
      <c r="S43" s="167">
        <v>35.84722172330838</v>
      </c>
    </row>
    <row r="44" spans="1:19">
      <c r="A44" t="s">
        <v>29</v>
      </c>
      <c r="B44" s="5">
        <f>20.6*B43</f>
        <v>593465.4</v>
      </c>
      <c r="C44" s="5">
        <f>20.6*C43</f>
        <v>597606</v>
      </c>
      <c r="D44" s="5"/>
      <c r="E44" s="5">
        <f>20.6*E43</f>
        <v>625683.80000000005</v>
      </c>
      <c r="F44" s="5"/>
      <c r="G44" s="5"/>
      <c r="H44" s="5"/>
      <c r="I44" s="5">
        <f>20.6*I43</f>
        <v>768174</v>
      </c>
    </row>
    <row r="45" spans="1:19">
      <c r="A45" t="s">
        <v>31</v>
      </c>
      <c r="B45" s="5">
        <f>23*B43</f>
        <v>662607</v>
      </c>
      <c r="C45" s="5">
        <f>23*C43</f>
        <v>667230</v>
      </c>
      <c r="D45" s="5"/>
      <c r="E45" s="5">
        <f>23*E43</f>
        <v>698579</v>
      </c>
      <c r="F45" s="5"/>
      <c r="G45" s="5"/>
      <c r="H45" s="5"/>
      <c r="I45" s="5">
        <f>23*I43</f>
        <v>857670</v>
      </c>
    </row>
    <row r="46" spans="1:19">
      <c r="A46" t="s">
        <v>30</v>
      </c>
      <c r="B46" s="5">
        <f>25.5*B43</f>
        <v>734629.5</v>
      </c>
      <c r="C46" s="5">
        <f>25.5*C43</f>
        <v>739755</v>
      </c>
      <c r="D46" s="5"/>
      <c r="E46" s="5">
        <f>25.5*E43</f>
        <v>774511.5</v>
      </c>
      <c r="F46" s="5"/>
      <c r="G46" s="5"/>
      <c r="H46" s="5"/>
      <c r="I46" s="5">
        <f>25.5*I43</f>
        <v>950895</v>
      </c>
    </row>
    <row r="47" spans="1:19">
      <c r="A47" t="s">
        <v>15</v>
      </c>
      <c r="B47" s="15">
        <v>489124</v>
      </c>
      <c r="C47" s="15">
        <v>494552</v>
      </c>
      <c r="D47" s="14"/>
      <c r="E47" s="15">
        <v>512618</v>
      </c>
      <c r="F47" s="14"/>
      <c r="G47" s="14"/>
      <c r="H47" s="14"/>
      <c r="I47" s="15">
        <v>625507</v>
      </c>
    </row>
    <row r="48" spans="1:19">
      <c r="A48" s="3" t="s">
        <v>14</v>
      </c>
      <c r="B48" s="2">
        <f>B47/B44</f>
        <v>0.82418284199887637</v>
      </c>
      <c r="C48" s="2">
        <f>C47/C44</f>
        <v>0.8275552788961289</v>
      </c>
      <c r="D48" s="2"/>
      <c r="E48" s="2">
        <f>E47/E44</f>
        <v>0.81929242853978312</v>
      </c>
      <c r="F48" s="2"/>
      <c r="G48" s="2"/>
      <c r="H48" s="2"/>
      <c r="I48" s="2">
        <f>I47/I44</f>
        <v>0.81427775477951614</v>
      </c>
    </row>
    <row r="49" spans="1:9">
      <c r="A49" s="3" t="s">
        <v>13</v>
      </c>
      <c r="B49" s="2">
        <f>B47/B45</f>
        <v>0.73818115413812413</v>
      </c>
      <c r="C49" s="2">
        <f>C47/C45</f>
        <v>0.74120168457653279</v>
      </c>
      <c r="D49" s="2"/>
      <c r="E49" s="2">
        <f>E47/E45</f>
        <v>0.73380104469215368</v>
      </c>
      <c r="F49" s="2"/>
      <c r="G49" s="2"/>
      <c r="H49" s="2"/>
      <c r="I49" s="2">
        <f>I47/I45</f>
        <v>0.72930964123730568</v>
      </c>
    </row>
    <row r="50" spans="1:9">
      <c r="A50" s="3" t="s">
        <v>12</v>
      </c>
      <c r="B50" s="2">
        <f>B47/B46</f>
        <v>0.66581045275203354</v>
      </c>
      <c r="C50" s="2">
        <f>C47/C46</f>
        <v>0.66853485275530411</v>
      </c>
      <c r="D50" s="2"/>
      <c r="E50" s="2">
        <f>E47/E46</f>
        <v>0.661859765800766</v>
      </c>
      <c r="F50" s="2"/>
      <c r="G50" s="2"/>
      <c r="H50" s="2"/>
      <c r="I50" s="2">
        <f>I47/I46</f>
        <v>0.65780869601796199</v>
      </c>
    </row>
    <row r="51" spans="1:9">
      <c r="A51" s="7" t="s">
        <v>18</v>
      </c>
      <c r="B51" s="19">
        <v>139524</v>
      </c>
      <c r="C51" s="19">
        <v>135063</v>
      </c>
      <c r="D51" s="18"/>
      <c r="E51" s="19">
        <v>138968</v>
      </c>
      <c r="F51" s="18"/>
      <c r="G51" s="18"/>
      <c r="H51" s="18"/>
      <c r="I51" s="19">
        <v>168384</v>
      </c>
    </row>
    <row r="52" spans="1:9">
      <c r="A52" s="3" t="s">
        <v>19</v>
      </c>
      <c r="B52" s="8">
        <f>(B43*1000000)/(B51*1000)</f>
        <v>206.48060548722799</v>
      </c>
      <c r="C52" s="8">
        <f>(C43*1000000)/(C51*1000)</f>
        <v>214.7886541836032</v>
      </c>
      <c r="D52" s="8"/>
      <c r="E52" s="8">
        <f>(E43*1000000)/(E51*1000)</f>
        <v>218.56110759311497</v>
      </c>
      <c r="F52" s="8"/>
      <c r="G52" s="8"/>
      <c r="H52" s="8"/>
      <c r="I52" s="8">
        <f>(I43*1000000)/(I51*1000)</f>
        <v>221.45809578107185</v>
      </c>
    </row>
  </sheetData>
  <mergeCells count="2">
    <mergeCell ref="A1:I1"/>
    <mergeCell ref="M2:R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ICEV engines</vt:lpstr>
      <vt:lpstr>Engines mass</vt:lpstr>
      <vt:lpstr>Electric trucks</vt:lpstr>
      <vt:lpstr>Costs</vt:lpstr>
      <vt:lpstr>Plugin hybrid trucks</vt:lpstr>
      <vt:lpstr>Fuel cell trucks</vt:lpstr>
      <vt:lpstr>BEV motors</vt:lpstr>
      <vt:lpstr>BEV chargers</vt:lpstr>
      <vt:lpstr>Loading factors</vt:lpstr>
      <vt:lpstr>weight composition</vt:lpstr>
      <vt:lpstr>CNG tank mass</vt:lpstr>
      <vt:lpstr>H2 tank mass</vt:lpstr>
      <vt:lpstr>weight composition of MAN TGX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2020-06-14T13:01:14Z</dcterms:created>
  <dcterms:modified xsi:type="dcterms:W3CDTF">2021-06-18T17:23:30Z</dcterms:modified>
</cp:coreProperties>
</file>