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40436303-F70B-42E0-B597-07B86F04AA59}" xr6:coauthVersionLast="45" xr6:coauthVersionMax="45" xr10:uidLastSave="{00000000-0000-0000-0000-000000000000}"/>
  <bookViews>
    <workbookView xWindow="-110" yWindow="-110" windowWidth="25820" windowHeight="14020" activeTab="3" xr2:uid="{F660A75E-F0EB-488E-A727-CFDC76EA02DE}"/>
  </bookViews>
  <sheets>
    <sheet name="ICEV engines" sheetId="4" r:id="rId1"/>
    <sheet name="Engines mass" sheetId="9" r:id="rId2"/>
    <sheet name="Electric trucks" sheetId="10" r:id="rId3"/>
    <sheet name="Fuel cell trucks" sheetId="11" r:id="rId4"/>
    <sheet name="BEV motors" sheetId="3" r:id="rId5"/>
    <sheet name="BEV chargers" sheetId="2" r:id="rId6"/>
    <sheet name="Loading factors" sheetId="5" r:id="rId7"/>
    <sheet name="battery sizing" sheetId="6" r:id="rId8"/>
    <sheet name="weight composition" sheetId="7" r:id="rId9"/>
    <sheet name="weight composition of MAN TGX" sheetId="8" r:id="rId10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1" l="1"/>
  <c r="C8" i="11"/>
  <c r="K7" i="11"/>
  <c r="C7" i="11"/>
  <c r="C6" i="11" l="1"/>
  <c r="K6" i="11"/>
  <c r="K5" i="11"/>
  <c r="C5" i="11"/>
  <c r="K4" i="11"/>
  <c r="C4" i="11"/>
  <c r="K3" i="11"/>
  <c r="C3" i="11"/>
  <c r="K2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2" i="10"/>
  <c r="I14" i="10"/>
  <c r="I12" i="10"/>
  <c r="I11" i="10"/>
  <c r="I10" i="10"/>
  <c r="I9" i="10"/>
  <c r="I8" i="10"/>
  <c r="I7" i="10"/>
  <c r="I6" i="10"/>
  <c r="I5" i="10"/>
  <c r="I4" i="10"/>
  <c r="I3" i="10"/>
  <c r="I2" i="10"/>
  <c r="F31" i="7" l="1"/>
  <c r="G32" i="7"/>
  <c r="H32" i="7"/>
  <c r="I32" i="7"/>
  <c r="J32" i="7"/>
  <c r="K32" i="7"/>
  <c r="L32" i="7"/>
  <c r="F32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D15" i="8"/>
  <c r="L21" i="7"/>
  <c r="K21" i="7"/>
  <c r="H21" i="7"/>
  <c r="G21" i="7"/>
  <c r="F21" i="7"/>
  <c r="K28" i="7"/>
  <c r="K27" i="7"/>
  <c r="K26" i="7"/>
  <c r="K25" i="7"/>
  <c r="K24" i="7"/>
  <c r="F29" i="7"/>
  <c r="G29" i="7"/>
  <c r="K23" i="7"/>
  <c r="C15" i="8" l="1"/>
  <c r="H33" i="7" l="1"/>
  <c r="K33" i="7"/>
  <c r="H31" i="7"/>
  <c r="K31" i="7"/>
  <c r="F8" i="7" l="1"/>
  <c r="F9" i="7"/>
  <c r="F10" i="7"/>
  <c r="F11" i="7"/>
  <c r="F12" i="7"/>
  <c r="F13" i="7"/>
  <c r="F14" i="7"/>
  <c r="F15" i="7"/>
  <c r="F16" i="7"/>
  <c r="F17" i="7"/>
  <c r="F18" i="7"/>
  <c r="F19" i="7"/>
  <c r="F7" i="7"/>
  <c r="F33" i="7" s="1"/>
  <c r="L8" i="7"/>
  <c r="L9" i="7"/>
  <c r="L10" i="7"/>
  <c r="L11" i="7"/>
  <c r="L12" i="7"/>
  <c r="L13" i="7"/>
  <c r="L14" i="7"/>
  <c r="L15" i="7"/>
  <c r="L16" i="7"/>
  <c r="L17" i="7"/>
  <c r="L18" i="7"/>
  <c r="L19" i="7"/>
  <c r="L7" i="7"/>
  <c r="L33" i="7" s="1"/>
  <c r="J8" i="7"/>
  <c r="J9" i="7"/>
  <c r="J10" i="7"/>
  <c r="J11" i="7"/>
  <c r="J12" i="7"/>
  <c r="J13" i="7"/>
  <c r="J15" i="7"/>
  <c r="J17" i="7"/>
  <c r="J7" i="7"/>
  <c r="J33" i="7" s="1"/>
  <c r="I8" i="7"/>
  <c r="I9" i="7"/>
  <c r="I10" i="7"/>
  <c r="I11" i="7"/>
  <c r="I12" i="7"/>
  <c r="I13" i="7"/>
  <c r="I14" i="7"/>
  <c r="I15" i="7"/>
  <c r="I16" i="7"/>
  <c r="I17" i="7"/>
  <c r="I18" i="7"/>
  <c r="I7" i="7"/>
  <c r="I33" i="7" s="1"/>
  <c r="G8" i="7"/>
  <c r="G9" i="7"/>
  <c r="G10" i="7"/>
  <c r="G11" i="7"/>
  <c r="G12" i="7"/>
  <c r="G13" i="7"/>
  <c r="G14" i="7"/>
  <c r="G15" i="7"/>
  <c r="G16" i="7"/>
  <c r="G17" i="7"/>
  <c r="G18" i="7"/>
  <c r="G19" i="7"/>
  <c r="G31" i="7" s="1"/>
  <c r="G7" i="7"/>
  <c r="G33" i="7" s="1"/>
  <c r="H20" i="7"/>
  <c r="H22" i="7" s="1"/>
  <c r="H23" i="7" s="1"/>
  <c r="K20" i="7"/>
  <c r="K22" i="7" s="1"/>
  <c r="J31" i="7" l="1"/>
  <c r="I31" i="7"/>
  <c r="L31" i="7"/>
  <c r="G20" i="7"/>
  <c r="G22" i="7" s="1"/>
  <c r="K29" i="7"/>
  <c r="F20" i="7"/>
  <c r="F22" i="7" s="1"/>
  <c r="L20" i="7"/>
  <c r="L22" i="7" s="1"/>
  <c r="J20" i="7"/>
  <c r="I20" i="7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I22" i="7" l="1"/>
  <c r="I23" i="7" s="1"/>
  <c r="I21" i="7"/>
  <c r="J22" i="7"/>
  <c r="J21" i="7"/>
  <c r="L23" i="7"/>
  <c r="L26" i="7"/>
  <c r="L27" i="7"/>
  <c r="L28" i="7"/>
  <c r="L25" i="7"/>
  <c r="L24" i="7"/>
  <c r="J23" i="7"/>
  <c r="F23" i="7"/>
  <c r="G23" i="7"/>
  <c r="L29" i="7"/>
  <c r="D52" i="6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  <c r="I26" i="7" l="1"/>
  <c r="I24" i="7"/>
  <c r="I27" i="7"/>
  <c r="I28" i="7"/>
  <c r="I25" i="7"/>
  <c r="J25" i="7"/>
  <c r="J24" i="7"/>
  <c r="J27" i="7"/>
  <c r="J28" i="7"/>
  <c r="J26" i="7"/>
</calcChain>
</file>

<file path=xl/sharedStrings.xml><?xml version="1.0" encoding="utf-8"?>
<sst xmlns="http://schemas.openxmlformats.org/spreadsheetml/2006/main" count="383" uniqueCount="226">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</sst>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[$€-2]\ * #,##0.00_-;\-[$€-2]\ * #,##0.00_-;_-[$€-2]\ * &quot;-&quot;??_-;_-@_-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43" fontId="2" fillId="0" borderId="0" xfId="0" applyNumberFormat="1" applyFont="1"/>
    <xf numFmtId="0" fontId="2" fillId="0" borderId="0" xfId="0" applyFont="1"/>
    <xf numFmtId="3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6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7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 xr:uid="{23F8724F-132D-4F2C-AC42-207F0D89954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 composition'!$F$6:$L$6</c:f>
              <c:numCache>
                <c:formatCode>General</c:formatCode>
                <c:ptCount val="7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40000</c:v>
                </c:pt>
                <c:pt idx="6">
                  <c:v>60000</c:v>
                </c:pt>
              </c:numCache>
            </c:numRef>
          </c:xVal>
          <c:yVal>
            <c:numRef>
              <c:f>'weight composition'!$F$32:$L$32</c:f>
              <c:numCache>
                <c:formatCode>0</c:formatCode>
                <c:ptCount val="7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558</c:v>
                </c:pt>
                <c:pt idx="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BB6-5CB6-4687-8C18-59866161D37E}">
  <dimension ref="A2:S12"/>
  <sheetViews>
    <sheetView workbookViewId="0">
      <selection activeCell="A11" sqref="A11:E12"/>
    </sheetView>
  </sheetViews>
  <sheetFormatPr defaultRowHeight="14.5" x14ac:dyDescent="0.35"/>
  <sheetData>
    <row r="2" spans="1:19" x14ac:dyDescent="0.35">
      <c r="A2" t="s">
        <v>10</v>
      </c>
    </row>
    <row r="3" spans="1:19" x14ac:dyDescent="0.35">
      <c r="A3" t="s">
        <v>5</v>
      </c>
      <c r="B3">
        <v>0.74570000000000003</v>
      </c>
    </row>
    <row r="4" spans="1:19" x14ac:dyDescent="0.35">
      <c r="A4" t="s">
        <v>127</v>
      </c>
    </row>
    <row r="5" spans="1:19" x14ac:dyDescent="0.35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126</v>
      </c>
      <c r="M5" t="s">
        <v>126</v>
      </c>
      <c r="N5" t="s">
        <v>126</v>
      </c>
      <c r="O5" t="s">
        <v>126</v>
      </c>
      <c r="P5" t="s">
        <v>126</v>
      </c>
      <c r="Q5" t="s">
        <v>126</v>
      </c>
      <c r="R5" t="s">
        <v>126</v>
      </c>
      <c r="S5" t="s">
        <v>126</v>
      </c>
    </row>
    <row r="6" spans="1:19" x14ac:dyDescent="0.35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5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5">
      <c r="A9" t="s">
        <v>128</v>
      </c>
    </row>
    <row r="10" spans="1:19" x14ac:dyDescent="0.35">
      <c r="A10" t="s">
        <v>6</v>
      </c>
      <c r="B10" t="s">
        <v>126</v>
      </c>
      <c r="C10" t="s">
        <v>126</v>
      </c>
      <c r="D10" t="s">
        <v>126</v>
      </c>
      <c r="E10" t="s">
        <v>126</v>
      </c>
    </row>
    <row r="11" spans="1:19" x14ac:dyDescent="0.35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5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C2BC-0260-479C-B829-BE720EA95DB5}">
  <dimension ref="A1:D15"/>
  <sheetViews>
    <sheetView workbookViewId="0">
      <selection activeCell="A2" sqref="A2"/>
    </sheetView>
  </sheetViews>
  <sheetFormatPr defaultRowHeight="14.5" x14ac:dyDescent="0.35"/>
  <cols>
    <col min="1" max="1" width="22.7265625" bestFit="1" customWidth="1"/>
  </cols>
  <sheetData>
    <row r="1" spans="1:4" x14ac:dyDescent="0.35">
      <c r="A1" t="s">
        <v>148</v>
      </c>
    </row>
    <row r="5" spans="1:4" ht="15.5" x14ac:dyDescent="0.35">
      <c r="A5" s="42" t="s">
        <v>137</v>
      </c>
      <c r="B5" s="42" t="s">
        <v>138</v>
      </c>
      <c r="C5" s="42" t="s">
        <v>139</v>
      </c>
      <c r="D5" s="42" t="s">
        <v>140</v>
      </c>
    </row>
    <row r="6" spans="1:4" x14ac:dyDescent="0.35">
      <c r="A6" s="43" t="s">
        <v>141</v>
      </c>
      <c r="B6" s="44">
        <v>0.875</v>
      </c>
      <c r="C6" s="45">
        <v>0.16119654977038472</v>
      </c>
      <c r="D6" s="46">
        <v>1200.6405999999999</v>
      </c>
    </row>
    <row r="7" spans="1:4" x14ac:dyDescent="0.35">
      <c r="A7" s="47" t="s">
        <v>108</v>
      </c>
      <c r="B7" s="44">
        <v>1</v>
      </c>
      <c r="C7" s="48">
        <v>0.21481405812248527</v>
      </c>
      <c r="D7" s="49">
        <v>1600</v>
      </c>
    </row>
    <row r="8" spans="1:4" x14ac:dyDescent="0.35">
      <c r="A8" s="47" t="s">
        <v>142</v>
      </c>
      <c r="B8" s="44">
        <v>1</v>
      </c>
      <c r="C8" s="48">
        <v>0.18617397382330492</v>
      </c>
      <c r="D8" s="49">
        <v>1386.68</v>
      </c>
    </row>
    <row r="9" spans="1:4" x14ac:dyDescent="0.35">
      <c r="A9" s="47" t="s">
        <v>143</v>
      </c>
      <c r="B9" s="44">
        <v>1</v>
      </c>
      <c r="C9" s="48">
        <v>8.8449688431933307E-2</v>
      </c>
      <c r="D9" s="49">
        <v>658.8</v>
      </c>
    </row>
    <row r="10" spans="1:4" x14ac:dyDescent="0.35">
      <c r="A10" s="43" t="s">
        <v>144</v>
      </c>
      <c r="B10" s="44">
        <v>1</v>
      </c>
      <c r="C10" s="45">
        <v>7.4064726837246908E-2</v>
      </c>
      <c r="D10" s="46">
        <v>551.65646036082637</v>
      </c>
    </row>
    <row r="11" spans="1:4" x14ac:dyDescent="0.35">
      <c r="A11" s="43" t="s">
        <v>145</v>
      </c>
      <c r="B11" s="44">
        <v>1</v>
      </c>
      <c r="C11" s="45">
        <v>3.3957408700606762E-2</v>
      </c>
      <c r="D11" s="46">
        <v>252.9250385</v>
      </c>
    </row>
    <row r="12" spans="1:4" x14ac:dyDescent="0.35">
      <c r="A12" s="43" t="s">
        <v>146</v>
      </c>
      <c r="B12" s="44">
        <v>1</v>
      </c>
      <c r="C12" s="45">
        <v>1.100922047877737E-2</v>
      </c>
      <c r="D12" s="46">
        <v>82</v>
      </c>
    </row>
    <row r="13" spans="1:4" x14ac:dyDescent="0.35">
      <c r="A13" s="47" t="s">
        <v>107</v>
      </c>
      <c r="B13" s="44">
        <v>1</v>
      </c>
      <c r="C13" s="50">
        <v>0.11465700352287651</v>
      </c>
      <c r="D13" s="49">
        <v>854</v>
      </c>
    </row>
    <row r="14" spans="1:4" ht="15" thickBot="1" x14ac:dyDescent="0.4">
      <c r="A14" s="47" t="s">
        <v>100</v>
      </c>
      <c r="B14" s="44">
        <v>1</v>
      </c>
      <c r="C14" s="50">
        <v>0.11567737031238422</v>
      </c>
      <c r="D14" s="49">
        <v>861.60000010000022</v>
      </c>
    </row>
    <row r="15" spans="1:4" ht="15" thickBot="1" x14ac:dyDescent="0.4">
      <c r="A15" s="51" t="s">
        <v>147</v>
      </c>
      <c r="B15" s="52"/>
      <c r="C15" s="53">
        <f t="shared" ref="C15:D15" si="0">SUM(C6:C14)</f>
        <v>1</v>
      </c>
      <c r="D15" s="54">
        <f t="shared" si="0"/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34D5-0E96-4432-87E8-82D8AB21A353}">
  <dimension ref="D7:AE25"/>
  <sheetViews>
    <sheetView workbookViewId="0">
      <selection activeCell="L28" sqref="L28"/>
    </sheetView>
  </sheetViews>
  <sheetFormatPr defaultRowHeight="14.5" x14ac:dyDescent="0.35"/>
  <sheetData>
    <row r="7" spans="5:24" x14ac:dyDescent="0.35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126</v>
      </c>
      <c r="R7" t="s">
        <v>126</v>
      </c>
      <c r="S7" t="s">
        <v>126</v>
      </c>
      <c r="T7" t="s">
        <v>126</v>
      </c>
      <c r="U7" t="s">
        <v>126</v>
      </c>
      <c r="V7" t="s">
        <v>126</v>
      </c>
      <c r="W7" t="s">
        <v>126</v>
      </c>
      <c r="X7" t="s">
        <v>126</v>
      </c>
    </row>
    <row r="8" spans="5:24" x14ac:dyDescent="0.35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5">
      <c r="E9" t="s">
        <v>165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5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5">
      <c r="E11" t="s">
        <v>166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5">
      <c r="F12" t="s">
        <v>2</v>
      </c>
    </row>
    <row r="13" spans="5:24" x14ac:dyDescent="0.35">
      <c r="F13" t="s">
        <v>1</v>
      </c>
    </row>
    <row r="22" spans="4:31" x14ac:dyDescent="0.35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5">
      <c r="D23" t="s">
        <v>167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5">
      <c r="D24" t="s">
        <v>168</v>
      </c>
      <c r="E24">
        <v>520</v>
      </c>
      <c r="F24">
        <v>800</v>
      </c>
      <c r="G24">
        <v>870</v>
      </c>
      <c r="H24">
        <v>1240</v>
      </c>
    </row>
    <row r="25" spans="4:31" x14ac:dyDescent="0.35">
      <c r="D25" t="s">
        <v>169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0CF6-DD36-4F84-862B-ADCA2CD5B077}">
  <dimension ref="A1:J14"/>
  <sheetViews>
    <sheetView workbookViewId="0">
      <selection activeCell="J14" sqref="J14"/>
    </sheetView>
  </sheetViews>
  <sheetFormatPr defaultRowHeight="14.5" x14ac:dyDescent="0.35"/>
  <cols>
    <col min="1" max="1" width="10.90625" bestFit="1" customWidth="1"/>
    <col min="2" max="2" width="11.26953125" bestFit="1" customWidth="1"/>
    <col min="3" max="3" width="21.08984375" bestFit="1" customWidth="1"/>
    <col min="4" max="4" width="9.81640625" bestFit="1" customWidth="1"/>
    <col min="5" max="5" width="17" bestFit="1" customWidth="1"/>
    <col min="6" max="6" width="17.26953125" bestFit="1" customWidth="1"/>
    <col min="7" max="7" width="20.1796875" bestFit="1" customWidth="1"/>
    <col min="8" max="8" width="10.453125" bestFit="1" customWidth="1"/>
    <col min="9" max="9" width="19.90625" bestFit="1" customWidth="1"/>
  </cols>
  <sheetData>
    <row r="1" spans="1:10" ht="15" thickBot="1" x14ac:dyDescent="0.4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196</v>
      </c>
      <c r="H1" s="57" t="s">
        <v>197</v>
      </c>
      <c r="I1" s="57" t="s">
        <v>198</v>
      </c>
      <c r="J1" s="57" t="s">
        <v>172</v>
      </c>
    </row>
    <row r="2" spans="1:10" ht="15" thickTop="1" x14ac:dyDescent="0.35">
      <c r="A2" t="s">
        <v>173</v>
      </c>
      <c r="B2" t="s">
        <v>174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175</v>
      </c>
    </row>
    <row r="3" spans="1:10" x14ac:dyDescent="0.35">
      <c r="A3" t="s">
        <v>173</v>
      </c>
      <c r="B3" t="s">
        <v>176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177</v>
      </c>
    </row>
    <row r="4" spans="1:10" x14ac:dyDescent="0.35">
      <c r="A4" t="s">
        <v>178</v>
      </c>
      <c r="B4" t="s">
        <v>179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>
        <f t="shared" si="0"/>
        <v>2.5</v>
      </c>
      <c r="J4" s="33" t="s">
        <v>180</v>
      </c>
    </row>
    <row r="5" spans="1:10" x14ac:dyDescent="0.35">
      <c r="A5" t="s">
        <v>178</v>
      </c>
      <c r="B5" t="s">
        <v>179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180</v>
      </c>
    </row>
    <row r="6" spans="1:10" x14ac:dyDescent="0.35">
      <c r="A6" t="s">
        <v>181</v>
      </c>
      <c r="B6" t="s">
        <v>182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183</v>
      </c>
    </row>
    <row r="7" spans="1:10" x14ac:dyDescent="0.35">
      <c r="A7" t="s">
        <v>184</v>
      </c>
      <c r="B7" t="s">
        <v>185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203</v>
      </c>
    </row>
    <row r="8" spans="1:10" x14ac:dyDescent="0.35">
      <c r="A8" t="s">
        <v>184</v>
      </c>
      <c r="B8" t="s">
        <v>185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203</v>
      </c>
    </row>
    <row r="9" spans="1:10" x14ac:dyDescent="0.35">
      <c r="A9" t="s">
        <v>186</v>
      </c>
      <c r="B9" t="s">
        <v>187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190</v>
      </c>
    </row>
    <row r="10" spans="1:10" x14ac:dyDescent="0.35">
      <c r="A10" t="s">
        <v>186</v>
      </c>
      <c r="B10" t="s">
        <v>188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190</v>
      </c>
    </row>
    <row r="11" spans="1:10" x14ac:dyDescent="0.35">
      <c r="A11" t="s">
        <v>186</v>
      </c>
      <c r="B11" t="s">
        <v>189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190</v>
      </c>
    </row>
    <row r="12" spans="1:10" x14ac:dyDescent="0.35">
      <c r="A12" t="s">
        <v>186</v>
      </c>
      <c r="B12" t="s">
        <v>191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190</v>
      </c>
    </row>
    <row r="13" spans="1:10" x14ac:dyDescent="0.35">
      <c r="A13" t="s">
        <v>186</v>
      </c>
      <c r="B13" t="s">
        <v>192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190</v>
      </c>
    </row>
    <row r="14" spans="1:10" x14ac:dyDescent="0.35">
      <c r="A14" t="s">
        <v>199</v>
      </c>
      <c r="B14" t="s">
        <v>200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201</v>
      </c>
    </row>
  </sheetData>
  <hyperlinks>
    <hyperlink ref="J3" r:id="rId1" xr:uid="{4FC1C520-DB7D-4E39-AC58-5C06EDF88596}"/>
    <hyperlink ref="J2" r:id="rId2" xr:uid="{957B8BE9-77F2-45C7-8440-54BA42D3BD21}"/>
    <hyperlink ref="J4" r:id="rId3" xr:uid="{77FE3416-D878-4588-AE98-2C3F9AE858EF}"/>
    <hyperlink ref="J5" r:id="rId4" xr:uid="{CB0AE9A7-FC0F-4C7F-84A2-34567441D1C8}"/>
    <hyperlink ref="J6" r:id="rId5" xr:uid="{FE7BE52E-7806-405C-A8A0-B608D5E293C9}"/>
    <hyperlink ref="J7" r:id="rId6" xr:uid="{F4A33432-5ABC-4197-9A05-E18AF4E9ACA6}"/>
    <hyperlink ref="J8" r:id="rId7" xr:uid="{5812977D-41FC-4FE5-9417-773D7573F9E2}"/>
    <hyperlink ref="J9" r:id="rId8" xr:uid="{508EFF3E-94DE-42FE-8D93-FF110947A992}"/>
    <hyperlink ref="J10" r:id="rId9" xr:uid="{DB1B6E89-AC91-41E7-8E46-0B1D1D3718D7}"/>
    <hyperlink ref="J11" r:id="rId10" xr:uid="{7A2C0A0D-B28E-4BBF-B93D-2A3CD07DF60F}"/>
    <hyperlink ref="J12" r:id="rId11" xr:uid="{4EA14EA4-606A-4CBF-856A-EB098A74EE1E}"/>
    <hyperlink ref="J13" r:id="rId12" xr:uid="{5C72ED48-2BA8-43A3-806C-58F78E5FACFD}"/>
    <hyperlink ref="J14" r:id="rId13" xr:uid="{3DBC9343-934F-4D2B-8107-B23B7EE8D0A7}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DD29-B13E-4593-BD51-713525CDE8CB}">
  <dimension ref="A1:L8"/>
  <sheetViews>
    <sheetView tabSelected="1" workbookViewId="0">
      <selection activeCell="K12" sqref="K12"/>
    </sheetView>
  </sheetViews>
  <sheetFormatPr defaultRowHeight="14.5" x14ac:dyDescent="0.35"/>
  <cols>
    <col min="1" max="1" width="5.81640625" bestFit="1" customWidth="1"/>
    <col min="4" max="4" width="9.7265625" bestFit="1" customWidth="1"/>
    <col min="5" max="6" width="16.81640625" bestFit="1" customWidth="1"/>
    <col min="7" max="7" width="27.1796875" bestFit="1" customWidth="1"/>
    <col min="8" max="8" width="20" customWidth="1"/>
    <col min="9" max="9" width="20.08984375" bestFit="1" customWidth="1"/>
    <col min="10" max="10" width="10.26953125" bestFit="1" customWidth="1"/>
    <col min="11" max="11" width="19.7265625" bestFit="1" customWidth="1"/>
    <col min="12" max="12" width="6.453125" bestFit="1" customWidth="1"/>
  </cols>
  <sheetData>
    <row r="1" spans="1:12" ht="15" thickBot="1" x14ac:dyDescent="0.4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206</v>
      </c>
      <c r="H1" s="57" t="s">
        <v>207</v>
      </c>
      <c r="I1" s="57" t="s">
        <v>196</v>
      </c>
      <c r="J1" s="57" t="s">
        <v>197</v>
      </c>
      <c r="K1" s="57" t="s">
        <v>198</v>
      </c>
      <c r="L1" s="57" t="s">
        <v>172</v>
      </c>
    </row>
    <row r="2" spans="1:12" ht="15" thickTop="1" x14ac:dyDescent="0.35">
      <c r="A2" t="s">
        <v>204</v>
      </c>
      <c r="B2" t="s">
        <v>205</v>
      </c>
      <c r="C2" t="str">
        <f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>(G2/J2)*120/3.6</f>
        <v>2.7555555555555555</v>
      </c>
      <c r="L2" s="33" t="s">
        <v>208</v>
      </c>
    </row>
    <row r="3" spans="1:12" x14ac:dyDescent="0.35">
      <c r="A3" t="s">
        <v>209</v>
      </c>
      <c r="B3" t="s">
        <v>210</v>
      </c>
      <c r="C3" t="str">
        <f>A3&amp;" - "&amp;B3</f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>(G3/J3)*120/3.6</f>
        <v>2.875</v>
      </c>
      <c r="L3" s="33" t="s">
        <v>213</v>
      </c>
    </row>
    <row r="4" spans="1:12" x14ac:dyDescent="0.35">
      <c r="A4" t="s">
        <v>211</v>
      </c>
      <c r="B4" t="s">
        <v>212</v>
      </c>
      <c r="C4" t="str">
        <f>A4&amp;" - "&amp;B4</f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>(G4/J4)*120/3.6</f>
        <v>0.66666666666666663</v>
      </c>
      <c r="L4" s="33" t="s">
        <v>214</v>
      </c>
    </row>
    <row r="5" spans="1:12" x14ac:dyDescent="0.35">
      <c r="A5" t="s">
        <v>215</v>
      </c>
      <c r="B5" t="s">
        <v>216</v>
      </c>
      <c r="C5" t="str">
        <f>A5&amp;" - "&amp;B5</f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>(G5/J5)*120/3.6</f>
        <v>2.5</v>
      </c>
      <c r="L5" s="33" t="s">
        <v>217</v>
      </c>
    </row>
    <row r="6" spans="1:12" x14ac:dyDescent="0.35">
      <c r="A6" t="s">
        <v>218</v>
      </c>
      <c r="C6" t="str">
        <f>A6&amp;" - "&amp;B6</f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>(G6/J6)*120/3.6</f>
        <v>2.75</v>
      </c>
      <c r="L6" s="33" t="s">
        <v>219</v>
      </c>
    </row>
    <row r="7" spans="1:12" x14ac:dyDescent="0.35">
      <c r="A7" t="s">
        <v>220</v>
      </c>
      <c r="B7" t="s">
        <v>221</v>
      </c>
      <c r="C7" t="str">
        <f>A7&amp;" - "&amp;B7</f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>(G7/J7)*120/3.6</f>
        <v>3.125</v>
      </c>
      <c r="L7" s="33" t="s">
        <v>222</v>
      </c>
    </row>
    <row r="8" spans="1:12" x14ac:dyDescent="0.35">
      <c r="A8" t="s">
        <v>223</v>
      </c>
      <c r="B8" t="s">
        <v>224</v>
      </c>
      <c r="C8" t="str">
        <f>A8&amp;" - "&amp;B8</f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>(G8/J8)*120/3.6</f>
        <v>1.6666666666666665</v>
      </c>
      <c r="L8" s="33" t="s">
        <v>225</v>
      </c>
    </row>
  </sheetData>
  <hyperlinks>
    <hyperlink ref="L2" r:id="rId1" xr:uid="{BDA6660D-1FFF-4AC7-9389-60D4FE225A06}"/>
    <hyperlink ref="L3" r:id="rId2" xr:uid="{E1A40A00-8A48-49A9-81D8-ADD695321E9C}"/>
    <hyperlink ref="L4" r:id="rId3" xr:uid="{0FDFE722-7329-45E7-AF4B-44F07581D2ED}"/>
    <hyperlink ref="L5" r:id="rId4" xr:uid="{F07E4F1F-89C7-41F1-A042-D51B3A6A0275}"/>
    <hyperlink ref="L6" r:id="rId5" xr:uid="{5497A739-B59B-4DA5-BBE5-91F15FD99CC8}"/>
    <hyperlink ref="L7" r:id="rId6" xr:uid="{A22B8DDC-C9B8-45F3-AAA3-7D3316158540}"/>
    <hyperlink ref="L8" r:id="rId7" xr:uid="{D881F3A4-ED3B-4745-9035-78644E7397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48E6-6FBC-4037-9765-43E39D0C1CF2}">
  <dimension ref="A6:F8"/>
  <sheetViews>
    <sheetView workbookViewId="0">
      <selection activeCell="A7" sqref="A7:F8"/>
    </sheetView>
  </sheetViews>
  <sheetFormatPr defaultRowHeight="14.5" x14ac:dyDescent="0.35"/>
  <cols>
    <col min="1" max="1" width="13.26953125" bestFit="1" customWidth="1"/>
  </cols>
  <sheetData>
    <row r="6" spans="1:6" x14ac:dyDescent="0.35">
      <c r="A6" t="s">
        <v>3</v>
      </c>
      <c r="B6" t="s">
        <v>129</v>
      </c>
      <c r="C6" t="s">
        <v>129</v>
      </c>
      <c r="D6" t="s">
        <v>129</v>
      </c>
      <c r="E6" t="s">
        <v>129</v>
      </c>
      <c r="F6" t="s">
        <v>130</v>
      </c>
    </row>
    <row r="7" spans="1:6" x14ac:dyDescent="0.35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5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029B-9326-4F69-86DA-8B9EBC0E2EEA}">
  <dimension ref="A2:C5"/>
  <sheetViews>
    <sheetView workbookViewId="0">
      <selection activeCell="A6" sqref="A6"/>
    </sheetView>
  </sheetViews>
  <sheetFormatPr defaultRowHeight="14.5" x14ac:dyDescent="0.35"/>
  <sheetData>
    <row r="2" spans="1:3" x14ac:dyDescent="0.35">
      <c r="A2" t="s">
        <v>4</v>
      </c>
    </row>
    <row r="3" spans="1:3" x14ac:dyDescent="0.35">
      <c r="A3" t="s">
        <v>0</v>
      </c>
      <c r="B3">
        <v>100</v>
      </c>
      <c r="C3">
        <v>212</v>
      </c>
    </row>
    <row r="4" spans="1:3" x14ac:dyDescent="0.35">
      <c r="A4" t="s">
        <v>1</v>
      </c>
      <c r="B4">
        <v>9.5</v>
      </c>
      <c r="C4">
        <v>15.5</v>
      </c>
    </row>
    <row r="5" spans="1:3" x14ac:dyDescent="0.3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CD19-7EDF-484E-B634-E6A3A4765665}">
  <dimension ref="A1:I51"/>
  <sheetViews>
    <sheetView workbookViewId="0">
      <selection activeCell="J47" sqref="J47"/>
    </sheetView>
  </sheetViews>
  <sheetFormatPr defaultRowHeight="14.5" x14ac:dyDescent="0.35"/>
  <cols>
    <col min="1" max="1" width="58.54296875" bestFit="1" customWidth="1"/>
    <col min="2" max="2" width="9.81640625" bestFit="1" customWidth="1"/>
  </cols>
  <sheetData>
    <row r="1" spans="1:9" x14ac:dyDescent="0.35">
      <c r="A1" t="s">
        <v>20</v>
      </c>
    </row>
    <row r="2" spans="1:9" x14ac:dyDescent="0.35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35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35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35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35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35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35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35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35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35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35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35">
      <c r="A13" s="3"/>
    </row>
    <row r="14" spans="1:9" x14ac:dyDescent="0.35">
      <c r="A14" t="s">
        <v>23</v>
      </c>
    </row>
    <row r="15" spans="1:9" x14ac:dyDescent="0.35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35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35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35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35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35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35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35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35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35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35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35">
      <c r="A27" t="s">
        <v>27</v>
      </c>
    </row>
    <row r="28" spans="1:9" x14ac:dyDescent="0.35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35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35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35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35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35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35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35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35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35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35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35">
      <c r="A40" t="s">
        <v>31</v>
      </c>
    </row>
    <row r="41" spans="1:9" x14ac:dyDescent="0.35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35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35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35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35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35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35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35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35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35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35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FB1F-4F87-4380-9B25-A6E816584076}">
  <dimension ref="A1:I66"/>
  <sheetViews>
    <sheetView topLeftCell="A15" workbookViewId="0">
      <selection activeCell="C54" sqref="C54"/>
    </sheetView>
  </sheetViews>
  <sheetFormatPr defaultRowHeight="14.5" x14ac:dyDescent="0.35"/>
  <cols>
    <col min="1" max="1" width="36.90625" bestFit="1" customWidth="1"/>
    <col min="2" max="2" width="8.81640625" bestFit="1" customWidth="1"/>
    <col min="3" max="3" width="11.54296875" bestFit="1" customWidth="1"/>
    <col min="4" max="6" width="11.36328125" bestFit="1" customWidth="1"/>
  </cols>
  <sheetData>
    <row r="1" spans="1:9" x14ac:dyDescent="0.35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35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35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35">
      <c r="C4" s="21"/>
      <c r="D4" s="21"/>
      <c r="E4" s="21"/>
      <c r="F4" s="21"/>
      <c r="H4" s="27"/>
      <c r="I4" s="26"/>
    </row>
    <row r="5" spans="1:9" x14ac:dyDescent="0.35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35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35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35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35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35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35">
      <c r="C11" s="21"/>
      <c r="D11" s="21"/>
      <c r="E11" s="21"/>
      <c r="F11" s="21"/>
    </row>
    <row r="12" spans="1:9" x14ac:dyDescent="0.35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35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35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35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35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35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35">
      <c r="C18" s="22"/>
      <c r="D18" s="22"/>
      <c r="E18" s="22"/>
      <c r="F18" s="22"/>
    </row>
    <row r="19" spans="1:6" x14ac:dyDescent="0.35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35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35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35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35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35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35">
      <c r="C25" s="22"/>
      <c r="D25" s="22"/>
      <c r="E25" s="22"/>
      <c r="F25" s="22"/>
    </row>
    <row r="26" spans="1:6" x14ac:dyDescent="0.35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35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35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35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35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35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35">
      <c r="C32" s="22"/>
      <c r="D32" s="22"/>
      <c r="E32" s="22"/>
      <c r="F32" s="22"/>
    </row>
    <row r="33" spans="1:8" x14ac:dyDescent="0.35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35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35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35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35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35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35">
      <c r="C39" s="21"/>
      <c r="D39" s="21"/>
      <c r="E39" s="21"/>
      <c r="F39" s="21"/>
    </row>
    <row r="40" spans="1:8" x14ac:dyDescent="0.35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35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35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35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35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35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35">
      <c r="C46" s="5"/>
      <c r="D46" s="5"/>
      <c r="E46" s="5"/>
      <c r="F46" s="5"/>
    </row>
    <row r="47" spans="1:8" x14ac:dyDescent="0.35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35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35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35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35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35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35">
      <c r="C53" s="29"/>
      <c r="D53" s="29"/>
      <c r="E53" s="29"/>
      <c r="F53" s="29"/>
    </row>
    <row r="54" spans="1:6" x14ac:dyDescent="0.35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35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35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35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35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35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35">
      <c r="C60" s="22"/>
      <c r="D60" s="22"/>
      <c r="E60" s="22"/>
      <c r="F60" s="22"/>
    </row>
    <row r="61" spans="1:6" x14ac:dyDescent="0.35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35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35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35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35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35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F20-42EB-4BE3-A713-D92C184011E3}">
  <dimension ref="A1:L40"/>
  <sheetViews>
    <sheetView workbookViewId="0">
      <selection activeCell="I19" sqref="I19"/>
    </sheetView>
  </sheetViews>
  <sheetFormatPr defaultRowHeight="14.5" x14ac:dyDescent="0.35"/>
  <cols>
    <col min="4" max="4" width="26.54296875" bestFit="1" customWidth="1"/>
    <col min="5" max="5" width="18.6328125" bestFit="1" customWidth="1"/>
    <col min="6" max="10" width="18.6328125" customWidth="1"/>
    <col min="11" max="12" width="18.26953125" bestFit="1" customWidth="1"/>
  </cols>
  <sheetData>
    <row r="1" spans="1:12" x14ac:dyDescent="0.35">
      <c r="A1" s="33" t="s">
        <v>112</v>
      </c>
    </row>
    <row r="2" spans="1:12" x14ac:dyDescent="0.35">
      <c r="A2" t="s">
        <v>113</v>
      </c>
      <c r="B2" t="s">
        <v>114</v>
      </c>
    </row>
    <row r="4" spans="1:12" x14ac:dyDescent="0.35">
      <c r="F4" t="s">
        <v>155</v>
      </c>
      <c r="G4" t="s">
        <v>154</v>
      </c>
      <c r="H4" s="34" t="s">
        <v>153</v>
      </c>
      <c r="I4" t="s">
        <v>152</v>
      </c>
      <c r="J4" t="s">
        <v>151</v>
      </c>
      <c r="K4" s="34" t="s">
        <v>149</v>
      </c>
      <c r="L4" t="s">
        <v>150</v>
      </c>
    </row>
    <row r="5" spans="1:12" ht="52" x14ac:dyDescent="0.35">
      <c r="E5" t="s">
        <v>161</v>
      </c>
      <c r="F5" s="20" t="s">
        <v>157</v>
      </c>
      <c r="G5" s="20" t="s">
        <v>157</v>
      </c>
      <c r="H5" s="20" t="s">
        <v>157</v>
      </c>
      <c r="I5" s="20" t="s">
        <v>157</v>
      </c>
      <c r="J5" s="20" t="s">
        <v>158</v>
      </c>
      <c r="K5" s="20" t="s">
        <v>159</v>
      </c>
      <c r="L5" s="20" t="s">
        <v>160</v>
      </c>
    </row>
    <row r="6" spans="1:12" x14ac:dyDescent="0.35">
      <c r="D6" s="55" t="s">
        <v>156</v>
      </c>
      <c r="E6" t="s">
        <v>119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34">
        <v>40000</v>
      </c>
      <c r="L6">
        <v>60000</v>
      </c>
    </row>
    <row r="7" spans="1:12" x14ac:dyDescent="0.35">
      <c r="D7" t="s">
        <v>97</v>
      </c>
      <c r="E7" t="s">
        <v>102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35">
        <v>1124</v>
      </c>
      <c r="L7" s="8">
        <f>K7*$L$6/$K$6</f>
        <v>1686</v>
      </c>
    </row>
    <row r="8" spans="1:12" x14ac:dyDescent="0.35">
      <c r="E8" t="s">
        <v>103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35">
        <v>140</v>
      </c>
      <c r="L8" s="8">
        <f t="shared" ref="L8:L19" si="4">K8*$L$6/$K$6</f>
        <v>210</v>
      </c>
    </row>
    <row r="9" spans="1:12" x14ac:dyDescent="0.35">
      <c r="E9" t="s">
        <v>104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35">
        <v>80</v>
      </c>
      <c r="L9" s="8">
        <f t="shared" si="4"/>
        <v>120</v>
      </c>
    </row>
    <row r="10" spans="1:12" x14ac:dyDescent="0.35">
      <c r="E10" t="s">
        <v>105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35">
        <v>220</v>
      </c>
      <c r="L10" s="8">
        <f t="shared" si="4"/>
        <v>330</v>
      </c>
    </row>
    <row r="11" spans="1:12" x14ac:dyDescent="0.35">
      <c r="E11" t="s">
        <v>106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35">
        <v>558</v>
      </c>
      <c r="L11" s="8">
        <f t="shared" si="4"/>
        <v>837</v>
      </c>
    </row>
    <row r="12" spans="1:12" x14ac:dyDescent="0.35">
      <c r="D12" t="s">
        <v>98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35">
        <v>265</v>
      </c>
      <c r="L12" s="8">
        <f t="shared" si="4"/>
        <v>397.5</v>
      </c>
    </row>
    <row r="13" spans="1:12" x14ac:dyDescent="0.35">
      <c r="D13" t="s">
        <v>99</v>
      </c>
      <c r="E13" t="s">
        <v>107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35">
        <v>3439</v>
      </c>
      <c r="L13" s="8">
        <f t="shared" si="4"/>
        <v>5158.5</v>
      </c>
    </row>
    <row r="14" spans="1:12" x14ac:dyDescent="0.35">
      <c r="E14" t="s">
        <v>108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35">
        <v>2656</v>
      </c>
      <c r="L14" s="8">
        <f t="shared" si="4"/>
        <v>3984</v>
      </c>
    </row>
    <row r="15" spans="1:12" x14ac:dyDescent="0.35">
      <c r="E15" t="s">
        <v>109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35">
        <v>784</v>
      </c>
      <c r="L15" s="8">
        <f t="shared" si="4"/>
        <v>1176</v>
      </c>
    </row>
    <row r="16" spans="1:12" x14ac:dyDescent="0.35">
      <c r="E16" t="s">
        <v>110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35">
        <v>1422</v>
      </c>
      <c r="L16" s="8">
        <f t="shared" si="4"/>
        <v>2133</v>
      </c>
    </row>
    <row r="17" spans="4:12" x14ac:dyDescent="0.35">
      <c r="D17" t="s">
        <v>101</v>
      </c>
      <c r="E17" t="s">
        <v>101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35">
        <v>0</v>
      </c>
      <c r="L17" s="8">
        <f t="shared" si="4"/>
        <v>0</v>
      </c>
    </row>
    <row r="18" spans="4:12" x14ac:dyDescent="0.35">
      <c r="E18" t="s">
        <v>111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35">
        <v>1153</v>
      </c>
      <c r="L18" s="8">
        <f t="shared" si="4"/>
        <v>1729.5</v>
      </c>
    </row>
    <row r="19" spans="4:12" x14ac:dyDescent="0.35">
      <c r="D19" t="s">
        <v>100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35">
        <v>2700</v>
      </c>
      <c r="L19" s="8">
        <f t="shared" si="4"/>
        <v>4050</v>
      </c>
    </row>
    <row r="20" spans="4:12" x14ac:dyDescent="0.35">
      <c r="D20" t="s">
        <v>163</v>
      </c>
      <c r="F20" s="8">
        <f t="shared" ref="F20:L20" si="5">SUM(F7:F19)</f>
        <v>1808.3333333333335</v>
      </c>
      <c r="G20" s="8">
        <f t="shared" si="5"/>
        <v>3875</v>
      </c>
      <c r="H20" s="35">
        <f t="shared" si="5"/>
        <v>6200</v>
      </c>
      <c r="I20" s="8">
        <f t="shared" si="5"/>
        <v>8210</v>
      </c>
      <c r="J20" s="8">
        <f t="shared" si="5"/>
        <v>10090.5</v>
      </c>
      <c r="K20" s="35">
        <f t="shared" si="5"/>
        <v>14541</v>
      </c>
      <c r="L20" s="8">
        <f t="shared" si="5"/>
        <v>21811.5</v>
      </c>
    </row>
    <row r="21" spans="4:12" x14ac:dyDescent="0.35">
      <c r="D21" t="s">
        <v>115</v>
      </c>
      <c r="F21" s="8">
        <f t="shared" ref="F21:L21" si="6">F6-F20</f>
        <v>1691.6666666666665</v>
      </c>
      <c r="G21" s="8">
        <f t="shared" si="6"/>
        <v>3625</v>
      </c>
      <c r="H21" s="8">
        <f t="shared" si="6"/>
        <v>5800</v>
      </c>
      <c r="I21" s="8">
        <f t="shared" si="6"/>
        <v>9790</v>
      </c>
      <c r="J21" s="8">
        <f t="shared" si="6"/>
        <v>15909.5</v>
      </c>
      <c r="K21" s="8">
        <f t="shared" si="6"/>
        <v>25459</v>
      </c>
      <c r="L21" s="8">
        <f t="shared" si="6"/>
        <v>38188.5</v>
      </c>
    </row>
    <row r="22" spans="4:12" x14ac:dyDescent="0.35">
      <c r="D22" t="s">
        <v>162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 t="shared" ref="I22:J22" si="7">I20-I29</f>
        <v>3210</v>
      </c>
      <c r="J22" s="8">
        <f t="shared" si="7"/>
        <v>4090.5</v>
      </c>
      <c r="K22" s="35">
        <f>K20-7050</f>
        <v>7491</v>
      </c>
      <c r="L22" s="39">
        <f>L20-7050</f>
        <v>14761.5</v>
      </c>
    </row>
    <row r="23" spans="4:12" x14ac:dyDescent="0.35">
      <c r="D23" t="s">
        <v>164</v>
      </c>
      <c r="F23" s="38">
        <f t="shared" ref="F23:K23" si="8">F22/F20</f>
        <v>0.27419354838709681</v>
      </c>
      <c r="G23" s="38">
        <f t="shared" si="8"/>
        <v>0.27419354838709675</v>
      </c>
      <c r="H23" s="38">
        <f t="shared" si="8"/>
        <v>0.27419354838709675</v>
      </c>
      <c r="I23" s="38">
        <f t="shared" si="8"/>
        <v>0.39098660170523752</v>
      </c>
      <c r="J23" s="38">
        <f t="shared" si="8"/>
        <v>0.40538129924186117</v>
      </c>
      <c r="K23" s="38">
        <f t="shared" si="8"/>
        <v>0.51516401898081288</v>
      </c>
      <c r="L23" s="38">
        <f>L22/L20</f>
        <v>0.67677601265387521</v>
      </c>
    </row>
    <row r="24" spans="4:12" x14ac:dyDescent="0.35">
      <c r="D24" s="40" t="s">
        <v>132</v>
      </c>
      <c r="F24" s="41">
        <f t="shared" ref="F24:H28" si="9">$K24*F$22/$K$22</f>
        <v>171.10254527655414</v>
      </c>
      <c r="G24" s="41">
        <f t="shared" si="9"/>
        <v>366.64831130690163</v>
      </c>
      <c r="H24" s="41">
        <f t="shared" si="9"/>
        <v>586.63729809104257</v>
      </c>
      <c r="I24" s="41">
        <f>$K24*I$22/$K$22</f>
        <v>1107.7092511013216</v>
      </c>
      <c r="J24" s="41">
        <f>$K24*J$22/$K$22</f>
        <v>1411.5528634361233</v>
      </c>
      <c r="K24" s="41">
        <f>K13-854</f>
        <v>2585</v>
      </c>
      <c r="L24" s="41">
        <f>K24*$L$22/$K$22</f>
        <v>5093.9096916299559</v>
      </c>
    </row>
    <row r="25" spans="4:12" x14ac:dyDescent="0.35">
      <c r="D25" s="40" t="s">
        <v>133</v>
      </c>
      <c r="F25" s="41">
        <f t="shared" si="9"/>
        <v>69.89720998531574</v>
      </c>
      <c r="G25" s="41">
        <f t="shared" si="9"/>
        <v>149.77973568281939</v>
      </c>
      <c r="H25" s="41">
        <f t="shared" si="9"/>
        <v>239.647577092511</v>
      </c>
      <c r="I25" s="41">
        <f t="shared" ref="I25:I28" si="10">$K25*I$22/$K$22</f>
        <v>452.51101321585901</v>
      </c>
      <c r="J25" s="41">
        <f t="shared" ref="J25:J28" si="11">$K25*J$22/$K$22</f>
        <v>576.63436123348015</v>
      </c>
      <c r="K25" s="41">
        <f>K14-1600</f>
        <v>1056</v>
      </c>
      <c r="L25" s="41">
        <f t="shared" ref="L25:L28" si="12">K25*$L$22/$K$22</f>
        <v>2080.9162995594716</v>
      </c>
    </row>
    <row r="26" spans="4:12" x14ac:dyDescent="0.35">
      <c r="D26" s="40" t="s">
        <v>134</v>
      </c>
      <c r="F26" s="41">
        <f t="shared" si="9"/>
        <v>50.503381835980967</v>
      </c>
      <c r="G26" s="41">
        <f t="shared" si="9"/>
        <v>108.22153250567348</v>
      </c>
      <c r="H26" s="41">
        <f t="shared" si="9"/>
        <v>173.15445200907757</v>
      </c>
      <c r="I26" s="41">
        <f t="shared" si="10"/>
        <v>326.95634761714058</v>
      </c>
      <c r="J26" s="41">
        <f t="shared" si="11"/>
        <v>416.64016820184219</v>
      </c>
      <c r="K26" s="41">
        <f>K16-659</f>
        <v>763</v>
      </c>
      <c r="L26" s="41">
        <f t="shared" si="12"/>
        <v>1503.5408490188227</v>
      </c>
    </row>
    <row r="27" spans="4:12" x14ac:dyDescent="0.35">
      <c r="D27" s="40" t="s">
        <v>135</v>
      </c>
      <c r="F27" s="41">
        <f t="shared" si="9"/>
        <v>26.733603832840483</v>
      </c>
      <c r="G27" s="41">
        <f t="shared" si="9"/>
        <v>57.286293927515295</v>
      </c>
      <c r="H27" s="41">
        <f t="shared" si="9"/>
        <v>91.658070284024475</v>
      </c>
      <c r="I27" s="41">
        <f t="shared" si="10"/>
        <v>173.07200330101091</v>
      </c>
      <c r="J27" s="41">
        <f t="shared" si="11"/>
        <v>220.54549205694244</v>
      </c>
      <c r="K27" s="41">
        <f>K15*K23</f>
        <v>403.88859088095728</v>
      </c>
      <c r="L27" s="41">
        <f t="shared" si="12"/>
        <v>795.88859088095717</v>
      </c>
    </row>
    <row r="28" spans="4:12" x14ac:dyDescent="0.35">
      <c r="D28" s="40" t="s">
        <v>136</v>
      </c>
      <c r="F28" s="41">
        <f t="shared" si="9"/>
        <v>178.71445734881866</v>
      </c>
      <c r="G28" s="41">
        <f t="shared" si="9"/>
        <v>382.95955146175413</v>
      </c>
      <c r="H28" s="41">
        <f t="shared" si="9"/>
        <v>612.73528233880654</v>
      </c>
      <c r="I28" s="41">
        <f t="shared" si="10"/>
        <v>1156.988386063276</v>
      </c>
      <c r="J28" s="41">
        <f t="shared" si="11"/>
        <v>1474.3492190628754</v>
      </c>
      <c r="K28" s="41">
        <f>K19</f>
        <v>2700</v>
      </c>
      <c r="L28" s="41">
        <f t="shared" si="12"/>
        <v>5320.5246295554662</v>
      </c>
    </row>
    <row r="29" spans="4:12" x14ac:dyDescent="0.35">
      <c r="D29" t="s">
        <v>131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5">
        <f>K20-K22</f>
        <v>7050</v>
      </c>
      <c r="L29" s="39">
        <f>L20-L22</f>
        <v>7050</v>
      </c>
    </row>
    <row r="31" spans="4:12" x14ac:dyDescent="0.35">
      <c r="D31" t="s">
        <v>116</v>
      </c>
      <c r="F31" s="8">
        <f>SUM(F12:F19)</f>
        <v>1506.4583333333333</v>
      </c>
      <c r="G31" s="8">
        <f t="shared" ref="G31:L31" si="13">SUM(G12:G19)</f>
        <v>3228.125</v>
      </c>
      <c r="H31" s="8">
        <f t="shared" si="13"/>
        <v>5165</v>
      </c>
      <c r="I31" s="8">
        <f t="shared" si="13"/>
        <v>6657.5</v>
      </c>
      <c r="J31" s="8">
        <f t="shared" si="13"/>
        <v>7848</v>
      </c>
      <c r="K31" s="8">
        <f t="shared" si="13"/>
        <v>12419</v>
      </c>
      <c r="L31" s="8">
        <f t="shared" si="13"/>
        <v>18628.5</v>
      </c>
    </row>
    <row r="32" spans="4:12" x14ac:dyDescent="0.35">
      <c r="D32" t="s">
        <v>117</v>
      </c>
      <c r="F32" s="8">
        <f>SUM(F11)</f>
        <v>82.541666666666671</v>
      </c>
      <c r="G32" s="8">
        <f t="shared" ref="G32:L32" si="14">SUM(G11)</f>
        <v>176.875</v>
      </c>
      <c r="H32" s="8">
        <f t="shared" si="14"/>
        <v>283</v>
      </c>
      <c r="I32" s="8">
        <f t="shared" si="14"/>
        <v>424.5</v>
      </c>
      <c r="J32" s="8">
        <f t="shared" si="14"/>
        <v>613.16666666666663</v>
      </c>
      <c r="K32" s="8">
        <f t="shared" si="14"/>
        <v>558</v>
      </c>
      <c r="L32" s="8">
        <f t="shared" si="14"/>
        <v>837</v>
      </c>
    </row>
    <row r="33" spans="4:12" x14ac:dyDescent="0.35">
      <c r="D33" t="s">
        <v>118</v>
      </c>
      <c r="F33" s="8">
        <f>F7</f>
        <v>151.08333333333334</v>
      </c>
      <c r="G33" s="8">
        <f t="shared" ref="G33:L33" si="15">G7</f>
        <v>323.75</v>
      </c>
      <c r="H33" s="8">
        <f t="shared" si="15"/>
        <v>518</v>
      </c>
      <c r="I33" s="8">
        <f t="shared" si="15"/>
        <v>777</v>
      </c>
      <c r="J33" s="8">
        <f t="shared" si="15"/>
        <v>1122.3333333333333</v>
      </c>
      <c r="K33" s="8">
        <f t="shared" si="15"/>
        <v>1124</v>
      </c>
      <c r="L33" s="8">
        <f t="shared" si="15"/>
        <v>1686</v>
      </c>
    </row>
    <row r="34" spans="4:12" x14ac:dyDescent="0.35">
      <c r="D34" t="s">
        <v>120</v>
      </c>
      <c r="F34" s="36"/>
      <c r="G34" s="36"/>
      <c r="H34" s="36">
        <v>0.05</v>
      </c>
      <c r="I34" s="36"/>
      <c r="J34" s="36"/>
      <c r="K34" s="36">
        <v>0.02</v>
      </c>
      <c r="L34" s="36"/>
    </row>
    <row r="35" spans="4:12" x14ac:dyDescent="0.35">
      <c r="D35" t="s">
        <v>121</v>
      </c>
      <c r="F35" s="36"/>
      <c r="G35" s="36"/>
      <c r="H35" s="36">
        <v>0.17</v>
      </c>
      <c r="I35" s="36"/>
      <c r="J35" s="36"/>
      <c r="K35" s="36">
        <v>0.16</v>
      </c>
      <c r="L35" s="36"/>
    </row>
    <row r="36" spans="4:12" x14ac:dyDescent="0.35">
      <c r="D36" t="s">
        <v>122</v>
      </c>
      <c r="F36" s="36"/>
      <c r="G36" s="36"/>
      <c r="H36" s="36">
        <v>0.28000000000000003</v>
      </c>
      <c r="I36" s="36"/>
      <c r="J36" s="36"/>
      <c r="K36" s="36">
        <v>0.3</v>
      </c>
      <c r="L36" s="36"/>
    </row>
    <row r="38" spans="4:12" x14ac:dyDescent="0.35">
      <c r="D38" t="s">
        <v>123</v>
      </c>
      <c r="F38" s="37"/>
      <c r="G38" s="37"/>
      <c r="H38" s="37">
        <v>1.9</v>
      </c>
      <c r="I38" s="37"/>
      <c r="J38" s="37"/>
      <c r="K38" s="37">
        <v>1.3</v>
      </c>
      <c r="L38" s="37"/>
    </row>
    <row r="39" spans="4:12" x14ac:dyDescent="0.35">
      <c r="D39" t="s">
        <v>124</v>
      </c>
      <c r="F39" s="37"/>
      <c r="G39" s="37"/>
      <c r="H39" s="37">
        <v>5.2</v>
      </c>
      <c r="I39" s="37"/>
      <c r="J39" s="37"/>
      <c r="K39" s="37">
        <v>6.3</v>
      </c>
      <c r="L39" s="37"/>
    </row>
    <row r="40" spans="4:12" x14ac:dyDescent="0.35">
      <c r="D40" t="s">
        <v>125</v>
      </c>
      <c r="F40" s="37"/>
      <c r="G40" s="37"/>
      <c r="H40" s="37">
        <v>34.5</v>
      </c>
      <c r="I40" s="37"/>
      <c r="J40" s="37"/>
      <c r="K40" s="37">
        <v>39.9</v>
      </c>
      <c r="L40" s="37"/>
    </row>
  </sheetData>
  <hyperlinks>
    <hyperlink ref="A1" r:id="rId1" xr:uid="{104B7EC0-3364-4746-885F-9A6B6C0020CC}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ICEV engines</vt:lpstr>
      <vt:lpstr>Engines mass</vt:lpstr>
      <vt:lpstr>Electric trucks</vt:lpstr>
      <vt:lpstr>Fuel cell trucks</vt:lpstr>
      <vt:lpstr>BEV motors</vt:lpstr>
      <vt:lpstr>BEV chargers</vt:lpstr>
      <vt:lpstr>Loading factors</vt:lpstr>
      <vt:lpstr>battery sizing</vt:lpstr>
      <vt:lpstr>weight composition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2020-06-14T13:01:14Z</dcterms:created>
  <dcterms:modified xsi:type="dcterms:W3CDTF">2020-09-29T14:52:16Z</dcterms:modified>
</cp:coreProperties>
</file>